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/colors1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FILINGS\WA\2023 Dockets\UE-230172 GRC\10-27-23 Rebuttal Testimony &amp; Exhibits\working docs\4_Ann E Bulkley\"/>
    </mc:Choice>
  </mc:AlternateContent>
  <xr:revisionPtr revIDLastSave="0" documentId="13_ncr:1_{8B5CE111-C48E-4378-8D1A-E14DB832C156}" xr6:coauthVersionLast="47" xr6:coauthVersionMax="47" xr10:uidLastSave="{00000000-0000-0000-0000-000000000000}"/>
  <bookViews>
    <workbookView xWindow="28680" yWindow="-120" windowWidth="29040" windowHeight="15840" tabRatio="936" activeTab="9" xr2:uid="{00000000-000D-0000-FFFF-FFFF00000000}"/>
  </bookViews>
  <sheets>
    <sheet name="AEB-16 Sum" sheetId="1" r:id="rId1"/>
    <sheet name="AEB-17 CGDCF" sheetId="3" r:id="rId2"/>
    <sheet name="AEB-18 CAPM" sheetId="4" r:id="rId3"/>
    <sheet name="AEB-19 LT Beta" sheetId="5" r:id="rId4"/>
    <sheet name="AEB-20 MktRet" sheetId="6" r:id="rId5"/>
    <sheet name="AEB-21 RiskPrem" sheetId="13" r:id="rId6"/>
    <sheet name="AEB-22 ExpEarns" sheetId="8" r:id="rId7"/>
    <sheet name="AEB-23 AdjWoolridgeDCF" sheetId="14" r:id="rId8"/>
    <sheet name="AEB-24 AdjParcellCAPM" sheetId="15" r:id="rId9"/>
    <sheet name="AEB-25 MV DtoE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bb" localSheetId="9" hidden="1">#REF!</definedName>
    <definedName name="__________bb" hidden="1">#REF!</definedName>
    <definedName name="__________sort" localSheetId="9" hidden="1">#REF!</definedName>
    <definedName name="__________sort" hidden="1">#REF!</definedName>
    <definedName name="_________bb" localSheetId="9" hidden="1">#REF!</definedName>
    <definedName name="_________bb" hidden="1">#REF!</definedName>
    <definedName name="_________Sort" localSheetId="9" hidden="1">#REF!</definedName>
    <definedName name="_________Sort" hidden="1">#REF!</definedName>
    <definedName name="_______kay1" localSheetId="9" hidden="1">#REF!</definedName>
    <definedName name="_______kay1" hidden="1">#REF!</definedName>
    <definedName name="_______ke1" localSheetId="9" hidden="1">#REF!</definedName>
    <definedName name="_______ke1" hidden="1">#REF!</definedName>
    <definedName name="_______key1" localSheetId="9" hidden="1">#REF!</definedName>
    <definedName name="_______key1" hidden="1">#REF!</definedName>
    <definedName name="_______sort" localSheetId="9" hidden="1">#REF!</definedName>
    <definedName name="_______sort" hidden="1">#REF!</definedName>
    <definedName name="______key1" localSheetId="9" hidden="1">#REF!</definedName>
    <definedName name="______key1" hidden="1">#REF!</definedName>
    <definedName name="______sort1" localSheetId="9" hidden="1">#REF!</definedName>
    <definedName name="______sort1" hidden="1">#REF!</definedName>
    <definedName name="_____BB" localSheetId="9" hidden="1">#REF!</definedName>
    <definedName name="_____BB" hidden="1">#REF!</definedName>
    <definedName name="_____Sort" localSheetId="9" hidden="1">#REF!</definedName>
    <definedName name="_____Sort" hidden="1">#REF!</definedName>
    <definedName name="____sort" localSheetId="9" hidden="1">#REF!</definedName>
    <definedName name="____sort" hidden="1">#REF!</definedName>
    <definedName name="___bb" localSheetId="9" hidden="1">#REF!</definedName>
    <definedName name="___bb" hidden="1">#REF!</definedName>
    <definedName name="___Key1" localSheetId="9" hidden="1">#REF!</definedName>
    <definedName name="___Key1" hidden="1">#REF!</definedName>
    <definedName name="___Sort" localSheetId="9" hidden="1">#REF!</definedName>
    <definedName name="___Sort" hidden="1">#REF!</definedName>
    <definedName name="__123Graph_Achart" hidden="1">'[1]Chart Data'!$E$30:$E$233</definedName>
    <definedName name="__123Graph_D" hidden="1">[2]TOPrs!#REF!</definedName>
    <definedName name="__123Graph_LBL_A" hidden="1">[3]Report!#REF!</definedName>
    <definedName name="__123Graph_XCHART" hidden="1">'[1]Chart Data'!$B$30:$B$222</definedName>
    <definedName name="__BB" localSheetId="9" hidden="1">#REF!</definedName>
    <definedName name="__BB" hidden="1">#REF!</definedName>
    <definedName name="__FDS_HYPERLINK_TOGGLE_STATE__" hidden="1">"ON"</definedName>
    <definedName name="__key1" hidden="1">#REF!</definedName>
    <definedName name="__Sort" localSheetId="9" hidden="1">#REF!</definedName>
    <definedName name="__Sort" hidden="1">#REF!</definedName>
    <definedName name="__Sort1" localSheetId="9" hidden="1">#REF!</definedName>
    <definedName name="__Sort1" hidden="1">#REF!</definedName>
    <definedName name="_123Graph_ACHART" hidden="1">'[1]Chart Data'!$E$30:$E$229</definedName>
    <definedName name="_1Q_0_Regressio" localSheetId="9" hidden="1">#REF!</definedName>
    <definedName name="_1Q_0_Regressio" hidden="1">#REF!</definedName>
    <definedName name="_2Q_0_Regressio" localSheetId="9" hidden="1">#REF!</definedName>
    <definedName name="_2Q_0_Regressio" hidden="1">#REF!</definedName>
    <definedName name="_2S_0_Regressio" localSheetId="9" hidden="1">#REF!</definedName>
    <definedName name="_2S_0_Regressio" hidden="1">#REF!</definedName>
    <definedName name="_3S_0_Regressio" localSheetId="9" hidden="1">#REF!</definedName>
    <definedName name="_3S_0_Regressio" hidden="1">#REF!</definedName>
    <definedName name="_4S_0_Regressio" localSheetId="9" hidden="1">#REF!</definedName>
    <definedName name="_4S_0_Regressio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localSheetId="8" hidden="1">#REF!</definedName>
    <definedName name="_Key1" localSheetId="9" hidden="1">#REF!</definedName>
    <definedName name="_Key1" hidden="1">#REF!</definedName>
    <definedName name="_Key11" localSheetId="9" hidden="1">#REF!</definedName>
    <definedName name="_Key11" hidden="1">#REF!</definedName>
    <definedName name="_Key2" localSheetId="8" hidden="1">#REF!</definedName>
    <definedName name="_Key2" localSheetId="9" hidden="1">#REF!</definedName>
    <definedName name="_Key2" hidden="1">#REF!</definedName>
    <definedName name="_lslkdjf" localSheetId="9" hidden="1">#REF!</definedName>
    <definedName name="_lslkdjf" hidden="1">#REF!</definedName>
    <definedName name="_new23" localSheetId="9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9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9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9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9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9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9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9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9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9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localSheetId="8" hidden="1">#REF!</definedName>
    <definedName name="_Regression_Out" hidden="1">#REF!</definedName>
    <definedName name="_Regression_X" localSheetId="8" hidden="1">#REF!</definedName>
    <definedName name="_Regression_X" localSheetId="9" hidden="1">#REF!</definedName>
    <definedName name="_Regression_X" hidden="1">#REF!</definedName>
    <definedName name="_Regression_Y" localSheetId="8" hidden="1">#REF!</definedName>
    <definedName name="_Regression_Y" localSheetId="9" hidden="1">#REF!</definedName>
    <definedName name="_Regression_Y" hidden="1">#REF!</definedName>
    <definedName name="_Sort" localSheetId="8" hidden="1">#REF!</definedName>
    <definedName name="_Sort" localSheetId="9" hidden="1">#REF!</definedName>
    <definedName name="_Sort" hidden="1">#REF!</definedName>
    <definedName name="_sort2" localSheetId="9" hidden="1">#REF!</definedName>
    <definedName name="_sort2" hidden="1">#REF!</definedName>
    <definedName name="_Table2_Out" localSheetId="9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wvu.DATABASE." hidden="1">[4]DATABASE!#REF!</definedName>
    <definedName name="ACwvu.OP." localSheetId="9" hidden="1">#REF!</definedName>
    <definedName name="ACwvu.OP." hidden="1">#REF!</definedName>
    <definedName name="adfadfdfadsfdsa" hidden="1">'[1]Chart Data'!$K$30:$K$228</definedName>
    <definedName name="aedf" localSheetId="9" hidden="1">#REF!</definedName>
    <definedName name="aedf" hidden="1">#REF!</definedName>
    <definedName name="aewc12" localSheetId="9" hidden="1">#REF!</definedName>
    <definedName name="aewc12" hidden="1">#REF!</definedName>
    <definedName name="afd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dafadfs" hidden="1">'[1]Chart Data'!$B$30:$B$222</definedName>
    <definedName name="afddfadfdsfafdas" hidden="1">'[1]Chart Data'!$O$30:$O$226</definedName>
    <definedName name="ajw2n" localSheetId="9" hidden="1">#REF!</definedName>
    <definedName name="ajw2n" hidden="1">#REF!</definedName>
    <definedName name="anscount" hidden="1">3</definedName>
    <definedName name="ap" localSheetId="9" hidden="1">#REF!</definedName>
    <definedName name="ap" hidden="1">#REF!</definedName>
    <definedName name="AS2DocOpenMode" hidden="1">"AS2DocumentEdit"</definedName>
    <definedName name="asd" hidden="1">#REF!</definedName>
    <definedName name="asdf" localSheetId="9" hidden="1">#REF!</definedName>
    <definedName name="asdf" hidden="1">#REF!</definedName>
    <definedName name="asdij" localSheetId="9" hidden="1">#REF!</definedName>
    <definedName name="asdij" hidden="1">#REF!</definedName>
    <definedName name="asf" localSheetId="9" hidden="1">#REF!</definedName>
    <definedName name="asf" hidden="1">#REF!</definedName>
    <definedName name="aspd" localSheetId="9" hidden="1">#REF!</definedName>
    <definedName name="aspd" hidden="1">#REF!</definedName>
    <definedName name="aswac" localSheetId="9" hidden="1">#REF!</definedName>
    <definedName name="aswac" hidden="1">#REF!</definedName>
    <definedName name="aswc" localSheetId="9" hidden="1">#REF!</definedName>
    <definedName name="aswc" hidden="1">#REF!</definedName>
    <definedName name="aw3dq" localSheetId="9" hidden="1">#REF!</definedName>
    <definedName name="aw3dq" hidden="1">#REF!</definedName>
    <definedName name="awd" localSheetId="9" hidden="1">#REF!</definedName>
    <definedName name="awd" hidden="1">#REF!</definedName>
    <definedName name="awef" localSheetId="9" hidden="1">#REF!</definedName>
    <definedName name="awef" hidden="1">#REF!</definedName>
    <definedName name="AWS" localSheetId="9" hidden="1">#REF!</definedName>
    <definedName name="AWS" hidden="1">#REF!</definedName>
    <definedName name="az" localSheetId="9" hidden="1">#REF!</definedName>
    <definedName name="az" hidden="1">#REF!</definedName>
    <definedName name="BB" localSheetId="9" hidden="1">#REF!</definedName>
    <definedName name="BB" hidden="1">#REF!</definedName>
    <definedName name="bb_mdm" localSheetId="9" hidden="1">#REF!</definedName>
    <definedName name="bb_mdm" hidden="1">#REF!</definedName>
    <definedName name="bb_MDMyNTU0NDRBODY1NDVEQz" localSheetId="9" hidden="1">#REF!</definedName>
    <definedName name="bb_MDMyNTU0NDRBODY1NDVEQz" hidden="1">#REF!</definedName>
    <definedName name="bbbb" localSheetId="9" hidden="1">#REF!</definedName>
    <definedName name="bbbb" hidden="1">#REF!</definedName>
    <definedName name="bl" localSheetId="9" hidden="1">#REF!</definedName>
    <definedName name="bl" hidden="1">#REF!</definedName>
    <definedName name="BLPH1" hidden="1">'[5]Mthly Data'!$A$3</definedName>
    <definedName name="BLPH2" hidden="1">'[6]Commercial Paper'!#REF!</definedName>
    <definedName name="BLPH3" hidden="1">'[6]Commercial Paper'!#REF!</definedName>
    <definedName name="BLPH4" hidden="1">'[6]Commercial Paper'!#REF!</definedName>
    <definedName name="BLPH5" hidden="1">'[6]Commercial Paper'!#REF!</definedName>
    <definedName name="BLPH6" hidden="1">'[6]Commercial Paper'!#REF!</definedName>
    <definedName name="bnca" localSheetId="9" hidden="1">#REF!</definedName>
    <definedName name="bnca" hidden="1">#REF!</definedName>
    <definedName name="bned" localSheetId="9" hidden="1">#REF!</definedName>
    <definedName name="bned" hidden="1">#REF!</definedName>
    <definedName name="borst" localSheetId="9" hidden="1">#REF!</definedName>
    <definedName name="borst" hidden="1">#REF!</definedName>
    <definedName name="c.LTMYear" localSheetId="9" hidden="1">#REF!</definedName>
    <definedName name="c.LTMYear" hidden="1">#REF!</definedName>
    <definedName name="ca" localSheetId="9" hidden="1">#REF!</definedName>
    <definedName name="ca" hidden="1">#REF!</definedName>
    <definedName name="cbwe" localSheetId="9" hidden="1">#REF!</definedName>
    <definedName name="cbwe" hidden="1">#REF!</definedName>
    <definedName name="chj" localSheetId="9" hidden="1">#REF!</definedName>
    <definedName name="chj" hidden="1">#REF!</definedName>
    <definedName name="CIQWBGuid" localSheetId="7" hidden="1">"9317b257-fce6-4d6c-b69f-0d8d47ce8ecf"</definedName>
    <definedName name="CIQWBGuid" localSheetId="9" hidden="1">"9317b257-fce6-4d6c-b69f-0d8d47ce8ecf"</definedName>
    <definedName name="CIQWBGuid" hidden="1">"000b5138-c688-4ce3-ab4a-abf3091f2d49"</definedName>
    <definedName name="CIQWBInfo" localSheetId="7" hidden="1">"{ ""CIQVersion"":""9.49.2423.4439"" }"</definedName>
    <definedName name="CIQWBInfo" localSheetId="9" hidden="1">"{ ""CIQVersion"":""9.49.2423.4439"" }"</definedName>
    <definedName name="CIQWBInfo" hidden="1">"{ ""CIQVersion"":""9.47.1108.4092"" }"</definedName>
    <definedName name="Common" localSheetId="9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ver" hidden="1">#REF!</definedName>
    <definedName name="cvdsza" localSheetId="9" hidden="1">#REF!</definedName>
    <definedName name="cvdsza" hidden="1">#REF!</definedName>
    <definedName name="d" localSheetId="9" hidden="1">#REF!</definedName>
    <definedName name="d" hidden="1">#REF!</definedName>
    <definedName name="da3a" localSheetId="9" hidden="1">#REF!</definedName>
    <definedName name="da3a" hidden="1">#REF!</definedName>
    <definedName name="dadffadfa" localSheetId="9" hidden="1">'[1]Chart Data'!#REF!</definedName>
    <definedName name="dadffadfa" hidden="1">'[1]Chart Data'!#REF!</definedName>
    <definedName name="db" localSheetId="9" hidden="1">#REF!</definedName>
    <definedName name="db" hidden="1">#REF!</definedName>
    <definedName name="dfghj" localSheetId="9" hidden="1">#REF!</definedName>
    <definedName name="dfghj" hidden="1">#REF!</definedName>
    <definedName name="dfl" localSheetId="9" hidden="1">#REF!</definedName>
    <definedName name="dfl" hidden="1">#REF!</definedName>
    <definedName name="Discount" hidden="1">'[1]Chart Data'!$O$30:$O$226</definedName>
    <definedName name="discount2" hidden="1">'[1]Chart Data'!$C$30:$C$233</definedName>
    <definedName name="dle" localSheetId="9" hidden="1">#REF!</definedName>
    <definedName name="dle" hidden="1">#REF!</definedName>
    <definedName name="dp" localSheetId="9" hidden="1">#REF!</definedName>
    <definedName name="dp" hidden="1">#REF!</definedName>
    <definedName name="dsac" localSheetId="9" hidden="1">#REF!</definedName>
    <definedName name="dsac" hidden="1">#REF!</definedName>
    <definedName name="dsfds" localSheetId="9" hidden="1">#REF!</definedName>
    <definedName name="dsfds" hidden="1">#REF!</definedName>
    <definedName name="dslakfjk" localSheetId="9" hidden="1">#REF!</definedName>
    <definedName name="dslakfjk" hidden="1">#REF!</definedName>
    <definedName name="dsld" localSheetId="9" hidden="1">#REF!</definedName>
    <definedName name="dsld" hidden="1">#REF!</definedName>
    <definedName name="ecao" localSheetId="9" hidden="1">#REF!</definedName>
    <definedName name="ecao" hidden="1">#REF!</definedName>
    <definedName name="ecsaop" localSheetId="9" hidden="1">#REF!</definedName>
    <definedName name="ecsaop" hidden="1">#REF!</definedName>
    <definedName name="eq" localSheetId="9" hidden="1">#REF!</definedName>
    <definedName name="eq" hidden="1">#REF!</definedName>
    <definedName name="er" localSheetId="9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t" hidden="1">#REF!</definedName>
    <definedName name="ertyu" localSheetId="9" hidden="1">#REF!</definedName>
    <definedName name="ertyu" hidden="1">#REF!</definedName>
    <definedName name="ETRorig" localSheetId="9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v.Calculation" hidden="1">-4105</definedName>
    <definedName name="ev.Initialized" hidden="1">FALSE</definedName>
    <definedName name="EV__LASTREFTIME__" hidden="1">39198.5712152778</definedName>
    <definedName name="ewqwe" hidden="1">#REF!</definedName>
    <definedName name="f" localSheetId="9" hidden="1">#REF!</definedName>
    <definedName name="f" hidden="1">#REF!</definedName>
    <definedName name="fdafafdfdafdfafds" hidden="1">'[1]Chart Data'!$I$30:$I$228</definedName>
    <definedName name="fdv" localSheetId="9" hidden="1">{"quarterly",#N/A,FALSE,"Income Statement";#N/A,#N/A,FALSE,"print segment";#N/A,#N/A,FALSE,"Balance Sheet";#N/A,#N/A,FALSE,"Annl Inc";#N/A,#N/A,FALSE,"Cash Flow"}</definedName>
    <definedName name="fdv" hidden="1">{"quarterly",#N/A,FALSE,"Income Statement";#N/A,#N/A,FALSE,"print segment";#N/A,#N/A,FALSE,"Balance Sheet";#N/A,#N/A,FALSE,"Annl Inc";#N/A,#N/A,FALSE,"Cash Flow"}</definedName>
    <definedName name="ff" hidden="1">#REF!</definedName>
    <definedName name="fff" localSheetId="9" hidden="1">#REF!</definedName>
    <definedName name="fff" hidden="1">#REF!</definedName>
    <definedName name="fffff" localSheetId="9" hidden="1">#REF!</definedName>
    <definedName name="fffff" hidden="1">#REF!</definedName>
    <definedName name="ffffff" localSheetId="9" hidden="1">#REF!</definedName>
    <definedName name="ffffff" hidden="1">#REF!</definedName>
    <definedName name="fffffffffffffffffffff" localSheetId="9" hidden="1">#REF!</definedName>
    <definedName name="fffffffffffffffffffff" hidden="1">#REF!</definedName>
    <definedName name="ffkf" localSheetId="9" hidden="1">#REF!</definedName>
    <definedName name="ffkf" hidden="1">#REF!</definedName>
    <definedName name="fkfkf" localSheetId="9" hidden="1">#REF!</definedName>
    <definedName name="fkfkf" hidden="1">#REF!</definedName>
    <definedName name="foo" localSheetId="9" hidden="1">{#N/A,#N/A,FALSE,"SCA";#N/A,#N/A,FALSE,"NCA";#N/A,#N/A,FALSE,"SAZ";#N/A,#N/A,FALSE,"CAZ";#N/A,#N/A,FALSE,"SNV";#N/A,#N/A,FALSE,"NNV";#N/A,#N/A,FALSE,"PP";#N/A,#N/A,FALSE,"SA"}</definedName>
    <definedName name="foo" hidden="1">{#N/A,#N/A,FALSE,"SCA";#N/A,#N/A,FALSE,"NCA";#N/A,#N/A,FALSE,"SAZ";#N/A,#N/A,FALSE,"CAZ";#N/A,#N/A,FALSE,"SNV";#N/A,#N/A,FALSE,"NNV";#N/A,#N/A,FALSE,"PP";#N/A,#N/A,FALSE,"SA"}</definedName>
    <definedName name="fpfl" hidden="1">#REF!</definedName>
    <definedName name="FuelCycle" localSheetId="9" hidden="1">{#N/A,#N/A,FALSE,"AltFuel"}</definedName>
    <definedName name="FuelCycle" hidden="1">{#N/A,#N/A,FALSE,"AltFuel"}</definedName>
    <definedName name="fvgbn" hidden="1">#REF!</definedName>
    <definedName name="gfhj" localSheetId="9" hidden="1">#REF!</definedName>
    <definedName name="gfhj" hidden="1">#REF!</definedName>
    <definedName name="gggggg" localSheetId="9" hidden="1">#REF!</definedName>
    <definedName name="gggggg" hidden="1">#REF!</definedName>
    <definedName name="ghjk" localSheetId="9" hidden="1">#REF!</definedName>
    <definedName name="ghjk" hidden="1">#REF!</definedName>
    <definedName name="got" localSheetId="9" hidden="1">#REF!</definedName>
    <definedName name="got" hidden="1">#REF!</definedName>
    <definedName name="hhhhh" localSheetId="9" hidden="1">#REF!</definedName>
    <definedName name="hhhhh" hidden="1">#REF!</definedName>
    <definedName name="hn._I006" localSheetId="9" hidden="1">#REF!</definedName>
    <definedName name="hn._I006" hidden="1">#REF!</definedName>
    <definedName name="hn._I018" localSheetId="9" hidden="1">#REF!</definedName>
    <definedName name="hn._I018" hidden="1">#REF!</definedName>
    <definedName name="hn._I024" localSheetId="9" hidden="1">#REF!</definedName>
    <definedName name="hn._I024" hidden="1">#REF!</definedName>
    <definedName name="hn._I028" localSheetId="9" hidden="1">#REF!</definedName>
    <definedName name="hn._I028" hidden="1">#REF!</definedName>
    <definedName name="hn._I029" localSheetId="9" hidden="1">#REF!</definedName>
    <definedName name="hn._I029" hidden="1">#REF!</definedName>
    <definedName name="hn._I030" localSheetId="9" hidden="1">#REF!</definedName>
    <definedName name="hn._I030" hidden="1">#REF!</definedName>
    <definedName name="hn._I031" localSheetId="9" hidden="1">#REF!</definedName>
    <definedName name="hn._I031" hidden="1">#REF!</definedName>
    <definedName name="hn._I059" localSheetId="9" hidden="1">#REF!</definedName>
    <definedName name="hn._I059" hidden="1">#REF!</definedName>
    <definedName name="hn._I071" localSheetId="9" hidden="1">#REF!</definedName>
    <definedName name="hn._I071" hidden="1">#REF!</definedName>
    <definedName name="hn._I075" localSheetId="9" hidden="1">#REF!</definedName>
    <definedName name="hn._I075" hidden="1">#REF!</definedName>
    <definedName name="hn._I083" localSheetId="9" hidden="1">#REF!</definedName>
    <definedName name="hn._I083" hidden="1">#REF!</definedName>
    <definedName name="hn._I085" localSheetId="9" hidden="1">#REF!</definedName>
    <definedName name="hn._I085" hidden="1">#REF!</definedName>
    <definedName name="hn._P001" localSheetId="9" hidden="1">#REF!</definedName>
    <definedName name="hn._P001" hidden="1">#REF!</definedName>
    <definedName name="hn._P004" localSheetId="9" hidden="1">#REF!</definedName>
    <definedName name="hn._P004" hidden="1">#REF!</definedName>
    <definedName name="hn._P014" localSheetId="9" hidden="1">#REF!</definedName>
    <definedName name="hn._P014" hidden="1">#REF!</definedName>
    <definedName name="hn._P016" localSheetId="9" hidden="1">#REF!</definedName>
    <definedName name="hn._P016" hidden="1">#REF!</definedName>
    <definedName name="hn._P021" localSheetId="9" hidden="1">#REF!</definedName>
    <definedName name="hn._P021" hidden="1">#REF!</definedName>
    <definedName name="hn._P024" localSheetId="9" hidden="1">#REF!</definedName>
    <definedName name="hn._P024" hidden="1">#REF!</definedName>
    <definedName name="hn.Add015" localSheetId="9" hidden="1">#REF!</definedName>
    <definedName name="hn.Add015" hidden="1">#REF!</definedName>
    <definedName name="hn.Delete015" localSheetId="9" hidden="1">#REF!,#REF!,#REF!,#REF!,#REF!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localSheetId="9" hidden="1">#REF!</definedName>
    <definedName name="hn.PrivateLTMYear" hidden="1">#REF!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localSheetId="9" hidden="1">#REF!</definedName>
    <definedName name="ifch" hidden="1">#REF!</definedName>
    <definedName name="IncomeStatement" localSheetId="9" hidden="1">{#N/A,#N/A,FALSE,"FinStateUS"}</definedName>
    <definedName name="IncomeStatement" hidden="1">{#N/A,#N/A,FALSE,"FinStateUS"}</definedName>
    <definedName name="IncomeStatement6Years" localSheetId="9" hidden="1">{"IncStatement 6 years",#N/A,FALSE,"FinStateUS"}</definedName>
    <definedName name="IncomeStatement6Years" hidden="1">{"IncStatement 6 years",#N/A,FALSE,"FinStateUS"}</definedName>
    <definedName name="Inflation" hidden="1">[7]Data!$C$30:$C$233</definedName>
    <definedName name="ipowAC" localSheetId="9" hidden="1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ROKER_REC_NO_REUT" hidden="1">"c5315"</definedName>
    <definedName name="IQ_AVG_BROKER_REC_REUT" hidden="1">"c3630"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CAL_Q_EST_REUT" hidden="1">"c6800"</definedName>
    <definedName name="IQ_CAL_Y_EST_REUT" hidden="1">"c6801"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ANNOUNCE_DATE_REUT" hidden="1">"c5314"</definedName>
    <definedName name="IQ_EARNINGS_COVERAGE_NET_CHARGE_OFFS_FDIC" hidden="1">"c6735"</definedName>
    <definedName name="IQ_EBITDA_EST_REUT" hidden="1">"c3640"</definedName>
    <definedName name="IQ_EBITDA_HIGH_EST_REUT" hidden="1">"c3642"</definedName>
    <definedName name="IQ_EBITDA_LOW_EST_REUT" hidden="1">"c3643"</definedName>
    <definedName name="IQ_EBITDA_MEDIAN_EST_REUT" hidden="1">"c3641"</definedName>
    <definedName name="IQ_EBITDA_NUM_EST_REUT" hidden="1">"c3644"</definedName>
    <definedName name="IQ_EBITDA_STDDEV_EST_REUT" hidden="1">"c3645"</definedName>
    <definedName name="IQ_EBT_BR" hidden="1">"c378"</definedName>
    <definedName name="IQ_EBT_EXCL_BR" hidden="1">"c381"</definedName>
    <definedName name="IQ_EFFICIENCY_RATIO_FDIC" hidden="1">"c6736"</definedName>
    <definedName name="IQ_EPS_EST_REUT" hidden="1">"c5453"</definedName>
    <definedName name="IQ_EPS_GW_EST_REUT" hidden="1">"c5389"</definedName>
    <definedName name="IQ_EPS_GW_HIGH_EST_REUT" hidden="1">"c5391"</definedName>
    <definedName name="IQ_EPS_GW_LOW_EST_REUT" hidden="1">"c5392"</definedName>
    <definedName name="IQ_EPS_GW_MEDIAN_EST_REUT" hidden="1">"c5390"</definedName>
    <definedName name="IQ_EPS_GW_NUM_EST_REUT" hidden="1">"c5393"</definedName>
    <definedName name="IQ_EPS_GW_STDDEV_EST_REUT" hidden="1">"c5394"</definedName>
    <definedName name="IQ_EPS_HIGH_EST_REUT" hidden="1">"c5454"</definedName>
    <definedName name="IQ_EPS_LOW_EST_REUT" hidden="1">"c5455"</definedName>
    <definedName name="IQ_EPS_MEDIAN_EST_REUT" hidden="1">"c5456"</definedName>
    <definedName name="IQ_EPS_NORM_EST_REUT" hidden="1">"c5326"</definedName>
    <definedName name="IQ_EPS_NORM_HIGH_EST_REUT" hidden="1">"c5328"</definedName>
    <definedName name="IQ_EPS_NORM_LOW_EST_REUT" hidden="1">"c5329"</definedName>
    <definedName name="IQ_EPS_NORM_MEDIAN_EST_REUT" hidden="1">"c5327"</definedName>
    <definedName name="IQ_EPS_NORM_NUM_EST_REUT" hidden="1">"c5330"</definedName>
    <definedName name="IQ_EPS_NORM_STDDEV_EST_REUT" hidden="1">"c5331"</definedName>
    <definedName name="IQ_EPS_NUM_EST_REUT" hidden="1">"c5451"</definedName>
    <definedName name="IQ_EPS_REPORTED_EST_REUT" hidden="1">"c5396"</definedName>
    <definedName name="IQ_EPS_REPORTED_HIGH_EST_REUT" hidden="1">"c5398"</definedName>
    <definedName name="IQ_EPS_REPORTED_LOW_EST_REUT" hidden="1">"c5399"</definedName>
    <definedName name="IQ_EPS_REPORTED_MEDIAN_EST_REUT" hidden="1">"c5397"</definedName>
    <definedName name="IQ_EPS_REPORTED_NUM_EST_REUT" hidden="1">"c5400"</definedName>
    <definedName name="IQ_EPS_REPORTED_STDDEV_EST_REUT" hidden="1">"c5401"</definedName>
    <definedName name="IQ_EPS_STDDEV_EST_REUT" hidden="1">"c5452"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EPS_GW_REUT" hidden="1">"c5395"</definedName>
    <definedName name="IQ_EST_ACT_EPS_NORM_REUT" hidden="1">"c5332"</definedName>
    <definedName name="IQ_EST_ACT_EPS_REPORTED_REUT" hidden="1">"c5402"</definedName>
    <definedName name="IQ_EST_CURRENCY_REUT" hidden="1">"c5437"</definedName>
    <definedName name="IQ_EST_DATE_REUT" hidden="1">"c5438"</definedName>
    <definedName name="IQ_EST_EPS_GROWTH_1YR_REUT" hidden="1">"c3646"</definedName>
    <definedName name="IQ_EST_EPS_GROWTH_5YR_REUT" hidden="1">"c3633"</definedName>
    <definedName name="IQ_EST_EPS_GROWTH_Q_1YR_REUT" hidden="1">"c5410"</definedName>
    <definedName name="IQ_EST_EPS_GW_DIFF_REUT" hidden="1">"c5429"</definedName>
    <definedName name="IQ_EST_EPS_GW_SURPRISE_PERCENT_REUT" hidden="1">"c5430"</definedName>
    <definedName name="IQ_EST_EPS_NORM_DIFF_REUT" hidden="1">"c5411"</definedName>
    <definedName name="IQ_EST_EPS_NORM_SURPRISE_PERCENT_REUT" hidden="1">"c5412"</definedName>
    <definedName name="IQ_EST_EPS_REPORT_DIFF_REUT" hidden="1">"c5431"</definedName>
    <definedName name="IQ_EST_EPS_REPORT_SURPRISE_PERCENT_REUT" hidden="1">"c5432"</definedName>
    <definedName name="IQ_ESTIMATED_ASSESSABLE_DEPOSITS_FDIC" hidden="1">"c6490"</definedName>
    <definedName name="IQ_ESTIMATED_INSURED_DEPOSITS_FDIC" hidden="1">"c6491"</definedName>
    <definedName name="IQ_EXPENSE_CODE_" localSheetId="7" hidden="1">1</definedName>
    <definedName name="IQ_EXPENSE_CODE_" hidden="1">"0"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SCAL_Q_EST_REUT" hidden="1">"c6798"</definedName>
    <definedName name="IQ_FISCAL_Y_EST_REUT" hidden="1">"c6799"</definedName>
    <definedName name="IQ_FIVE_YEAR_FIXED_AND_FLOATING_RATE_FDIC" hidden="1">"c6422"</definedName>
    <definedName name="IQ_FIVE_YEAR_MORTGAGE_PASS_THROUGHS_FDIC" hidden="1">"c6414"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IGH_TARGET_PRICE_REUT" hidden="1">"c5317"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OW_TARGET_PRICE_REUT" hidden="1">"c5318"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DIAN_TARGET_PRICE_REUT" hidden="1">"c5316"</definedName>
    <definedName name="IQ_MERGER_BR" hidden="1">"c715"</definedName>
    <definedName name="IQ_MERGER_RESTRUCTURE_BR" hidden="1">"c721"</definedName>
    <definedName name="IQ_MINORITY_INTEREST_BR" hidden="1">"c729"</definedName>
    <definedName name="IQ_MKTCAP_TOTAL_REV_FWD_REUT" hidden="1">"c4048"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5" hidden="1">44848.0750810184</definedName>
    <definedName name="IQ_NAMES_REVISION_DATE_" localSheetId="7" hidden="1">44848.0750810184</definedName>
    <definedName name="IQ_NAMES_REVISION_DATE_" hidden="1">44848.0750810184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_EXCL_FWD_REUT" hidden="1">"c4049"</definedName>
    <definedName name="IQ_PEG_FWD_REUT" hidden="1">"c4052"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CE_TARGET_REUT" hidden="1">"c3631"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_STDDEV_EST_REUT" hidden="1">"c3639"</definedName>
    <definedName name="IQ_REVALUATION_GAINS_FDIC" hidden="1">"c6428"</definedName>
    <definedName name="IQ_REVALUATION_LOSSES_FDIC" hidden="1">"c6429"</definedName>
    <definedName name="IQ_REVENUE_EST_REUT" hidden="1">"c3634"</definedName>
    <definedName name="IQ_REVENUE_HIGH_EST_REUT" hidden="1">"c3636"</definedName>
    <definedName name="IQ_REVENUE_LOW_EST_REUT" hidden="1">"c3637"</definedName>
    <definedName name="IQ_REVENUE_MEDIAN_EST_REUT" hidden="1">"c3635"</definedName>
    <definedName name="IQ_REVENUE_NUM_EST_REUT" hidden="1">"c3638"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NUM_REUT" hidden="1">"c5319"</definedName>
    <definedName name="IQ_TARGET_PRICE_STDDEV_REUT" hidden="1">"c5320"</definedName>
    <definedName name="IQ_TEV_EBITDA_FWD_REUT" hidden="1">"c4050"</definedName>
    <definedName name="IQ_TEV_TOTAL_REV_FWD_REUT" hidden="1">"c4051"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QRCADUSDFXA2" hidden="1">#REF!</definedName>
    <definedName name="IQRCADUSDFXB2" localSheetId="9" hidden="1">#REF!</definedName>
    <definedName name="IQRCADUSDFXB2" hidden="1">#REF!</definedName>
    <definedName name="IQRSheet9B2" localSheetId="9" hidden="1">#REF!</definedName>
    <definedName name="IQRSheet9B2" hidden="1">#REF!</definedName>
    <definedName name="iuy" localSheetId="9" hidden="1">#REF!</definedName>
    <definedName name="iuy" hidden="1">#REF!</definedName>
    <definedName name="iuyt" localSheetId="9" hidden="1">#REF!</definedName>
    <definedName name="iuyt" hidden="1">#REF!</definedName>
    <definedName name="j" localSheetId="9" hidden="1">#REF!</definedName>
    <definedName name="j" hidden="1">#REF!</definedName>
    <definedName name="jdn" localSheetId="9" hidden="1">#REF!</definedName>
    <definedName name="jdn" hidden="1">#REF!</definedName>
    <definedName name="je" localSheetId="9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kdf" hidden="1">#REF!</definedName>
    <definedName name="jkdsac" localSheetId="9" hidden="1">#REF!</definedName>
    <definedName name="jkdsac" hidden="1">#REF!</definedName>
    <definedName name="jkfoo" localSheetId="9" hidden="1">#REF!</definedName>
    <definedName name="jkfoo" hidden="1">#REF!</definedName>
    <definedName name="jseqf" localSheetId="9" hidden="1">#REF!</definedName>
    <definedName name="jseqf" hidden="1">#REF!</definedName>
    <definedName name="jz" localSheetId="9" hidden="1">#REF!</definedName>
    <definedName name="jz" hidden="1">#REF!</definedName>
    <definedName name="jzs" localSheetId="9" hidden="1">#REF!</definedName>
    <definedName name="jzs" hidden="1">#REF!</definedName>
    <definedName name="kal" localSheetId="9" hidden="1">#REF!</definedName>
    <definedName name="kal" hidden="1">#REF!</definedName>
    <definedName name="kaw" localSheetId="9" hidden="1">#REF!</definedName>
    <definedName name="kaw" hidden="1">#REF!</definedName>
    <definedName name="kdkd" localSheetId="9" hidden="1">#REF!</definedName>
    <definedName name="kdkd" hidden="1">#REF!</definedName>
    <definedName name="kdkjrt" localSheetId="9" hidden="1">#REF!</definedName>
    <definedName name="kdkjrt" hidden="1">#REF!</definedName>
    <definedName name="kdsfj" localSheetId="9" hidden="1">#REF!</definedName>
    <definedName name="kdsfj" hidden="1">#REF!</definedName>
    <definedName name="kfdlsg" localSheetId="9" hidden="1">#REF!</definedName>
    <definedName name="kfdlsg" hidden="1">#REF!</definedName>
    <definedName name="kfkf" localSheetId="9" hidden="1">#REF!</definedName>
    <definedName name="kfkf" hidden="1">#REF!</definedName>
    <definedName name="kfkfkf" localSheetId="9" hidden="1">#REF!</definedName>
    <definedName name="kfkfkf" hidden="1">#REF!</definedName>
    <definedName name="kfkfkfkf" localSheetId="9" hidden="1">#REF!</definedName>
    <definedName name="kfkfkfkf" hidden="1">#REF!</definedName>
    <definedName name="kfkfkfl" localSheetId="9" hidden="1">#REF!</definedName>
    <definedName name="kfkfkfl" hidden="1">#REF!</definedName>
    <definedName name="kfkfksm" localSheetId="9" hidden="1">#REF!</definedName>
    <definedName name="kfkfksm" hidden="1">#REF!</definedName>
    <definedName name="KI" localSheetId="9" hidden="1">#REF!,#REF!</definedName>
    <definedName name="KI" hidden="1">#REF!,#REF!</definedName>
    <definedName name="kiujh" localSheetId="9" hidden="1">#REF!</definedName>
    <definedName name="kiujh" hidden="1">#REF!</definedName>
    <definedName name="kjfjffnnf" localSheetId="9" hidden="1">#REF!</definedName>
    <definedName name="kjfjffnnf" hidden="1">#REF!</definedName>
    <definedName name="kjhg" localSheetId="9" hidden="1">#REF!</definedName>
    <definedName name="kjhg" hidden="1">#REF!</definedName>
    <definedName name="kjhgf" localSheetId="9" hidden="1">#REF!</definedName>
    <definedName name="kjhgf" hidden="1">#REF!</definedName>
    <definedName name="kjzd" localSheetId="9" hidden="1">#REF!</definedName>
    <definedName name="kjzd" hidden="1">#REF!</definedName>
    <definedName name="kkkkk" localSheetId="9" hidden="1">#REF!</definedName>
    <definedName name="kkkkk" hidden="1">#REF!</definedName>
    <definedName name="KL" localSheetId="9" hidden="1">#REF!</definedName>
    <definedName name="KL" hidden="1">#REF!</definedName>
    <definedName name="kldk" localSheetId="9" hidden="1">#REF!</definedName>
    <definedName name="kldk" hidden="1">#REF!</definedName>
    <definedName name="klfeqw" localSheetId="9" hidden="1">#REF!</definedName>
    <definedName name="klfeqw" hidden="1">#REF!</definedName>
    <definedName name="kqwh" localSheetId="9" hidden="1">#REF!</definedName>
    <definedName name="kqwh" hidden="1">#REF!</definedName>
    <definedName name="ksadfl" localSheetId="9" hidden="1">#REF!</definedName>
    <definedName name="ksadfl" hidden="1">#REF!</definedName>
    <definedName name="kw" localSheetId="9" hidden="1">#REF!</definedName>
    <definedName name="kw" hidden="1">#REF!</definedName>
    <definedName name="kz" localSheetId="9" hidden="1">#REF!</definedName>
    <definedName name="kz" hidden="1">#REF!</definedName>
    <definedName name="l" localSheetId="9" hidden="1">#REF!</definedName>
    <definedName name="l" hidden="1">#REF!</definedName>
    <definedName name="lfkfjnn" localSheetId="9" hidden="1">#REF!</definedName>
    <definedName name="lfkfjnn" hidden="1">#REF!</definedName>
    <definedName name="ListOffset" hidden="1">1</definedName>
    <definedName name="lkajsdfg" localSheetId="9" hidden="1">#REF!</definedName>
    <definedName name="lkajsdfg" hidden="1">#REF!</definedName>
    <definedName name="lkjh" localSheetId="9" hidden="1">#REF!</definedName>
    <definedName name="lkjh" hidden="1">#REF!</definedName>
    <definedName name="lkohsvd" localSheetId="9" hidden="1">#REF!</definedName>
    <definedName name="lkohsvd" hidden="1">#REF!</definedName>
    <definedName name="llllllllll" localSheetId="9" hidden="1">#REF!</definedName>
    <definedName name="llllllllll" hidden="1">#REF!</definedName>
    <definedName name="loke" localSheetId="9" hidden="1">#REF!</definedName>
    <definedName name="loke" hidden="1">#REF!</definedName>
    <definedName name="lpoicea" localSheetId="9" hidden="1">#REF!</definedName>
    <definedName name="lpoicea" hidden="1">#REF!</definedName>
    <definedName name="mlaw" localSheetId="9" hidden="1">#REF!</definedName>
    <definedName name="mlaw" hidden="1">#REF!</definedName>
    <definedName name="mnbv" localSheetId="9" hidden="1">#REF!</definedName>
    <definedName name="mnbv" hidden="1">#REF!</definedName>
    <definedName name="mnkp" localSheetId="9" hidden="1">#REF!</definedName>
    <definedName name="mnkp" hidden="1">#REF!</definedName>
    <definedName name="mo" localSheetId="9" hidden="1">#REF!</definedName>
    <definedName name="mo" hidden="1">#REF!</definedName>
    <definedName name="mol" localSheetId="9" hidden="1">#REF!</definedName>
    <definedName name="mol" hidden="1">#REF!</definedName>
    <definedName name="molp" localSheetId="9" hidden="1">#REF!</definedName>
    <definedName name="molp" hidden="1">#REF!</definedName>
    <definedName name="NADA" localSheetId="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field" hidden="1">#REF!</definedName>
    <definedName name="naow" localSheetId="9" hidden="1">#REF!</definedName>
    <definedName name="naow" hidden="1">#REF!</definedName>
    <definedName name="nbeo" localSheetId="9" hidden="1">#REF!</definedName>
    <definedName name="nbeo" hidden="1">#REF!</definedName>
    <definedName name="nbw" localSheetId="9" hidden="1">#REF!</definedName>
    <definedName name="nbw" hidden="1">#REF!</definedName>
    <definedName name="niPO" localSheetId="9" hidden="1">#REF!</definedName>
    <definedName name="niPO" hidden="1">#REF!</definedName>
    <definedName name="nipxre" localSheetId="9" hidden="1">#REF!</definedName>
    <definedName name="nipxre" hidden="1">#REF!</definedName>
    <definedName name="nixre" localSheetId="9" hidden="1">#REF!</definedName>
    <definedName name="nixre" hidden="1">#REF!</definedName>
    <definedName name="nk" localSheetId="9" hidden="1">#REF!</definedName>
    <definedName name="nk" hidden="1">#REF!</definedName>
    <definedName name="nki" localSheetId="9" hidden="1">#REF!</definedName>
    <definedName name="nki" hidden="1">#REF!</definedName>
    <definedName name="nkiw" localSheetId="9" hidden="1">#REF!</definedName>
    <definedName name="nkiw" hidden="1">#REF!</definedName>
    <definedName name="nKLqw" localSheetId="9" hidden="1">#REF!</definedName>
    <definedName name="nKLqw" hidden="1">#REF!</definedName>
    <definedName name="nkse" localSheetId="9" hidden="1">#REF!</definedName>
    <definedName name="nkse" hidden="1">#REF!</definedName>
    <definedName name="nkw" localSheetId="9" hidden="1">#REF!</definedName>
    <definedName name="nkw" hidden="1">#REF!</definedName>
    <definedName name="NMN" localSheetId="9" hidden="1">#REF!</definedName>
    <definedName name="NMN" hidden="1">#REF!</definedName>
    <definedName name="nmop" localSheetId="9" hidden="1">#REF!</definedName>
    <definedName name="nmop" hidden="1">#REF!</definedName>
    <definedName name="nmwqi" localSheetId="9" hidden="1">#REF!</definedName>
    <definedName name="nmwqi" hidden="1">#REF!</definedName>
    <definedName name="nnnnnnn" localSheetId="9" hidden="1">#REF!</definedName>
    <definedName name="nnnnnnn" hidden="1">#REF!</definedName>
    <definedName name="no" localSheetId="9" hidden="1">#REF!</definedName>
    <definedName name="no" hidden="1">#REF!</definedName>
    <definedName name="noip" localSheetId="9" hidden="1">#REF!</definedName>
    <definedName name="noip" hidden="1">#REF!</definedName>
    <definedName name="noipx" localSheetId="9" hidden="1">#REF!</definedName>
    <definedName name="noipx" hidden="1">#REF!</definedName>
    <definedName name="NONE" localSheetId="9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localSheetId="9" hidden="1">#REF!</definedName>
    <definedName name="nope" hidden="1">#REF!</definedName>
    <definedName name="noper" localSheetId="9" hidden="1">#REF!</definedName>
    <definedName name="noper" hidden="1">#REF!</definedName>
    <definedName name="nsz" localSheetId="9" hidden="1">#REF!</definedName>
    <definedName name="nsz" hidden="1">#REF!</definedName>
    <definedName name="o" localSheetId="9" hidden="1">#REF!</definedName>
    <definedName name="o" hidden="1">#REF!</definedName>
    <definedName name="ocq" localSheetId="9" hidden="1">#REF!</definedName>
    <definedName name="ocq" hidden="1">#REF!</definedName>
    <definedName name="odezscv" localSheetId="9" hidden="1">#REF!</definedName>
    <definedName name="odezscv" hidden="1">#REF!</definedName>
    <definedName name="ofooooo" localSheetId="9" hidden="1">#REF!</definedName>
    <definedName name="ofooooo" hidden="1">#REF!</definedName>
    <definedName name="oia" localSheetId="9" hidden="1">#REF!</definedName>
    <definedName name="oia" hidden="1">#REF!</definedName>
    <definedName name="oiacew" localSheetId="9" hidden="1">#REF!</definedName>
    <definedName name="oiacew" hidden="1">#REF!</definedName>
    <definedName name="oicw" localSheetId="9" hidden="1">#REF!</definedName>
    <definedName name="oicw" hidden="1">#REF!</definedName>
    <definedName name="oieac" localSheetId="9" hidden="1">#REF!</definedName>
    <definedName name="oieac" hidden="1">#REF!</definedName>
    <definedName name="oiewq" localSheetId="9" hidden="1">#REF!</definedName>
    <definedName name="oiewq" hidden="1">#REF!</definedName>
    <definedName name="oihyecv" localSheetId="9" hidden="1">#REF!</definedName>
    <definedName name="oihyecv" hidden="1">#REF!</definedName>
    <definedName name="oips" localSheetId="9" hidden="1">#REF!</definedName>
    <definedName name="oips" hidden="1">#REF!</definedName>
    <definedName name="ok" localSheetId="9" hidden="1">#REF!</definedName>
    <definedName name="ok" hidden="1">#REF!</definedName>
    <definedName name="okey" localSheetId="9" hidden="1">#REF!</definedName>
    <definedName name="okey" hidden="1">#REF!</definedName>
    <definedName name="okeydokey" localSheetId="9" hidden="1">#REF!</definedName>
    <definedName name="okeydokey" hidden="1">#REF!</definedName>
    <definedName name="oklpwa" localSheetId="9" hidden="1">#REF!</definedName>
    <definedName name="oklpwa" hidden="1">#REF!</definedName>
    <definedName name="olpuwce" localSheetId="9" hidden="1">#REF!</definedName>
    <definedName name="olpuwce" hidden="1">#REF!</definedName>
    <definedName name="oluw" localSheetId="9" hidden="1">#REF!</definedName>
    <definedName name="oluw" hidden="1">#REF!</definedName>
    <definedName name="oooofp" localSheetId="9" hidden="1">#REF!</definedName>
    <definedName name="oooofp" hidden="1">#REF!</definedName>
    <definedName name="opec" localSheetId="9" hidden="1">#REF!</definedName>
    <definedName name="opec" hidden="1">#REF!</definedName>
    <definedName name="opewqr" localSheetId="9" hidden="1">#REF!</definedName>
    <definedName name="opewqr" hidden="1">#REF!</definedName>
    <definedName name="opicaew" localSheetId="9" hidden="1">#REF!</definedName>
    <definedName name="opicaew" hidden="1">#REF!</definedName>
    <definedName name="opiecv" localSheetId="9" hidden="1">#REF!</definedName>
    <definedName name="opiecv" hidden="1">#REF!</definedName>
    <definedName name="opiyu" localSheetId="9" hidden="1">#REF!</definedName>
    <definedName name="opiyu" hidden="1">#REF!</definedName>
    <definedName name="oplpp" localSheetId="9" hidden="1">#REF!</definedName>
    <definedName name="oplpp" hidden="1">#REF!</definedName>
    <definedName name="opp" localSheetId="9" hidden="1">#REF!</definedName>
    <definedName name="opp" hidden="1">#REF!</definedName>
    <definedName name="opuafw" localSheetId="9" hidden="1">#REF!</definedName>
    <definedName name="opuafw" hidden="1">#REF!</definedName>
    <definedName name="opuc3e" localSheetId="9" hidden="1">#REF!</definedName>
    <definedName name="opuc3e" hidden="1">#REF!</definedName>
    <definedName name="opueac" localSheetId="9" hidden="1">#REF!</definedName>
    <definedName name="opueac" hidden="1">#REF!</definedName>
    <definedName name="opufw" localSheetId="9" hidden="1">#REF!</definedName>
    <definedName name="opufw" hidden="1">#REF!</definedName>
    <definedName name="opuwa" localSheetId="9" hidden="1">#REF!</definedName>
    <definedName name="opuwa" hidden="1">#REF!</definedName>
    <definedName name="opvs" localSheetId="9" hidden="1">#REF!</definedName>
    <definedName name="opvs" hidden="1">#REF!</definedName>
    <definedName name="os" localSheetId="9" hidden="1">#REF!</definedName>
    <definedName name="os" hidden="1">#REF!</definedName>
    <definedName name="oupc" localSheetId="9" hidden="1">#REF!</definedName>
    <definedName name="oupc" hidden="1">#REF!</definedName>
    <definedName name="ovwe" localSheetId="9" hidden="1">#REF!</definedName>
    <definedName name="ovwe" hidden="1">#REF!</definedName>
    <definedName name="Pal_Workbook_GUID" hidden="1">"NX3BLV7C1JAFSCFCWAICH8M3"</definedName>
    <definedName name="peqafd" hidden="1">#REF!</definedName>
    <definedName name="PERO" localSheetId="9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k" localSheetId="9" hidden="1">#REF!</definedName>
    <definedName name="plk" hidden="1">#REF!</definedName>
    <definedName name="plo" localSheetId="9" hidden="1">#REF!</definedName>
    <definedName name="plo" hidden="1">#REF!</definedName>
    <definedName name="plvsanj" localSheetId="9" hidden="1">#REF!</definedName>
    <definedName name="plvsanj" hidden="1">#REF!</definedName>
    <definedName name="pocq" localSheetId="9" hidden="1">#REF!</definedName>
    <definedName name="pocq" hidden="1">#REF!</definedName>
    <definedName name="poe" localSheetId="9" hidden="1">#REF!</definedName>
    <definedName name="poe" hidden="1">#REF!</definedName>
    <definedName name="poeac" localSheetId="9" hidden="1">#REF!</definedName>
    <definedName name="poeac" hidden="1">#REF!</definedName>
    <definedName name="poec" localSheetId="9" hidden="1">#REF!</definedName>
    <definedName name="poec" hidden="1">#REF!</definedName>
    <definedName name="poeca" localSheetId="9" hidden="1">#REF!</definedName>
    <definedName name="poeca" hidden="1">#REF!</definedName>
    <definedName name="poert" localSheetId="9" hidden="1">#REF!</definedName>
    <definedName name="poert" hidden="1">#REF!</definedName>
    <definedName name="poi" localSheetId="9" hidden="1">#REF!</definedName>
    <definedName name="poi" hidden="1">#REF!</definedName>
    <definedName name="poica" localSheetId="9" hidden="1">#REF!</definedName>
    <definedName name="poica" hidden="1">#REF!</definedName>
    <definedName name="poiea" localSheetId="9" hidden="1">#REF!</definedName>
    <definedName name="poiea" hidden="1">#REF!</definedName>
    <definedName name="poiv" localSheetId="9" hidden="1">#REF!</definedName>
    <definedName name="poiv" hidden="1">#REF!</definedName>
    <definedName name="poiy" localSheetId="9" hidden="1">#REF!</definedName>
    <definedName name="poiy" hidden="1">#REF!</definedName>
    <definedName name="poiyw" localSheetId="9" hidden="1">#REF!</definedName>
    <definedName name="poiyw" hidden="1">#REF!</definedName>
    <definedName name="PopCache_GL_INTERFACE_REFERENCE7" hidden="1">[8]PopCache!$A$1:$A$2</definedName>
    <definedName name="pouac" localSheetId="9" hidden="1">#REF!</definedName>
    <definedName name="pouac" hidden="1">#REF!</definedName>
    <definedName name="pouce" localSheetId="9" hidden="1">#REF!</definedName>
    <definedName name="pouce" hidden="1">#REF!</definedName>
    <definedName name="povrs" localSheetId="9" hidden="1">#REF!</definedName>
    <definedName name="povrs" hidden="1">#REF!</definedName>
    <definedName name="pppppppp" localSheetId="9" hidden="1">#REF!</definedName>
    <definedName name="pppppppp" hidden="1">#REF!</definedName>
    <definedName name="_xlnm.Print_Area" localSheetId="0">'AEB-16 Sum'!$B$2:$E$34</definedName>
    <definedName name="_xlnm.Print_Area" localSheetId="1">'AEB-17 CGDCF'!$A$2:$M$39,'AEB-17 CGDCF'!$A$42:$M$79,'AEB-17 CGDCF'!$A$82:$M$119</definedName>
    <definedName name="_xlnm.Print_Area" localSheetId="2">'AEB-18 CAPM'!$B$2:$I$35,'AEB-18 CAPM'!$B$38:$I$71,'AEB-18 CAPM'!$B$74:$I$107,'AEB-18 CAPM'!$B$110:$I$143,'AEB-18 CAPM'!$B$146:$I$179,'AEB-18 CAPM'!$B$182:$I$215,'AEB-18 CAPM'!$B$218:$I$251,'AEB-18 CAPM'!$B$254:$I$287,'AEB-18 CAPM'!$B$290:$I$323</definedName>
    <definedName name="_xlnm.Print_Area" localSheetId="3">'AEB-19 LT Beta'!$A$2:$M$36</definedName>
    <definedName name="_xlnm.Print_Area" localSheetId="4">'AEB-20 MktRet'!$A$1:$J$536</definedName>
    <definedName name="_xlnm.Print_Area" localSheetId="5">'AEB-21 RiskPrem'!$G$2:$O$61,'AEB-21 RiskPrem'!$B$2:$E$134</definedName>
    <definedName name="_xlnm.Print_Area" localSheetId="6">'AEB-22 ExpEarns'!$B$2:$M$38</definedName>
    <definedName name="_xlnm.Print_Area" localSheetId="8">'AEB-24 AdjParcellCAPM'!$A$6:$K$55</definedName>
    <definedName name="_xlnm.Print_Area" localSheetId="9">'AEB-25 MV DtoE'!$A$4:$AF$50</definedName>
    <definedName name="_xlnm.Print_Area">#REF!</definedName>
    <definedName name="Print_Area_MI">#REF!</definedName>
    <definedName name="_xlnm.Print_Titles" localSheetId="4">'AEB-20 MktRet'!$12:$18</definedName>
    <definedName name="_xlnm.Print_Titles" localSheetId="9">'AEB-25 MV DtoE'!$B:$C</definedName>
    <definedName name="_xlnm.Print_Titles">#N/A</definedName>
    <definedName name="pslf" localSheetId="9" hidden="1">#REF!</definedName>
    <definedName name="pslf" hidden="1">#REF!</definedName>
    <definedName name="psrfdgl" localSheetId="9" hidden="1">#REF!</definedName>
    <definedName name="psrfdgl" hidden="1">#REF!</definedName>
    <definedName name="pwe" localSheetId="9" hidden="1">#REF!</definedName>
    <definedName name="pwe" hidden="1">#REF!</definedName>
    <definedName name="q" localSheetId="9" hidden="1">{"MATALL",#N/A,FALSE,"Sheet4";"matclass",#N/A,FALSE,"Sheet4"}</definedName>
    <definedName name="q" hidden="1">{"MATALL",#N/A,FALSE,"Sheet4";"matclass",#N/A,FALSE,"Sheet4"}</definedName>
    <definedName name="qaw" hidden="1">#REF!</definedName>
    <definedName name="qwr" localSheetId="9" hidden="1">#REF!</definedName>
    <definedName name="qwr" hidden="1">#REF!</definedName>
    <definedName name="repeat" localSheetId="9" hidden="1">#REF!</definedName>
    <definedName name="repeat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localSheetId="9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rtyui" hidden="1">#REF!</definedName>
    <definedName name="rtyuiop" localSheetId="9" hidden="1">#REF!</definedName>
    <definedName name="rtyuiop" hidden="1">#REF!</definedName>
    <definedName name="S" localSheetId="9" hidden="1">#REF!</definedName>
    <definedName name="S" hidden="1">#REF!</definedName>
    <definedName name="sac" localSheetId="9" hidden="1">#REF!</definedName>
    <definedName name="sac" hidden="1">#REF!</definedName>
    <definedName name="sadf" localSheetId="9" hidden="1">#REF!</definedName>
    <definedName name="sadf" hidden="1">#REF!</definedName>
    <definedName name="sadfdfafdsfasf" hidden="1">'[1]Chart Data'!$P$30:$P$229</definedName>
    <definedName name="sadfkj" localSheetId="9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d" localSheetId="9" hidden="1">#REF!</definedName>
    <definedName name="sd" hidden="1">#REF!</definedName>
    <definedName name="sdf" localSheetId="9" hidden="1">#REF!</definedName>
    <definedName name="sdf" hidden="1">#REF!</definedName>
    <definedName name="sdfp" localSheetId="9" hidden="1">#REF!</definedName>
    <definedName name="sdfp" hidden="1">#REF!</definedName>
    <definedName name="sdklofj" localSheetId="9" hidden="1">#REF!</definedName>
    <definedName name="sdklofj" hidden="1">#REF!</definedName>
    <definedName name="sdld" localSheetId="9" hidden="1">#REF!</definedName>
    <definedName name="sdld" hidden="1">#REF!</definedName>
    <definedName name="sdljgfj" localSheetId="9" hidden="1">#REF!</definedName>
    <definedName name="sdljgfj" hidden="1">#REF!</definedName>
    <definedName name="sdop" localSheetId="9" hidden="1">#REF!</definedName>
    <definedName name="sdop" hidden="1">#REF!</definedName>
    <definedName name="sdsdl" localSheetId="9" hidden="1">#REF!</definedName>
    <definedName name="sdsdl" hidden="1">#REF!</definedName>
    <definedName name="sdv" localSheetId="9" hidden="1">#REF!</definedName>
    <definedName name="sdv" hidden="1">#REF!</definedName>
    <definedName name="sedf" localSheetId="9" hidden="1">#REF!</definedName>
    <definedName name="sedf" hidden="1">#REF!</definedName>
    <definedName name="sevw" localSheetId="9" hidden="1">#REF!</definedName>
    <definedName name="sevw" hidden="1">#REF!</definedName>
    <definedName name="sfdv" localSheetId="9" hidden="1">#REF!</definedName>
    <definedName name="sfdv" hidden="1">#REF!</definedName>
    <definedName name="SI" localSheetId="9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readsheetBuilder_1" hidden="1">[9]Dividend_Data!$B$2:$CX$8</definedName>
    <definedName name="SpreadsheetBuilder_10" localSheetId="9" hidden="1">#REF!</definedName>
    <definedName name="SpreadsheetBuilder_10" hidden="1">#REF!</definedName>
    <definedName name="SpreadsheetBuilder_2" localSheetId="9" hidden="1">#REF!</definedName>
    <definedName name="SpreadsheetBuilder_2" hidden="1">#REF!</definedName>
    <definedName name="SpreadsheetBuilder_3" localSheetId="9" hidden="1">#REF!</definedName>
    <definedName name="SpreadsheetBuilder_3" hidden="1">#REF!</definedName>
    <definedName name="SpreadsheetBuilder_4" localSheetId="9" hidden="1">#REF!</definedName>
    <definedName name="SpreadsheetBuilder_4" hidden="1">#REF!</definedName>
    <definedName name="SpreadsheetBuilder_5" localSheetId="9" hidden="1">#REF!</definedName>
    <definedName name="SpreadsheetBuilder_5" hidden="1">#REF!</definedName>
    <definedName name="SpreadsheetBuilder_6" localSheetId="9" hidden="1">#REF!</definedName>
    <definedName name="SpreadsheetBuilder_6" hidden="1">#REF!</definedName>
    <definedName name="SpreadsheetBuilder_7" localSheetId="9" hidden="1">#REF!</definedName>
    <definedName name="SpreadsheetBuilder_7" hidden="1">#REF!</definedName>
    <definedName name="SpreadsheetBuilder_8" localSheetId="9" hidden="1">#REF!</definedName>
    <definedName name="SpreadsheetBuilder_8" hidden="1">#REF!</definedName>
    <definedName name="SpreadsheetBuilder_9" localSheetId="9" hidden="1">#REF!</definedName>
    <definedName name="SpreadsheetBuilder_9" hidden="1">#REF!</definedName>
    <definedName name="ssdo" localSheetId="9" hidden="1">#REF!</definedName>
    <definedName name="ssdo" hidden="1">#REF!</definedName>
    <definedName name="sssset" localSheetId="9" hidden="1">#REF!</definedName>
    <definedName name="sssset" hidden="1">#REF!</definedName>
    <definedName name="sv" localSheetId="9" hidden="1">#REF!</definedName>
    <definedName name="sv" hidden="1">#REF!</definedName>
    <definedName name="svfdv" localSheetId="9" hidden="1">#REF!</definedName>
    <definedName name="svfdv" hidden="1">#REF!</definedName>
    <definedName name="swae" localSheetId="9" hidden="1">#REF!</definedName>
    <definedName name="swae" hidden="1">#REF!</definedName>
    <definedName name="Swvu.DATABASE." localSheetId="9" hidden="1">[4]DATABASE!#REF!</definedName>
    <definedName name="Swvu.DATABASE." hidden="1">[4]DATABASE!#REF!</definedName>
    <definedName name="Swvu.OP." localSheetId="9" hidden="1">#REF!</definedName>
    <definedName name="Swvu.OP." hidden="1">#REF!</definedName>
    <definedName name="TEST" localSheetId="9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ttt" hidden="1">#REF!</definedName>
    <definedName name="tw" localSheetId="9" hidden="1">#REF!</definedName>
    <definedName name="tw" hidden="1">#REF!</definedName>
    <definedName name="w" localSheetId="9" hidden="1">{"quarterly",#N/A,FALSE,"Income Statement";#N/A,#N/A,FALSE,"print segment";#N/A,#N/A,FALSE,"Balance Sheet";#N/A,#N/A,FALSE,"Annl Inc";#N/A,#N/A,FALSE,"Cash Flow"}</definedName>
    <definedName name="w" hidden="1">{"quarterly",#N/A,FALSE,"Income Statement";#N/A,#N/A,FALSE,"print segment";#N/A,#N/A,FALSE,"Balance Sheet";#N/A,#N/A,FALSE,"Annl Inc";#N/A,#N/A,FALSE,"Cash Flow"}</definedName>
    <definedName name="wepfo" hidden="1">#REF!</definedName>
    <definedName name="willdo" localSheetId="9" hidden="1">#REF!</definedName>
    <definedName name="willdo" hidden="1">#REF!</definedName>
    <definedName name="WORKCAPa" localSheetId="9" hidden="1">{"WCCWCLL",#N/A,FALSE,"Sheet3";"PP",#N/A,FALSE,"Sheet3";"MAT1",#N/A,FALSE,"Sheet3";"MAT2",#N/A,FALSE,"Sheet3"}</definedName>
    <definedName name="WORKCAPa" hidden="1">{"WCCWCLL",#N/A,FALSE,"Sheet3";"PP",#N/A,FALSE,"Sheet3";"MAT1",#N/A,FALSE,"Sheet3";"MAT2",#N/A,FALSE,"Sheet3"}</definedName>
    <definedName name="wrn.agexpense." localSheetId="9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9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9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CLP._.SEG._.INPUTS." localSheetId="9" hidden="1">{#N/A,#N/A,FALSE,"Rev Seg Taxes";#N/A,#N/A,FALSE,"BookRev Seg";#N/A,#N/A,FALSE,"Supp Adj Seg";#N/A,#N/A,FALSE,"outside prov seg taxes"}</definedName>
    <definedName name="wrn.CLP._.SEG._.INPUTS." hidden="1">{#N/A,#N/A,FALSE,"Rev Seg Taxes";#N/A,#N/A,FALSE,"BookRev Seg";#N/A,#N/A,FALSE,"Supp Adj Seg";#N/A,#N/A,FALSE,"outside prov seg taxes"}</definedName>
    <definedName name="wrn.CLP._.SEG._.PROV." localSheetId="9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localSheetId="9" hidden="1">{#N/A,#N/A,FALSE,"GLDwnLoad"}</definedName>
    <definedName name="wrn.CLP_GL." hidden="1">{#N/A,#N/A,FALSE,"GLDwnLoad"}</definedName>
    <definedName name="wrn.CLP_INPUTS." localSheetId="9" hidden="1">{#N/A,#N/A,FALSE,"OTHERINPUTS";#N/A,#N/A,FALSE,"DITRATEINPUTS";#N/A,#N/A,FALSE,"SUPPLIEDADJINPUT";#N/A,#N/A,FALSE,"BR&amp;SUPADJ."}</definedName>
    <definedName name="wrn.CLP_INPUTS." hidden="1">{#N/A,#N/A,FALSE,"OTHERINPUTS";#N/A,#N/A,FALSE,"DITRATEINPUTS";#N/A,#N/A,FALSE,"SUPPLIEDADJINPUT";#N/A,#N/A,FALSE,"BR&amp;SUPADJ."}</definedName>
    <definedName name="wrn.CLP_PROV." localSheetId="9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wip." localSheetId="9" hidden="1">{"CWIP2",#N/A,FALSE,"CWIP";"CWIP3",#N/A,FALSE,"CWIP"}</definedName>
    <definedName name="wrn.cwip." hidden="1">{"CWIP2",#N/A,FALSE,"CWIP";"CWIP3",#N/A,FALSE,"CWIP"}</definedName>
    <definedName name="wrn.cwipa" localSheetId="9" hidden="1">{"CWIP2",#N/A,FALSE,"CWIP";"CWIP3",#N/A,FALSE,"CWIP"}</definedName>
    <definedName name="wrn.cwipa" hidden="1">{"CWIP2",#N/A,FALSE,"CWIP";"CWIP3",#N/A,FALSE,"CWIP"}</definedName>
    <definedName name="wrn.CY_GL." localSheetId="9" hidden="1">{#N/A,#N/A,FALSE,"GLDwnLoad"}</definedName>
    <definedName name="wrn.CY_GL." hidden="1">{#N/A,#N/A,FALSE,"GLDwnLoad"}</definedName>
    <definedName name="wrn.CY_INPUTS." localSheetId="9" hidden="1">{#N/A,#N/A,FALSE,"OTHERINPUTS";#N/A,#N/A,FALSE,"DITRATEINPUTS";#N/A,#N/A,FALSE,"SUPPLIEDADJINPUT";#N/A,#N/A,FALSE,"TIMINGDIFFINPUTS";#N/A,#N/A,FALSE,"COSSINPUT";#N/A,#N/A,FALSE,"BR&amp;SUPADJ."}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localSheetId="9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localSheetId="9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Earnings._.Model.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Test." localSheetId="9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el._.Cycle." localSheetId="9" hidden="1">{#N/A,#N/A,FALSE,"AltFuel"}</definedName>
    <definedName name="wrn.Fuel._.Cycle." hidden="1">{#N/A,#N/A,FALSE,"AltFuel"}</definedName>
    <definedName name="wrn.full._.print." localSheetId="9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handout." localSheetId="9" hidden="1">{"quarterly",#N/A,FALSE,"Income Statement";#N/A,#N/A,FALSE,"print segment";#N/A,#N/A,FALSE,"Balance Sheet";#N/A,#N/A,FALSE,"Annl Inc";#N/A,#N/A,FALSE,"Cash Flow"}</definedName>
    <definedName name="wrn.handout." hidden="1">{"quarterly",#N/A,FALSE,"Income Statement";#N/A,#N/A,FALSE,"print segment";#N/A,#N/A,FALSE,"Balance Sheet";#N/A,#N/A,FALSE,"Annl Inc";#N/A,#N/A,FALSE,"Cash Flow"}</definedName>
    <definedName name="wrn.HWP_GL." localSheetId="9" hidden="1">{#N/A,#N/A,FALSE,"GLDwnLoad"}</definedName>
    <definedName name="wrn.HWP_GL." hidden="1">{#N/A,#N/A,FALSE,"GLDwnLoad"}</definedName>
    <definedName name="wrn.HWP_INPUTS." localSheetId="9" hidden="1">{#N/A,#N/A,FALSE,"OTHERINPUTS";#N/A,#N/A,FALSE,"SUPPLIEDADJINPUT";#N/A,#N/A,FALSE,"BR&amp;SUPADJ."}</definedName>
    <definedName name="wrn.HWP_INPUTS." hidden="1">{#N/A,#N/A,FALSE,"OTHERINPUTS";#N/A,#N/A,FALSE,"SUPPLIEDADJINPUT";#N/A,#N/A,FALSE,"BR&amp;SUPADJ."}</definedName>
    <definedName name="wrn.HWP_PROV." localSheetId="9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Statement._.15._.years." localSheetId="9" hidden="1">{#N/A,#N/A,FALSE,"FinStateUS"}</definedName>
    <definedName name="wrn.IncStatement._.15._.years." hidden="1">{#N/A,#N/A,FALSE,"FinStateUS"}</definedName>
    <definedName name="wrn.IncStatement._.6._.years." localSheetId="9" hidden="1">{"IncStatement 6 years",#N/A,FALSE,"FinStateUS"}</definedName>
    <definedName name="wrn.IncStatement._.6._.years." hidden="1">{"IncStatement 6 years",#N/A,FALSE,"FinStateUS"}</definedName>
    <definedName name="wrn.market._.share." localSheetId="9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tdtl." localSheetId="9" hidden="1">{"MATALL",#N/A,FALSE,"Sheet4";"matclass",#N/A,FALSE,"Sheet4"}</definedName>
    <definedName name="wrn.matdtl." hidden="1">{"MATALL",#N/A,FALSE,"Sheet4";"matclass",#N/A,FALSE,"Sheet4"}</definedName>
    <definedName name="wrn.matdtla" localSheetId="9" hidden="1">{"MATALL",#N/A,FALSE,"Sheet4";"matclass",#N/A,FALSE,"Sheet4"}</definedName>
    <definedName name="wrn.matdtla" hidden="1">{"MATALL",#N/A,FALSE,"Sheet4";"matclass",#N/A,FALSE,"Sheet4"}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9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9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9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one." localSheetId="9" hidden="1">{"page1",#N/A,FALSE,"A";"page2",#N/A,FALSE,"A"}</definedName>
    <definedName name="wrn.one." hidden="1">{"page1",#N/A,FALSE,"A";"page2",#N/A,FALSE,"A"}</definedName>
    <definedName name="wrn.PPJOURNAL._.ENTRY." localSheetId="9" hidden="1">{"PPDEFERREDBAL",#N/A,FALSE,"PRIOR PERIOD ADJMT";#N/A,#N/A,FALSE,"PRIOR PERIOD ADJMT";"PPJOURNALENTRY",#N/A,FALSE,"PRIOR PERIOD ADJMT"}</definedName>
    <definedName name="wrn.PPJOURNAL._.ENTRY." hidden="1">{"PPDEFERREDBAL",#N/A,FALSE,"PRIOR PERIOD ADJMT";#N/A,#N/A,FALSE,"PRIOR PERIOD ADJMT";"PPJOURNALENTRY",#N/A,FALSE,"PRIOR PERIOD ADJMT"}</definedName>
    <definedName name="wrn.printtable1." localSheetId="9" hidden="1">{"print1",#N/A,FALSE,"D21CUSTS"}</definedName>
    <definedName name="wrn.printtable1." hidden="1">{"print1",#N/A,FALSE,"D21CUSTS"}</definedName>
    <definedName name="wrn.printtable2." localSheetId="9" hidden="1">{"print2",#N/A,FALSE,"D21CUSTS"}</definedName>
    <definedName name="wrn.printtable2." hidden="1">{"print2",#N/A,FALSE,"D21CUSTS"}</definedName>
    <definedName name="wrn.printtable3." localSheetId="9" hidden="1">{"print3",#N/A,FALSE,"D21CUSTS"}</definedName>
    <definedName name="wrn.printtable3." hidden="1">{"print3",#N/A,FALSE,"D21CUSTS"}</definedName>
    <definedName name="wrn.printtable4." localSheetId="9" hidden="1">{"print4",#N/A,FALSE,"D21CUSTS"}</definedName>
    <definedName name="wrn.printtable4." hidden="1">{"print4",#N/A,FALSE,"D21CUSTS"}</definedName>
    <definedName name="wrn.PRIOR._.PERIOD._.ADJMT." localSheetId="9" hidden="1">{#N/A,#N/A,FALSE,"PRIOR PERIOD ADJMT"}</definedName>
    <definedName name="wrn.PRIOR._.PERIOD._.ADJMT." hidden="1">{#N/A,#N/A,FALSE,"PRIOR PERIOD ADJMT"}</definedName>
    <definedName name="wrn.Production." localSheetId="9" hidden="1">{"Production",#N/A,FALSE,"Electric O&amp;M Functionalization"}</definedName>
    <definedName name="wrn.Production." hidden="1">{"Production",#N/A,FALSE,"Electric O&amp;M Functionalization"}</definedName>
    <definedName name="wrn.Projected._.Def._.Adjustments." localSheetId="9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SNH_GL." localSheetId="9" hidden="1">{#N/A,#N/A,FALSE,"GLDwnLoad"}</definedName>
    <definedName name="wrn.PSNH_GL." hidden="1">{#N/A,#N/A,FALSE,"GLDwnLoad"}</definedName>
    <definedName name="wrn.PSNH_INPUTS." localSheetId="9" hidden="1">{#N/A,#N/A,FALSE,"OTHERINPUTS";#N/A,#N/A,FALSE,"DITRATEINPUTS";#N/A,#N/A,FALSE,"SUPPLIEDADJINPUT";#N/A,#N/A,FALSE,"TIMINGDIFFINPUTS";#N/A,#N/A,FALSE,"BR&amp;SUPADJ."}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localSheetId="9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Report1." localSheetId="9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OR_MEMO." localSheetId="9" hidden="1">{#N/A,#N/A,FALSE,"RORMEMO";#N/A,#N/A,FALSE,"RORSUMMARY";#N/A,#N/A,FALSE,"RORDETAIL"}</definedName>
    <definedName name="wrn.ROR_MEMO." hidden="1">{#N/A,#N/A,FALSE,"RORMEMO";#N/A,#N/A,FALSE,"RORSUMMARY";#N/A,#N/A,FALSE,"RORDETAIL"}</definedName>
    <definedName name="wrn.SELECT_GL." localSheetId="9" hidden="1">{#N/A,#N/A,FALSE,"GLDwnLoad"}</definedName>
    <definedName name="wrn.SELECT_GL." hidden="1">{#N/A,#N/A,FALSE,"GLDwnLoad"}</definedName>
    <definedName name="wrn.SELECT_INPUTS." localSheetId="9" hidden="1">{#N/A,#N/A,FALSE,"OTHERINPUTS";#N/A,#N/A,FALSE,"SUPPLIEDADJINPUT";#N/A,#N/A,FALSE,"BR&amp;SUPADJ."}</definedName>
    <definedName name="wrn.SELECT_INPUTS." hidden="1">{#N/A,#N/A,FALSE,"OTHERINPUTS";#N/A,#N/A,FALSE,"SUPPLIEDADJINPUT";#N/A,#N/A,FALSE,"BR&amp;SUPADJ."}</definedName>
    <definedName name="wrn.SELECT_PROV." localSheetId="9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ummary_GL." localSheetId="9" hidden="1">{#N/A,#N/A,FALSE,"GLDwnLoad"}</definedName>
    <definedName name="wrn.Summary_GL." hidden="1">{#N/A,#N/A,FALSE,"GLDwnLoad"}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localSheetId="9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rn.Transmission." localSheetId="9" hidden="1">{"Transmission",#N/A,FALSE,"Electric O&amp;M Functionalization"}</definedName>
    <definedName name="wrn.Transmission." hidden="1">{"Transmission",#N/A,FALSE,"Electric O&amp;M Functionalization"}</definedName>
    <definedName name="wrn.WMECO_GL." localSheetId="9" hidden="1">{#N/A,#N/A,FALSE,"GLDwnLoad"}</definedName>
    <definedName name="wrn.WMECO_GL." hidden="1">{#N/A,#N/A,FALSE,"GLDwnLoad"}</definedName>
    <definedName name="wrn.WMECO_INPUTS." localSheetId="9" hidden="1">{#N/A,#N/A,FALSE,"OTHERINPUTS";#N/A,#N/A,FALSE,"DITRATEINPUTS";#N/A,#N/A,FALSE,"SUPPLIEDADJINPUT";#N/A,#N/A,FALSE,"TIMINGDIFFINPUTS";#N/A,#N/A,FALSE,"BR&amp;SUPADJ."}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PROV." localSheetId="9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ORKCAP." localSheetId="9" hidden="1">{"WCCWCLL",#N/A,FALSE,"Sheet3";"PP",#N/A,FALSE,"Sheet3";"MAT1",#N/A,FALSE,"Sheet3";"MAT2",#N/A,FALSE,"Sheet3"}</definedName>
    <definedName name="wrn.WORKCAP." hidden="1">{"WCCWCLL",#N/A,FALSE,"Sheet3";"PP",#N/A,FALSE,"Sheet3";"MAT1",#N/A,FALSE,"Sheet3";"MAT2",#N/A,FALSE,"Sheet3"}</definedName>
    <definedName name="wvu.DATABASE." localSheetId="9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localSheetId="9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localSheetId="9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 hidden="1">#REF!</definedName>
    <definedName name="xxx" localSheetId="8" hidden="1">{"'Sheet1'!$A$1:$O$40"}</definedName>
    <definedName name="xxx" localSheetId="9" hidden="1">{#N/A,#N/A,FALSE,"GLDwnLoad"}</definedName>
    <definedName name="xxx" hidden="1">{#N/A,#N/A,FALSE,"GLDwnLoad"}</definedName>
    <definedName name="Y" hidden="1">#REF!</definedName>
    <definedName name="yes" localSheetId="9" hidden="1">#REF!</definedName>
    <definedName name="yes" hidden="1">#REF!</definedName>
    <definedName name="yesindeed" localSheetId="9" hidden="1">#REF!</definedName>
    <definedName name="yesindeed" hidden="1">#REF!</definedName>
    <definedName name="yesir" localSheetId="9" hidden="1">#REF!</definedName>
    <definedName name="yesir" hidden="1">#REF!</definedName>
    <definedName name="yyyyyy" localSheetId="9" hidden="1">#REF!</definedName>
    <definedName name="yyyyyy" hidden="1">#REF!</definedName>
    <definedName name="Z" localSheetId="9" hidden="1">#REF!</definedName>
    <definedName name="Z" hidden="1">#REF!</definedName>
    <definedName name="Z_055ABE5A_5E06_11D2_8EED_0008C7BCAF29_.wvu.PrintArea" localSheetId="9" hidden="1">#REF!</definedName>
    <definedName name="Z_055ABE5A_5E06_11D2_8EED_0008C7BCAF29_.wvu.PrintArea" hidden="1">#REF!</definedName>
    <definedName name="Z_055ABE5A_5E06_11D2_8EED_0008C7BCAF29_.wvu.PrintTitles" localSheetId="9" hidden="1">#REF!</definedName>
    <definedName name="Z_055ABE5A_5E06_11D2_8EED_0008C7BCAF29_.wvu.PrintTitles" hidden="1">#REF!</definedName>
    <definedName name="Z_055ABE69_5E06_11D2_8EED_0008C7BCAF29_.wvu.PrintArea" localSheetId="9" hidden="1">#REF!</definedName>
    <definedName name="Z_055ABE69_5E06_11D2_8EED_0008C7BCAF29_.wvu.PrintArea" hidden="1">#REF!</definedName>
    <definedName name="Z_055ABE69_5E06_11D2_8EED_0008C7BCAF29_.wvu.PrintTitles" localSheetId="9" hidden="1">#REF!</definedName>
    <definedName name="Z_055ABE69_5E06_11D2_8EED_0008C7BCAF29_.wvu.PrintTitles" hidden="1">#REF!</definedName>
    <definedName name="Z_055ABE76_5E06_11D2_8EED_0008C7BCAF29_.wvu.PrintArea" localSheetId="9" hidden="1">#REF!</definedName>
    <definedName name="Z_055ABE76_5E06_11D2_8EED_0008C7BCAF29_.wvu.PrintArea" hidden="1">#REF!</definedName>
    <definedName name="Z_055ABE76_5E06_11D2_8EED_0008C7BCAF29_.wvu.PrintTitles" localSheetId="9" hidden="1">#REF!,#REF!</definedName>
    <definedName name="Z_055ABE76_5E06_11D2_8EED_0008C7BCAF29_.wvu.PrintTitles" hidden="1">#REF!,#REF!</definedName>
    <definedName name="Z_055ABE84_5E06_11D2_8EED_0008C7BCAF29_.wvu.PrintArea" localSheetId="9" hidden="1">#REF!</definedName>
    <definedName name="Z_055ABE84_5E06_11D2_8EED_0008C7BCAF29_.wvu.PrintArea" hidden="1">#REF!</definedName>
    <definedName name="Z_055ABE84_5E06_11D2_8EED_0008C7BCAF29_.wvu.PrintTitles" localSheetId="9" hidden="1">#REF!</definedName>
    <definedName name="Z_055ABE84_5E06_11D2_8EED_0008C7BCAF29_.wvu.PrintTitles" hidden="1">#REF!</definedName>
    <definedName name="Z_055ABE93_5E06_11D2_8EED_0008C7BCAF29_.wvu.PrintArea" localSheetId="9" hidden="1">#REF!</definedName>
    <definedName name="Z_055ABE93_5E06_11D2_8EED_0008C7BCAF29_.wvu.PrintArea" hidden="1">#REF!</definedName>
    <definedName name="Z_055ABE93_5E06_11D2_8EED_0008C7BCAF29_.wvu.PrintTitles" localSheetId="9" hidden="1">#REF!</definedName>
    <definedName name="Z_055ABE93_5E06_11D2_8EED_0008C7BCAF29_.wvu.PrintTitles" hidden="1">#REF!</definedName>
    <definedName name="Z_055ABEA0_5E06_11D2_8EED_0008C7BCAF29_.wvu.PrintArea" localSheetId="9" hidden="1">#REF!</definedName>
    <definedName name="Z_055ABEA0_5E06_11D2_8EED_0008C7BCAF29_.wvu.PrintArea" hidden="1">#REF!</definedName>
    <definedName name="Z_055ABEA0_5E06_11D2_8EED_0008C7BCAF29_.wvu.PrintTitles" localSheetId="9" hidden="1">#REF!,#REF!</definedName>
    <definedName name="Z_055ABEA0_5E06_11D2_8EED_0008C7BCAF29_.wvu.PrintTitles" hidden="1">#REF!,#REF!</definedName>
    <definedName name="Z_05DE23E1_1046_11D2_8E70_0008C77C0743_.wvu.PrintArea" localSheetId="9" hidden="1">#REF!</definedName>
    <definedName name="Z_05DE23E1_1046_11D2_8E70_0008C77C0743_.wvu.PrintArea" hidden="1">#REF!</definedName>
    <definedName name="Z_05DE23E1_1046_11D2_8E70_0008C77C0743_.wvu.PrintTitles" localSheetId="9" hidden="1">#REF!,#REF!</definedName>
    <definedName name="Z_05DE23E1_1046_11D2_8E70_0008C77C0743_.wvu.PrintTitles" hidden="1">#REF!,#REF!</definedName>
    <definedName name="Z_05DE23E4_1046_11D2_8E70_0008C77C0743_.wvu.PrintArea" localSheetId="9" hidden="1">#REF!</definedName>
    <definedName name="Z_05DE23E4_1046_11D2_8E70_0008C77C0743_.wvu.PrintArea" hidden="1">#REF!</definedName>
    <definedName name="Z_05DE23E4_1046_11D2_8E70_0008C77C0743_.wvu.PrintTitles" localSheetId="9" hidden="1">#REF!</definedName>
    <definedName name="Z_05DE23E4_1046_11D2_8E70_0008C77C0743_.wvu.PrintTitles" hidden="1">#REF!</definedName>
    <definedName name="Z_05DE23E9_1046_11D2_8E70_0008C77C0743_.wvu.PrintArea" localSheetId="9" hidden="1">#REF!</definedName>
    <definedName name="Z_05DE23E9_1046_11D2_8E70_0008C77C0743_.wvu.PrintArea" hidden="1">#REF!</definedName>
    <definedName name="Z_05DE23E9_1046_11D2_8E70_0008C77C0743_.wvu.PrintTitles" localSheetId="9" hidden="1">#REF!,#REF!</definedName>
    <definedName name="Z_05DE23E9_1046_11D2_8E70_0008C77C0743_.wvu.PrintTitles" hidden="1">#REF!,#REF!</definedName>
    <definedName name="Z_05DE23EB_1046_11D2_8E70_0008C77C0743_.wvu.PrintArea" localSheetId="9" hidden="1">#REF!</definedName>
    <definedName name="Z_05DE23EB_1046_11D2_8E70_0008C77C0743_.wvu.PrintArea" hidden="1">#REF!</definedName>
    <definedName name="Z_05DE23EB_1046_11D2_8E70_0008C77C0743_.wvu.PrintTitles" localSheetId="9" hidden="1">#REF!,#REF!</definedName>
    <definedName name="Z_05DE23EB_1046_11D2_8E70_0008C77C0743_.wvu.PrintTitles" hidden="1">#REF!,#REF!</definedName>
    <definedName name="Z_05DE23EE_1046_11D2_8E70_0008C77C0743_.wvu.PrintArea" localSheetId="9" hidden="1">#REF!</definedName>
    <definedName name="Z_05DE23EE_1046_11D2_8E70_0008C77C0743_.wvu.PrintArea" hidden="1">#REF!</definedName>
    <definedName name="Z_05DE23EE_1046_11D2_8E70_0008C77C0743_.wvu.PrintTitles" localSheetId="9" hidden="1">#REF!</definedName>
    <definedName name="Z_05DE23EE_1046_11D2_8E70_0008C77C0743_.wvu.PrintTitles" hidden="1">#REF!</definedName>
    <definedName name="Z_05DE23F3_1046_11D2_8E70_0008C77C0743_.wvu.PrintArea" localSheetId="9" hidden="1">#REF!</definedName>
    <definedName name="Z_05DE23F3_1046_11D2_8E70_0008C77C0743_.wvu.PrintArea" hidden="1">#REF!</definedName>
    <definedName name="Z_05DE23F3_1046_11D2_8E70_0008C77C0743_.wvu.PrintTitles" localSheetId="9" hidden="1">#REF!,#REF!</definedName>
    <definedName name="Z_05DE23F3_1046_11D2_8E70_0008C77C0743_.wvu.PrintTitles" hidden="1">#REF!,#REF!</definedName>
    <definedName name="Z_05DE23F6_1046_11D2_8E70_0008C77C0743_.wvu.PrintArea" localSheetId="9" hidden="1">#REF!</definedName>
    <definedName name="Z_05DE23F6_1046_11D2_8E70_0008C77C0743_.wvu.PrintArea" hidden="1">#REF!</definedName>
    <definedName name="Z_05DE23F6_1046_11D2_8E70_0008C77C0743_.wvu.PrintTitles" localSheetId="9" hidden="1">#REF!,#REF!</definedName>
    <definedName name="Z_05DE23F6_1046_11D2_8E70_0008C77C0743_.wvu.PrintTitles" hidden="1">#REF!,#REF!</definedName>
    <definedName name="Z_0CE6A482_5DEF_11D2_8EC3_0008C77C0743_.wvu.PrintArea" localSheetId="9" hidden="1">#REF!</definedName>
    <definedName name="Z_0CE6A482_5DEF_11D2_8EC3_0008C77C0743_.wvu.PrintArea" hidden="1">#REF!</definedName>
    <definedName name="Z_0CE6A482_5DEF_11D2_8EC3_0008C77C0743_.wvu.PrintTitles" localSheetId="9" hidden="1">#REF!</definedName>
    <definedName name="Z_0CE6A482_5DEF_11D2_8EC3_0008C77C0743_.wvu.PrintTitles" hidden="1">#REF!</definedName>
    <definedName name="Z_0CE6A491_5DEF_11D2_8EC3_0008C77C0743_.wvu.PrintArea" localSheetId="9" hidden="1">#REF!</definedName>
    <definedName name="Z_0CE6A491_5DEF_11D2_8EC3_0008C77C0743_.wvu.PrintArea" hidden="1">#REF!</definedName>
    <definedName name="Z_0CE6A491_5DEF_11D2_8EC3_0008C77C0743_.wvu.PrintTitles" localSheetId="9" hidden="1">#REF!</definedName>
    <definedName name="Z_0CE6A491_5DEF_11D2_8EC3_0008C77C0743_.wvu.PrintTitles" hidden="1">#REF!</definedName>
    <definedName name="Z_0CE6A49E_5DEF_11D2_8EC3_0008C77C0743_.wvu.PrintArea" localSheetId="9" hidden="1">#REF!</definedName>
    <definedName name="Z_0CE6A49E_5DEF_11D2_8EC3_0008C77C0743_.wvu.PrintArea" hidden="1">#REF!</definedName>
    <definedName name="Z_0CE6A49E_5DEF_11D2_8EC3_0008C77C0743_.wvu.PrintTitles" localSheetId="9" hidden="1">#REF!,#REF!</definedName>
    <definedName name="Z_0CE6A49E_5DEF_11D2_8EC3_0008C77C0743_.wvu.PrintTitles" hidden="1">#REF!,#REF!</definedName>
    <definedName name="Z_0CE6A4AB_5DEF_11D2_8EC3_0008C77C0743_.wvu.PrintArea" localSheetId="9" hidden="1">#REF!</definedName>
    <definedName name="Z_0CE6A4AB_5DEF_11D2_8EC3_0008C77C0743_.wvu.PrintArea" hidden="1">#REF!</definedName>
    <definedName name="Z_0CE6A4AB_5DEF_11D2_8EC3_0008C77C0743_.wvu.PrintTitles" localSheetId="9" hidden="1">#REF!</definedName>
    <definedName name="Z_0CE6A4AB_5DEF_11D2_8EC3_0008C77C0743_.wvu.PrintTitles" hidden="1">#REF!</definedName>
    <definedName name="Z_0CE6A4BA_5DEF_11D2_8EC3_0008C77C0743_.wvu.PrintArea" localSheetId="9" hidden="1">#REF!</definedName>
    <definedName name="Z_0CE6A4BA_5DEF_11D2_8EC3_0008C77C0743_.wvu.PrintArea" hidden="1">#REF!</definedName>
    <definedName name="Z_0CE6A4BA_5DEF_11D2_8EC3_0008C77C0743_.wvu.PrintTitles" localSheetId="9" hidden="1">#REF!</definedName>
    <definedName name="Z_0CE6A4BA_5DEF_11D2_8EC3_0008C77C0743_.wvu.PrintTitles" hidden="1">#REF!</definedName>
    <definedName name="Z_0CE6A4C7_5DEF_11D2_8EC3_0008C77C0743_.wvu.PrintArea" localSheetId="9" hidden="1">#REF!</definedName>
    <definedName name="Z_0CE6A4C7_5DEF_11D2_8EC3_0008C77C0743_.wvu.PrintArea" hidden="1">#REF!</definedName>
    <definedName name="Z_0CE6A4C7_5DEF_11D2_8EC3_0008C77C0743_.wvu.PrintTitles" localSheetId="9" hidden="1">#REF!,#REF!</definedName>
    <definedName name="Z_0CE6A4C7_5DEF_11D2_8EC3_0008C77C0743_.wvu.PrintTitles" hidden="1">#REF!,#REF!</definedName>
    <definedName name="Z_0CE6A4D4_5DEF_11D2_8EC3_0008C77C0743_.wvu.PrintArea" localSheetId="9" hidden="1">#REF!</definedName>
    <definedName name="Z_0CE6A4D4_5DEF_11D2_8EC3_0008C77C0743_.wvu.PrintArea" hidden="1">#REF!</definedName>
    <definedName name="Z_0CE6A4D4_5DEF_11D2_8EC3_0008C77C0743_.wvu.PrintTitles" localSheetId="9" hidden="1">#REF!</definedName>
    <definedName name="Z_0CE6A4D4_5DEF_11D2_8EC3_0008C77C0743_.wvu.PrintTitles" hidden="1">#REF!</definedName>
    <definedName name="Z_0CE6A4E3_5DEF_11D2_8EC3_0008C77C0743_.wvu.PrintArea" localSheetId="9" hidden="1">#REF!</definedName>
    <definedName name="Z_0CE6A4E3_5DEF_11D2_8EC3_0008C77C0743_.wvu.PrintArea" hidden="1">#REF!</definedName>
    <definedName name="Z_0CE6A4E3_5DEF_11D2_8EC3_0008C77C0743_.wvu.PrintTitles" localSheetId="9" hidden="1">#REF!</definedName>
    <definedName name="Z_0CE6A4E3_5DEF_11D2_8EC3_0008C77C0743_.wvu.PrintTitles" hidden="1">#REF!</definedName>
    <definedName name="Z_0CE6A4F0_5DEF_11D2_8EC3_0008C77C0743_.wvu.PrintArea" localSheetId="9" hidden="1">#REF!</definedName>
    <definedName name="Z_0CE6A4F0_5DEF_11D2_8EC3_0008C77C0743_.wvu.PrintArea" hidden="1">#REF!</definedName>
    <definedName name="Z_0CE6A4F0_5DEF_11D2_8EC3_0008C77C0743_.wvu.PrintTitles" localSheetId="9" hidden="1">#REF!,#REF!</definedName>
    <definedName name="Z_0CE6A4F0_5DEF_11D2_8EC3_0008C77C0743_.wvu.PrintTitles" hidden="1">#REF!,#REF!</definedName>
    <definedName name="Z_0CE6A4FD_5DEF_11D2_8EC3_0008C77C0743_.wvu.PrintArea" localSheetId="9" hidden="1">#REF!</definedName>
    <definedName name="Z_0CE6A4FD_5DEF_11D2_8EC3_0008C77C0743_.wvu.PrintArea" hidden="1">#REF!</definedName>
    <definedName name="Z_0CE6A4FD_5DEF_11D2_8EC3_0008C77C0743_.wvu.PrintTitles" localSheetId="9" hidden="1">#REF!</definedName>
    <definedName name="Z_0CE6A4FD_5DEF_11D2_8EC3_0008C77C0743_.wvu.PrintTitles" hidden="1">#REF!</definedName>
    <definedName name="Z_0CE6A50C_5DEF_11D2_8EC3_0008C77C0743_.wvu.PrintArea" localSheetId="9" hidden="1">#REF!</definedName>
    <definedName name="Z_0CE6A50C_5DEF_11D2_8EC3_0008C77C0743_.wvu.PrintArea" hidden="1">#REF!</definedName>
    <definedName name="Z_0CE6A50C_5DEF_11D2_8EC3_0008C77C0743_.wvu.PrintTitles" localSheetId="9" hidden="1">#REF!</definedName>
    <definedName name="Z_0CE6A50C_5DEF_11D2_8EC3_0008C77C0743_.wvu.PrintTitles" hidden="1">#REF!</definedName>
    <definedName name="Z_0CE6A519_5DEF_11D2_8EC3_0008C77C0743_.wvu.PrintArea" localSheetId="9" hidden="1">#REF!</definedName>
    <definedName name="Z_0CE6A519_5DEF_11D2_8EC3_0008C77C0743_.wvu.PrintArea" hidden="1">#REF!</definedName>
    <definedName name="Z_0CE6A519_5DEF_11D2_8EC3_0008C77C0743_.wvu.PrintTitles" localSheetId="9" hidden="1">#REF!,#REF!</definedName>
    <definedName name="Z_0CE6A519_5DEF_11D2_8EC3_0008C77C0743_.wvu.PrintTitles" hidden="1">#REF!,#REF!</definedName>
    <definedName name="Z_0E8DEF60_5D61_11D2_8EEB_0008C7BCAF29_.wvu.PrintArea" localSheetId="9" hidden="1">#REF!</definedName>
    <definedName name="Z_0E8DEF60_5D61_11D2_8EEB_0008C7BCAF29_.wvu.PrintArea" hidden="1">#REF!</definedName>
    <definedName name="Z_0E8DEF60_5D61_11D2_8EEB_0008C7BCAF29_.wvu.PrintTitles" localSheetId="9" hidden="1">#REF!,#REF!</definedName>
    <definedName name="Z_0E8DEF60_5D61_11D2_8EEB_0008C7BCAF29_.wvu.PrintTitles" hidden="1">#REF!,#REF!</definedName>
    <definedName name="Z_0E8DEF63_5D61_11D2_8EEB_0008C7BCAF29_.wvu.PrintArea" localSheetId="9" hidden="1">#REF!</definedName>
    <definedName name="Z_0E8DEF63_5D61_11D2_8EEB_0008C7BCAF29_.wvu.PrintArea" hidden="1">#REF!</definedName>
    <definedName name="Z_0E8DEF63_5D61_11D2_8EEB_0008C7BCAF29_.wvu.PrintTitles" localSheetId="9" hidden="1">#REF!</definedName>
    <definedName name="Z_0E8DEF63_5D61_11D2_8EEB_0008C7BCAF29_.wvu.PrintTitles" hidden="1">#REF!</definedName>
    <definedName name="Z_0E8DEF68_5D61_11D2_8EEB_0008C7BCAF29_.wvu.PrintArea" localSheetId="9" hidden="1">#REF!</definedName>
    <definedName name="Z_0E8DEF68_5D61_11D2_8EEB_0008C7BCAF29_.wvu.PrintArea" hidden="1">#REF!</definedName>
    <definedName name="Z_0E8DEF68_5D61_11D2_8EEB_0008C7BCAF29_.wvu.PrintTitles" localSheetId="9" hidden="1">#REF!,#REF!</definedName>
    <definedName name="Z_0E8DEF68_5D61_11D2_8EEB_0008C7BCAF29_.wvu.PrintTitles" hidden="1">#REF!,#REF!</definedName>
    <definedName name="Z_0E8DEF6A_5D61_11D2_8EEB_0008C7BCAF29_.wvu.PrintArea" localSheetId="9" hidden="1">#REF!</definedName>
    <definedName name="Z_0E8DEF6A_5D61_11D2_8EEB_0008C7BCAF29_.wvu.PrintArea" hidden="1">#REF!</definedName>
    <definedName name="Z_0E8DEF6A_5D61_11D2_8EEB_0008C7BCAF29_.wvu.PrintTitles" localSheetId="9" hidden="1">#REF!,#REF!</definedName>
    <definedName name="Z_0E8DEF6A_5D61_11D2_8EEB_0008C7BCAF29_.wvu.PrintTitles" hidden="1">#REF!,#REF!</definedName>
    <definedName name="Z_0E8DEF6D_5D61_11D2_8EEB_0008C7BCAF29_.wvu.PrintArea" localSheetId="9" hidden="1">#REF!</definedName>
    <definedName name="Z_0E8DEF6D_5D61_11D2_8EEB_0008C7BCAF29_.wvu.PrintArea" hidden="1">#REF!</definedName>
    <definedName name="Z_0E8DEF6D_5D61_11D2_8EEB_0008C7BCAF29_.wvu.PrintTitles" localSheetId="9" hidden="1">#REF!</definedName>
    <definedName name="Z_0E8DEF6D_5D61_11D2_8EEB_0008C7BCAF29_.wvu.PrintTitles" hidden="1">#REF!</definedName>
    <definedName name="Z_0E8DEF72_5D61_11D2_8EEB_0008C7BCAF29_.wvu.PrintArea" localSheetId="9" hidden="1">#REF!</definedName>
    <definedName name="Z_0E8DEF72_5D61_11D2_8EEB_0008C7BCAF29_.wvu.PrintArea" hidden="1">#REF!</definedName>
    <definedName name="Z_0E8DEF72_5D61_11D2_8EEB_0008C7BCAF29_.wvu.PrintTitles" localSheetId="9" hidden="1">#REF!,#REF!</definedName>
    <definedName name="Z_0E8DEF72_5D61_11D2_8EEB_0008C7BCAF29_.wvu.PrintTitles" hidden="1">#REF!,#REF!</definedName>
    <definedName name="Z_0E8DEF75_5D61_11D2_8EEB_0008C7BCAF29_.wvu.PrintArea" localSheetId="9" hidden="1">#REF!</definedName>
    <definedName name="Z_0E8DEF75_5D61_11D2_8EEB_0008C7BCAF29_.wvu.PrintArea" hidden="1">#REF!</definedName>
    <definedName name="Z_0E8DEF75_5D61_11D2_8EEB_0008C7BCAF29_.wvu.PrintTitles" localSheetId="9" hidden="1">#REF!,#REF!</definedName>
    <definedName name="Z_0E8DEF75_5D61_11D2_8EEB_0008C7BCAF29_.wvu.PrintTitles" hidden="1">#REF!,#REF!</definedName>
    <definedName name="Z_179EFDC8_A1B1_11D3_8FA9_0008C7809E09_.wvu.PrintArea" localSheetId="9" hidden="1">#REF!</definedName>
    <definedName name="Z_179EFDC8_A1B1_11D3_8FA9_0008C7809E09_.wvu.PrintArea" hidden="1">#REF!</definedName>
    <definedName name="Z_179EFDC8_A1B1_11D3_8FA9_0008C7809E09_.wvu.PrintTitles" localSheetId="9" hidden="1">#REF!,#REF!</definedName>
    <definedName name="Z_179EFDC8_A1B1_11D3_8FA9_0008C7809E09_.wvu.PrintTitles" hidden="1">#REF!,#REF!</definedName>
    <definedName name="Z_179EFDC9_A1B1_11D3_8FA9_0008C7809E09_.wvu.PrintArea" localSheetId="9" hidden="1">#REF!</definedName>
    <definedName name="Z_179EFDC9_A1B1_11D3_8FA9_0008C7809E09_.wvu.PrintArea" hidden="1">#REF!</definedName>
    <definedName name="Z_179EFDC9_A1B1_11D3_8FA9_0008C7809E09_.wvu.PrintTitles" localSheetId="9" hidden="1">#REF!,#REF!</definedName>
    <definedName name="Z_179EFDC9_A1B1_11D3_8FA9_0008C7809E09_.wvu.PrintTitles" hidden="1">#REF!,#REF!</definedName>
    <definedName name="Z_179EFDCA_A1B1_11D3_8FA9_0008C7809E09_.wvu.PrintArea" localSheetId="9" hidden="1">#REF!</definedName>
    <definedName name="Z_179EFDCA_A1B1_11D3_8FA9_0008C7809E09_.wvu.PrintArea" hidden="1">#REF!</definedName>
    <definedName name="Z_179EFDCA_A1B1_11D3_8FA9_0008C7809E09_.wvu.PrintTitles" localSheetId="9" hidden="1">#REF!,#REF!</definedName>
    <definedName name="Z_179EFDCA_A1B1_11D3_8FA9_0008C7809E09_.wvu.PrintTitles" hidden="1">#REF!,#REF!</definedName>
    <definedName name="Z_179EFDCB_A1B1_11D3_8FA9_0008C7809E09_.wvu.PrintArea" localSheetId="9" hidden="1">#REF!</definedName>
    <definedName name="Z_179EFDCB_A1B1_11D3_8FA9_0008C7809E09_.wvu.PrintArea" hidden="1">#REF!</definedName>
    <definedName name="Z_179EFDCB_A1B1_11D3_8FA9_0008C7809E09_.wvu.PrintTitles" localSheetId="9" hidden="1">#REF!,#REF!</definedName>
    <definedName name="Z_179EFDCB_A1B1_11D3_8FA9_0008C7809E09_.wvu.PrintTitles" hidden="1">#REF!,#REF!</definedName>
    <definedName name="Z_179EFDCC_A1B1_11D3_8FA9_0008C7809E09_.wvu.PrintArea" localSheetId="9" hidden="1">#REF!</definedName>
    <definedName name="Z_179EFDCC_A1B1_11D3_8FA9_0008C7809E09_.wvu.PrintArea" hidden="1">#REF!</definedName>
    <definedName name="Z_179EFDCC_A1B1_11D3_8FA9_0008C7809E09_.wvu.PrintTitles" localSheetId="9" hidden="1">#REF!,#REF!</definedName>
    <definedName name="Z_179EFDCC_A1B1_11D3_8FA9_0008C7809E09_.wvu.PrintTitles" hidden="1">#REF!,#REF!</definedName>
    <definedName name="Z_179EFDCD_A1B1_11D3_8FA9_0008C7809E09_.wvu.PrintArea" localSheetId="9" hidden="1">#REF!</definedName>
    <definedName name="Z_179EFDCD_A1B1_11D3_8FA9_0008C7809E09_.wvu.PrintArea" hidden="1">#REF!</definedName>
    <definedName name="Z_179EFDCD_A1B1_11D3_8FA9_0008C7809E09_.wvu.PrintTitles" localSheetId="9" hidden="1">#REF!,#REF!</definedName>
    <definedName name="Z_179EFDCD_A1B1_11D3_8FA9_0008C7809E09_.wvu.PrintTitles" hidden="1">#REF!,#REF!</definedName>
    <definedName name="Z_179EFDCE_A1B1_11D3_8FA9_0008C7809E09_.wvu.PrintArea" localSheetId="9" hidden="1">#REF!</definedName>
    <definedName name="Z_179EFDCE_A1B1_11D3_8FA9_0008C7809E09_.wvu.PrintArea" hidden="1">#REF!</definedName>
    <definedName name="Z_179EFDCE_A1B1_11D3_8FA9_0008C7809E09_.wvu.PrintTitles" localSheetId="9" hidden="1">#REF!,#REF!</definedName>
    <definedName name="Z_179EFDCE_A1B1_11D3_8FA9_0008C7809E09_.wvu.PrintTitles" hidden="1">#REF!,#REF!</definedName>
    <definedName name="Z_179EFDCF_A1B1_11D3_8FA9_0008C7809E09_.wvu.PrintArea" localSheetId="9" hidden="1">#REF!</definedName>
    <definedName name="Z_179EFDCF_A1B1_11D3_8FA9_0008C7809E09_.wvu.PrintArea" hidden="1">#REF!</definedName>
    <definedName name="Z_179EFDCF_A1B1_11D3_8FA9_0008C7809E09_.wvu.PrintTitles" localSheetId="9" hidden="1">#REF!,#REF!</definedName>
    <definedName name="Z_179EFDCF_A1B1_11D3_8FA9_0008C7809E09_.wvu.PrintTitles" hidden="1">#REF!,#REF!</definedName>
    <definedName name="Z_179EFDD0_A1B1_11D3_8FA9_0008C7809E09_.wvu.PrintArea" localSheetId="9" hidden="1">#REF!</definedName>
    <definedName name="Z_179EFDD0_A1B1_11D3_8FA9_0008C7809E09_.wvu.PrintArea" hidden="1">#REF!</definedName>
    <definedName name="Z_179EFDD0_A1B1_11D3_8FA9_0008C7809E09_.wvu.PrintTitles" localSheetId="9" hidden="1">#REF!,#REF!</definedName>
    <definedName name="Z_179EFDD0_A1B1_11D3_8FA9_0008C7809E09_.wvu.PrintTitles" hidden="1">#REF!,#REF!</definedName>
    <definedName name="Z_179EFDD1_A1B1_11D3_8FA9_0008C7809E09_.wvu.PrintArea" localSheetId="9" hidden="1">#REF!</definedName>
    <definedName name="Z_179EFDD1_A1B1_11D3_8FA9_0008C7809E09_.wvu.PrintArea" hidden="1">#REF!</definedName>
    <definedName name="Z_179EFDD1_A1B1_11D3_8FA9_0008C7809E09_.wvu.PrintTitles" localSheetId="9" hidden="1">#REF!,#REF!</definedName>
    <definedName name="Z_179EFDD1_A1B1_11D3_8FA9_0008C7809E09_.wvu.PrintTitles" hidden="1">#REF!,#REF!</definedName>
    <definedName name="Z_179EFDD2_A1B1_11D3_8FA9_0008C7809E09_.wvu.PrintArea" localSheetId="9" hidden="1">#REF!</definedName>
    <definedName name="Z_179EFDD2_A1B1_11D3_8FA9_0008C7809E09_.wvu.PrintArea" hidden="1">#REF!</definedName>
    <definedName name="Z_179EFDD2_A1B1_11D3_8FA9_0008C7809E09_.wvu.PrintTitles" localSheetId="9" hidden="1">#REF!,#REF!</definedName>
    <definedName name="Z_179EFDD2_A1B1_11D3_8FA9_0008C7809E09_.wvu.PrintTitles" hidden="1">#REF!,#REF!</definedName>
    <definedName name="Z_179EFDD3_A1B1_11D3_8FA9_0008C7809E09_.wvu.PrintArea" localSheetId="9" hidden="1">#REF!</definedName>
    <definedName name="Z_179EFDD3_A1B1_11D3_8FA9_0008C7809E09_.wvu.PrintArea" hidden="1">#REF!</definedName>
    <definedName name="Z_179EFDD3_A1B1_11D3_8FA9_0008C7809E09_.wvu.PrintTitles" localSheetId="9" hidden="1">#REF!,#REF!</definedName>
    <definedName name="Z_179EFDD3_A1B1_11D3_8FA9_0008C7809E09_.wvu.PrintTitles" hidden="1">#REF!,#REF!</definedName>
    <definedName name="Z_179EFDD4_A1B1_11D3_8FA9_0008C7809E09_.wvu.PrintArea" localSheetId="9" hidden="1">#REF!</definedName>
    <definedName name="Z_179EFDD4_A1B1_11D3_8FA9_0008C7809E09_.wvu.PrintArea" hidden="1">#REF!</definedName>
    <definedName name="Z_179EFDD4_A1B1_11D3_8FA9_0008C7809E09_.wvu.PrintTitles" localSheetId="9" hidden="1">#REF!,#REF!</definedName>
    <definedName name="Z_179EFDD4_A1B1_11D3_8FA9_0008C7809E09_.wvu.PrintTitles" hidden="1">#REF!,#REF!</definedName>
    <definedName name="Z_179EFDD5_A1B1_11D3_8FA9_0008C7809E09_.wvu.PrintArea" localSheetId="9" hidden="1">#REF!</definedName>
    <definedName name="Z_179EFDD5_A1B1_11D3_8FA9_0008C7809E09_.wvu.PrintArea" hidden="1">#REF!</definedName>
    <definedName name="Z_179EFDD5_A1B1_11D3_8FA9_0008C7809E09_.wvu.PrintTitles" localSheetId="9" hidden="1">#REF!,#REF!</definedName>
    <definedName name="Z_179EFDD5_A1B1_11D3_8FA9_0008C7809E09_.wvu.PrintTitles" hidden="1">#REF!,#REF!</definedName>
    <definedName name="Z_179EFDD6_A1B1_11D3_8FA9_0008C7809E09_.wvu.PrintArea" localSheetId="9" hidden="1">#REF!</definedName>
    <definedName name="Z_179EFDD6_A1B1_11D3_8FA9_0008C7809E09_.wvu.PrintArea" hidden="1">#REF!</definedName>
    <definedName name="Z_179EFDD6_A1B1_11D3_8FA9_0008C7809E09_.wvu.PrintTitles" localSheetId="9" hidden="1">#REF!,#REF!</definedName>
    <definedName name="Z_179EFDD6_A1B1_11D3_8FA9_0008C7809E09_.wvu.PrintTitles" hidden="1">#REF!,#REF!</definedName>
    <definedName name="Z_179EFDD7_A1B1_11D3_8FA9_0008C7809E09_.wvu.PrintArea" localSheetId="9" hidden="1">#REF!</definedName>
    <definedName name="Z_179EFDD7_A1B1_11D3_8FA9_0008C7809E09_.wvu.PrintArea" hidden="1">#REF!</definedName>
    <definedName name="Z_179EFDD7_A1B1_11D3_8FA9_0008C7809E09_.wvu.PrintTitles" localSheetId="9" hidden="1">#REF!,#REF!</definedName>
    <definedName name="Z_179EFDD7_A1B1_11D3_8FA9_0008C7809E09_.wvu.PrintTitles" hidden="1">#REF!,#REF!</definedName>
    <definedName name="Z_179EFDD8_A1B1_11D3_8FA9_0008C7809E09_.wvu.PrintArea" localSheetId="9" hidden="1">#REF!</definedName>
    <definedName name="Z_179EFDD8_A1B1_11D3_8FA9_0008C7809E09_.wvu.PrintArea" hidden="1">#REF!</definedName>
    <definedName name="Z_179EFDD8_A1B1_11D3_8FA9_0008C7809E09_.wvu.PrintTitles" localSheetId="9" hidden="1">#REF!,#REF!</definedName>
    <definedName name="Z_179EFDD8_A1B1_11D3_8FA9_0008C7809E09_.wvu.PrintTitles" hidden="1">#REF!,#REF!</definedName>
    <definedName name="Z_179EFDD9_A1B1_11D3_8FA9_0008C7809E09_.wvu.PrintArea" localSheetId="9" hidden="1">#REF!</definedName>
    <definedName name="Z_179EFDD9_A1B1_11D3_8FA9_0008C7809E09_.wvu.PrintArea" hidden="1">#REF!</definedName>
    <definedName name="Z_179EFDD9_A1B1_11D3_8FA9_0008C7809E09_.wvu.PrintTitles" localSheetId="9" hidden="1">#REF!,#REF!</definedName>
    <definedName name="Z_179EFDD9_A1B1_11D3_8FA9_0008C7809E09_.wvu.PrintTitles" hidden="1">#REF!,#REF!</definedName>
    <definedName name="Z_179EFDDA_A1B1_11D3_8FA9_0008C7809E09_.wvu.PrintArea" localSheetId="9" hidden="1">#REF!</definedName>
    <definedName name="Z_179EFDDA_A1B1_11D3_8FA9_0008C7809E09_.wvu.PrintArea" hidden="1">#REF!</definedName>
    <definedName name="Z_179EFDDA_A1B1_11D3_8FA9_0008C7809E09_.wvu.PrintTitles" localSheetId="9" hidden="1">#REF!,#REF!</definedName>
    <definedName name="Z_179EFDDA_A1B1_11D3_8FA9_0008C7809E09_.wvu.PrintTitles" hidden="1">#REF!,#REF!</definedName>
    <definedName name="Z_179EFDDB_A1B1_11D3_8FA9_0008C7809E09_.wvu.PrintArea" localSheetId="9" hidden="1">#REF!</definedName>
    <definedName name="Z_179EFDDB_A1B1_11D3_8FA9_0008C7809E09_.wvu.PrintArea" hidden="1">#REF!</definedName>
    <definedName name="Z_179EFDDB_A1B1_11D3_8FA9_0008C7809E09_.wvu.PrintTitles" localSheetId="9" hidden="1">#REF!,#REF!</definedName>
    <definedName name="Z_179EFDDB_A1B1_11D3_8FA9_0008C7809E09_.wvu.PrintTitles" hidden="1">#REF!,#REF!</definedName>
    <definedName name="Z_179EFDDC_A1B1_11D3_8FA9_0008C7809E09_.wvu.PrintArea" localSheetId="9" hidden="1">#REF!</definedName>
    <definedName name="Z_179EFDDC_A1B1_11D3_8FA9_0008C7809E09_.wvu.PrintArea" hidden="1">#REF!</definedName>
    <definedName name="Z_179EFDDC_A1B1_11D3_8FA9_0008C7809E09_.wvu.PrintTitles" localSheetId="9" hidden="1">#REF!,#REF!</definedName>
    <definedName name="Z_179EFDDC_A1B1_11D3_8FA9_0008C7809E09_.wvu.PrintTitles" hidden="1">#REF!,#REF!</definedName>
    <definedName name="Z_179EFDDD_A1B1_11D3_8FA9_0008C7809E09_.wvu.PrintArea" localSheetId="9" hidden="1">#REF!</definedName>
    <definedName name="Z_179EFDDD_A1B1_11D3_8FA9_0008C7809E09_.wvu.PrintArea" hidden="1">#REF!</definedName>
    <definedName name="Z_179EFDDD_A1B1_11D3_8FA9_0008C7809E09_.wvu.PrintTitles" localSheetId="9" hidden="1">#REF!,#REF!</definedName>
    <definedName name="Z_179EFDDD_A1B1_11D3_8FA9_0008C7809E09_.wvu.PrintTitles" hidden="1">#REF!,#REF!</definedName>
    <definedName name="Z_179EFDDE_A1B1_11D3_8FA9_0008C7809E09_.wvu.PrintArea" localSheetId="9" hidden="1">#REF!</definedName>
    <definedName name="Z_179EFDDE_A1B1_11D3_8FA9_0008C7809E09_.wvu.PrintArea" hidden="1">#REF!</definedName>
    <definedName name="Z_179EFDDE_A1B1_11D3_8FA9_0008C7809E09_.wvu.PrintTitles" localSheetId="9" hidden="1">#REF!,#REF!</definedName>
    <definedName name="Z_179EFDDE_A1B1_11D3_8FA9_0008C7809E09_.wvu.PrintTitles" hidden="1">#REF!,#REF!</definedName>
    <definedName name="Z_179EFDDF_A1B1_11D3_8FA9_0008C7809E09_.wvu.PrintArea" localSheetId="9" hidden="1">#REF!</definedName>
    <definedName name="Z_179EFDDF_A1B1_11D3_8FA9_0008C7809E09_.wvu.PrintArea" hidden="1">#REF!</definedName>
    <definedName name="Z_179EFDDF_A1B1_11D3_8FA9_0008C7809E09_.wvu.PrintTitles" localSheetId="9" hidden="1">#REF!,#REF!</definedName>
    <definedName name="Z_179EFDDF_A1B1_11D3_8FA9_0008C7809E09_.wvu.PrintTitles" hidden="1">#REF!,#REF!</definedName>
    <definedName name="Z_179EFDE0_A1B1_11D3_8FA9_0008C7809E09_.wvu.PrintArea" localSheetId="9" hidden="1">#REF!</definedName>
    <definedName name="Z_179EFDE0_A1B1_11D3_8FA9_0008C7809E09_.wvu.PrintArea" hidden="1">#REF!</definedName>
    <definedName name="Z_179EFDE0_A1B1_11D3_8FA9_0008C7809E09_.wvu.PrintTitles" localSheetId="9" hidden="1">#REF!,#REF!</definedName>
    <definedName name="Z_179EFDE0_A1B1_11D3_8FA9_0008C7809E09_.wvu.PrintTitles" hidden="1">#REF!,#REF!</definedName>
    <definedName name="Z_179EFDE1_A1B1_11D3_8FA9_0008C7809E09_.wvu.PrintArea" localSheetId="9" hidden="1">#REF!</definedName>
    <definedName name="Z_179EFDE1_A1B1_11D3_8FA9_0008C7809E09_.wvu.PrintArea" hidden="1">#REF!</definedName>
    <definedName name="Z_179EFDE1_A1B1_11D3_8FA9_0008C7809E09_.wvu.PrintTitles" localSheetId="9" hidden="1">#REF!,#REF!</definedName>
    <definedName name="Z_179EFDE1_A1B1_11D3_8FA9_0008C7809E09_.wvu.PrintTitles" hidden="1">#REF!,#REF!</definedName>
    <definedName name="Z_179EFDE2_A1B1_11D3_8FA9_0008C7809E09_.wvu.PrintArea" localSheetId="9" hidden="1">#REF!</definedName>
    <definedName name="Z_179EFDE2_A1B1_11D3_8FA9_0008C7809E09_.wvu.PrintArea" hidden="1">#REF!</definedName>
    <definedName name="Z_179EFDE2_A1B1_11D3_8FA9_0008C7809E09_.wvu.PrintTitles" localSheetId="9" hidden="1">#REF!,#REF!</definedName>
    <definedName name="Z_179EFDE2_A1B1_11D3_8FA9_0008C7809E09_.wvu.PrintTitles" hidden="1">#REF!,#REF!</definedName>
    <definedName name="Z_179EFDE3_A1B1_11D3_8FA9_0008C7809E09_.wvu.PrintArea" localSheetId="9" hidden="1">#REF!</definedName>
    <definedName name="Z_179EFDE3_A1B1_11D3_8FA9_0008C7809E09_.wvu.PrintArea" hidden="1">#REF!</definedName>
    <definedName name="Z_179EFDE3_A1B1_11D3_8FA9_0008C7809E09_.wvu.PrintTitles" localSheetId="9" hidden="1">#REF!,#REF!</definedName>
    <definedName name="Z_179EFDE3_A1B1_11D3_8FA9_0008C7809E09_.wvu.PrintTitles" hidden="1">#REF!,#REF!</definedName>
    <definedName name="Z_179EFDE4_A1B1_11D3_8FA9_0008C7809E09_.wvu.PrintArea" localSheetId="9" hidden="1">#REF!</definedName>
    <definedName name="Z_179EFDE4_A1B1_11D3_8FA9_0008C7809E09_.wvu.PrintArea" hidden="1">#REF!</definedName>
    <definedName name="Z_179EFDE4_A1B1_11D3_8FA9_0008C7809E09_.wvu.PrintTitles" localSheetId="9" hidden="1">#REF!,#REF!</definedName>
    <definedName name="Z_179EFDE4_A1B1_11D3_8FA9_0008C7809E09_.wvu.PrintTitles" hidden="1">#REF!,#REF!</definedName>
    <definedName name="Z_179EFDE5_A1B1_11D3_8FA9_0008C7809E09_.wvu.PrintArea" localSheetId="9" hidden="1">#REF!</definedName>
    <definedName name="Z_179EFDE5_A1B1_11D3_8FA9_0008C7809E09_.wvu.PrintArea" hidden="1">#REF!</definedName>
    <definedName name="Z_179EFDE5_A1B1_11D3_8FA9_0008C7809E09_.wvu.PrintTitles" localSheetId="9" hidden="1">#REF!,#REF!</definedName>
    <definedName name="Z_179EFDE5_A1B1_11D3_8FA9_0008C7809E09_.wvu.PrintTitles" hidden="1">#REF!,#REF!</definedName>
    <definedName name="Z_179EFDE6_A1B1_11D3_8FA9_0008C7809E09_.wvu.PrintArea" localSheetId="9" hidden="1">#REF!</definedName>
    <definedName name="Z_179EFDE6_A1B1_11D3_8FA9_0008C7809E09_.wvu.PrintArea" hidden="1">#REF!</definedName>
    <definedName name="Z_179EFDE6_A1B1_11D3_8FA9_0008C7809E09_.wvu.PrintTitles" localSheetId="9" hidden="1">#REF!</definedName>
    <definedName name="Z_179EFDE6_A1B1_11D3_8FA9_0008C7809E09_.wvu.PrintTitles" hidden="1">#REF!</definedName>
    <definedName name="Z_179EFDE7_A1B1_11D3_8FA9_0008C7809E09_.wvu.PrintArea" localSheetId="9" hidden="1">#REF!</definedName>
    <definedName name="Z_179EFDE7_A1B1_11D3_8FA9_0008C7809E09_.wvu.PrintArea" hidden="1">#REF!</definedName>
    <definedName name="Z_179EFDE7_A1B1_11D3_8FA9_0008C7809E09_.wvu.PrintTitles" localSheetId="9" hidden="1">#REF!</definedName>
    <definedName name="Z_179EFDE7_A1B1_11D3_8FA9_0008C7809E09_.wvu.PrintTitles" hidden="1">#REF!</definedName>
    <definedName name="Z_179EFDE8_A1B1_11D3_8FA9_0008C7809E09_.wvu.PrintArea" localSheetId="9" hidden="1">#REF!</definedName>
    <definedName name="Z_179EFDE8_A1B1_11D3_8FA9_0008C7809E09_.wvu.PrintArea" hidden="1">#REF!</definedName>
    <definedName name="Z_179EFDE8_A1B1_11D3_8FA9_0008C7809E09_.wvu.PrintTitles" localSheetId="9" hidden="1">#REF!</definedName>
    <definedName name="Z_179EFDE8_A1B1_11D3_8FA9_0008C7809E09_.wvu.PrintTitles" hidden="1">#REF!</definedName>
    <definedName name="Z_179EFDE9_A1B1_11D3_8FA9_0008C7809E09_.wvu.PrintArea" localSheetId="9" hidden="1">#REF!</definedName>
    <definedName name="Z_179EFDE9_A1B1_11D3_8FA9_0008C7809E09_.wvu.PrintArea" hidden="1">#REF!</definedName>
    <definedName name="Z_179EFDE9_A1B1_11D3_8FA9_0008C7809E09_.wvu.PrintTitles" localSheetId="9" hidden="1">#REF!</definedName>
    <definedName name="Z_179EFDE9_A1B1_11D3_8FA9_0008C7809E09_.wvu.PrintTitles" hidden="1">#REF!</definedName>
    <definedName name="Z_179EFDEA_A1B1_11D3_8FA9_0008C7809E09_.wvu.PrintArea" localSheetId="9" hidden="1">#REF!</definedName>
    <definedName name="Z_179EFDEA_A1B1_11D3_8FA9_0008C7809E09_.wvu.PrintArea" hidden="1">#REF!</definedName>
    <definedName name="Z_179EFDEA_A1B1_11D3_8FA9_0008C7809E09_.wvu.PrintTitles" localSheetId="9" hidden="1">#REF!</definedName>
    <definedName name="Z_179EFDEA_A1B1_11D3_8FA9_0008C7809E09_.wvu.PrintTitles" hidden="1">#REF!</definedName>
    <definedName name="Z_179EFDEB_A1B1_11D3_8FA9_0008C7809E09_.wvu.PrintArea" localSheetId="9" hidden="1">#REF!</definedName>
    <definedName name="Z_179EFDEB_A1B1_11D3_8FA9_0008C7809E09_.wvu.PrintArea" hidden="1">#REF!</definedName>
    <definedName name="Z_179EFDEB_A1B1_11D3_8FA9_0008C7809E09_.wvu.PrintTitles" localSheetId="9" hidden="1">#REF!</definedName>
    <definedName name="Z_179EFDEB_A1B1_11D3_8FA9_0008C7809E09_.wvu.PrintTitles" hidden="1">#REF!</definedName>
    <definedName name="Z_179EFDEC_A1B1_11D3_8FA9_0008C7809E09_.wvu.PrintArea" localSheetId="9" hidden="1">#REF!</definedName>
    <definedName name="Z_179EFDEC_A1B1_11D3_8FA9_0008C7809E09_.wvu.PrintArea" hidden="1">#REF!</definedName>
    <definedName name="Z_179EFDEC_A1B1_11D3_8FA9_0008C7809E09_.wvu.PrintTitles" localSheetId="9" hidden="1">#REF!</definedName>
    <definedName name="Z_179EFDEC_A1B1_11D3_8FA9_0008C7809E09_.wvu.PrintTitles" hidden="1">#REF!</definedName>
    <definedName name="Z_179EFDED_A1B1_11D3_8FA9_0008C7809E09_.wvu.PrintArea" localSheetId="9" hidden="1">#REF!</definedName>
    <definedName name="Z_179EFDED_A1B1_11D3_8FA9_0008C7809E09_.wvu.PrintArea" hidden="1">#REF!</definedName>
    <definedName name="Z_179EFDED_A1B1_11D3_8FA9_0008C7809E09_.wvu.PrintTitles" localSheetId="9" hidden="1">#REF!</definedName>
    <definedName name="Z_179EFDED_A1B1_11D3_8FA9_0008C7809E09_.wvu.PrintTitles" hidden="1">#REF!</definedName>
    <definedName name="Z_179EFDEE_A1B1_11D3_8FA9_0008C7809E09_.wvu.PrintArea" localSheetId="9" hidden="1">#REF!</definedName>
    <definedName name="Z_179EFDEE_A1B1_11D3_8FA9_0008C7809E09_.wvu.PrintArea" hidden="1">#REF!</definedName>
    <definedName name="Z_179EFDEE_A1B1_11D3_8FA9_0008C7809E09_.wvu.PrintTitles" localSheetId="9" hidden="1">#REF!</definedName>
    <definedName name="Z_179EFDEE_A1B1_11D3_8FA9_0008C7809E09_.wvu.PrintTitles" hidden="1">#REF!</definedName>
    <definedName name="Z_179EFDEF_A1B1_11D3_8FA9_0008C7809E09_.wvu.PrintArea" localSheetId="9" hidden="1">#REF!</definedName>
    <definedName name="Z_179EFDEF_A1B1_11D3_8FA9_0008C7809E09_.wvu.PrintArea" hidden="1">#REF!</definedName>
    <definedName name="Z_179EFDEF_A1B1_11D3_8FA9_0008C7809E09_.wvu.PrintTitles" localSheetId="9" hidden="1">#REF!</definedName>
    <definedName name="Z_179EFDEF_A1B1_11D3_8FA9_0008C7809E09_.wvu.PrintTitles" hidden="1">#REF!</definedName>
    <definedName name="Z_179EFDF0_A1B1_11D3_8FA9_0008C7809E09_.wvu.PrintArea" localSheetId="9" hidden="1">#REF!</definedName>
    <definedName name="Z_179EFDF0_A1B1_11D3_8FA9_0008C7809E09_.wvu.PrintArea" hidden="1">#REF!</definedName>
    <definedName name="Z_179EFDF0_A1B1_11D3_8FA9_0008C7809E09_.wvu.PrintTitles" localSheetId="9" hidden="1">#REF!</definedName>
    <definedName name="Z_179EFDF0_A1B1_11D3_8FA9_0008C7809E09_.wvu.PrintTitles" hidden="1">#REF!</definedName>
    <definedName name="Z_179EFDF1_A1B1_11D3_8FA9_0008C7809E09_.wvu.PrintArea" localSheetId="9" hidden="1">#REF!</definedName>
    <definedName name="Z_179EFDF1_A1B1_11D3_8FA9_0008C7809E09_.wvu.PrintArea" hidden="1">#REF!</definedName>
    <definedName name="Z_179EFDF1_A1B1_11D3_8FA9_0008C7809E09_.wvu.PrintTitles" localSheetId="9" hidden="1">#REF!</definedName>
    <definedName name="Z_179EFDF1_A1B1_11D3_8FA9_0008C7809E09_.wvu.PrintTitles" hidden="1">#REF!</definedName>
    <definedName name="Z_179EFDF2_A1B1_11D3_8FA9_0008C7809E09_.wvu.PrintArea" localSheetId="9" hidden="1">#REF!</definedName>
    <definedName name="Z_179EFDF2_A1B1_11D3_8FA9_0008C7809E09_.wvu.PrintArea" hidden="1">#REF!</definedName>
    <definedName name="Z_179EFDF2_A1B1_11D3_8FA9_0008C7809E09_.wvu.PrintTitles" localSheetId="9" hidden="1">#REF!</definedName>
    <definedName name="Z_179EFDF2_A1B1_11D3_8FA9_0008C7809E09_.wvu.PrintTitles" hidden="1">#REF!</definedName>
    <definedName name="Z_179EFDF3_A1B1_11D3_8FA9_0008C7809E09_.wvu.PrintArea" localSheetId="9" hidden="1">#REF!</definedName>
    <definedName name="Z_179EFDF3_A1B1_11D3_8FA9_0008C7809E09_.wvu.PrintArea" hidden="1">#REF!</definedName>
    <definedName name="Z_179EFDF3_A1B1_11D3_8FA9_0008C7809E09_.wvu.PrintTitles" localSheetId="9" hidden="1">#REF!,#REF!</definedName>
    <definedName name="Z_179EFDF3_A1B1_11D3_8FA9_0008C7809E09_.wvu.PrintTitles" hidden="1">#REF!,#REF!</definedName>
    <definedName name="Z_179EFDF4_A1B1_11D3_8FA9_0008C7809E09_.wvu.PrintArea" localSheetId="9" hidden="1">#REF!</definedName>
    <definedName name="Z_179EFDF4_A1B1_11D3_8FA9_0008C7809E09_.wvu.PrintArea" hidden="1">#REF!</definedName>
    <definedName name="Z_179EFDF4_A1B1_11D3_8FA9_0008C7809E09_.wvu.PrintTitles" localSheetId="9" hidden="1">#REF!,#REF!</definedName>
    <definedName name="Z_179EFDF4_A1B1_11D3_8FA9_0008C7809E09_.wvu.PrintTitles" hidden="1">#REF!,#REF!</definedName>
    <definedName name="Z_179EFDF5_A1B1_11D3_8FA9_0008C7809E09_.wvu.PrintArea" localSheetId="9" hidden="1">#REF!</definedName>
    <definedName name="Z_179EFDF5_A1B1_11D3_8FA9_0008C7809E09_.wvu.PrintArea" hidden="1">#REF!</definedName>
    <definedName name="Z_179EFDF5_A1B1_11D3_8FA9_0008C7809E09_.wvu.PrintTitles" localSheetId="9" hidden="1">#REF!,#REF!</definedName>
    <definedName name="Z_179EFDF5_A1B1_11D3_8FA9_0008C7809E09_.wvu.PrintTitles" hidden="1">#REF!,#REF!</definedName>
    <definedName name="Z_179EFDF6_A1B1_11D3_8FA9_0008C7809E09_.wvu.PrintArea" localSheetId="9" hidden="1">#REF!</definedName>
    <definedName name="Z_179EFDF6_A1B1_11D3_8FA9_0008C7809E09_.wvu.PrintArea" hidden="1">#REF!</definedName>
    <definedName name="Z_179EFDF6_A1B1_11D3_8FA9_0008C7809E09_.wvu.PrintTitles" localSheetId="9" hidden="1">#REF!,#REF!</definedName>
    <definedName name="Z_179EFDF6_A1B1_11D3_8FA9_0008C7809E09_.wvu.PrintTitles" hidden="1">#REF!,#REF!</definedName>
    <definedName name="Z_179EFDF7_A1B1_11D3_8FA9_0008C7809E09_.wvu.PrintArea" localSheetId="9" hidden="1">#REF!</definedName>
    <definedName name="Z_179EFDF7_A1B1_11D3_8FA9_0008C7809E09_.wvu.PrintArea" hidden="1">#REF!</definedName>
    <definedName name="Z_179EFDF7_A1B1_11D3_8FA9_0008C7809E09_.wvu.PrintTitles" localSheetId="9" hidden="1">#REF!,#REF!</definedName>
    <definedName name="Z_179EFDF7_A1B1_11D3_8FA9_0008C7809E09_.wvu.PrintTitles" hidden="1">#REF!,#REF!</definedName>
    <definedName name="Z_179EFDF8_A1B1_11D3_8FA9_0008C7809E09_.wvu.PrintArea" localSheetId="9" hidden="1">#REF!</definedName>
    <definedName name="Z_179EFDF8_A1B1_11D3_8FA9_0008C7809E09_.wvu.PrintArea" hidden="1">#REF!</definedName>
    <definedName name="Z_179EFDF8_A1B1_11D3_8FA9_0008C7809E09_.wvu.PrintTitles" localSheetId="9" hidden="1">#REF!,#REF!</definedName>
    <definedName name="Z_179EFDF8_A1B1_11D3_8FA9_0008C7809E09_.wvu.PrintTitles" hidden="1">#REF!,#REF!</definedName>
    <definedName name="Z_179EFDF9_A1B1_11D3_8FA9_0008C7809E09_.wvu.PrintArea" localSheetId="9" hidden="1">#REF!</definedName>
    <definedName name="Z_179EFDF9_A1B1_11D3_8FA9_0008C7809E09_.wvu.PrintArea" hidden="1">#REF!</definedName>
    <definedName name="Z_179EFDF9_A1B1_11D3_8FA9_0008C7809E09_.wvu.PrintTitles" localSheetId="9" hidden="1">#REF!,#REF!</definedName>
    <definedName name="Z_179EFDF9_A1B1_11D3_8FA9_0008C7809E09_.wvu.PrintTitles" hidden="1">#REF!,#REF!</definedName>
    <definedName name="Z_179EFDFA_A1B1_11D3_8FA9_0008C7809E09_.wvu.PrintArea" localSheetId="9" hidden="1">#REF!</definedName>
    <definedName name="Z_179EFDFA_A1B1_11D3_8FA9_0008C7809E09_.wvu.PrintArea" hidden="1">#REF!</definedName>
    <definedName name="Z_179EFDFA_A1B1_11D3_8FA9_0008C7809E09_.wvu.PrintTitles" localSheetId="9" hidden="1">#REF!,#REF!</definedName>
    <definedName name="Z_179EFDFA_A1B1_11D3_8FA9_0008C7809E09_.wvu.PrintTitles" hidden="1">#REF!,#REF!</definedName>
    <definedName name="Z_179EFDFB_A1B1_11D3_8FA9_0008C7809E09_.wvu.PrintArea" localSheetId="9" hidden="1">#REF!</definedName>
    <definedName name="Z_179EFDFB_A1B1_11D3_8FA9_0008C7809E09_.wvu.PrintArea" hidden="1">#REF!</definedName>
    <definedName name="Z_179EFDFB_A1B1_11D3_8FA9_0008C7809E09_.wvu.PrintTitles" localSheetId="9" hidden="1">#REF!,#REF!</definedName>
    <definedName name="Z_179EFDFB_A1B1_11D3_8FA9_0008C7809E09_.wvu.PrintTitles" hidden="1">#REF!,#REF!</definedName>
    <definedName name="Z_179EFDFC_A1B1_11D3_8FA9_0008C7809E09_.wvu.PrintArea" localSheetId="9" hidden="1">#REF!</definedName>
    <definedName name="Z_179EFDFC_A1B1_11D3_8FA9_0008C7809E09_.wvu.PrintArea" hidden="1">#REF!</definedName>
    <definedName name="Z_179EFDFC_A1B1_11D3_8FA9_0008C7809E09_.wvu.PrintTitles" localSheetId="9" hidden="1">#REF!,#REF!</definedName>
    <definedName name="Z_179EFDFC_A1B1_11D3_8FA9_0008C7809E09_.wvu.PrintTitles" hidden="1">#REF!,#REF!</definedName>
    <definedName name="Z_179EFDFD_A1B1_11D3_8FA9_0008C7809E09_.wvu.PrintArea" localSheetId="9" hidden="1">#REF!</definedName>
    <definedName name="Z_179EFDFD_A1B1_11D3_8FA9_0008C7809E09_.wvu.PrintArea" hidden="1">#REF!</definedName>
    <definedName name="Z_179EFDFD_A1B1_11D3_8FA9_0008C7809E09_.wvu.PrintTitles" localSheetId="9" hidden="1">#REF!,#REF!</definedName>
    <definedName name="Z_179EFDFD_A1B1_11D3_8FA9_0008C7809E09_.wvu.PrintTitles" hidden="1">#REF!,#REF!</definedName>
    <definedName name="Z_179EFDFE_A1B1_11D3_8FA9_0008C7809E09_.wvu.PrintArea" localSheetId="9" hidden="1">#REF!</definedName>
    <definedName name="Z_179EFDFE_A1B1_11D3_8FA9_0008C7809E09_.wvu.PrintArea" hidden="1">#REF!</definedName>
    <definedName name="Z_179EFDFE_A1B1_11D3_8FA9_0008C7809E09_.wvu.PrintTitles" localSheetId="9" hidden="1">#REF!,#REF!</definedName>
    <definedName name="Z_179EFDFE_A1B1_11D3_8FA9_0008C7809E09_.wvu.PrintTitles" hidden="1">#REF!,#REF!</definedName>
    <definedName name="Z_179EFDFF_A1B1_11D3_8FA9_0008C7809E09_.wvu.PrintArea" localSheetId="9" hidden="1">#REF!</definedName>
    <definedName name="Z_179EFDFF_A1B1_11D3_8FA9_0008C7809E09_.wvu.PrintArea" hidden="1">#REF!</definedName>
    <definedName name="Z_179EFDFF_A1B1_11D3_8FA9_0008C7809E09_.wvu.PrintTitles" localSheetId="9" hidden="1">#REF!,#REF!</definedName>
    <definedName name="Z_179EFDFF_A1B1_11D3_8FA9_0008C7809E09_.wvu.PrintTitles" hidden="1">#REF!,#REF!</definedName>
    <definedName name="Z_179EFE00_A1B1_11D3_8FA9_0008C7809E09_.wvu.PrintArea" localSheetId="9" hidden="1">#REF!</definedName>
    <definedName name="Z_179EFE00_A1B1_11D3_8FA9_0008C7809E09_.wvu.PrintArea" hidden="1">#REF!</definedName>
    <definedName name="Z_179EFE00_A1B1_11D3_8FA9_0008C7809E09_.wvu.PrintTitles" localSheetId="9" hidden="1">#REF!,#REF!</definedName>
    <definedName name="Z_179EFE00_A1B1_11D3_8FA9_0008C7809E09_.wvu.PrintTitles" hidden="1">#REF!,#REF!</definedName>
    <definedName name="Z_179EFE01_A1B1_11D3_8FA9_0008C7809E09_.wvu.PrintArea" localSheetId="9" hidden="1">#REF!</definedName>
    <definedName name="Z_179EFE01_A1B1_11D3_8FA9_0008C7809E09_.wvu.PrintArea" hidden="1">#REF!</definedName>
    <definedName name="Z_179EFE01_A1B1_11D3_8FA9_0008C7809E09_.wvu.PrintTitles" localSheetId="9" hidden="1">#REF!,#REF!</definedName>
    <definedName name="Z_179EFE01_A1B1_11D3_8FA9_0008C7809E09_.wvu.PrintTitles" hidden="1">#REF!,#REF!</definedName>
    <definedName name="Z_179EFE02_A1B1_11D3_8FA9_0008C7809E09_.wvu.PrintArea" localSheetId="9" hidden="1">#REF!</definedName>
    <definedName name="Z_179EFE02_A1B1_11D3_8FA9_0008C7809E09_.wvu.PrintArea" hidden="1">#REF!</definedName>
    <definedName name="Z_179EFE02_A1B1_11D3_8FA9_0008C7809E09_.wvu.PrintTitles" localSheetId="9" hidden="1">#REF!,#REF!</definedName>
    <definedName name="Z_179EFE02_A1B1_11D3_8FA9_0008C7809E09_.wvu.PrintTitles" hidden="1">#REF!,#REF!</definedName>
    <definedName name="Z_179EFE03_A1B1_11D3_8FA9_0008C7809E09_.wvu.PrintArea" localSheetId="9" hidden="1">#REF!</definedName>
    <definedName name="Z_179EFE03_A1B1_11D3_8FA9_0008C7809E09_.wvu.PrintArea" hidden="1">#REF!</definedName>
    <definedName name="Z_179EFE03_A1B1_11D3_8FA9_0008C7809E09_.wvu.PrintTitles" localSheetId="9" hidden="1">#REF!,#REF!</definedName>
    <definedName name="Z_179EFE03_A1B1_11D3_8FA9_0008C7809E09_.wvu.PrintTitles" hidden="1">#REF!,#REF!</definedName>
    <definedName name="Z_179EFE04_A1B1_11D3_8FA9_0008C7809E09_.wvu.PrintArea" localSheetId="9" hidden="1">#REF!</definedName>
    <definedName name="Z_179EFE04_A1B1_11D3_8FA9_0008C7809E09_.wvu.PrintArea" hidden="1">#REF!</definedName>
    <definedName name="Z_179EFE04_A1B1_11D3_8FA9_0008C7809E09_.wvu.PrintTitles" localSheetId="9" hidden="1">#REF!,#REF!</definedName>
    <definedName name="Z_179EFE04_A1B1_11D3_8FA9_0008C7809E09_.wvu.PrintTitles" hidden="1">#REF!,#REF!</definedName>
    <definedName name="Z_179EFE05_A1B1_11D3_8FA9_0008C7809E09_.wvu.PrintArea" localSheetId="9" hidden="1">#REF!</definedName>
    <definedName name="Z_179EFE05_A1B1_11D3_8FA9_0008C7809E09_.wvu.PrintArea" hidden="1">#REF!</definedName>
    <definedName name="Z_179EFE05_A1B1_11D3_8FA9_0008C7809E09_.wvu.PrintTitles" localSheetId="9" hidden="1">#REF!,#REF!</definedName>
    <definedName name="Z_179EFE05_A1B1_11D3_8FA9_0008C7809E09_.wvu.PrintTitles" hidden="1">#REF!,#REF!</definedName>
    <definedName name="Z_179EFE06_A1B1_11D3_8FA9_0008C7809E09_.wvu.PrintArea" localSheetId="9" hidden="1">#REF!</definedName>
    <definedName name="Z_179EFE06_A1B1_11D3_8FA9_0008C7809E09_.wvu.PrintArea" hidden="1">#REF!</definedName>
    <definedName name="Z_179EFE06_A1B1_11D3_8FA9_0008C7809E09_.wvu.PrintTitles" localSheetId="9" hidden="1">#REF!,#REF!</definedName>
    <definedName name="Z_179EFE06_A1B1_11D3_8FA9_0008C7809E09_.wvu.PrintTitles" hidden="1">#REF!,#REF!</definedName>
    <definedName name="Z_179EFE07_A1B1_11D3_8FA9_0008C7809E09_.wvu.PrintArea" localSheetId="9" hidden="1">#REF!</definedName>
    <definedName name="Z_179EFE07_A1B1_11D3_8FA9_0008C7809E09_.wvu.PrintArea" hidden="1">#REF!</definedName>
    <definedName name="Z_179EFE07_A1B1_11D3_8FA9_0008C7809E09_.wvu.PrintTitles" localSheetId="9" hidden="1">#REF!,#REF!</definedName>
    <definedName name="Z_179EFE07_A1B1_11D3_8FA9_0008C7809E09_.wvu.PrintTitles" hidden="1">#REF!,#REF!</definedName>
    <definedName name="Z_179EFE08_A1B1_11D3_8FA9_0008C7809E09_.wvu.PrintArea" localSheetId="9" hidden="1">#REF!</definedName>
    <definedName name="Z_179EFE08_A1B1_11D3_8FA9_0008C7809E09_.wvu.PrintArea" hidden="1">#REF!</definedName>
    <definedName name="Z_179EFE08_A1B1_11D3_8FA9_0008C7809E09_.wvu.PrintTitles" localSheetId="9" hidden="1">#REF!,#REF!</definedName>
    <definedName name="Z_179EFE08_A1B1_11D3_8FA9_0008C7809E09_.wvu.PrintTitles" hidden="1">#REF!,#REF!</definedName>
    <definedName name="Z_179EFE09_A1B1_11D3_8FA9_0008C7809E09_.wvu.PrintArea" localSheetId="9" hidden="1">#REF!</definedName>
    <definedName name="Z_179EFE09_A1B1_11D3_8FA9_0008C7809E09_.wvu.PrintArea" hidden="1">#REF!</definedName>
    <definedName name="Z_179EFE09_A1B1_11D3_8FA9_0008C7809E09_.wvu.PrintTitles" localSheetId="9" hidden="1">#REF!,#REF!</definedName>
    <definedName name="Z_179EFE09_A1B1_11D3_8FA9_0008C7809E09_.wvu.PrintTitles" hidden="1">#REF!,#REF!</definedName>
    <definedName name="Z_179EFE0A_A1B1_11D3_8FA9_0008C7809E09_.wvu.PrintArea" localSheetId="9" hidden="1">#REF!</definedName>
    <definedName name="Z_179EFE0A_A1B1_11D3_8FA9_0008C7809E09_.wvu.PrintArea" hidden="1">#REF!</definedName>
    <definedName name="Z_179EFE0A_A1B1_11D3_8FA9_0008C7809E09_.wvu.PrintTitles" localSheetId="9" hidden="1">#REF!,#REF!</definedName>
    <definedName name="Z_179EFE0A_A1B1_11D3_8FA9_0008C7809E09_.wvu.PrintTitles" hidden="1">#REF!,#REF!</definedName>
    <definedName name="Z_179EFE0B_A1B1_11D3_8FA9_0008C7809E09_.wvu.PrintArea" localSheetId="9" hidden="1">#REF!</definedName>
    <definedName name="Z_179EFE0B_A1B1_11D3_8FA9_0008C7809E09_.wvu.PrintArea" hidden="1">#REF!</definedName>
    <definedName name="Z_179EFE0B_A1B1_11D3_8FA9_0008C7809E09_.wvu.PrintTitles" localSheetId="9" hidden="1">#REF!,#REF!</definedName>
    <definedName name="Z_179EFE0B_A1B1_11D3_8FA9_0008C7809E09_.wvu.PrintTitles" hidden="1">#REF!,#REF!</definedName>
    <definedName name="Z_179EFE0C_A1B1_11D3_8FA9_0008C7809E09_.wvu.PrintArea" localSheetId="9" hidden="1">#REF!</definedName>
    <definedName name="Z_179EFE0C_A1B1_11D3_8FA9_0008C7809E09_.wvu.PrintArea" hidden="1">#REF!</definedName>
    <definedName name="Z_179EFE0C_A1B1_11D3_8FA9_0008C7809E09_.wvu.PrintTitles" localSheetId="9" hidden="1">#REF!,#REF!</definedName>
    <definedName name="Z_179EFE0C_A1B1_11D3_8FA9_0008C7809E09_.wvu.PrintTitles" hidden="1">#REF!,#REF!</definedName>
    <definedName name="Z_179EFE0D_A1B1_11D3_8FA9_0008C7809E09_.wvu.PrintArea" localSheetId="9" hidden="1">#REF!</definedName>
    <definedName name="Z_179EFE0D_A1B1_11D3_8FA9_0008C7809E09_.wvu.PrintArea" hidden="1">#REF!</definedName>
    <definedName name="Z_179EFE0D_A1B1_11D3_8FA9_0008C7809E09_.wvu.PrintTitles" localSheetId="9" hidden="1">#REF!,#REF!</definedName>
    <definedName name="Z_179EFE0D_A1B1_11D3_8FA9_0008C7809E09_.wvu.PrintTitles" hidden="1">#REF!,#REF!</definedName>
    <definedName name="Z_179EFE0E_A1B1_11D3_8FA9_0008C7809E09_.wvu.PrintArea" localSheetId="9" hidden="1">#REF!</definedName>
    <definedName name="Z_179EFE0E_A1B1_11D3_8FA9_0008C7809E09_.wvu.PrintArea" hidden="1">#REF!</definedName>
    <definedName name="Z_179EFE0E_A1B1_11D3_8FA9_0008C7809E09_.wvu.PrintTitles" localSheetId="9" hidden="1">#REF!,#REF!</definedName>
    <definedName name="Z_179EFE0E_A1B1_11D3_8FA9_0008C7809E09_.wvu.PrintTitles" hidden="1">#REF!,#REF!</definedName>
    <definedName name="Z_179EFE0F_A1B1_11D3_8FA9_0008C7809E09_.wvu.PrintArea" localSheetId="9" hidden="1">#REF!</definedName>
    <definedName name="Z_179EFE0F_A1B1_11D3_8FA9_0008C7809E09_.wvu.PrintArea" hidden="1">#REF!</definedName>
    <definedName name="Z_179EFE0F_A1B1_11D3_8FA9_0008C7809E09_.wvu.PrintTitles" localSheetId="9" hidden="1">#REF!,#REF!</definedName>
    <definedName name="Z_179EFE0F_A1B1_11D3_8FA9_0008C7809E09_.wvu.PrintTitles" hidden="1">#REF!,#REF!</definedName>
    <definedName name="Z_179EFE10_A1B1_11D3_8FA9_0008C7809E09_.wvu.PrintArea" localSheetId="9" hidden="1">#REF!</definedName>
    <definedName name="Z_179EFE10_A1B1_11D3_8FA9_0008C7809E09_.wvu.PrintArea" hidden="1">#REF!</definedName>
    <definedName name="Z_179EFE10_A1B1_11D3_8FA9_0008C7809E09_.wvu.PrintTitles" localSheetId="9" hidden="1">#REF!,#REF!</definedName>
    <definedName name="Z_179EFE10_A1B1_11D3_8FA9_0008C7809E09_.wvu.PrintTitles" hidden="1">#REF!,#REF!</definedName>
    <definedName name="Z_179EFE11_A1B1_11D3_8FA9_0008C7809E09_.wvu.PrintArea" localSheetId="9" hidden="1">#REF!</definedName>
    <definedName name="Z_179EFE11_A1B1_11D3_8FA9_0008C7809E09_.wvu.PrintArea" hidden="1">#REF!</definedName>
    <definedName name="Z_179EFE11_A1B1_11D3_8FA9_0008C7809E09_.wvu.PrintTitles" localSheetId="9" hidden="1">#REF!,#REF!</definedName>
    <definedName name="Z_179EFE11_A1B1_11D3_8FA9_0008C7809E09_.wvu.PrintTitles" hidden="1">#REF!,#REF!</definedName>
    <definedName name="Z_179EFE12_A1B1_11D3_8FA9_0008C7809E09_.wvu.PrintArea" localSheetId="9" hidden="1">#REF!</definedName>
    <definedName name="Z_179EFE12_A1B1_11D3_8FA9_0008C7809E09_.wvu.PrintArea" hidden="1">#REF!</definedName>
    <definedName name="Z_179EFE12_A1B1_11D3_8FA9_0008C7809E09_.wvu.PrintTitles" localSheetId="9" hidden="1">#REF!,#REF!</definedName>
    <definedName name="Z_179EFE12_A1B1_11D3_8FA9_0008C7809E09_.wvu.PrintTitles" hidden="1">#REF!,#REF!</definedName>
    <definedName name="Z_179EFE13_A1B1_11D3_8FA9_0008C7809E09_.wvu.PrintArea" localSheetId="9" hidden="1">#REF!</definedName>
    <definedName name="Z_179EFE13_A1B1_11D3_8FA9_0008C7809E09_.wvu.PrintArea" hidden="1">#REF!</definedName>
    <definedName name="Z_179EFE13_A1B1_11D3_8FA9_0008C7809E09_.wvu.PrintTitles" localSheetId="9" hidden="1">#REF!,#REF!</definedName>
    <definedName name="Z_179EFE13_A1B1_11D3_8FA9_0008C7809E09_.wvu.PrintTitles" hidden="1">#REF!,#REF!</definedName>
    <definedName name="Z_179EFE14_A1B1_11D3_8FA9_0008C7809E09_.wvu.PrintArea" localSheetId="9" hidden="1">#REF!</definedName>
    <definedName name="Z_179EFE14_A1B1_11D3_8FA9_0008C7809E09_.wvu.PrintArea" hidden="1">#REF!</definedName>
    <definedName name="Z_179EFE14_A1B1_11D3_8FA9_0008C7809E09_.wvu.PrintTitles" localSheetId="9" hidden="1">#REF!,#REF!</definedName>
    <definedName name="Z_179EFE14_A1B1_11D3_8FA9_0008C7809E09_.wvu.PrintTitles" hidden="1">#REF!,#REF!</definedName>
    <definedName name="Z_179EFE15_A1B1_11D3_8FA9_0008C7809E09_.wvu.PrintArea" localSheetId="9" hidden="1">#REF!</definedName>
    <definedName name="Z_179EFE15_A1B1_11D3_8FA9_0008C7809E09_.wvu.PrintArea" hidden="1">#REF!</definedName>
    <definedName name="Z_179EFE15_A1B1_11D3_8FA9_0008C7809E09_.wvu.PrintTitles" localSheetId="9" hidden="1">#REF!,#REF!</definedName>
    <definedName name="Z_179EFE15_A1B1_11D3_8FA9_0008C7809E09_.wvu.PrintTitles" hidden="1">#REF!,#REF!</definedName>
    <definedName name="Z_179EFE16_A1B1_11D3_8FA9_0008C7809E09_.wvu.PrintArea" localSheetId="9" hidden="1">#REF!</definedName>
    <definedName name="Z_179EFE16_A1B1_11D3_8FA9_0008C7809E09_.wvu.PrintArea" hidden="1">#REF!</definedName>
    <definedName name="Z_179EFE16_A1B1_11D3_8FA9_0008C7809E09_.wvu.PrintTitles" localSheetId="9" hidden="1">#REF!,#REF!</definedName>
    <definedName name="Z_179EFE16_A1B1_11D3_8FA9_0008C7809E09_.wvu.PrintTitles" hidden="1">#REF!,#REF!</definedName>
    <definedName name="Z_179EFE17_A1B1_11D3_8FA9_0008C7809E09_.wvu.PrintArea" localSheetId="9" hidden="1">#REF!</definedName>
    <definedName name="Z_179EFE17_A1B1_11D3_8FA9_0008C7809E09_.wvu.PrintArea" hidden="1">#REF!</definedName>
    <definedName name="Z_179EFE17_A1B1_11D3_8FA9_0008C7809E09_.wvu.PrintTitles" localSheetId="9" hidden="1">#REF!,#REF!</definedName>
    <definedName name="Z_179EFE17_A1B1_11D3_8FA9_0008C7809E09_.wvu.PrintTitles" hidden="1">#REF!,#REF!</definedName>
    <definedName name="Z_179EFE18_A1B1_11D3_8FA9_0008C7809E09_.wvu.PrintArea" localSheetId="9" hidden="1">#REF!</definedName>
    <definedName name="Z_179EFE18_A1B1_11D3_8FA9_0008C7809E09_.wvu.PrintArea" hidden="1">#REF!</definedName>
    <definedName name="Z_179EFE18_A1B1_11D3_8FA9_0008C7809E09_.wvu.PrintTitles" localSheetId="9" hidden="1">#REF!,#REF!</definedName>
    <definedName name="Z_179EFE18_A1B1_11D3_8FA9_0008C7809E09_.wvu.PrintTitles" hidden="1">#REF!,#REF!</definedName>
    <definedName name="Z_179EFE19_A1B1_11D3_8FA9_0008C7809E09_.wvu.PrintArea" localSheetId="9" hidden="1">#REF!</definedName>
    <definedName name="Z_179EFE19_A1B1_11D3_8FA9_0008C7809E09_.wvu.PrintArea" hidden="1">#REF!</definedName>
    <definedName name="Z_179EFE19_A1B1_11D3_8FA9_0008C7809E09_.wvu.PrintTitles" localSheetId="9" hidden="1">#REF!,#REF!</definedName>
    <definedName name="Z_179EFE19_A1B1_11D3_8FA9_0008C7809E09_.wvu.PrintTitles" hidden="1">#REF!,#REF!</definedName>
    <definedName name="Z_179EFE1A_A1B1_11D3_8FA9_0008C7809E09_.wvu.PrintArea" localSheetId="9" hidden="1">#REF!</definedName>
    <definedName name="Z_179EFE1A_A1B1_11D3_8FA9_0008C7809E09_.wvu.PrintArea" hidden="1">#REF!</definedName>
    <definedName name="Z_179EFE1A_A1B1_11D3_8FA9_0008C7809E09_.wvu.PrintTitles" localSheetId="9" hidden="1">#REF!,#REF!</definedName>
    <definedName name="Z_179EFE1A_A1B1_11D3_8FA9_0008C7809E09_.wvu.PrintTitles" hidden="1">#REF!,#REF!</definedName>
    <definedName name="Z_179EFE1B_A1B1_11D3_8FA9_0008C7809E09_.wvu.PrintArea" localSheetId="9" hidden="1">#REF!</definedName>
    <definedName name="Z_179EFE1B_A1B1_11D3_8FA9_0008C7809E09_.wvu.PrintArea" hidden="1">#REF!</definedName>
    <definedName name="Z_179EFE1B_A1B1_11D3_8FA9_0008C7809E09_.wvu.PrintTitles" localSheetId="9" hidden="1">#REF!,#REF!</definedName>
    <definedName name="Z_179EFE1B_A1B1_11D3_8FA9_0008C7809E09_.wvu.PrintTitles" hidden="1">#REF!,#REF!</definedName>
    <definedName name="Z_179EFE1C_A1B1_11D3_8FA9_0008C7809E09_.wvu.PrintArea" localSheetId="9" hidden="1">#REF!</definedName>
    <definedName name="Z_179EFE1C_A1B1_11D3_8FA9_0008C7809E09_.wvu.PrintArea" hidden="1">#REF!</definedName>
    <definedName name="Z_179EFE1C_A1B1_11D3_8FA9_0008C7809E09_.wvu.PrintTitles" localSheetId="9" hidden="1">#REF!,#REF!</definedName>
    <definedName name="Z_179EFE1C_A1B1_11D3_8FA9_0008C7809E09_.wvu.PrintTitles" hidden="1">#REF!,#REF!</definedName>
    <definedName name="Z_179EFE1D_A1B1_11D3_8FA9_0008C7809E09_.wvu.PrintArea" localSheetId="9" hidden="1">#REF!</definedName>
    <definedName name="Z_179EFE1D_A1B1_11D3_8FA9_0008C7809E09_.wvu.PrintArea" hidden="1">#REF!</definedName>
    <definedName name="Z_179EFE1D_A1B1_11D3_8FA9_0008C7809E09_.wvu.PrintTitles" localSheetId="9" hidden="1">#REF!,#REF!</definedName>
    <definedName name="Z_179EFE1D_A1B1_11D3_8FA9_0008C7809E09_.wvu.PrintTitles" hidden="1">#REF!,#REF!</definedName>
    <definedName name="Z_179EFE1E_A1B1_11D3_8FA9_0008C7809E09_.wvu.PrintArea" localSheetId="9" hidden="1">#REF!</definedName>
    <definedName name="Z_179EFE1E_A1B1_11D3_8FA9_0008C7809E09_.wvu.PrintArea" hidden="1">#REF!</definedName>
    <definedName name="Z_179EFE1E_A1B1_11D3_8FA9_0008C7809E09_.wvu.PrintTitles" localSheetId="9" hidden="1">#REF!,#REF!</definedName>
    <definedName name="Z_179EFE1E_A1B1_11D3_8FA9_0008C7809E09_.wvu.PrintTitles" hidden="1">#REF!,#REF!</definedName>
    <definedName name="Z_179EFE1F_A1B1_11D3_8FA9_0008C7809E09_.wvu.PrintArea" localSheetId="9" hidden="1">#REF!</definedName>
    <definedName name="Z_179EFE1F_A1B1_11D3_8FA9_0008C7809E09_.wvu.PrintArea" hidden="1">#REF!</definedName>
    <definedName name="Z_179EFE1F_A1B1_11D3_8FA9_0008C7809E09_.wvu.PrintTitles" localSheetId="9" hidden="1">#REF!,#REF!</definedName>
    <definedName name="Z_179EFE1F_A1B1_11D3_8FA9_0008C7809E09_.wvu.PrintTitles" hidden="1">#REF!,#REF!</definedName>
    <definedName name="Z_179EFE20_A1B1_11D3_8FA9_0008C7809E09_.wvu.PrintArea" localSheetId="9" hidden="1">#REF!</definedName>
    <definedName name="Z_179EFE20_A1B1_11D3_8FA9_0008C7809E09_.wvu.PrintArea" hidden="1">#REF!</definedName>
    <definedName name="Z_179EFE20_A1B1_11D3_8FA9_0008C7809E09_.wvu.PrintTitles" localSheetId="9" hidden="1">#REF!,#REF!</definedName>
    <definedName name="Z_179EFE20_A1B1_11D3_8FA9_0008C7809E09_.wvu.PrintTitles" hidden="1">#REF!,#REF!</definedName>
    <definedName name="Z_179EFE21_A1B1_11D3_8FA9_0008C7809E09_.wvu.PrintArea" localSheetId="9" hidden="1">#REF!</definedName>
    <definedName name="Z_179EFE21_A1B1_11D3_8FA9_0008C7809E09_.wvu.PrintArea" hidden="1">#REF!</definedName>
    <definedName name="Z_179EFE21_A1B1_11D3_8FA9_0008C7809E09_.wvu.PrintTitles" localSheetId="9" hidden="1">#REF!,#REF!</definedName>
    <definedName name="Z_179EFE21_A1B1_11D3_8FA9_0008C7809E09_.wvu.PrintTitles" hidden="1">#REF!,#REF!</definedName>
    <definedName name="Z_179EFE22_A1B1_11D3_8FA9_0008C7809E09_.wvu.PrintArea" localSheetId="9" hidden="1">#REF!</definedName>
    <definedName name="Z_179EFE22_A1B1_11D3_8FA9_0008C7809E09_.wvu.PrintArea" hidden="1">#REF!</definedName>
    <definedName name="Z_179EFE22_A1B1_11D3_8FA9_0008C7809E09_.wvu.PrintTitles" localSheetId="9" hidden="1">#REF!,#REF!</definedName>
    <definedName name="Z_179EFE22_A1B1_11D3_8FA9_0008C7809E09_.wvu.PrintTitles" hidden="1">#REF!,#REF!</definedName>
    <definedName name="Z_179EFE23_A1B1_11D3_8FA9_0008C7809E09_.wvu.PrintArea" localSheetId="9" hidden="1">#REF!</definedName>
    <definedName name="Z_179EFE23_A1B1_11D3_8FA9_0008C7809E09_.wvu.PrintArea" hidden="1">#REF!</definedName>
    <definedName name="Z_179EFE23_A1B1_11D3_8FA9_0008C7809E09_.wvu.PrintTitles" localSheetId="9" hidden="1">#REF!,#REF!</definedName>
    <definedName name="Z_179EFE23_A1B1_11D3_8FA9_0008C7809E09_.wvu.PrintTitles" hidden="1">#REF!,#REF!</definedName>
    <definedName name="Z_179EFE24_A1B1_11D3_8FA9_0008C7809E09_.wvu.PrintArea" localSheetId="9" hidden="1">#REF!</definedName>
    <definedName name="Z_179EFE24_A1B1_11D3_8FA9_0008C7809E09_.wvu.PrintArea" hidden="1">#REF!</definedName>
    <definedName name="Z_179EFE24_A1B1_11D3_8FA9_0008C7809E09_.wvu.PrintTitles" localSheetId="9" hidden="1">#REF!,#REF!</definedName>
    <definedName name="Z_179EFE24_A1B1_11D3_8FA9_0008C7809E09_.wvu.PrintTitles" hidden="1">#REF!,#REF!</definedName>
    <definedName name="Z_179EFE25_A1B1_11D3_8FA9_0008C7809E09_.wvu.PrintArea" localSheetId="9" hidden="1">#REF!</definedName>
    <definedName name="Z_179EFE25_A1B1_11D3_8FA9_0008C7809E09_.wvu.PrintArea" hidden="1">#REF!</definedName>
    <definedName name="Z_179EFE25_A1B1_11D3_8FA9_0008C7809E09_.wvu.PrintTitles" localSheetId="9" hidden="1">#REF!,#REF!</definedName>
    <definedName name="Z_179EFE25_A1B1_11D3_8FA9_0008C7809E09_.wvu.PrintTitles" hidden="1">#REF!,#REF!</definedName>
    <definedName name="Z_179EFE26_A1B1_11D3_8FA9_0008C7809E09_.wvu.PrintArea" localSheetId="9" hidden="1">#REF!</definedName>
    <definedName name="Z_179EFE26_A1B1_11D3_8FA9_0008C7809E09_.wvu.PrintArea" hidden="1">#REF!</definedName>
    <definedName name="Z_179EFE26_A1B1_11D3_8FA9_0008C7809E09_.wvu.PrintTitles" localSheetId="9" hidden="1">#REF!,#REF!</definedName>
    <definedName name="Z_179EFE26_A1B1_11D3_8FA9_0008C7809E09_.wvu.PrintTitles" hidden="1">#REF!,#REF!</definedName>
    <definedName name="Z_179EFE27_A1B1_11D3_8FA9_0008C7809E09_.wvu.PrintArea" localSheetId="9" hidden="1">#REF!</definedName>
    <definedName name="Z_179EFE27_A1B1_11D3_8FA9_0008C7809E09_.wvu.PrintArea" hidden="1">#REF!</definedName>
    <definedName name="Z_179EFE27_A1B1_11D3_8FA9_0008C7809E09_.wvu.PrintTitles" localSheetId="9" hidden="1">#REF!,#REF!</definedName>
    <definedName name="Z_179EFE27_A1B1_11D3_8FA9_0008C7809E09_.wvu.PrintTitles" hidden="1">#REF!,#REF!</definedName>
    <definedName name="Z_179EFE28_A1B1_11D3_8FA9_0008C7809E09_.wvu.PrintArea" localSheetId="9" hidden="1">#REF!</definedName>
    <definedName name="Z_179EFE28_A1B1_11D3_8FA9_0008C7809E09_.wvu.PrintArea" hidden="1">#REF!</definedName>
    <definedName name="Z_179EFE28_A1B1_11D3_8FA9_0008C7809E09_.wvu.PrintTitles" localSheetId="9" hidden="1">#REF!,#REF!</definedName>
    <definedName name="Z_179EFE28_A1B1_11D3_8FA9_0008C7809E09_.wvu.PrintTitles" hidden="1">#REF!,#REF!</definedName>
    <definedName name="Z_179EFE29_A1B1_11D3_8FA9_0008C7809E09_.wvu.PrintArea" localSheetId="9" hidden="1">#REF!</definedName>
    <definedName name="Z_179EFE29_A1B1_11D3_8FA9_0008C7809E09_.wvu.PrintArea" hidden="1">#REF!</definedName>
    <definedName name="Z_179EFE29_A1B1_11D3_8FA9_0008C7809E09_.wvu.PrintTitles" localSheetId="9" hidden="1">#REF!,#REF!</definedName>
    <definedName name="Z_179EFE29_A1B1_11D3_8FA9_0008C7809E09_.wvu.PrintTitles" hidden="1">#REF!,#REF!</definedName>
    <definedName name="Z_179EFE2A_A1B1_11D3_8FA9_0008C7809E09_.wvu.PrintArea" localSheetId="9" hidden="1">#REF!</definedName>
    <definedName name="Z_179EFE2A_A1B1_11D3_8FA9_0008C7809E09_.wvu.PrintArea" hidden="1">#REF!</definedName>
    <definedName name="Z_179EFE2A_A1B1_11D3_8FA9_0008C7809E09_.wvu.PrintTitles" localSheetId="9" hidden="1">#REF!,#REF!</definedName>
    <definedName name="Z_179EFE2A_A1B1_11D3_8FA9_0008C7809E09_.wvu.PrintTitles" hidden="1">#REF!,#REF!</definedName>
    <definedName name="Z_179EFE2B_A1B1_11D3_8FA9_0008C7809E09_.wvu.PrintArea" localSheetId="9" hidden="1">#REF!</definedName>
    <definedName name="Z_179EFE2B_A1B1_11D3_8FA9_0008C7809E09_.wvu.PrintArea" hidden="1">#REF!</definedName>
    <definedName name="Z_179EFE2B_A1B1_11D3_8FA9_0008C7809E09_.wvu.PrintTitles" localSheetId="9" hidden="1">#REF!,#REF!</definedName>
    <definedName name="Z_179EFE2B_A1B1_11D3_8FA9_0008C7809E09_.wvu.PrintTitles" hidden="1">#REF!,#REF!</definedName>
    <definedName name="Z_179EFE2C_A1B1_11D3_8FA9_0008C7809E09_.wvu.PrintArea" localSheetId="9" hidden="1">#REF!</definedName>
    <definedName name="Z_179EFE2C_A1B1_11D3_8FA9_0008C7809E09_.wvu.PrintArea" hidden="1">#REF!</definedName>
    <definedName name="Z_179EFE2C_A1B1_11D3_8FA9_0008C7809E09_.wvu.PrintTitles" localSheetId="9" hidden="1">#REF!,#REF!</definedName>
    <definedName name="Z_179EFE2C_A1B1_11D3_8FA9_0008C7809E09_.wvu.PrintTitles" hidden="1">#REF!,#REF!</definedName>
    <definedName name="Z_179EFE2D_A1B1_11D3_8FA9_0008C7809E09_.wvu.PrintArea" localSheetId="9" hidden="1">#REF!</definedName>
    <definedName name="Z_179EFE2D_A1B1_11D3_8FA9_0008C7809E09_.wvu.PrintArea" hidden="1">#REF!</definedName>
    <definedName name="Z_179EFE2D_A1B1_11D3_8FA9_0008C7809E09_.wvu.PrintTitles" localSheetId="9" hidden="1">#REF!,#REF!</definedName>
    <definedName name="Z_179EFE2D_A1B1_11D3_8FA9_0008C7809E09_.wvu.PrintTitles" hidden="1">#REF!,#REF!</definedName>
    <definedName name="Z_179EFE2E_A1B1_11D3_8FA9_0008C7809E09_.wvu.PrintArea" localSheetId="9" hidden="1">#REF!</definedName>
    <definedName name="Z_179EFE2E_A1B1_11D3_8FA9_0008C7809E09_.wvu.PrintArea" hidden="1">#REF!</definedName>
    <definedName name="Z_179EFE2E_A1B1_11D3_8FA9_0008C7809E09_.wvu.PrintTitles" localSheetId="9" hidden="1">#REF!,#REF!</definedName>
    <definedName name="Z_179EFE2E_A1B1_11D3_8FA9_0008C7809E09_.wvu.PrintTitles" hidden="1">#REF!,#REF!</definedName>
    <definedName name="Z_179EFE2F_A1B1_11D3_8FA9_0008C7809E09_.wvu.PrintArea" localSheetId="9" hidden="1">#REF!</definedName>
    <definedName name="Z_179EFE2F_A1B1_11D3_8FA9_0008C7809E09_.wvu.PrintArea" hidden="1">#REF!</definedName>
    <definedName name="Z_179EFE2F_A1B1_11D3_8FA9_0008C7809E09_.wvu.PrintTitles" localSheetId="9" hidden="1">#REF!</definedName>
    <definedName name="Z_179EFE2F_A1B1_11D3_8FA9_0008C7809E09_.wvu.PrintTitles" hidden="1">#REF!</definedName>
    <definedName name="Z_179EFE30_A1B1_11D3_8FA9_0008C7809E09_.wvu.PrintArea" localSheetId="9" hidden="1">#REF!</definedName>
    <definedName name="Z_179EFE30_A1B1_11D3_8FA9_0008C7809E09_.wvu.PrintArea" hidden="1">#REF!</definedName>
    <definedName name="Z_179EFE30_A1B1_11D3_8FA9_0008C7809E09_.wvu.PrintTitles" localSheetId="9" hidden="1">#REF!</definedName>
    <definedName name="Z_179EFE30_A1B1_11D3_8FA9_0008C7809E09_.wvu.PrintTitles" hidden="1">#REF!</definedName>
    <definedName name="Z_179EFE31_A1B1_11D3_8FA9_0008C7809E09_.wvu.PrintArea" localSheetId="9" hidden="1">#REF!</definedName>
    <definedName name="Z_179EFE31_A1B1_11D3_8FA9_0008C7809E09_.wvu.PrintArea" hidden="1">#REF!</definedName>
    <definedName name="Z_179EFE31_A1B1_11D3_8FA9_0008C7809E09_.wvu.PrintTitles" localSheetId="9" hidden="1">#REF!</definedName>
    <definedName name="Z_179EFE31_A1B1_11D3_8FA9_0008C7809E09_.wvu.PrintTitles" hidden="1">#REF!</definedName>
    <definedName name="Z_179EFE32_A1B1_11D3_8FA9_0008C7809E09_.wvu.PrintArea" localSheetId="9" hidden="1">#REF!</definedName>
    <definedName name="Z_179EFE32_A1B1_11D3_8FA9_0008C7809E09_.wvu.PrintArea" hidden="1">#REF!</definedName>
    <definedName name="Z_179EFE32_A1B1_11D3_8FA9_0008C7809E09_.wvu.PrintTitles" localSheetId="9" hidden="1">#REF!</definedName>
    <definedName name="Z_179EFE32_A1B1_11D3_8FA9_0008C7809E09_.wvu.PrintTitles" hidden="1">#REF!</definedName>
    <definedName name="Z_179EFE33_A1B1_11D3_8FA9_0008C7809E09_.wvu.PrintArea" localSheetId="9" hidden="1">#REF!</definedName>
    <definedName name="Z_179EFE33_A1B1_11D3_8FA9_0008C7809E09_.wvu.PrintArea" hidden="1">#REF!</definedName>
    <definedName name="Z_179EFE33_A1B1_11D3_8FA9_0008C7809E09_.wvu.PrintTitles" localSheetId="9" hidden="1">#REF!</definedName>
    <definedName name="Z_179EFE33_A1B1_11D3_8FA9_0008C7809E09_.wvu.PrintTitles" hidden="1">#REF!</definedName>
    <definedName name="Z_179EFE34_A1B1_11D3_8FA9_0008C7809E09_.wvu.PrintArea" localSheetId="9" hidden="1">#REF!</definedName>
    <definedName name="Z_179EFE34_A1B1_11D3_8FA9_0008C7809E09_.wvu.PrintArea" hidden="1">#REF!</definedName>
    <definedName name="Z_179EFE34_A1B1_11D3_8FA9_0008C7809E09_.wvu.PrintTitles" localSheetId="9" hidden="1">#REF!</definedName>
    <definedName name="Z_179EFE34_A1B1_11D3_8FA9_0008C7809E09_.wvu.PrintTitles" hidden="1">#REF!</definedName>
    <definedName name="Z_179EFE35_A1B1_11D3_8FA9_0008C7809E09_.wvu.PrintArea" localSheetId="9" hidden="1">#REF!</definedName>
    <definedName name="Z_179EFE35_A1B1_11D3_8FA9_0008C7809E09_.wvu.PrintArea" hidden="1">#REF!</definedName>
    <definedName name="Z_179EFE35_A1B1_11D3_8FA9_0008C7809E09_.wvu.PrintTitles" localSheetId="9" hidden="1">#REF!</definedName>
    <definedName name="Z_179EFE35_A1B1_11D3_8FA9_0008C7809E09_.wvu.PrintTitles" hidden="1">#REF!</definedName>
    <definedName name="Z_179EFE36_A1B1_11D3_8FA9_0008C7809E09_.wvu.PrintArea" localSheetId="9" hidden="1">#REF!</definedName>
    <definedName name="Z_179EFE36_A1B1_11D3_8FA9_0008C7809E09_.wvu.PrintArea" hidden="1">#REF!</definedName>
    <definedName name="Z_179EFE36_A1B1_11D3_8FA9_0008C7809E09_.wvu.PrintTitles" localSheetId="9" hidden="1">#REF!</definedName>
    <definedName name="Z_179EFE36_A1B1_11D3_8FA9_0008C7809E09_.wvu.PrintTitles" hidden="1">#REF!</definedName>
    <definedName name="Z_179EFE37_A1B1_11D3_8FA9_0008C7809E09_.wvu.PrintArea" localSheetId="9" hidden="1">#REF!</definedName>
    <definedName name="Z_179EFE37_A1B1_11D3_8FA9_0008C7809E09_.wvu.PrintArea" hidden="1">#REF!</definedName>
    <definedName name="Z_179EFE37_A1B1_11D3_8FA9_0008C7809E09_.wvu.PrintTitles" localSheetId="9" hidden="1">#REF!</definedName>
    <definedName name="Z_179EFE37_A1B1_11D3_8FA9_0008C7809E09_.wvu.PrintTitles" hidden="1">#REF!</definedName>
    <definedName name="Z_179EFE38_A1B1_11D3_8FA9_0008C7809E09_.wvu.PrintArea" localSheetId="9" hidden="1">#REF!</definedName>
    <definedName name="Z_179EFE38_A1B1_11D3_8FA9_0008C7809E09_.wvu.PrintArea" hidden="1">#REF!</definedName>
    <definedName name="Z_179EFE38_A1B1_11D3_8FA9_0008C7809E09_.wvu.PrintTitles" localSheetId="9" hidden="1">#REF!</definedName>
    <definedName name="Z_179EFE38_A1B1_11D3_8FA9_0008C7809E09_.wvu.PrintTitles" hidden="1">#REF!</definedName>
    <definedName name="Z_179EFE39_A1B1_11D3_8FA9_0008C7809E09_.wvu.PrintArea" localSheetId="9" hidden="1">#REF!</definedName>
    <definedName name="Z_179EFE39_A1B1_11D3_8FA9_0008C7809E09_.wvu.PrintArea" hidden="1">#REF!</definedName>
    <definedName name="Z_179EFE39_A1B1_11D3_8FA9_0008C7809E09_.wvu.PrintTitles" localSheetId="9" hidden="1">#REF!</definedName>
    <definedName name="Z_179EFE39_A1B1_11D3_8FA9_0008C7809E09_.wvu.PrintTitles" hidden="1">#REF!</definedName>
    <definedName name="Z_179EFE3A_A1B1_11D3_8FA9_0008C7809E09_.wvu.PrintArea" localSheetId="9" hidden="1">#REF!</definedName>
    <definedName name="Z_179EFE3A_A1B1_11D3_8FA9_0008C7809E09_.wvu.PrintArea" hidden="1">#REF!</definedName>
    <definedName name="Z_179EFE3A_A1B1_11D3_8FA9_0008C7809E09_.wvu.PrintTitles" localSheetId="9" hidden="1">#REF!</definedName>
    <definedName name="Z_179EFE3A_A1B1_11D3_8FA9_0008C7809E09_.wvu.PrintTitles" hidden="1">#REF!</definedName>
    <definedName name="Z_179EFE3B_A1B1_11D3_8FA9_0008C7809E09_.wvu.PrintArea" localSheetId="9" hidden="1">#REF!</definedName>
    <definedName name="Z_179EFE3B_A1B1_11D3_8FA9_0008C7809E09_.wvu.PrintArea" hidden="1">#REF!</definedName>
    <definedName name="Z_179EFE3B_A1B1_11D3_8FA9_0008C7809E09_.wvu.PrintTitles" localSheetId="9" hidden="1">#REF!</definedName>
    <definedName name="Z_179EFE3B_A1B1_11D3_8FA9_0008C7809E09_.wvu.PrintTitles" hidden="1">#REF!</definedName>
    <definedName name="Z_179EFE3C_A1B1_11D3_8FA9_0008C7809E09_.wvu.PrintArea" localSheetId="9" hidden="1">#REF!</definedName>
    <definedName name="Z_179EFE3C_A1B1_11D3_8FA9_0008C7809E09_.wvu.PrintArea" hidden="1">#REF!</definedName>
    <definedName name="Z_179EFE3C_A1B1_11D3_8FA9_0008C7809E09_.wvu.PrintTitles" localSheetId="9" hidden="1">#REF!,#REF!</definedName>
    <definedName name="Z_179EFE3C_A1B1_11D3_8FA9_0008C7809E09_.wvu.PrintTitles" hidden="1">#REF!,#REF!</definedName>
    <definedName name="Z_179EFE3D_A1B1_11D3_8FA9_0008C7809E09_.wvu.PrintArea" localSheetId="9" hidden="1">#REF!</definedName>
    <definedName name="Z_179EFE3D_A1B1_11D3_8FA9_0008C7809E09_.wvu.PrintArea" hidden="1">#REF!</definedName>
    <definedName name="Z_179EFE3D_A1B1_11D3_8FA9_0008C7809E09_.wvu.PrintTitles" localSheetId="9" hidden="1">#REF!,#REF!</definedName>
    <definedName name="Z_179EFE3D_A1B1_11D3_8FA9_0008C7809E09_.wvu.PrintTitles" hidden="1">#REF!,#REF!</definedName>
    <definedName name="Z_179EFE3E_A1B1_11D3_8FA9_0008C7809E09_.wvu.PrintArea" localSheetId="9" hidden="1">#REF!</definedName>
    <definedName name="Z_179EFE3E_A1B1_11D3_8FA9_0008C7809E09_.wvu.PrintArea" hidden="1">#REF!</definedName>
    <definedName name="Z_179EFE3E_A1B1_11D3_8FA9_0008C7809E09_.wvu.PrintTitles" localSheetId="9" hidden="1">#REF!,#REF!</definedName>
    <definedName name="Z_179EFE3E_A1B1_11D3_8FA9_0008C7809E09_.wvu.PrintTitles" hidden="1">#REF!,#REF!</definedName>
    <definedName name="Z_179EFE3F_A1B1_11D3_8FA9_0008C7809E09_.wvu.PrintArea" localSheetId="9" hidden="1">#REF!</definedName>
    <definedName name="Z_179EFE3F_A1B1_11D3_8FA9_0008C7809E09_.wvu.PrintArea" hidden="1">#REF!</definedName>
    <definedName name="Z_179EFE3F_A1B1_11D3_8FA9_0008C7809E09_.wvu.PrintTitles" localSheetId="9" hidden="1">#REF!,#REF!</definedName>
    <definedName name="Z_179EFE3F_A1B1_11D3_8FA9_0008C7809E09_.wvu.PrintTitles" hidden="1">#REF!,#REF!</definedName>
    <definedName name="Z_179EFE40_A1B1_11D3_8FA9_0008C7809E09_.wvu.PrintArea" localSheetId="9" hidden="1">#REF!</definedName>
    <definedName name="Z_179EFE40_A1B1_11D3_8FA9_0008C7809E09_.wvu.PrintArea" hidden="1">#REF!</definedName>
    <definedName name="Z_179EFE40_A1B1_11D3_8FA9_0008C7809E09_.wvu.PrintTitles" localSheetId="9" hidden="1">#REF!,#REF!</definedName>
    <definedName name="Z_179EFE40_A1B1_11D3_8FA9_0008C7809E09_.wvu.PrintTitles" hidden="1">#REF!,#REF!</definedName>
    <definedName name="Z_179EFE41_A1B1_11D3_8FA9_0008C7809E09_.wvu.PrintArea" localSheetId="9" hidden="1">#REF!</definedName>
    <definedName name="Z_179EFE41_A1B1_11D3_8FA9_0008C7809E09_.wvu.PrintArea" hidden="1">#REF!</definedName>
    <definedName name="Z_179EFE41_A1B1_11D3_8FA9_0008C7809E09_.wvu.PrintTitles" localSheetId="9" hidden="1">#REF!,#REF!</definedName>
    <definedName name="Z_179EFE41_A1B1_11D3_8FA9_0008C7809E09_.wvu.PrintTitles" hidden="1">#REF!,#REF!</definedName>
    <definedName name="Z_179EFE42_A1B1_11D3_8FA9_0008C7809E09_.wvu.PrintArea" localSheetId="9" hidden="1">#REF!</definedName>
    <definedName name="Z_179EFE42_A1B1_11D3_8FA9_0008C7809E09_.wvu.PrintArea" hidden="1">#REF!</definedName>
    <definedName name="Z_179EFE42_A1B1_11D3_8FA9_0008C7809E09_.wvu.PrintTitles" localSheetId="9" hidden="1">#REF!,#REF!</definedName>
    <definedName name="Z_179EFE42_A1B1_11D3_8FA9_0008C7809E09_.wvu.PrintTitles" hidden="1">#REF!,#REF!</definedName>
    <definedName name="Z_179EFE43_A1B1_11D3_8FA9_0008C7809E09_.wvu.PrintArea" localSheetId="9" hidden="1">#REF!</definedName>
    <definedName name="Z_179EFE43_A1B1_11D3_8FA9_0008C7809E09_.wvu.PrintArea" hidden="1">#REF!</definedName>
    <definedName name="Z_179EFE43_A1B1_11D3_8FA9_0008C7809E09_.wvu.PrintTitles" localSheetId="9" hidden="1">#REF!,#REF!</definedName>
    <definedName name="Z_179EFE43_A1B1_11D3_8FA9_0008C7809E09_.wvu.PrintTitles" hidden="1">#REF!,#REF!</definedName>
    <definedName name="Z_179EFE44_A1B1_11D3_8FA9_0008C7809E09_.wvu.PrintArea" localSheetId="9" hidden="1">#REF!</definedName>
    <definedName name="Z_179EFE44_A1B1_11D3_8FA9_0008C7809E09_.wvu.PrintArea" hidden="1">#REF!</definedName>
    <definedName name="Z_179EFE44_A1B1_11D3_8FA9_0008C7809E09_.wvu.PrintTitles" localSheetId="9" hidden="1">#REF!,#REF!</definedName>
    <definedName name="Z_179EFE44_A1B1_11D3_8FA9_0008C7809E09_.wvu.PrintTitles" hidden="1">#REF!,#REF!</definedName>
    <definedName name="Z_179EFE45_A1B1_11D3_8FA9_0008C7809E09_.wvu.PrintArea" localSheetId="9" hidden="1">#REF!</definedName>
    <definedName name="Z_179EFE45_A1B1_11D3_8FA9_0008C7809E09_.wvu.PrintArea" hidden="1">#REF!</definedName>
    <definedName name="Z_179EFE45_A1B1_11D3_8FA9_0008C7809E09_.wvu.PrintTitles" localSheetId="9" hidden="1">#REF!,#REF!</definedName>
    <definedName name="Z_179EFE45_A1B1_11D3_8FA9_0008C7809E09_.wvu.PrintTitles" hidden="1">#REF!,#REF!</definedName>
    <definedName name="Z_179EFE46_A1B1_11D3_8FA9_0008C7809E09_.wvu.PrintArea" localSheetId="9" hidden="1">#REF!</definedName>
    <definedName name="Z_179EFE46_A1B1_11D3_8FA9_0008C7809E09_.wvu.PrintArea" hidden="1">#REF!</definedName>
    <definedName name="Z_179EFE46_A1B1_11D3_8FA9_0008C7809E09_.wvu.PrintTitles" localSheetId="9" hidden="1">#REF!,#REF!</definedName>
    <definedName name="Z_179EFE46_A1B1_11D3_8FA9_0008C7809E09_.wvu.PrintTitles" hidden="1">#REF!,#REF!</definedName>
    <definedName name="Z_179EFE47_A1B1_11D3_8FA9_0008C7809E09_.wvu.PrintArea" localSheetId="9" hidden="1">#REF!</definedName>
    <definedName name="Z_179EFE47_A1B1_11D3_8FA9_0008C7809E09_.wvu.PrintArea" hidden="1">#REF!</definedName>
    <definedName name="Z_179EFE47_A1B1_11D3_8FA9_0008C7809E09_.wvu.PrintTitles" localSheetId="9" hidden="1">#REF!,#REF!</definedName>
    <definedName name="Z_179EFE47_A1B1_11D3_8FA9_0008C7809E09_.wvu.PrintTitles" hidden="1">#REF!,#REF!</definedName>
    <definedName name="Z_179EFE48_A1B1_11D3_8FA9_0008C7809E09_.wvu.PrintArea" localSheetId="9" hidden="1">#REF!</definedName>
    <definedName name="Z_179EFE48_A1B1_11D3_8FA9_0008C7809E09_.wvu.PrintArea" hidden="1">#REF!</definedName>
    <definedName name="Z_179EFE48_A1B1_11D3_8FA9_0008C7809E09_.wvu.PrintTitles" localSheetId="9" hidden="1">#REF!,#REF!</definedName>
    <definedName name="Z_179EFE48_A1B1_11D3_8FA9_0008C7809E09_.wvu.PrintTitles" hidden="1">#REF!,#REF!</definedName>
    <definedName name="Z_179EFE49_A1B1_11D3_8FA9_0008C7809E09_.wvu.PrintArea" localSheetId="9" hidden="1">#REF!</definedName>
    <definedName name="Z_179EFE49_A1B1_11D3_8FA9_0008C7809E09_.wvu.PrintArea" hidden="1">#REF!</definedName>
    <definedName name="Z_179EFE49_A1B1_11D3_8FA9_0008C7809E09_.wvu.PrintTitles" localSheetId="9" hidden="1">#REF!,#REF!</definedName>
    <definedName name="Z_179EFE49_A1B1_11D3_8FA9_0008C7809E09_.wvu.PrintTitles" hidden="1">#REF!,#REF!</definedName>
    <definedName name="Z_179EFE4A_A1B1_11D3_8FA9_0008C7809E09_.wvu.PrintArea" localSheetId="9" hidden="1">#REF!</definedName>
    <definedName name="Z_179EFE4A_A1B1_11D3_8FA9_0008C7809E09_.wvu.PrintArea" hidden="1">#REF!</definedName>
    <definedName name="Z_179EFE4A_A1B1_11D3_8FA9_0008C7809E09_.wvu.PrintTitles" localSheetId="9" hidden="1">#REF!,#REF!</definedName>
    <definedName name="Z_179EFE4A_A1B1_11D3_8FA9_0008C7809E09_.wvu.PrintTitles" hidden="1">#REF!,#REF!</definedName>
    <definedName name="Z_179EFE4B_A1B1_11D3_8FA9_0008C7809E09_.wvu.PrintArea" localSheetId="9" hidden="1">#REF!</definedName>
    <definedName name="Z_179EFE4B_A1B1_11D3_8FA9_0008C7809E09_.wvu.PrintArea" hidden="1">#REF!</definedName>
    <definedName name="Z_179EFE4B_A1B1_11D3_8FA9_0008C7809E09_.wvu.PrintTitles" localSheetId="9" hidden="1">#REF!,#REF!</definedName>
    <definedName name="Z_179EFE4B_A1B1_11D3_8FA9_0008C7809E09_.wvu.PrintTitles" hidden="1">#REF!,#REF!</definedName>
    <definedName name="Z_179EFE4C_A1B1_11D3_8FA9_0008C7809E09_.wvu.PrintArea" localSheetId="9" hidden="1">#REF!</definedName>
    <definedName name="Z_179EFE4C_A1B1_11D3_8FA9_0008C7809E09_.wvu.PrintArea" hidden="1">#REF!</definedName>
    <definedName name="Z_179EFE4C_A1B1_11D3_8FA9_0008C7809E09_.wvu.PrintTitles" localSheetId="9" hidden="1">#REF!,#REF!</definedName>
    <definedName name="Z_179EFE4C_A1B1_11D3_8FA9_0008C7809E09_.wvu.PrintTitles" hidden="1">#REF!,#REF!</definedName>
    <definedName name="Z_179EFE4D_A1B1_11D3_8FA9_0008C7809E09_.wvu.PrintArea" localSheetId="9" hidden="1">#REF!</definedName>
    <definedName name="Z_179EFE4D_A1B1_11D3_8FA9_0008C7809E09_.wvu.PrintArea" hidden="1">#REF!</definedName>
    <definedName name="Z_179EFE4D_A1B1_11D3_8FA9_0008C7809E09_.wvu.PrintTitles" localSheetId="9" hidden="1">#REF!,#REF!</definedName>
    <definedName name="Z_179EFE4D_A1B1_11D3_8FA9_0008C7809E09_.wvu.PrintTitles" hidden="1">#REF!,#REF!</definedName>
    <definedName name="Z_179EFE4E_A1B1_11D3_8FA9_0008C7809E09_.wvu.PrintArea" localSheetId="9" hidden="1">#REF!</definedName>
    <definedName name="Z_179EFE4E_A1B1_11D3_8FA9_0008C7809E09_.wvu.PrintArea" hidden="1">#REF!</definedName>
    <definedName name="Z_179EFE4E_A1B1_11D3_8FA9_0008C7809E09_.wvu.PrintTitles" localSheetId="9" hidden="1">#REF!,#REF!</definedName>
    <definedName name="Z_179EFE4E_A1B1_11D3_8FA9_0008C7809E09_.wvu.PrintTitles" hidden="1">#REF!,#REF!</definedName>
    <definedName name="Z_179EFE4F_A1B1_11D3_8FA9_0008C7809E09_.wvu.PrintArea" localSheetId="9" hidden="1">#REF!</definedName>
    <definedName name="Z_179EFE4F_A1B1_11D3_8FA9_0008C7809E09_.wvu.PrintArea" hidden="1">#REF!</definedName>
    <definedName name="Z_179EFE4F_A1B1_11D3_8FA9_0008C7809E09_.wvu.PrintTitles" localSheetId="9" hidden="1">#REF!,#REF!</definedName>
    <definedName name="Z_179EFE4F_A1B1_11D3_8FA9_0008C7809E09_.wvu.PrintTitles" hidden="1">#REF!,#REF!</definedName>
    <definedName name="Z_179EFE50_A1B1_11D3_8FA9_0008C7809E09_.wvu.PrintArea" localSheetId="9" hidden="1">#REF!</definedName>
    <definedName name="Z_179EFE50_A1B1_11D3_8FA9_0008C7809E09_.wvu.PrintArea" hidden="1">#REF!</definedName>
    <definedName name="Z_179EFE50_A1B1_11D3_8FA9_0008C7809E09_.wvu.PrintTitles" localSheetId="9" hidden="1">#REF!,#REF!</definedName>
    <definedName name="Z_179EFE50_A1B1_11D3_8FA9_0008C7809E09_.wvu.PrintTitles" hidden="1">#REF!,#REF!</definedName>
    <definedName name="Z_179EFE51_A1B1_11D3_8FA9_0008C7809E09_.wvu.PrintArea" localSheetId="9" hidden="1">#REF!</definedName>
    <definedName name="Z_179EFE51_A1B1_11D3_8FA9_0008C7809E09_.wvu.PrintArea" hidden="1">#REF!</definedName>
    <definedName name="Z_179EFE51_A1B1_11D3_8FA9_0008C7809E09_.wvu.PrintTitles" localSheetId="9" hidden="1">#REF!,#REF!</definedName>
    <definedName name="Z_179EFE51_A1B1_11D3_8FA9_0008C7809E09_.wvu.PrintTitles" hidden="1">#REF!,#REF!</definedName>
    <definedName name="Z_179EFE52_A1B1_11D3_8FA9_0008C7809E09_.wvu.PrintArea" localSheetId="9" hidden="1">#REF!</definedName>
    <definedName name="Z_179EFE52_A1B1_11D3_8FA9_0008C7809E09_.wvu.PrintArea" hidden="1">#REF!</definedName>
    <definedName name="Z_179EFE52_A1B1_11D3_8FA9_0008C7809E09_.wvu.PrintTitles" localSheetId="9" hidden="1">#REF!,#REF!</definedName>
    <definedName name="Z_179EFE52_A1B1_11D3_8FA9_0008C7809E09_.wvu.PrintTitles" hidden="1">#REF!,#REF!</definedName>
    <definedName name="Z_179EFE53_A1B1_11D3_8FA9_0008C7809E09_.wvu.PrintArea" localSheetId="9" hidden="1">#REF!</definedName>
    <definedName name="Z_179EFE53_A1B1_11D3_8FA9_0008C7809E09_.wvu.PrintArea" hidden="1">#REF!</definedName>
    <definedName name="Z_179EFE53_A1B1_11D3_8FA9_0008C7809E09_.wvu.PrintTitles" localSheetId="9" hidden="1">#REF!,#REF!</definedName>
    <definedName name="Z_179EFE53_A1B1_11D3_8FA9_0008C7809E09_.wvu.PrintTitles" hidden="1">#REF!,#REF!</definedName>
    <definedName name="Z_179EFE54_A1B1_11D3_8FA9_0008C7809E09_.wvu.PrintArea" localSheetId="9" hidden="1">#REF!</definedName>
    <definedName name="Z_179EFE54_A1B1_11D3_8FA9_0008C7809E09_.wvu.PrintArea" hidden="1">#REF!</definedName>
    <definedName name="Z_179EFE54_A1B1_11D3_8FA9_0008C7809E09_.wvu.PrintTitles" localSheetId="9" hidden="1">#REF!,#REF!</definedName>
    <definedName name="Z_179EFE54_A1B1_11D3_8FA9_0008C7809E09_.wvu.PrintTitles" hidden="1">#REF!,#REF!</definedName>
    <definedName name="Z_179EFE55_A1B1_11D3_8FA9_0008C7809E09_.wvu.PrintArea" localSheetId="9" hidden="1">#REF!</definedName>
    <definedName name="Z_179EFE55_A1B1_11D3_8FA9_0008C7809E09_.wvu.PrintArea" hidden="1">#REF!</definedName>
    <definedName name="Z_179EFE55_A1B1_11D3_8FA9_0008C7809E09_.wvu.PrintTitles" localSheetId="9" hidden="1">#REF!</definedName>
    <definedName name="Z_179EFE55_A1B1_11D3_8FA9_0008C7809E09_.wvu.PrintTitles" hidden="1">#REF!</definedName>
    <definedName name="Z_179EFE56_A1B1_11D3_8FA9_0008C7809E09_.wvu.PrintArea" localSheetId="9" hidden="1">#REF!</definedName>
    <definedName name="Z_179EFE56_A1B1_11D3_8FA9_0008C7809E09_.wvu.PrintArea" hidden="1">#REF!</definedName>
    <definedName name="Z_179EFE56_A1B1_11D3_8FA9_0008C7809E09_.wvu.PrintTitles" localSheetId="9" hidden="1">#REF!,#REF!</definedName>
    <definedName name="Z_179EFE56_A1B1_11D3_8FA9_0008C7809E09_.wvu.PrintTitles" hidden="1">#REF!,#REF!</definedName>
    <definedName name="Z_179EFE57_A1B1_11D3_8FA9_0008C7809E09_.wvu.PrintArea" localSheetId="9" hidden="1">#REF!</definedName>
    <definedName name="Z_179EFE57_A1B1_11D3_8FA9_0008C7809E09_.wvu.PrintArea" hidden="1">#REF!</definedName>
    <definedName name="Z_179EFE57_A1B1_11D3_8FA9_0008C7809E09_.wvu.PrintTitles" localSheetId="9" hidden="1">#REF!,#REF!</definedName>
    <definedName name="Z_179EFE57_A1B1_11D3_8FA9_0008C7809E09_.wvu.PrintTitles" hidden="1">#REF!,#REF!</definedName>
    <definedName name="Z_179EFE58_A1B1_11D3_8FA9_0008C7809E09_.wvu.PrintArea" localSheetId="9" hidden="1">#REF!</definedName>
    <definedName name="Z_179EFE58_A1B1_11D3_8FA9_0008C7809E09_.wvu.PrintArea" hidden="1">#REF!</definedName>
    <definedName name="Z_179EFE58_A1B1_11D3_8FA9_0008C7809E09_.wvu.PrintTitles" localSheetId="9" hidden="1">#REF!,#REF!</definedName>
    <definedName name="Z_179EFE58_A1B1_11D3_8FA9_0008C7809E09_.wvu.PrintTitles" hidden="1">#REF!,#REF!</definedName>
    <definedName name="Z_179EFE59_A1B1_11D3_8FA9_0008C7809E09_.wvu.PrintArea" localSheetId="9" hidden="1">#REF!</definedName>
    <definedName name="Z_179EFE59_A1B1_11D3_8FA9_0008C7809E09_.wvu.PrintArea" hidden="1">#REF!</definedName>
    <definedName name="Z_179EFE59_A1B1_11D3_8FA9_0008C7809E09_.wvu.PrintTitles" localSheetId="9" hidden="1">#REF!,#REF!</definedName>
    <definedName name="Z_179EFE59_A1B1_11D3_8FA9_0008C7809E09_.wvu.PrintTitles" hidden="1">#REF!,#REF!</definedName>
    <definedName name="Z_179EFE5A_A1B1_11D3_8FA9_0008C7809E09_.wvu.PrintArea" localSheetId="9" hidden="1">#REF!</definedName>
    <definedName name="Z_179EFE5A_A1B1_11D3_8FA9_0008C7809E09_.wvu.PrintArea" hidden="1">#REF!</definedName>
    <definedName name="Z_179EFE5A_A1B1_11D3_8FA9_0008C7809E09_.wvu.PrintTitles" localSheetId="9" hidden="1">#REF!,#REF!</definedName>
    <definedName name="Z_179EFE5A_A1B1_11D3_8FA9_0008C7809E09_.wvu.PrintTitles" hidden="1">#REF!,#REF!</definedName>
    <definedName name="Z_1DA8B6E2_5DE1_11D2_8EEC_0008C7BCAF29_.wvu.PrintArea" localSheetId="9" hidden="1">#REF!</definedName>
    <definedName name="Z_1DA8B6E2_5DE1_11D2_8EEC_0008C7BCAF29_.wvu.PrintArea" hidden="1">#REF!</definedName>
    <definedName name="Z_1DA8B6E2_5DE1_11D2_8EEC_0008C7BCAF29_.wvu.PrintTitles" localSheetId="9" hidden="1">#REF!</definedName>
    <definedName name="Z_1DA8B6E2_5DE1_11D2_8EEC_0008C7BCAF29_.wvu.PrintTitles" hidden="1">#REF!</definedName>
    <definedName name="Z_1DA8B6F1_5DE1_11D2_8EEC_0008C7BCAF29_.wvu.PrintArea" localSheetId="9" hidden="1">#REF!</definedName>
    <definedName name="Z_1DA8B6F1_5DE1_11D2_8EEC_0008C7BCAF29_.wvu.PrintArea" hidden="1">#REF!</definedName>
    <definedName name="Z_1DA8B6F1_5DE1_11D2_8EEC_0008C7BCAF29_.wvu.PrintTitles" localSheetId="9" hidden="1">#REF!</definedName>
    <definedName name="Z_1DA8B6F1_5DE1_11D2_8EEC_0008C7BCAF29_.wvu.PrintTitles" hidden="1">#REF!</definedName>
    <definedName name="Z_1DA8B6FE_5DE1_11D2_8EEC_0008C7BCAF29_.wvu.PrintArea" localSheetId="9" hidden="1">#REF!</definedName>
    <definedName name="Z_1DA8B6FE_5DE1_11D2_8EEC_0008C7BCAF29_.wvu.PrintArea" hidden="1">#REF!</definedName>
    <definedName name="Z_1DA8B6FE_5DE1_11D2_8EEC_0008C7BCAF29_.wvu.PrintTitles" localSheetId="9" hidden="1">#REF!,#REF!</definedName>
    <definedName name="Z_1DA8B6FE_5DE1_11D2_8EEC_0008C7BCAF29_.wvu.PrintTitles" hidden="1">#REF!,#REF!</definedName>
    <definedName name="Z_2DA61901_F1AB_11D2_8EBB_0008C77C0743_.wvu.PrintArea" localSheetId="9" hidden="1">#REF!</definedName>
    <definedName name="Z_2DA61901_F1AB_11D2_8EBB_0008C77C0743_.wvu.PrintArea" hidden="1">#REF!</definedName>
    <definedName name="Z_2DA61901_F1AB_11D2_8EBB_0008C77C0743_.wvu.PrintTitles" localSheetId="9" hidden="1">#REF!</definedName>
    <definedName name="Z_2DA61901_F1AB_11D2_8EBB_0008C77C0743_.wvu.PrintTitles" hidden="1">#REF!</definedName>
    <definedName name="Z_2DA61914_F1AB_11D2_8EBB_0008C77C0743_.wvu.PrintArea" localSheetId="9" hidden="1">#REF!</definedName>
    <definedName name="Z_2DA61914_F1AB_11D2_8EBB_0008C77C0743_.wvu.PrintArea" hidden="1">#REF!</definedName>
    <definedName name="Z_2DA61914_F1AB_11D2_8EBB_0008C77C0743_.wvu.PrintTitles" localSheetId="9" hidden="1">#REF!</definedName>
    <definedName name="Z_2DA61914_F1AB_11D2_8EBB_0008C77C0743_.wvu.PrintTitles" hidden="1">#REF!</definedName>
    <definedName name="Z_2DA61924_F1AB_11D2_8EBB_0008C77C0743_.wvu.PrintArea" localSheetId="9" hidden="1">#REF!</definedName>
    <definedName name="Z_2DA61924_F1AB_11D2_8EBB_0008C77C0743_.wvu.PrintArea" hidden="1">#REF!</definedName>
    <definedName name="Z_2DA61924_F1AB_11D2_8EBB_0008C77C0743_.wvu.PrintTitles" localSheetId="9" hidden="1">#REF!,#REF!</definedName>
    <definedName name="Z_2DA61924_F1AB_11D2_8EBB_0008C77C0743_.wvu.PrintTitles" hidden="1">#REF!,#REF!</definedName>
    <definedName name="Z_3FBA103C_5DE2_11D2_8EE8_0008C77CC149_.wvu.PrintArea" localSheetId="9" hidden="1">#REF!</definedName>
    <definedName name="Z_3FBA103C_5DE2_11D2_8EE8_0008C77CC149_.wvu.PrintArea" hidden="1">#REF!</definedName>
    <definedName name="Z_3FBA103C_5DE2_11D2_8EE8_0008C77CC149_.wvu.PrintTitles" localSheetId="9" hidden="1">#REF!</definedName>
    <definedName name="Z_3FBA103C_5DE2_11D2_8EE8_0008C77CC149_.wvu.PrintTitles" hidden="1">#REF!</definedName>
    <definedName name="Z_3FBA104B_5DE2_11D2_8EE8_0008C77CC149_.wvu.PrintArea" localSheetId="9" hidden="1">#REF!</definedName>
    <definedName name="Z_3FBA104B_5DE2_11D2_8EE8_0008C77CC149_.wvu.PrintArea" hidden="1">#REF!</definedName>
    <definedName name="Z_3FBA104B_5DE2_11D2_8EE8_0008C77CC149_.wvu.PrintTitles" localSheetId="9" hidden="1">#REF!</definedName>
    <definedName name="Z_3FBA104B_5DE2_11D2_8EE8_0008C77CC149_.wvu.PrintTitles" hidden="1">#REF!</definedName>
    <definedName name="Z_3FBA1058_5DE2_11D2_8EE8_0008C77CC149_.wvu.PrintArea" localSheetId="9" hidden="1">#REF!</definedName>
    <definedName name="Z_3FBA1058_5DE2_11D2_8EE8_0008C77CC149_.wvu.PrintArea" hidden="1">#REF!</definedName>
    <definedName name="Z_3FBA1058_5DE2_11D2_8EE8_0008C77CC149_.wvu.PrintTitles" localSheetId="9" hidden="1">#REF!,#REF!</definedName>
    <definedName name="Z_3FBA1058_5DE2_11D2_8EE8_0008C77CC149_.wvu.PrintTitles" hidden="1">#REF!,#REF!</definedName>
    <definedName name="Z_3FE15DB3_17FC_11D2_8E97_0008C77CC149_.wvu.PrintArea" localSheetId="9" hidden="1">#REF!</definedName>
    <definedName name="Z_3FE15DB3_17FC_11D2_8E97_0008C77CC149_.wvu.PrintArea" hidden="1">#REF!</definedName>
    <definedName name="Z_3FE15DB3_17FC_11D2_8E97_0008C77CC149_.wvu.PrintTitles" localSheetId="9" hidden="1">#REF!</definedName>
    <definedName name="Z_3FE15DB3_17FC_11D2_8E97_0008C77CC149_.wvu.PrintTitles" hidden="1">#REF!</definedName>
    <definedName name="Z_3FE15DC2_17FC_11D2_8E97_0008C77CC149_.wvu.PrintArea" localSheetId="9" hidden="1">#REF!</definedName>
    <definedName name="Z_3FE15DC2_17FC_11D2_8E97_0008C77CC149_.wvu.PrintArea" hidden="1">#REF!</definedName>
    <definedName name="Z_3FE15DC2_17FC_11D2_8E97_0008C77CC149_.wvu.PrintTitles" localSheetId="9" hidden="1">#REF!</definedName>
    <definedName name="Z_3FE15DC2_17FC_11D2_8E97_0008C77CC149_.wvu.PrintTitles" hidden="1">#REF!</definedName>
    <definedName name="Z_3FE15DCF_17FC_11D2_8E97_0008C77CC149_.wvu.PrintArea" localSheetId="9" hidden="1">#REF!</definedName>
    <definedName name="Z_3FE15DCF_17FC_11D2_8E97_0008C77CC149_.wvu.PrintArea" hidden="1">#REF!</definedName>
    <definedName name="Z_3FE15DCF_17FC_11D2_8E97_0008C77CC149_.wvu.PrintTitles" localSheetId="9" hidden="1">#REF!,#REF!</definedName>
    <definedName name="Z_3FE15DCF_17FC_11D2_8E97_0008C77CC149_.wvu.PrintTitles" hidden="1">#REF!,#REF!</definedName>
    <definedName name="Z_4CC3570C_99A5_11D2_8E90_0008C7BCAF29_.wvu.PrintArea" localSheetId="9" hidden="1">#REF!</definedName>
    <definedName name="Z_4CC3570C_99A5_11D2_8E90_0008C7BCAF29_.wvu.PrintArea" hidden="1">#REF!</definedName>
    <definedName name="Z_4CC3570C_99A5_11D2_8E90_0008C7BCAF29_.wvu.PrintTitles" localSheetId="9" hidden="1">#REF!,#REF!</definedName>
    <definedName name="Z_4CC3570C_99A5_11D2_8E90_0008C7BCAF29_.wvu.PrintTitles" hidden="1">#REF!,#REF!</definedName>
    <definedName name="Z_4CC3570F_99A5_11D2_8E90_0008C7BCAF29_.wvu.PrintArea" localSheetId="9" hidden="1">#REF!</definedName>
    <definedName name="Z_4CC3570F_99A5_11D2_8E90_0008C7BCAF29_.wvu.PrintArea" hidden="1">#REF!</definedName>
    <definedName name="Z_4CC3570F_99A5_11D2_8E90_0008C7BCAF29_.wvu.PrintTitles" localSheetId="9" hidden="1">#REF!</definedName>
    <definedName name="Z_4CC3570F_99A5_11D2_8E90_0008C7BCAF29_.wvu.PrintTitles" hidden="1">#REF!</definedName>
    <definedName name="Z_4CC35714_99A5_11D2_8E90_0008C7BCAF29_.wvu.PrintArea" localSheetId="9" hidden="1">#REF!</definedName>
    <definedName name="Z_4CC35714_99A5_11D2_8E90_0008C7BCAF29_.wvu.PrintArea" hidden="1">#REF!</definedName>
    <definedName name="Z_4CC35714_99A5_11D2_8E90_0008C7BCAF29_.wvu.PrintTitles" localSheetId="9" hidden="1">#REF!,#REF!</definedName>
    <definedName name="Z_4CC35714_99A5_11D2_8E90_0008C7BCAF29_.wvu.PrintTitles" hidden="1">#REF!,#REF!</definedName>
    <definedName name="Z_4CC35716_99A5_11D2_8E90_0008C7BCAF29_.wvu.PrintArea" localSheetId="9" hidden="1">#REF!</definedName>
    <definedName name="Z_4CC35716_99A5_11D2_8E90_0008C7BCAF29_.wvu.PrintArea" hidden="1">#REF!</definedName>
    <definedName name="Z_4CC35716_99A5_11D2_8E90_0008C7BCAF29_.wvu.PrintTitles" localSheetId="9" hidden="1">#REF!,#REF!</definedName>
    <definedName name="Z_4CC35716_99A5_11D2_8E90_0008C7BCAF29_.wvu.PrintTitles" hidden="1">#REF!,#REF!</definedName>
    <definedName name="Z_4CC35719_99A5_11D2_8E90_0008C7BCAF29_.wvu.PrintArea" localSheetId="9" hidden="1">#REF!</definedName>
    <definedName name="Z_4CC35719_99A5_11D2_8E90_0008C7BCAF29_.wvu.PrintArea" hidden="1">#REF!</definedName>
    <definedName name="Z_4CC35719_99A5_11D2_8E90_0008C7BCAF29_.wvu.PrintTitles" localSheetId="9" hidden="1">#REF!</definedName>
    <definedName name="Z_4CC35719_99A5_11D2_8E90_0008C7BCAF29_.wvu.PrintTitles" hidden="1">#REF!</definedName>
    <definedName name="Z_4CC3571E_99A5_11D2_8E90_0008C7BCAF29_.wvu.PrintArea" localSheetId="9" hidden="1">#REF!</definedName>
    <definedName name="Z_4CC3571E_99A5_11D2_8E90_0008C7BCAF29_.wvu.PrintArea" hidden="1">#REF!</definedName>
    <definedName name="Z_4CC3571E_99A5_11D2_8E90_0008C7BCAF29_.wvu.PrintTitles" localSheetId="9" hidden="1">#REF!,#REF!</definedName>
    <definedName name="Z_4CC3571E_99A5_11D2_8E90_0008C7BCAF29_.wvu.PrintTitles" hidden="1">#REF!,#REF!</definedName>
    <definedName name="Z_4CC35721_99A5_11D2_8E90_0008C7BCAF29_.wvu.PrintArea" localSheetId="9" hidden="1">#REF!</definedName>
    <definedName name="Z_4CC35721_99A5_11D2_8E90_0008C7BCAF29_.wvu.PrintArea" hidden="1">#REF!</definedName>
    <definedName name="Z_4CC35721_99A5_11D2_8E90_0008C7BCAF29_.wvu.PrintTitles" localSheetId="9" hidden="1">#REF!,#REF!</definedName>
    <definedName name="Z_4CC35721_99A5_11D2_8E90_0008C7BCAF29_.wvu.PrintTitles" hidden="1">#REF!,#REF!</definedName>
    <definedName name="Z_5F95E421_892A_11D2_8E7F_0008C7809E09_.wvu.PrintArea" localSheetId="9" hidden="1">#REF!</definedName>
    <definedName name="Z_5F95E421_892A_11D2_8E7F_0008C7809E09_.wvu.PrintArea" hidden="1">#REF!</definedName>
    <definedName name="Z_5F95E421_892A_11D2_8E7F_0008C7809E09_.wvu.PrintTitles" localSheetId="9" hidden="1">#REF!,#REF!</definedName>
    <definedName name="Z_5F95E421_892A_11D2_8E7F_0008C7809E09_.wvu.PrintTitles" hidden="1">#REF!,#REF!</definedName>
    <definedName name="Z_5F95E424_892A_11D2_8E7F_0008C7809E09_.wvu.PrintArea" localSheetId="9" hidden="1">#REF!</definedName>
    <definedName name="Z_5F95E424_892A_11D2_8E7F_0008C7809E09_.wvu.PrintArea" hidden="1">#REF!</definedName>
    <definedName name="Z_5F95E424_892A_11D2_8E7F_0008C7809E09_.wvu.PrintTitles" localSheetId="9" hidden="1">#REF!</definedName>
    <definedName name="Z_5F95E424_892A_11D2_8E7F_0008C7809E09_.wvu.PrintTitles" hidden="1">#REF!</definedName>
    <definedName name="Z_5F95E429_892A_11D2_8E7F_0008C7809E09_.wvu.PrintArea" localSheetId="9" hidden="1">#REF!</definedName>
    <definedName name="Z_5F95E429_892A_11D2_8E7F_0008C7809E09_.wvu.PrintArea" hidden="1">#REF!</definedName>
    <definedName name="Z_5F95E429_892A_11D2_8E7F_0008C7809E09_.wvu.PrintTitles" localSheetId="9" hidden="1">#REF!,#REF!</definedName>
    <definedName name="Z_5F95E429_892A_11D2_8E7F_0008C7809E09_.wvu.PrintTitles" hidden="1">#REF!,#REF!</definedName>
    <definedName name="Z_5F95E42B_892A_11D2_8E7F_0008C7809E09_.wvu.PrintArea" localSheetId="9" hidden="1">#REF!</definedName>
    <definedName name="Z_5F95E42B_892A_11D2_8E7F_0008C7809E09_.wvu.PrintArea" hidden="1">#REF!</definedName>
    <definedName name="Z_5F95E42B_892A_11D2_8E7F_0008C7809E09_.wvu.PrintTitles" localSheetId="9" hidden="1">#REF!,#REF!</definedName>
    <definedName name="Z_5F95E42B_892A_11D2_8E7F_0008C7809E09_.wvu.PrintTitles" hidden="1">#REF!,#REF!</definedName>
    <definedName name="Z_5F95E42E_892A_11D2_8E7F_0008C7809E09_.wvu.PrintArea" localSheetId="9" hidden="1">#REF!</definedName>
    <definedName name="Z_5F95E42E_892A_11D2_8E7F_0008C7809E09_.wvu.PrintArea" hidden="1">#REF!</definedName>
    <definedName name="Z_5F95E42E_892A_11D2_8E7F_0008C7809E09_.wvu.PrintTitles" localSheetId="9" hidden="1">#REF!</definedName>
    <definedName name="Z_5F95E42E_892A_11D2_8E7F_0008C7809E09_.wvu.PrintTitles" hidden="1">#REF!</definedName>
    <definedName name="Z_5F95E433_892A_11D2_8E7F_0008C7809E09_.wvu.PrintArea" localSheetId="9" hidden="1">#REF!</definedName>
    <definedName name="Z_5F95E433_892A_11D2_8E7F_0008C7809E09_.wvu.PrintArea" hidden="1">#REF!</definedName>
    <definedName name="Z_5F95E433_892A_11D2_8E7F_0008C7809E09_.wvu.PrintTitles" localSheetId="9" hidden="1">#REF!,#REF!</definedName>
    <definedName name="Z_5F95E433_892A_11D2_8E7F_0008C7809E09_.wvu.PrintTitles" hidden="1">#REF!,#REF!</definedName>
    <definedName name="Z_5F95E436_892A_11D2_8E7F_0008C7809E09_.wvu.PrintArea" localSheetId="9" hidden="1">#REF!</definedName>
    <definedName name="Z_5F95E436_892A_11D2_8E7F_0008C7809E09_.wvu.PrintArea" hidden="1">#REF!</definedName>
    <definedName name="Z_5F95E436_892A_11D2_8E7F_0008C7809E09_.wvu.PrintTitles" localSheetId="9" hidden="1">#REF!,#REF!</definedName>
    <definedName name="Z_5F95E436_892A_11D2_8E7F_0008C7809E09_.wvu.PrintTitles" hidden="1">#REF!,#REF!</definedName>
    <definedName name="Z_61DB0F02_10ED_11D2_8E73_0008C77C0743_.wvu.PrintArea" localSheetId="9" hidden="1">#REF!</definedName>
    <definedName name="Z_61DB0F02_10ED_11D2_8E73_0008C77C0743_.wvu.PrintArea" hidden="1">#REF!</definedName>
    <definedName name="Z_61DB0F02_10ED_11D2_8E73_0008C77C0743_.wvu.PrintTitles" localSheetId="9" hidden="1">#REF!</definedName>
    <definedName name="Z_61DB0F02_10ED_11D2_8E73_0008C77C0743_.wvu.PrintTitles" hidden="1">#REF!</definedName>
    <definedName name="Z_61DB0F11_10ED_11D2_8E73_0008C77C0743_.wvu.PrintArea" localSheetId="9" hidden="1">#REF!</definedName>
    <definedName name="Z_61DB0F11_10ED_11D2_8E73_0008C77C0743_.wvu.PrintArea" hidden="1">#REF!</definedName>
    <definedName name="Z_61DB0F11_10ED_11D2_8E73_0008C77C0743_.wvu.PrintTitles" localSheetId="9" hidden="1">#REF!</definedName>
    <definedName name="Z_61DB0F11_10ED_11D2_8E73_0008C77C0743_.wvu.PrintTitles" hidden="1">#REF!</definedName>
    <definedName name="Z_61DB0F1E_10ED_11D2_8E73_0008C77C0743_.wvu.PrintArea" localSheetId="9" hidden="1">#REF!</definedName>
    <definedName name="Z_61DB0F1E_10ED_11D2_8E73_0008C77C0743_.wvu.PrintArea" hidden="1">#REF!</definedName>
    <definedName name="Z_61DB0F1E_10ED_11D2_8E73_0008C77C0743_.wvu.PrintTitles" localSheetId="9" hidden="1">#REF!,#REF!</definedName>
    <definedName name="Z_61DB0F1E_10ED_11D2_8E73_0008C77C0743_.wvu.PrintTitles" hidden="1">#REF!,#REF!</definedName>
    <definedName name="Z_6749F589_14FD_11D3_8EF9_0008C7BCAF29_.wvu.PrintArea" localSheetId="9" hidden="1">#REF!</definedName>
    <definedName name="Z_6749F589_14FD_11D3_8EF9_0008C7BCAF29_.wvu.PrintArea" hidden="1">#REF!</definedName>
    <definedName name="Z_6749F589_14FD_11D3_8EF9_0008C7BCAF29_.wvu.PrintTitles" localSheetId="9" hidden="1">#REF!</definedName>
    <definedName name="Z_6749F589_14FD_11D3_8EF9_0008C7BCAF29_.wvu.PrintTitles" hidden="1">#REF!</definedName>
    <definedName name="Z_6749F59C_14FD_11D3_8EF9_0008C7BCAF29_.wvu.PrintArea" localSheetId="9" hidden="1">#REF!</definedName>
    <definedName name="Z_6749F59C_14FD_11D3_8EF9_0008C7BCAF29_.wvu.PrintArea" hidden="1">#REF!</definedName>
    <definedName name="Z_6749F59C_14FD_11D3_8EF9_0008C7BCAF29_.wvu.PrintTitles" localSheetId="9" hidden="1">#REF!</definedName>
    <definedName name="Z_6749F59C_14FD_11D3_8EF9_0008C7BCAF29_.wvu.PrintTitles" hidden="1">#REF!</definedName>
    <definedName name="Z_6749F5AC_14FD_11D3_8EF9_0008C7BCAF29_.wvu.PrintArea" localSheetId="9" hidden="1">#REF!</definedName>
    <definedName name="Z_6749F5AC_14FD_11D3_8EF9_0008C7BCAF29_.wvu.PrintArea" hidden="1">#REF!</definedName>
    <definedName name="Z_6749F5AC_14FD_11D3_8EF9_0008C7BCAF29_.wvu.PrintTitles" localSheetId="9" hidden="1">#REF!,#REF!</definedName>
    <definedName name="Z_6749F5AC_14FD_11D3_8EF9_0008C7BCAF29_.wvu.PrintTitles" hidden="1">#REF!,#REF!</definedName>
    <definedName name="Z_68F84A93_5E0B_11D2_8EEE_0008C7BCAF29_.wvu.PrintArea" localSheetId="9" hidden="1">#REF!</definedName>
    <definedName name="Z_68F84A93_5E0B_11D2_8EEE_0008C7BCAF29_.wvu.PrintArea" hidden="1">#REF!</definedName>
    <definedName name="Z_68F84A93_5E0B_11D2_8EEE_0008C7BCAF29_.wvu.PrintTitles" localSheetId="9" hidden="1">#REF!</definedName>
    <definedName name="Z_68F84A93_5E0B_11D2_8EEE_0008C7BCAF29_.wvu.PrintTitles" hidden="1">#REF!</definedName>
    <definedName name="Z_68F84AA2_5E0B_11D2_8EEE_0008C7BCAF29_.wvu.PrintArea" localSheetId="9" hidden="1">#REF!</definedName>
    <definedName name="Z_68F84AA2_5E0B_11D2_8EEE_0008C7BCAF29_.wvu.PrintArea" hidden="1">#REF!</definedName>
    <definedName name="Z_68F84AA2_5E0B_11D2_8EEE_0008C7BCAF29_.wvu.PrintTitles" localSheetId="9" hidden="1">#REF!</definedName>
    <definedName name="Z_68F84AA2_5E0B_11D2_8EEE_0008C7BCAF29_.wvu.PrintTitles" hidden="1">#REF!</definedName>
    <definedName name="Z_68F84AAF_5E0B_11D2_8EEE_0008C7BCAF29_.wvu.PrintArea" localSheetId="9" hidden="1">#REF!</definedName>
    <definedName name="Z_68F84AAF_5E0B_11D2_8EEE_0008C7BCAF29_.wvu.PrintArea" hidden="1">#REF!</definedName>
    <definedName name="Z_68F84AAF_5E0B_11D2_8EEE_0008C7BCAF29_.wvu.PrintTitles" localSheetId="9" hidden="1">#REF!,#REF!</definedName>
    <definedName name="Z_68F84AAF_5E0B_11D2_8EEE_0008C7BCAF29_.wvu.PrintTitles" hidden="1">#REF!,#REF!</definedName>
    <definedName name="Z_68F84ABA_5E0B_11D2_8EEE_0008C7BCAF29_.wvu.PrintArea" localSheetId="9" hidden="1">#REF!</definedName>
    <definedName name="Z_68F84ABA_5E0B_11D2_8EEE_0008C7BCAF29_.wvu.PrintArea" hidden="1">#REF!</definedName>
    <definedName name="Z_68F84ABA_5E0B_11D2_8EEE_0008C7BCAF29_.wvu.PrintTitles" localSheetId="9" hidden="1">#REF!,#REF!</definedName>
    <definedName name="Z_68F84ABA_5E0B_11D2_8EEE_0008C7BCAF29_.wvu.PrintTitles" hidden="1">#REF!,#REF!</definedName>
    <definedName name="Z_68F84ABC_5E0B_11D2_8EEE_0008C7BCAF29_.wvu.PrintArea" localSheetId="9" hidden="1">#REF!</definedName>
    <definedName name="Z_68F84ABC_5E0B_11D2_8EEE_0008C7BCAF29_.wvu.PrintArea" hidden="1">#REF!</definedName>
    <definedName name="Z_68F84ABC_5E0B_11D2_8EEE_0008C7BCAF29_.wvu.PrintTitles" localSheetId="9" hidden="1">#REF!</definedName>
    <definedName name="Z_68F84ABC_5E0B_11D2_8EEE_0008C7BCAF29_.wvu.PrintTitles" hidden="1">#REF!</definedName>
    <definedName name="Z_68F84ABF_5E0B_11D2_8EEE_0008C7BCAF29_.wvu.PrintArea" localSheetId="9" hidden="1">#REF!</definedName>
    <definedName name="Z_68F84ABF_5E0B_11D2_8EEE_0008C7BCAF29_.wvu.PrintArea" hidden="1">#REF!</definedName>
    <definedName name="Z_68F84ABF_5E0B_11D2_8EEE_0008C7BCAF29_.wvu.PrintTitles" localSheetId="9" hidden="1">#REF!,#REF!</definedName>
    <definedName name="Z_68F84ABF_5E0B_11D2_8EEE_0008C7BCAF29_.wvu.PrintTitles" hidden="1">#REF!,#REF!</definedName>
    <definedName name="Z_68F84AC1_5E0B_11D2_8EEE_0008C7BCAF29_.wvu.PrintArea" localSheetId="9" hidden="1">#REF!</definedName>
    <definedName name="Z_68F84AC1_5E0B_11D2_8EEE_0008C7BCAF29_.wvu.PrintArea" hidden="1">#REF!</definedName>
    <definedName name="Z_68F84AC1_5E0B_11D2_8EEE_0008C7BCAF29_.wvu.PrintTitles" localSheetId="9" hidden="1">#REF!,#REF!</definedName>
    <definedName name="Z_68F84AC1_5E0B_11D2_8EEE_0008C7BCAF29_.wvu.PrintTitles" hidden="1">#REF!,#REF!</definedName>
    <definedName name="Z_68F84AC3_5E0B_11D2_8EEE_0008C7BCAF29_.wvu.PrintArea" localSheetId="9" hidden="1">#REF!</definedName>
    <definedName name="Z_68F84AC3_5E0B_11D2_8EEE_0008C7BCAF29_.wvu.PrintArea" hidden="1">#REF!</definedName>
    <definedName name="Z_68F84AC3_5E0B_11D2_8EEE_0008C7BCAF29_.wvu.PrintTitles" localSheetId="9" hidden="1">#REF!</definedName>
    <definedName name="Z_68F84AC3_5E0B_11D2_8EEE_0008C7BCAF29_.wvu.PrintTitles" hidden="1">#REF!</definedName>
    <definedName name="Z_68F84AC6_5E0B_11D2_8EEE_0008C7BCAF29_.wvu.PrintArea" localSheetId="9" hidden="1">#REF!</definedName>
    <definedName name="Z_68F84AC6_5E0B_11D2_8EEE_0008C7BCAF29_.wvu.PrintArea" hidden="1">#REF!</definedName>
    <definedName name="Z_68F84AC6_5E0B_11D2_8EEE_0008C7BCAF29_.wvu.PrintTitles" localSheetId="9" hidden="1">#REF!,#REF!</definedName>
    <definedName name="Z_68F84AC6_5E0B_11D2_8EEE_0008C7BCAF29_.wvu.PrintTitles" hidden="1">#REF!,#REF!</definedName>
    <definedName name="Z_68F84AC8_5E0B_11D2_8EEE_0008C7BCAF29_.wvu.PrintArea" localSheetId="9" hidden="1">#REF!</definedName>
    <definedName name="Z_68F84AC8_5E0B_11D2_8EEE_0008C7BCAF29_.wvu.PrintArea" hidden="1">#REF!</definedName>
    <definedName name="Z_68F84AC8_5E0B_11D2_8EEE_0008C7BCAF29_.wvu.PrintTitles" localSheetId="9" hidden="1">#REF!,#REF!</definedName>
    <definedName name="Z_68F84AC8_5E0B_11D2_8EEE_0008C7BCAF29_.wvu.PrintTitles" hidden="1">#REF!,#REF!</definedName>
    <definedName name="Z_68F84ACE_5E0B_11D2_8EEE_0008C7BCAF29_.wvu.PrintArea" localSheetId="9" hidden="1">#REF!</definedName>
    <definedName name="Z_68F84ACE_5E0B_11D2_8EEE_0008C7BCAF29_.wvu.PrintArea" hidden="1">#REF!</definedName>
    <definedName name="Z_68F84ACE_5E0B_11D2_8EEE_0008C7BCAF29_.wvu.PrintTitles" localSheetId="9" hidden="1">#REF!</definedName>
    <definedName name="Z_68F84ACE_5E0B_11D2_8EEE_0008C7BCAF29_.wvu.PrintTitles" hidden="1">#REF!</definedName>
    <definedName name="Z_68F84ADD_5E0B_11D2_8EEE_0008C7BCAF29_.wvu.PrintArea" localSheetId="9" hidden="1">#REF!</definedName>
    <definedName name="Z_68F84ADD_5E0B_11D2_8EEE_0008C7BCAF29_.wvu.PrintArea" hidden="1">#REF!</definedName>
    <definedName name="Z_68F84ADD_5E0B_11D2_8EEE_0008C7BCAF29_.wvu.PrintTitles" localSheetId="9" hidden="1">#REF!</definedName>
    <definedName name="Z_68F84ADD_5E0B_11D2_8EEE_0008C7BCAF29_.wvu.PrintTitles" hidden="1">#REF!</definedName>
    <definedName name="Z_68F84AEA_5E0B_11D2_8EEE_0008C7BCAF29_.wvu.PrintArea" localSheetId="9" hidden="1">#REF!</definedName>
    <definedName name="Z_68F84AEA_5E0B_11D2_8EEE_0008C7BCAF29_.wvu.PrintArea" hidden="1">#REF!</definedName>
    <definedName name="Z_68F84AEA_5E0B_11D2_8EEE_0008C7BCAF29_.wvu.PrintTitles" localSheetId="9" hidden="1">#REF!,#REF!</definedName>
    <definedName name="Z_68F84AEA_5E0B_11D2_8EEE_0008C7BCAF29_.wvu.PrintTitles" hidden="1">#REF!,#REF!</definedName>
    <definedName name="Z_68F84AF6_5E0B_11D2_8EEE_0008C7BCAF29_.wvu.PrintArea" localSheetId="9" hidden="1">#REF!</definedName>
    <definedName name="Z_68F84AF6_5E0B_11D2_8EEE_0008C7BCAF29_.wvu.PrintArea" hidden="1">#REF!</definedName>
    <definedName name="Z_68F84AF6_5E0B_11D2_8EEE_0008C7BCAF29_.wvu.PrintTitles" localSheetId="9" hidden="1">#REF!,#REF!</definedName>
    <definedName name="Z_68F84AF6_5E0B_11D2_8EEE_0008C7BCAF29_.wvu.PrintTitles" hidden="1">#REF!,#REF!</definedName>
    <definedName name="Z_68F84AF9_5E0B_11D2_8EEE_0008C7BCAF29_.wvu.PrintArea" localSheetId="9" hidden="1">#REF!</definedName>
    <definedName name="Z_68F84AF9_5E0B_11D2_8EEE_0008C7BCAF29_.wvu.PrintArea" hidden="1">#REF!</definedName>
    <definedName name="Z_68F84AF9_5E0B_11D2_8EEE_0008C7BCAF29_.wvu.PrintTitles" localSheetId="9" hidden="1">#REF!</definedName>
    <definedName name="Z_68F84AF9_5E0B_11D2_8EEE_0008C7BCAF29_.wvu.PrintTitles" hidden="1">#REF!</definedName>
    <definedName name="Z_68F84AFE_5E0B_11D2_8EEE_0008C7BCAF29_.wvu.PrintArea" localSheetId="9" hidden="1">#REF!</definedName>
    <definedName name="Z_68F84AFE_5E0B_11D2_8EEE_0008C7BCAF29_.wvu.PrintArea" hidden="1">#REF!</definedName>
    <definedName name="Z_68F84AFE_5E0B_11D2_8EEE_0008C7BCAF29_.wvu.PrintTitles" localSheetId="9" hidden="1">#REF!,#REF!</definedName>
    <definedName name="Z_68F84AFE_5E0B_11D2_8EEE_0008C7BCAF29_.wvu.PrintTitles" hidden="1">#REF!,#REF!</definedName>
    <definedName name="Z_68F84B00_5E0B_11D2_8EEE_0008C7BCAF29_.wvu.PrintArea" localSheetId="9" hidden="1">#REF!</definedName>
    <definedName name="Z_68F84B00_5E0B_11D2_8EEE_0008C7BCAF29_.wvu.PrintArea" hidden="1">#REF!</definedName>
    <definedName name="Z_68F84B00_5E0B_11D2_8EEE_0008C7BCAF29_.wvu.PrintTitles" localSheetId="9" hidden="1">#REF!,#REF!</definedName>
    <definedName name="Z_68F84B00_5E0B_11D2_8EEE_0008C7BCAF29_.wvu.PrintTitles" hidden="1">#REF!,#REF!</definedName>
    <definedName name="Z_68F84B03_5E0B_11D2_8EEE_0008C7BCAF29_.wvu.PrintArea" localSheetId="9" hidden="1">#REF!</definedName>
    <definedName name="Z_68F84B03_5E0B_11D2_8EEE_0008C7BCAF29_.wvu.PrintArea" hidden="1">#REF!</definedName>
    <definedName name="Z_68F84B03_5E0B_11D2_8EEE_0008C7BCAF29_.wvu.PrintTitles" localSheetId="9" hidden="1">#REF!</definedName>
    <definedName name="Z_68F84B03_5E0B_11D2_8EEE_0008C7BCAF29_.wvu.PrintTitles" hidden="1">#REF!</definedName>
    <definedName name="Z_68F84B08_5E0B_11D2_8EEE_0008C7BCAF29_.wvu.PrintArea" localSheetId="9" hidden="1">#REF!</definedName>
    <definedName name="Z_68F84B08_5E0B_11D2_8EEE_0008C7BCAF29_.wvu.PrintArea" hidden="1">#REF!</definedName>
    <definedName name="Z_68F84B08_5E0B_11D2_8EEE_0008C7BCAF29_.wvu.PrintTitles" localSheetId="9" hidden="1">#REF!,#REF!</definedName>
    <definedName name="Z_68F84B08_5E0B_11D2_8EEE_0008C7BCAF29_.wvu.PrintTitles" hidden="1">#REF!,#REF!</definedName>
    <definedName name="Z_68F84B0B_5E0B_11D2_8EEE_0008C7BCAF29_.wvu.PrintArea" localSheetId="9" hidden="1">#REF!</definedName>
    <definedName name="Z_68F84B0B_5E0B_11D2_8EEE_0008C7BCAF29_.wvu.PrintArea" hidden="1">#REF!</definedName>
    <definedName name="Z_68F84B0B_5E0B_11D2_8EEE_0008C7BCAF29_.wvu.PrintTitles" localSheetId="9" hidden="1">#REF!,#REF!</definedName>
    <definedName name="Z_68F84B0B_5E0B_11D2_8EEE_0008C7BCAF29_.wvu.PrintTitles" hidden="1">#REF!,#REF!</definedName>
    <definedName name="Z_68F84B11_5E0B_11D2_8EEE_0008C7BCAF29_.wvu.PrintArea" localSheetId="9" hidden="1">#REF!</definedName>
    <definedName name="Z_68F84B11_5E0B_11D2_8EEE_0008C7BCAF29_.wvu.PrintArea" hidden="1">#REF!</definedName>
    <definedName name="Z_68F84B11_5E0B_11D2_8EEE_0008C7BCAF29_.wvu.PrintTitles" localSheetId="9" hidden="1">#REF!,#REF!</definedName>
    <definedName name="Z_68F84B11_5E0B_11D2_8EEE_0008C7BCAF29_.wvu.PrintTitles" hidden="1">#REF!,#REF!</definedName>
    <definedName name="Z_68F84B14_5E0B_11D2_8EEE_0008C7BCAF29_.wvu.PrintArea" localSheetId="9" hidden="1">#REF!</definedName>
    <definedName name="Z_68F84B14_5E0B_11D2_8EEE_0008C7BCAF29_.wvu.PrintArea" hidden="1">#REF!</definedName>
    <definedName name="Z_68F84B14_5E0B_11D2_8EEE_0008C7BCAF29_.wvu.PrintTitles" localSheetId="9" hidden="1">#REF!</definedName>
    <definedName name="Z_68F84B14_5E0B_11D2_8EEE_0008C7BCAF29_.wvu.PrintTitles" hidden="1">#REF!</definedName>
    <definedName name="Z_68F84B19_5E0B_11D2_8EEE_0008C7BCAF29_.wvu.PrintArea" localSheetId="9" hidden="1">#REF!</definedName>
    <definedName name="Z_68F84B19_5E0B_11D2_8EEE_0008C7BCAF29_.wvu.PrintArea" hidden="1">#REF!</definedName>
    <definedName name="Z_68F84B19_5E0B_11D2_8EEE_0008C7BCAF29_.wvu.PrintTitles" localSheetId="9" hidden="1">#REF!,#REF!</definedName>
    <definedName name="Z_68F84B19_5E0B_11D2_8EEE_0008C7BCAF29_.wvu.PrintTitles" hidden="1">#REF!,#REF!</definedName>
    <definedName name="Z_68F84B1B_5E0B_11D2_8EEE_0008C7BCAF29_.wvu.PrintArea" localSheetId="9" hidden="1">#REF!</definedName>
    <definedName name="Z_68F84B1B_5E0B_11D2_8EEE_0008C7BCAF29_.wvu.PrintArea" hidden="1">#REF!</definedName>
    <definedName name="Z_68F84B1B_5E0B_11D2_8EEE_0008C7BCAF29_.wvu.PrintTitles" localSheetId="9" hidden="1">#REF!,#REF!</definedName>
    <definedName name="Z_68F84B1B_5E0B_11D2_8EEE_0008C7BCAF29_.wvu.PrintTitles" hidden="1">#REF!,#REF!</definedName>
    <definedName name="Z_68F84B1E_5E0B_11D2_8EEE_0008C7BCAF29_.wvu.PrintArea" localSheetId="9" hidden="1">#REF!</definedName>
    <definedName name="Z_68F84B1E_5E0B_11D2_8EEE_0008C7BCAF29_.wvu.PrintArea" hidden="1">#REF!</definedName>
    <definedName name="Z_68F84B1E_5E0B_11D2_8EEE_0008C7BCAF29_.wvu.PrintTitles" localSheetId="9" hidden="1">#REF!</definedName>
    <definedName name="Z_68F84B1E_5E0B_11D2_8EEE_0008C7BCAF29_.wvu.PrintTitles" hidden="1">#REF!</definedName>
    <definedName name="Z_68F84B23_5E0B_11D2_8EEE_0008C7BCAF29_.wvu.PrintArea" localSheetId="9" hidden="1">#REF!</definedName>
    <definedName name="Z_68F84B23_5E0B_11D2_8EEE_0008C7BCAF29_.wvu.PrintArea" hidden="1">#REF!</definedName>
    <definedName name="Z_68F84B23_5E0B_11D2_8EEE_0008C7BCAF29_.wvu.PrintTitles" localSheetId="9" hidden="1">#REF!,#REF!</definedName>
    <definedName name="Z_68F84B23_5E0B_11D2_8EEE_0008C7BCAF29_.wvu.PrintTitles" hidden="1">#REF!,#REF!</definedName>
    <definedName name="Z_68F84B26_5E0B_11D2_8EEE_0008C7BCAF29_.wvu.PrintArea" localSheetId="9" hidden="1">#REF!</definedName>
    <definedName name="Z_68F84B26_5E0B_11D2_8EEE_0008C7BCAF29_.wvu.PrintArea" hidden="1">#REF!</definedName>
    <definedName name="Z_68F84B26_5E0B_11D2_8EEE_0008C7BCAF29_.wvu.PrintTitles" localSheetId="9" hidden="1">#REF!,#REF!</definedName>
    <definedName name="Z_68F84B26_5E0B_11D2_8EEE_0008C7BCAF29_.wvu.PrintTitles" hidden="1">#REF!,#REF!</definedName>
    <definedName name="Z_76FBE7D5_5EAD_11D2_8EEF_0008C7BCAF29_.wvu.PrintArea" localSheetId="9" hidden="1">#REF!</definedName>
    <definedName name="Z_76FBE7D5_5EAD_11D2_8EEF_0008C7BCAF29_.wvu.PrintArea" hidden="1">#REF!</definedName>
    <definedName name="Z_76FBE7D5_5EAD_11D2_8EEF_0008C7BCAF29_.wvu.PrintTitles" localSheetId="9" hidden="1">#REF!,#REF!</definedName>
    <definedName name="Z_76FBE7D5_5EAD_11D2_8EEF_0008C7BCAF29_.wvu.PrintTitles" hidden="1">#REF!,#REF!</definedName>
    <definedName name="Z_76FBE7D7_5EAD_11D2_8EEF_0008C7BCAF29_.wvu.PrintArea" localSheetId="9" hidden="1">#REF!</definedName>
    <definedName name="Z_76FBE7D7_5EAD_11D2_8EEF_0008C7BCAF29_.wvu.PrintArea" hidden="1">#REF!</definedName>
    <definedName name="Z_76FBE7D7_5EAD_11D2_8EEF_0008C7BCAF29_.wvu.PrintTitles" localSheetId="9" hidden="1">#REF!</definedName>
    <definedName name="Z_76FBE7D7_5EAD_11D2_8EEF_0008C7BCAF29_.wvu.PrintTitles" hidden="1">#REF!</definedName>
    <definedName name="Z_76FBE7DA_5EAD_11D2_8EEF_0008C7BCAF29_.wvu.PrintArea" localSheetId="9" hidden="1">#REF!</definedName>
    <definedName name="Z_76FBE7DA_5EAD_11D2_8EEF_0008C7BCAF29_.wvu.PrintArea" hidden="1">#REF!</definedName>
    <definedName name="Z_76FBE7DA_5EAD_11D2_8EEF_0008C7BCAF29_.wvu.PrintTitles" localSheetId="9" hidden="1">#REF!,#REF!</definedName>
    <definedName name="Z_76FBE7DA_5EAD_11D2_8EEF_0008C7BCAF29_.wvu.PrintTitles" hidden="1">#REF!,#REF!</definedName>
    <definedName name="Z_76FBE7DC_5EAD_11D2_8EEF_0008C7BCAF29_.wvu.PrintArea" localSheetId="9" hidden="1">#REF!</definedName>
    <definedName name="Z_76FBE7DC_5EAD_11D2_8EEF_0008C7BCAF29_.wvu.PrintArea" hidden="1">#REF!</definedName>
    <definedName name="Z_76FBE7DC_5EAD_11D2_8EEF_0008C7BCAF29_.wvu.PrintTitles" localSheetId="9" hidden="1">#REF!,#REF!</definedName>
    <definedName name="Z_76FBE7DC_5EAD_11D2_8EEF_0008C7BCAF29_.wvu.PrintTitles" hidden="1">#REF!,#REF!</definedName>
    <definedName name="Z_76FBE7DE_5EAD_11D2_8EEF_0008C7BCAF29_.wvu.PrintArea" localSheetId="9" hidden="1">#REF!</definedName>
    <definedName name="Z_76FBE7DE_5EAD_11D2_8EEF_0008C7BCAF29_.wvu.PrintArea" hidden="1">#REF!</definedName>
    <definedName name="Z_76FBE7DE_5EAD_11D2_8EEF_0008C7BCAF29_.wvu.PrintTitles" localSheetId="9" hidden="1">#REF!</definedName>
    <definedName name="Z_76FBE7DE_5EAD_11D2_8EEF_0008C7BCAF29_.wvu.PrintTitles" hidden="1">#REF!</definedName>
    <definedName name="Z_76FBE7E1_5EAD_11D2_8EEF_0008C7BCAF29_.wvu.PrintArea" localSheetId="9" hidden="1">#REF!</definedName>
    <definedName name="Z_76FBE7E1_5EAD_11D2_8EEF_0008C7BCAF29_.wvu.PrintArea" hidden="1">#REF!</definedName>
    <definedName name="Z_76FBE7E1_5EAD_11D2_8EEF_0008C7BCAF29_.wvu.PrintTitles" localSheetId="9" hidden="1">#REF!,#REF!</definedName>
    <definedName name="Z_76FBE7E1_5EAD_11D2_8EEF_0008C7BCAF29_.wvu.PrintTitles" hidden="1">#REF!,#REF!</definedName>
    <definedName name="Z_76FBE7E3_5EAD_11D2_8EEF_0008C7BCAF29_.wvu.PrintArea" localSheetId="9" hidden="1">#REF!</definedName>
    <definedName name="Z_76FBE7E3_5EAD_11D2_8EEF_0008C7BCAF29_.wvu.PrintArea" hidden="1">#REF!</definedName>
    <definedName name="Z_76FBE7E3_5EAD_11D2_8EEF_0008C7BCAF29_.wvu.PrintTitles" localSheetId="9" hidden="1">#REF!,#REF!</definedName>
    <definedName name="Z_76FBE7E3_5EAD_11D2_8EEF_0008C7BCAF29_.wvu.PrintTitles" hidden="1">#REF!,#REF!</definedName>
    <definedName name="Z_974EFDB0_1051_11D2_8E71_0008C77C0743_.wvu.PrintArea" localSheetId="9" hidden="1">#REF!</definedName>
    <definedName name="Z_974EFDB0_1051_11D2_8E71_0008C77C0743_.wvu.PrintArea" hidden="1">#REF!</definedName>
    <definedName name="Z_974EFDB0_1051_11D2_8E71_0008C77C0743_.wvu.PrintTitles" localSheetId="9" hidden="1">#REF!,#REF!</definedName>
    <definedName name="Z_974EFDB0_1051_11D2_8E71_0008C77C0743_.wvu.PrintTitles" hidden="1">#REF!,#REF!</definedName>
    <definedName name="Z_974EFDB2_1051_11D2_8E71_0008C77C0743_.wvu.PrintArea" localSheetId="9" hidden="1">#REF!</definedName>
    <definedName name="Z_974EFDB2_1051_11D2_8E71_0008C77C0743_.wvu.PrintArea" hidden="1">#REF!</definedName>
    <definedName name="Z_974EFDB2_1051_11D2_8E71_0008C77C0743_.wvu.PrintTitles" localSheetId="9" hidden="1">#REF!</definedName>
    <definedName name="Z_974EFDB2_1051_11D2_8E71_0008C77C0743_.wvu.PrintTitles" hidden="1">#REF!</definedName>
    <definedName name="Z_974EFDB5_1051_11D2_8E71_0008C77C0743_.wvu.PrintArea" localSheetId="9" hidden="1">#REF!</definedName>
    <definedName name="Z_974EFDB5_1051_11D2_8E71_0008C77C0743_.wvu.PrintArea" hidden="1">#REF!</definedName>
    <definedName name="Z_974EFDB5_1051_11D2_8E71_0008C77C0743_.wvu.PrintTitles" localSheetId="9" hidden="1">#REF!,#REF!</definedName>
    <definedName name="Z_974EFDB5_1051_11D2_8E71_0008C77C0743_.wvu.PrintTitles" hidden="1">#REF!,#REF!</definedName>
    <definedName name="Z_974EFDB7_1051_11D2_8E71_0008C77C0743_.wvu.PrintArea" localSheetId="9" hidden="1">#REF!</definedName>
    <definedName name="Z_974EFDB7_1051_11D2_8E71_0008C77C0743_.wvu.PrintArea" hidden="1">#REF!</definedName>
    <definedName name="Z_974EFDB7_1051_11D2_8E71_0008C77C0743_.wvu.PrintTitles" localSheetId="9" hidden="1">#REF!,#REF!</definedName>
    <definedName name="Z_974EFDB7_1051_11D2_8E71_0008C77C0743_.wvu.PrintTitles" hidden="1">#REF!,#REF!</definedName>
    <definedName name="Z_974EFDB9_1051_11D2_8E71_0008C77C0743_.wvu.PrintArea" localSheetId="9" hidden="1">#REF!</definedName>
    <definedName name="Z_974EFDB9_1051_11D2_8E71_0008C77C0743_.wvu.PrintArea" hidden="1">#REF!</definedName>
    <definedName name="Z_974EFDB9_1051_11D2_8E71_0008C77C0743_.wvu.PrintTitles" localSheetId="9" hidden="1">#REF!</definedName>
    <definedName name="Z_974EFDB9_1051_11D2_8E71_0008C77C0743_.wvu.PrintTitles" hidden="1">#REF!</definedName>
    <definedName name="Z_974EFDBC_1051_11D2_8E71_0008C77C0743_.wvu.PrintArea" localSheetId="9" hidden="1">#REF!</definedName>
    <definedName name="Z_974EFDBC_1051_11D2_8E71_0008C77C0743_.wvu.PrintArea" hidden="1">#REF!</definedName>
    <definedName name="Z_974EFDBC_1051_11D2_8E71_0008C77C0743_.wvu.PrintTitles" localSheetId="9" hidden="1">#REF!,#REF!</definedName>
    <definedName name="Z_974EFDBC_1051_11D2_8E71_0008C77C0743_.wvu.PrintTitles" hidden="1">#REF!,#REF!</definedName>
    <definedName name="Z_974EFDBE_1051_11D2_8E71_0008C77C0743_.wvu.PrintArea" localSheetId="9" hidden="1">#REF!</definedName>
    <definedName name="Z_974EFDBE_1051_11D2_8E71_0008C77C0743_.wvu.PrintArea" hidden="1">#REF!</definedName>
    <definedName name="Z_974EFDBE_1051_11D2_8E71_0008C77C0743_.wvu.PrintTitles" localSheetId="9" hidden="1">#REF!,#REF!</definedName>
    <definedName name="Z_974EFDBE_1051_11D2_8E71_0008C77C0743_.wvu.PrintTitles" hidden="1">#REF!,#REF!</definedName>
    <definedName name="Z_A1DB4122_5E0E_11D2_8EC3_0008C77C0743_.wvu.PrintArea" localSheetId="9" hidden="1">#REF!</definedName>
    <definedName name="Z_A1DB4122_5E0E_11D2_8EC3_0008C77C0743_.wvu.PrintArea" hidden="1">#REF!</definedName>
    <definedName name="Z_A1DB4122_5E0E_11D2_8EC3_0008C77C0743_.wvu.PrintTitles" localSheetId="9" hidden="1">#REF!</definedName>
    <definedName name="Z_A1DB4122_5E0E_11D2_8EC3_0008C77C0743_.wvu.PrintTitles" hidden="1">#REF!</definedName>
    <definedName name="Z_A1DB4131_5E0E_11D2_8EC3_0008C77C0743_.wvu.PrintArea" localSheetId="9" hidden="1">#REF!</definedName>
    <definedName name="Z_A1DB4131_5E0E_11D2_8EC3_0008C77C0743_.wvu.PrintArea" hidden="1">#REF!</definedName>
    <definedName name="Z_A1DB4131_5E0E_11D2_8EC3_0008C77C0743_.wvu.PrintTitles" localSheetId="9" hidden="1">#REF!</definedName>
    <definedName name="Z_A1DB4131_5E0E_11D2_8EC3_0008C77C0743_.wvu.PrintTitles" hidden="1">#REF!</definedName>
    <definedName name="Z_A1DB413E_5E0E_11D2_8EC3_0008C77C0743_.wvu.PrintArea" localSheetId="9" hidden="1">#REF!</definedName>
    <definedName name="Z_A1DB413E_5E0E_11D2_8EC3_0008C77C0743_.wvu.PrintArea" hidden="1">#REF!</definedName>
    <definedName name="Z_A1DB413E_5E0E_11D2_8EC3_0008C77C0743_.wvu.PrintTitles" localSheetId="9" hidden="1">#REF!,#REF!</definedName>
    <definedName name="Z_A1DB413E_5E0E_11D2_8EC3_0008C77C0743_.wvu.PrintTitles" hidden="1">#REF!,#REF!</definedName>
    <definedName name="Z_A1DB414B_5E0E_11D2_8EC3_0008C77C0743_.wvu.PrintArea" localSheetId="9" hidden="1">#REF!</definedName>
    <definedName name="Z_A1DB414B_5E0E_11D2_8EC3_0008C77C0743_.wvu.PrintArea" hidden="1">#REF!</definedName>
    <definedName name="Z_A1DB414B_5E0E_11D2_8EC3_0008C77C0743_.wvu.PrintTitles" localSheetId="9" hidden="1">#REF!</definedName>
    <definedName name="Z_A1DB414B_5E0E_11D2_8EC3_0008C77C0743_.wvu.PrintTitles" hidden="1">#REF!</definedName>
    <definedName name="Z_A1DB415A_5E0E_11D2_8EC3_0008C77C0743_.wvu.PrintArea" localSheetId="9" hidden="1">#REF!</definedName>
    <definedName name="Z_A1DB415A_5E0E_11D2_8EC3_0008C77C0743_.wvu.PrintArea" hidden="1">#REF!</definedName>
    <definedName name="Z_A1DB415A_5E0E_11D2_8EC3_0008C77C0743_.wvu.PrintTitles" localSheetId="9" hidden="1">#REF!</definedName>
    <definedName name="Z_A1DB415A_5E0E_11D2_8EC3_0008C77C0743_.wvu.PrintTitles" hidden="1">#REF!</definedName>
    <definedName name="Z_A1DB4167_5E0E_11D2_8EC3_0008C77C0743_.wvu.PrintArea" localSheetId="9" hidden="1">#REF!</definedName>
    <definedName name="Z_A1DB4167_5E0E_11D2_8EC3_0008C77C0743_.wvu.PrintArea" hidden="1">#REF!</definedName>
    <definedName name="Z_A1DB4167_5E0E_11D2_8EC3_0008C77C0743_.wvu.PrintTitles" localSheetId="9" hidden="1">#REF!,#REF!</definedName>
    <definedName name="Z_A1DB4167_5E0E_11D2_8EC3_0008C77C0743_.wvu.PrintTitles" hidden="1">#REF!,#REF!</definedName>
    <definedName name="Z_A1DB4176_5E0E_11D2_8EC3_0008C77C0743_.wvu.PrintArea" localSheetId="9" hidden="1">#REF!</definedName>
    <definedName name="Z_A1DB4176_5E0E_11D2_8EC3_0008C77C0743_.wvu.PrintArea" hidden="1">#REF!</definedName>
    <definedName name="Z_A1DB4176_5E0E_11D2_8EC3_0008C77C0743_.wvu.PrintTitles" localSheetId="9" hidden="1">#REF!</definedName>
    <definedName name="Z_A1DB4176_5E0E_11D2_8EC3_0008C77C0743_.wvu.PrintTitles" hidden="1">#REF!</definedName>
    <definedName name="Z_A1DB4185_5E0E_11D2_8EC3_0008C77C0743_.wvu.PrintArea" localSheetId="9" hidden="1">#REF!</definedName>
    <definedName name="Z_A1DB4185_5E0E_11D2_8EC3_0008C77C0743_.wvu.PrintArea" hidden="1">#REF!</definedName>
    <definedName name="Z_A1DB4185_5E0E_11D2_8EC3_0008C77C0743_.wvu.PrintTitles" localSheetId="9" hidden="1">#REF!</definedName>
    <definedName name="Z_A1DB4185_5E0E_11D2_8EC3_0008C77C0743_.wvu.PrintTitles" hidden="1">#REF!</definedName>
    <definedName name="Z_A1DB4192_5E0E_11D2_8EC3_0008C77C0743_.wvu.PrintArea" localSheetId="9" hidden="1">#REF!</definedName>
    <definedName name="Z_A1DB4192_5E0E_11D2_8EC3_0008C77C0743_.wvu.PrintArea" hidden="1">#REF!</definedName>
    <definedName name="Z_A1DB4192_5E0E_11D2_8EC3_0008C77C0743_.wvu.PrintTitles" localSheetId="9" hidden="1">#REF!,#REF!</definedName>
    <definedName name="Z_A1DB4192_5E0E_11D2_8EC3_0008C77C0743_.wvu.PrintTitles" hidden="1">#REF!,#REF!</definedName>
    <definedName name="Z_A1DB41A0_5E0E_11D2_8EC3_0008C77C0743_.wvu.PrintArea" localSheetId="9" hidden="1">#REF!</definedName>
    <definedName name="Z_A1DB41A0_5E0E_11D2_8EC3_0008C77C0743_.wvu.PrintArea" hidden="1">#REF!</definedName>
    <definedName name="Z_A1DB41A0_5E0E_11D2_8EC3_0008C77C0743_.wvu.PrintTitles" localSheetId="9" hidden="1">#REF!</definedName>
    <definedName name="Z_A1DB41A0_5E0E_11D2_8EC3_0008C77C0743_.wvu.PrintTitles" hidden="1">#REF!</definedName>
    <definedName name="Z_A1DB41AF_5E0E_11D2_8EC3_0008C77C0743_.wvu.PrintArea" localSheetId="9" hidden="1">#REF!</definedName>
    <definedName name="Z_A1DB41AF_5E0E_11D2_8EC3_0008C77C0743_.wvu.PrintArea" hidden="1">#REF!</definedName>
    <definedName name="Z_A1DB41AF_5E0E_11D2_8EC3_0008C77C0743_.wvu.PrintTitles" localSheetId="9" hidden="1">#REF!</definedName>
    <definedName name="Z_A1DB41AF_5E0E_11D2_8EC3_0008C77C0743_.wvu.PrintTitles" hidden="1">#REF!</definedName>
    <definedName name="Z_A1DB41BC_5E0E_11D2_8EC3_0008C77C0743_.wvu.PrintArea" localSheetId="9" hidden="1">#REF!</definedName>
    <definedName name="Z_A1DB41BC_5E0E_11D2_8EC3_0008C77C0743_.wvu.PrintArea" hidden="1">#REF!</definedName>
    <definedName name="Z_A1DB41BC_5E0E_11D2_8EC3_0008C77C0743_.wvu.PrintTitles" localSheetId="9" hidden="1">#REF!,#REF!</definedName>
    <definedName name="Z_A1DB41BC_5E0E_11D2_8EC3_0008C77C0743_.wvu.PrintTitles" hidden="1">#REF!,#REF!</definedName>
    <definedName name="Z_B6FCCF30_1696_11D2_8E91_0008C77C21AF_.wvu.PrintArea" localSheetId="9" hidden="1">#REF!</definedName>
    <definedName name="Z_B6FCCF30_1696_11D2_8E91_0008C77C21AF_.wvu.PrintArea" hidden="1">#REF!</definedName>
    <definedName name="Z_B6FCCF30_1696_11D2_8E91_0008C77C21AF_.wvu.PrintTitles" localSheetId="9" hidden="1">#REF!,#REF!</definedName>
    <definedName name="Z_B6FCCF30_1696_11D2_8E91_0008C77C21AF_.wvu.PrintTitles" hidden="1">#REF!,#REF!</definedName>
    <definedName name="Z_B6FCCF32_1696_11D2_8E91_0008C77C21AF_.wvu.PrintArea" localSheetId="9" hidden="1">#REF!</definedName>
    <definedName name="Z_B6FCCF32_1696_11D2_8E91_0008C77C21AF_.wvu.PrintArea" hidden="1">#REF!</definedName>
    <definedName name="Z_B6FCCF32_1696_11D2_8E91_0008C77C21AF_.wvu.PrintTitles" localSheetId="9" hidden="1">#REF!</definedName>
    <definedName name="Z_B6FCCF32_1696_11D2_8E91_0008C77C21AF_.wvu.PrintTitles" hidden="1">#REF!</definedName>
    <definedName name="Z_B6FCCF35_1696_11D2_8E91_0008C77C21AF_.wvu.PrintArea" localSheetId="9" hidden="1">#REF!</definedName>
    <definedName name="Z_B6FCCF35_1696_11D2_8E91_0008C77C21AF_.wvu.PrintArea" hidden="1">#REF!</definedName>
    <definedName name="Z_B6FCCF35_1696_11D2_8E91_0008C77C21AF_.wvu.PrintTitles" localSheetId="9" hidden="1">#REF!,#REF!</definedName>
    <definedName name="Z_B6FCCF35_1696_11D2_8E91_0008C77C21AF_.wvu.PrintTitles" hidden="1">#REF!,#REF!</definedName>
    <definedName name="Z_B6FCCF37_1696_11D2_8E91_0008C77C21AF_.wvu.PrintArea" localSheetId="9" hidden="1">#REF!</definedName>
    <definedName name="Z_B6FCCF37_1696_11D2_8E91_0008C77C21AF_.wvu.PrintArea" hidden="1">#REF!</definedName>
    <definedName name="Z_B6FCCF37_1696_11D2_8E91_0008C77C21AF_.wvu.PrintTitles" localSheetId="9" hidden="1">#REF!,#REF!</definedName>
    <definedName name="Z_B6FCCF37_1696_11D2_8E91_0008C77C21AF_.wvu.PrintTitles" hidden="1">#REF!,#REF!</definedName>
    <definedName name="Z_B6FCCF39_1696_11D2_8E91_0008C77C21AF_.wvu.PrintArea" localSheetId="9" hidden="1">#REF!</definedName>
    <definedName name="Z_B6FCCF39_1696_11D2_8E91_0008C77C21AF_.wvu.PrintArea" hidden="1">#REF!</definedName>
    <definedName name="Z_B6FCCF39_1696_11D2_8E91_0008C77C21AF_.wvu.PrintTitles" localSheetId="9" hidden="1">#REF!</definedName>
    <definedName name="Z_B6FCCF39_1696_11D2_8E91_0008C77C21AF_.wvu.PrintTitles" hidden="1">#REF!</definedName>
    <definedName name="Z_B6FCCF3C_1696_11D2_8E91_0008C77C21AF_.wvu.PrintArea" localSheetId="9" hidden="1">#REF!</definedName>
    <definedName name="Z_B6FCCF3C_1696_11D2_8E91_0008C77C21AF_.wvu.PrintArea" hidden="1">#REF!</definedName>
    <definedName name="Z_B6FCCF3C_1696_11D2_8E91_0008C77C21AF_.wvu.PrintTitles" localSheetId="9" hidden="1">#REF!,#REF!</definedName>
    <definedName name="Z_B6FCCF3C_1696_11D2_8E91_0008C77C21AF_.wvu.PrintTitles" hidden="1">#REF!,#REF!</definedName>
    <definedName name="Z_B6FCCF3E_1696_11D2_8E91_0008C77C21AF_.wvu.PrintArea" localSheetId="9" hidden="1">#REF!</definedName>
    <definedName name="Z_B6FCCF3E_1696_11D2_8E91_0008C77C21AF_.wvu.PrintArea" hidden="1">#REF!</definedName>
    <definedName name="Z_B6FCCF3E_1696_11D2_8E91_0008C77C21AF_.wvu.PrintTitles" localSheetId="9" hidden="1">#REF!,#REF!</definedName>
    <definedName name="Z_B6FCCF3E_1696_11D2_8E91_0008C77C21AF_.wvu.PrintTitles" hidden="1">#REF!,#REF!</definedName>
    <definedName name="Z_BDFEE6B6_734C_11D2_8E68_0008C77C0743_.wvu.PrintArea" localSheetId="9" hidden="1">#REF!</definedName>
    <definedName name="Z_BDFEE6B6_734C_11D2_8E68_0008C77C0743_.wvu.PrintArea" hidden="1">#REF!</definedName>
    <definedName name="Z_BDFEE6B6_734C_11D2_8E68_0008C77C0743_.wvu.PrintTitles" localSheetId="9" hidden="1">#REF!,#REF!</definedName>
    <definedName name="Z_BDFEE6B6_734C_11D2_8E68_0008C77C0743_.wvu.PrintTitles" hidden="1">#REF!,#REF!</definedName>
    <definedName name="Z_BDFEE6B9_734C_11D2_8E68_0008C77C0743_.wvu.PrintArea" localSheetId="9" hidden="1">#REF!</definedName>
    <definedName name="Z_BDFEE6B9_734C_11D2_8E68_0008C77C0743_.wvu.PrintArea" hidden="1">#REF!</definedName>
    <definedName name="Z_BDFEE6B9_734C_11D2_8E68_0008C77C0743_.wvu.PrintTitles" localSheetId="9" hidden="1">#REF!,#REF!</definedName>
    <definedName name="Z_BDFEE6B9_734C_11D2_8E68_0008C77C0743_.wvu.PrintTitles" hidden="1">#REF!,#REF!</definedName>
    <definedName name="Z_BDFEE6BB_734C_11D2_8E68_0008C77C0743_.wvu.PrintArea" localSheetId="9" hidden="1">#REF!</definedName>
    <definedName name="Z_BDFEE6BB_734C_11D2_8E68_0008C77C0743_.wvu.PrintArea" hidden="1">#REF!</definedName>
    <definedName name="Z_BDFEE6BB_734C_11D2_8E68_0008C77C0743_.wvu.PrintTitles" localSheetId="9" hidden="1">#REF!,#REF!</definedName>
    <definedName name="Z_BDFEE6BB_734C_11D2_8E68_0008C77C0743_.wvu.PrintTitles" hidden="1">#REF!,#REF!</definedName>
    <definedName name="Z_BDFEE6C1_734C_11D2_8E68_0008C77C0743_.wvu.PrintArea" localSheetId="9" hidden="1">#REF!</definedName>
    <definedName name="Z_BDFEE6C1_734C_11D2_8E68_0008C77C0743_.wvu.PrintArea" hidden="1">#REF!</definedName>
    <definedName name="Z_BDFEE6C1_734C_11D2_8E68_0008C77C0743_.wvu.PrintTitles" localSheetId="9" hidden="1">#REF!</definedName>
    <definedName name="Z_BDFEE6C1_734C_11D2_8E68_0008C77C0743_.wvu.PrintTitles" hidden="1">#REF!</definedName>
    <definedName name="Z_BDFEE6C3_734C_11D2_8E68_0008C77C0743_.wvu.PrintArea" localSheetId="9" hidden="1">#REF!</definedName>
    <definedName name="Z_BDFEE6C3_734C_11D2_8E68_0008C77C0743_.wvu.PrintArea" hidden="1">#REF!</definedName>
    <definedName name="Z_BDFEE6C3_734C_11D2_8E68_0008C77C0743_.wvu.PrintTitles" localSheetId="9" hidden="1">#REF!</definedName>
    <definedName name="Z_BDFEE6C3_734C_11D2_8E68_0008C77C0743_.wvu.PrintTitles" hidden="1">#REF!</definedName>
    <definedName name="Z_BDFEE6C5_734C_11D2_8E68_0008C77C0743_.wvu.PrintArea" localSheetId="9" hidden="1">#REF!</definedName>
    <definedName name="Z_BDFEE6C5_734C_11D2_8E68_0008C77C0743_.wvu.PrintArea" hidden="1">#REF!</definedName>
    <definedName name="Z_BDFEE6C5_734C_11D2_8E68_0008C77C0743_.wvu.PrintTitles" localSheetId="9" hidden="1">#REF!</definedName>
    <definedName name="Z_BDFEE6C5_734C_11D2_8E68_0008C77C0743_.wvu.PrintTitles" hidden="1">#REF!</definedName>
    <definedName name="Z_BDFEE6CE_734C_11D2_8E68_0008C77C0743_.wvu.PrintArea" localSheetId="9" hidden="1">#REF!</definedName>
    <definedName name="Z_BDFEE6CE_734C_11D2_8E68_0008C77C0743_.wvu.PrintArea" hidden="1">#REF!</definedName>
    <definedName name="Z_BDFEE6CE_734C_11D2_8E68_0008C77C0743_.wvu.PrintTitles" localSheetId="9" hidden="1">#REF!,#REF!</definedName>
    <definedName name="Z_BDFEE6CE_734C_11D2_8E68_0008C77C0743_.wvu.PrintTitles" hidden="1">#REF!,#REF!</definedName>
    <definedName name="Z_BDFEE6D1_734C_11D2_8E68_0008C77C0743_.wvu.PrintArea" localSheetId="9" hidden="1">#REF!</definedName>
    <definedName name="Z_BDFEE6D1_734C_11D2_8E68_0008C77C0743_.wvu.PrintArea" hidden="1">#REF!</definedName>
    <definedName name="Z_BDFEE6D1_734C_11D2_8E68_0008C77C0743_.wvu.PrintTitles" localSheetId="9" hidden="1">#REF!,#REF!</definedName>
    <definedName name="Z_BDFEE6D1_734C_11D2_8E68_0008C77C0743_.wvu.PrintTitles" hidden="1">#REF!,#REF!</definedName>
    <definedName name="Z_BDFEE6D3_734C_11D2_8E68_0008C77C0743_.wvu.PrintArea" localSheetId="9" hidden="1">#REF!</definedName>
    <definedName name="Z_BDFEE6D3_734C_11D2_8E68_0008C77C0743_.wvu.PrintArea" hidden="1">#REF!</definedName>
    <definedName name="Z_BDFEE6D3_734C_11D2_8E68_0008C77C0743_.wvu.PrintTitles" localSheetId="9" hidden="1">#REF!,#REF!</definedName>
    <definedName name="Z_BDFEE6D3_734C_11D2_8E68_0008C77C0743_.wvu.PrintTitles" hidden="1">#REF!,#REF!</definedName>
    <definedName name="Z_BDFEE6D7_734C_11D2_8E68_0008C77C0743_.wvu.PrintArea" localSheetId="9" hidden="1">#REF!</definedName>
    <definedName name="Z_BDFEE6D7_734C_11D2_8E68_0008C77C0743_.wvu.PrintArea" hidden="1">#REF!</definedName>
    <definedName name="Z_BDFEE6D7_734C_11D2_8E68_0008C77C0743_.wvu.PrintTitles" localSheetId="9" hidden="1">#REF!,#REF!</definedName>
    <definedName name="Z_BDFEE6D7_734C_11D2_8E68_0008C77C0743_.wvu.PrintTitles" hidden="1">#REF!,#REF!</definedName>
    <definedName name="Z_BDFEE6DA_734C_11D2_8E68_0008C77C0743_.wvu.PrintArea" localSheetId="9" hidden="1">#REF!</definedName>
    <definedName name="Z_BDFEE6DA_734C_11D2_8E68_0008C77C0743_.wvu.PrintArea" hidden="1">#REF!</definedName>
    <definedName name="Z_BDFEE6DA_734C_11D2_8E68_0008C77C0743_.wvu.PrintTitles" localSheetId="9" hidden="1">#REF!,#REF!</definedName>
    <definedName name="Z_BDFEE6DA_734C_11D2_8E68_0008C77C0743_.wvu.PrintTitles" hidden="1">#REF!,#REF!</definedName>
    <definedName name="Z_BDFEE6DC_734C_11D2_8E68_0008C77C0743_.wvu.PrintArea" localSheetId="9" hidden="1">#REF!</definedName>
    <definedName name="Z_BDFEE6DC_734C_11D2_8E68_0008C77C0743_.wvu.PrintArea" hidden="1">#REF!</definedName>
    <definedName name="Z_BDFEE6DC_734C_11D2_8E68_0008C77C0743_.wvu.PrintTitles" localSheetId="9" hidden="1">#REF!,#REF!</definedName>
    <definedName name="Z_BDFEE6DC_734C_11D2_8E68_0008C77C0743_.wvu.PrintTitles" hidden="1">#REF!,#REF!</definedName>
    <definedName name="Z_BDFEE6E2_734C_11D2_8E68_0008C77C0743_.wvu.PrintArea" localSheetId="9" hidden="1">#REF!</definedName>
    <definedName name="Z_BDFEE6E2_734C_11D2_8E68_0008C77C0743_.wvu.PrintArea" hidden="1">#REF!</definedName>
    <definedName name="Z_BDFEE6E2_734C_11D2_8E68_0008C77C0743_.wvu.PrintTitles" localSheetId="9" hidden="1">#REF!</definedName>
    <definedName name="Z_BDFEE6E2_734C_11D2_8E68_0008C77C0743_.wvu.PrintTitles" hidden="1">#REF!</definedName>
    <definedName name="Z_BDFEE6E4_734C_11D2_8E68_0008C77C0743_.wvu.PrintArea" localSheetId="9" hidden="1">#REF!</definedName>
    <definedName name="Z_BDFEE6E4_734C_11D2_8E68_0008C77C0743_.wvu.PrintArea" hidden="1">#REF!</definedName>
    <definedName name="Z_BDFEE6E4_734C_11D2_8E68_0008C77C0743_.wvu.PrintTitles" localSheetId="9" hidden="1">#REF!</definedName>
    <definedName name="Z_BDFEE6E4_734C_11D2_8E68_0008C77C0743_.wvu.PrintTitles" hidden="1">#REF!</definedName>
    <definedName name="Z_BDFEE6E6_734C_11D2_8E68_0008C77C0743_.wvu.PrintArea" localSheetId="9" hidden="1">#REF!</definedName>
    <definedName name="Z_BDFEE6E6_734C_11D2_8E68_0008C77C0743_.wvu.PrintArea" hidden="1">#REF!</definedName>
    <definedName name="Z_BDFEE6E6_734C_11D2_8E68_0008C77C0743_.wvu.PrintTitles" localSheetId="9" hidden="1">#REF!</definedName>
    <definedName name="Z_BDFEE6E6_734C_11D2_8E68_0008C77C0743_.wvu.PrintTitles" hidden="1">#REF!</definedName>
    <definedName name="Z_BDFEE6EF_734C_11D2_8E68_0008C77C0743_.wvu.PrintArea" localSheetId="9" hidden="1">#REF!</definedName>
    <definedName name="Z_BDFEE6EF_734C_11D2_8E68_0008C77C0743_.wvu.PrintArea" hidden="1">#REF!</definedName>
    <definedName name="Z_BDFEE6EF_734C_11D2_8E68_0008C77C0743_.wvu.PrintTitles" localSheetId="9" hidden="1">#REF!,#REF!</definedName>
    <definedName name="Z_BDFEE6EF_734C_11D2_8E68_0008C77C0743_.wvu.PrintTitles" hidden="1">#REF!,#REF!</definedName>
    <definedName name="Z_BDFEE6F2_734C_11D2_8E68_0008C77C0743_.wvu.PrintArea" localSheetId="9" hidden="1">#REF!</definedName>
    <definedName name="Z_BDFEE6F2_734C_11D2_8E68_0008C77C0743_.wvu.PrintArea" hidden="1">#REF!</definedName>
    <definedName name="Z_BDFEE6F2_734C_11D2_8E68_0008C77C0743_.wvu.PrintTitles" localSheetId="9" hidden="1">#REF!,#REF!</definedName>
    <definedName name="Z_BDFEE6F2_734C_11D2_8E68_0008C77C0743_.wvu.PrintTitles" hidden="1">#REF!,#REF!</definedName>
    <definedName name="Z_BDFEE6F4_734C_11D2_8E68_0008C77C0743_.wvu.PrintArea" localSheetId="9" hidden="1">#REF!</definedName>
    <definedName name="Z_BDFEE6F4_734C_11D2_8E68_0008C77C0743_.wvu.PrintArea" hidden="1">#REF!</definedName>
    <definedName name="Z_BDFEE6F4_734C_11D2_8E68_0008C77C0743_.wvu.PrintTitles" localSheetId="9" hidden="1">#REF!,#REF!</definedName>
    <definedName name="Z_BDFEE6F4_734C_11D2_8E68_0008C77C0743_.wvu.PrintTitles" hidden="1">#REF!,#REF!</definedName>
    <definedName name="Z_BDFEE6FA_734C_11D2_8E68_0008C77C0743_.wvu.PrintArea" localSheetId="9" hidden="1">#REF!</definedName>
    <definedName name="Z_BDFEE6FA_734C_11D2_8E68_0008C77C0743_.wvu.PrintArea" hidden="1">#REF!</definedName>
    <definedName name="Z_BDFEE6FA_734C_11D2_8E68_0008C77C0743_.wvu.PrintTitles" localSheetId="9" hidden="1">#REF!,#REF!</definedName>
    <definedName name="Z_BDFEE6FA_734C_11D2_8E68_0008C77C0743_.wvu.PrintTitles" hidden="1">#REF!,#REF!</definedName>
    <definedName name="Z_BDFEE6FC_734C_11D2_8E68_0008C77C0743_.wvu.PrintArea" localSheetId="9" hidden="1">#REF!</definedName>
    <definedName name="Z_BDFEE6FC_734C_11D2_8E68_0008C77C0743_.wvu.PrintArea" hidden="1">#REF!</definedName>
    <definedName name="Z_BDFEE6FC_734C_11D2_8E68_0008C77C0743_.wvu.PrintTitles" localSheetId="9" hidden="1">#REF!,#REF!</definedName>
    <definedName name="Z_BDFEE6FC_734C_11D2_8E68_0008C77C0743_.wvu.PrintTitles" hidden="1">#REF!,#REF!</definedName>
    <definedName name="Z_BDFEE6FE_734C_11D2_8E68_0008C77C0743_.wvu.PrintArea" localSheetId="9" hidden="1">#REF!</definedName>
    <definedName name="Z_BDFEE6FE_734C_11D2_8E68_0008C77C0743_.wvu.PrintArea" hidden="1">#REF!</definedName>
    <definedName name="Z_BDFEE6FE_734C_11D2_8E68_0008C77C0743_.wvu.PrintTitles" localSheetId="9" hidden="1">#REF!,#REF!</definedName>
    <definedName name="Z_BDFEE6FE_734C_11D2_8E68_0008C77C0743_.wvu.PrintTitles" hidden="1">#REF!,#REF!</definedName>
    <definedName name="Z_BE4AA1C5_ECFE_11D2_8EB8_0008C77C0743_.wvu.PrintArea" localSheetId="9" hidden="1">#REF!</definedName>
    <definedName name="Z_BE4AA1C5_ECFE_11D2_8EB8_0008C77C0743_.wvu.PrintArea" hidden="1">#REF!</definedName>
    <definedName name="Z_BE4AA1C5_ECFE_11D2_8EB8_0008C77C0743_.wvu.PrintTitles" localSheetId="9" hidden="1">#REF!</definedName>
    <definedName name="Z_BE4AA1C5_ECFE_11D2_8EB8_0008C77C0743_.wvu.PrintTitles" hidden="1">#REF!</definedName>
    <definedName name="Z_BE4AA1D8_ECFE_11D2_8EB8_0008C77C0743_.wvu.PrintArea" localSheetId="9" hidden="1">#REF!</definedName>
    <definedName name="Z_BE4AA1D8_ECFE_11D2_8EB8_0008C77C0743_.wvu.PrintArea" hidden="1">#REF!</definedName>
    <definedName name="Z_BE4AA1D8_ECFE_11D2_8EB8_0008C77C0743_.wvu.PrintTitles" localSheetId="9" hidden="1">#REF!</definedName>
    <definedName name="Z_BE4AA1D8_ECFE_11D2_8EB8_0008C77C0743_.wvu.PrintTitles" hidden="1">#REF!</definedName>
    <definedName name="Z_BE4AA1E8_ECFE_11D2_8EB8_0008C77C0743_.wvu.PrintArea" localSheetId="9" hidden="1">#REF!</definedName>
    <definedName name="Z_BE4AA1E8_ECFE_11D2_8EB8_0008C77C0743_.wvu.PrintArea" hidden="1">#REF!</definedName>
    <definedName name="Z_BE4AA1E8_ECFE_11D2_8EB8_0008C77C0743_.wvu.PrintTitles" localSheetId="9" hidden="1">#REF!,#REF!</definedName>
    <definedName name="Z_BE4AA1E8_ECFE_11D2_8EB8_0008C77C0743_.wvu.PrintTitles" hidden="1">#REF!,#REF!</definedName>
    <definedName name="Z_BFEBD6B7_EDBB_11D2_8EB9_0008C77C0743_.wvu.PrintArea" localSheetId="9" hidden="1">#REF!</definedName>
    <definedName name="Z_BFEBD6B7_EDBB_11D2_8EB9_0008C77C0743_.wvu.PrintArea" hidden="1">#REF!</definedName>
    <definedName name="Z_BFEBD6B7_EDBB_11D2_8EB9_0008C77C0743_.wvu.PrintTitles" localSheetId="9" hidden="1">#REF!</definedName>
    <definedName name="Z_BFEBD6B7_EDBB_11D2_8EB9_0008C77C0743_.wvu.PrintTitles" hidden="1">#REF!</definedName>
    <definedName name="Z_BFEBD6CA_EDBB_11D2_8EB9_0008C77C0743_.wvu.PrintArea" localSheetId="9" hidden="1">#REF!</definedName>
    <definedName name="Z_BFEBD6CA_EDBB_11D2_8EB9_0008C77C0743_.wvu.PrintArea" hidden="1">#REF!</definedName>
    <definedName name="Z_BFEBD6CA_EDBB_11D2_8EB9_0008C77C0743_.wvu.PrintTitles" localSheetId="9" hidden="1">#REF!</definedName>
    <definedName name="Z_BFEBD6CA_EDBB_11D2_8EB9_0008C77C0743_.wvu.PrintTitles" hidden="1">#REF!</definedName>
    <definedName name="Z_BFEBD6DA_EDBB_11D2_8EB9_0008C77C0743_.wvu.PrintArea" localSheetId="9" hidden="1">#REF!</definedName>
    <definedName name="Z_BFEBD6DA_EDBB_11D2_8EB9_0008C77C0743_.wvu.PrintArea" hidden="1">#REF!</definedName>
    <definedName name="Z_BFEBD6DA_EDBB_11D2_8EB9_0008C77C0743_.wvu.PrintTitles" localSheetId="9" hidden="1">#REF!,#REF!</definedName>
    <definedName name="Z_BFEBD6DA_EDBB_11D2_8EB9_0008C77C0743_.wvu.PrintTitles" hidden="1">#REF!,#REF!</definedName>
    <definedName name="Z_CD050555_ECE8_11D2_8EB7_0008C77C0743_.wvu.PrintArea" localSheetId="9" hidden="1">#REF!</definedName>
    <definedName name="Z_CD050555_ECE8_11D2_8EB7_0008C77C0743_.wvu.PrintArea" hidden="1">#REF!</definedName>
    <definedName name="Z_CD050555_ECE8_11D2_8EB7_0008C77C0743_.wvu.PrintTitles" localSheetId="9" hidden="1">#REF!</definedName>
    <definedName name="Z_CD050555_ECE8_11D2_8EB7_0008C77C0743_.wvu.PrintTitles" hidden="1">#REF!</definedName>
    <definedName name="Z_CD050568_ECE8_11D2_8EB7_0008C77C0743_.wvu.PrintArea" localSheetId="9" hidden="1">#REF!</definedName>
    <definedName name="Z_CD050568_ECE8_11D2_8EB7_0008C77C0743_.wvu.PrintArea" hidden="1">#REF!</definedName>
    <definedName name="Z_CD050568_ECE8_11D2_8EB7_0008C77C0743_.wvu.PrintTitles" localSheetId="9" hidden="1">#REF!</definedName>
    <definedName name="Z_CD050568_ECE8_11D2_8EB7_0008C77C0743_.wvu.PrintTitles" hidden="1">#REF!</definedName>
    <definedName name="Z_CD050578_ECE8_11D2_8EB7_0008C77C0743_.wvu.PrintArea" localSheetId="9" hidden="1">#REF!</definedName>
    <definedName name="Z_CD050578_ECE8_11D2_8EB7_0008C77C0743_.wvu.PrintArea" hidden="1">#REF!</definedName>
    <definedName name="Z_CD050578_ECE8_11D2_8EB7_0008C77C0743_.wvu.PrintTitles" localSheetId="9" hidden="1">#REF!,#REF!</definedName>
    <definedName name="Z_CD050578_ECE8_11D2_8EB7_0008C77C0743_.wvu.PrintTitles" hidden="1">#REF!,#REF!</definedName>
    <definedName name="Z_CF4A68D4_EB6D_11D2_8EB5_0008C77C0743_.wvu.PrintArea" localSheetId="9" hidden="1">#REF!</definedName>
    <definedName name="Z_CF4A68D4_EB6D_11D2_8EB5_0008C77C0743_.wvu.PrintArea" hidden="1">#REF!</definedName>
    <definedName name="Z_CF4A68D4_EB6D_11D2_8EB5_0008C77C0743_.wvu.PrintTitles" localSheetId="9" hidden="1">#REF!</definedName>
    <definedName name="Z_CF4A68D4_EB6D_11D2_8EB5_0008C77C0743_.wvu.PrintTitles" hidden="1">#REF!</definedName>
    <definedName name="Z_CF4A68E7_EB6D_11D2_8EB5_0008C77C0743_.wvu.PrintArea" localSheetId="9" hidden="1">#REF!</definedName>
    <definedName name="Z_CF4A68E7_EB6D_11D2_8EB5_0008C77C0743_.wvu.PrintArea" hidden="1">#REF!</definedName>
    <definedName name="Z_CF4A68E7_EB6D_11D2_8EB5_0008C77C0743_.wvu.PrintTitles" localSheetId="9" hidden="1">#REF!</definedName>
    <definedName name="Z_CF4A68E7_EB6D_11D2_8EB5_0008C77C0743_.wvu.PrintTitles" hidden="1">#REF!</definedName>
    <definedName name="Z_CF4A68F7_EB6D_11D2_8EB5_0008C77C0743_.wvu.PrintArea" localSheetId="9" hidden="1">#REF!</definedName>
    <definedName name="Z_CF4A68F7_EB6D_11D2_8EB5_0008C77C0743_.wvu.PrintArea" hidden="1">#REF!</definedName>
    <definedName name="Z_CF4A68F7_EB6D_11D2_8EB5_0008C77C0743_.wvu.PrintTitles" localSheetId="9" hidden="1">#REF!,#REF!</definedName>
    <definedName name="Z_CF4A68F7_EB6D_11D2_8EB5_0008C77C0743_.wvu.PrintTitles" hidden="1">#REF!,#REF!</definedName>
    <definedName name="Z_F3D6017D_338E_11D2_8E9B_0008C77C0743_.wvu.PrintArea" localSheetId="9" hidden="1">#REF!</definedName>
    <definedName name="Z_F3D6017D_338E_11D2_8E9B_0008C77C0743_.wvu.PrintArea" hidden="1">#REF!</definedName>
    <definedName name="Z_F3D6017D_338E_11D2_8E9B_0008C77C0743_.wvu.PrintTitles" localSheetId="9" hidden="1">#REF!</definedName>
    <definedName name="Z_F3D6017D_338E_11D2_8E9B_0008C77C0743_.wvu.PrintTitles" hidden="1">#REF!</definedName>
    <definedName name="Z_F3D6018C_338E_11D2_8E9B_0008C77C0743_.wvu.PrintArea" localSheetId="9" hidden="1">#REF!</definedName>
    <definedName name="Z_F3D6018C_338E_11D2_8E9B_0008C77C0743_.wvu.PrintArea" hidden="1">#REF!</definedName>
    <definedName name="Z_F3D6018C_338E_11D2_8E9B_0008C77C0743_.wvu.PrintTitles" localSheetId="9" hidden="1">#REF!</definedName>
    <definedName name="Z_F3D6018C_338E_11D2_8E9B_0008C77C0743_.wvu.PrintTitles" hidden="1">#REF!</definedName>
    <definedName name="Z_F3D60199_338E_11D2_8E9B_0008C77C0743_.wvu.PrintArea" localSheetId="9" hidden="1">#REF!</definedName>
    <definedName name="Z_F3D60199_338E_11D2_8E9B_0008C77C0743_.wvu.PrintArea" hidden="1">#REF!</definedName>
    <definedName name="Z_F3D60199_338E_11D2_8E9B_0008C77C0743_.wvu.PrintTitles" localSheetId="9" hidden="1">#REF!,#REF!</definedName>
    <definedName name="Z_F3D60199_338E_11D2_8E9B_0008C77C0743_.wvu.PrintTitles" hidden="1">#REF!,#REF!</definedName>
    <definedName name="zdcw" localSheetId="9" hidden="1">#REF!</definedName>
    <definedName name="zdcw" hidden="1">#REF!</definedName>
    <definedName name="zj" localSheetId="9" hidden="1">#REF!</definedName>
    <definedName name="zj" hidden="1">#REF!</definedName>
    <definedName name="znh" localSheetId="9" hidden="1">#REF!</definedName>
    <definedName name="znh" hidden="1">#REF!</definedName>
    <definedName name="zxcvb" localSheetId="9" hidden="1">#REF!</definedName>
    <definedName name="zxcvb" hidden="1">#REF!</definedName>
    <definedName name="zxd" localSheetId="9" hidden="1">#REF!</definedName>
    <definedName name="zxd" hidden="1">#REF!</definedName>
    <definedName name="zzz" hidden="1">{"'Sheet1'!$A$1:$O$40"}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3" l="1"/>
  <c r="J47" i="13"/>
  <c r="J48" i="13"/>
  <c r="W16" i="16" l="1"/>
  <c r="R16" i="16"/>
  <c r="G16" i="16"/>
  <c r="J16" i="16" s="1"/>
  <c r="N16" i="16" s="1"/>
  <c r="T16" i="16" l="1"/>
  <c r="AB16" i="16"/>
  <c r="G8" i="16"/>
  <c r="J8" i="16" s="1"/>
  <c r="N8" i="16" s="1"/>
  <c r="T8" i="16" s="1"/>
  <c r="R8" i="16"/>
  <c r="W8" i="16"/>
  <c r="G9" i="16"/>
  <c r="J9" i="16" s="1"/>
  <c r="N9" i="16" s="1"/>
  <c r="T9" i="16" s="1"/>
  <c r="R9" i="16"/>
  <c r="W9" i="16"/>
  <c r="G10" i="16"/>
  <c r="J10" i="16" s="1"/>
  <c r="N10" i="16" s="1"/>
  <c r="R10" i="16"/>
  <c r="W10" i="16"/>
  <c r="G11" i="16"/>
  <c r="J11" i="16" s="1"/>
  <c r="N11" i="16" s="1"/>
  <c r="R11" i="16"/>
  <c r="W11" i="16"/>
  <c r="G12" i="16"/>
  <c r="J12" i="16" s="1"/>
  <c r="N12" i="16" s="1"/>
  <c r="P12" i="16"/>
  <c r="Q12" i="16"/>
  <c r="R12" i="16"/>
  <c r="W12" i="16"/>
  <c r="G13" i="16"/>
  <c r="J13" i="16" s="1"/>
  <c r="N13" i="16" s="1"/>
  <c r="T13" i="16" s="1"/>
  <c r="P13" i="16"/>
  <c r="Q13" i="16"/>
  <c r="R13" i="16" s="1"/>
  <c r="W13" i="16"/>
  <c r="G14" i="16"/>
  <c r="J14" i="16" s="1"/>
  <c r="N14" i="16" s="1"/>
  <c r="T14" i="16" s="1"/>
  <c r="R14" i="16"/>
  <c r="W14" i="16"/>
  <c r="G15" i="16"/>
  <c r="J15" i="16" s="1"/>
  <c r="N15" i="16" s="1"/>
  <c r="T15" i="16" s="1"/>
  <c r="R15" i="16"/>
  <c r="W15" i="16"/>
  <c r="G17" i="16"/>
  <c r="J17" i="16" s="1"/>
  <c r="N17" i="16" s="1"/>
  <c r="T17" i="16" s="1"/>
  <c r="R17" i="16"/>
  <c r="W17" i="16"/>
  <c r="G18" i="16"/>
  <c r="J18" i="16" s="1"/>
  <c r="N18" i="16" s="1"/>
  <c r="T18" i="16" s="1"/>
  <c r="R18" i="16"/>
  <c r="W18" i="16"/>
  <c r="G19" i="16"/>
  <c r="J19" i="16" s="1"/>
  <c r="N19" i="16" s="1"/>
  <c r="T19" i="16" s="1"/>
  <c r="R19" i="16"/>
  <c r="W19" i="16"/>
  <c r="G20" i="16"/>
  <c r="J20" i="16" s="1"/>
  <c r="N20" i="16" s="1"/>
  <c r="P20" i="16"/>
  <c r="Q20" i="16"/>
  <c r="W20" i="16"/>
  <c r="G21" i="16"/>
  <c r="J21" i="16" s="1"/>
  <c r="N21" i="16" s="1"/>
  <c r="P21" i="16"/>
  <c r="Q21" i="16"/>
  <c r="W21" i="16"/>
  <c r="G22" i="16"/>
  <c r="J22" i="16" s="1"/>
  <c r="N22" i="16" s="1"/>
  <c r="T22" i="16" s="1"/>
  <c r="R22" i="16"/>
  <c r="W22" i="16"/>
  <c r="G23" i="16"/>
  <c r="J23" i="16" s="1"/>
  <c r="N23" i="16" s="1"/>
  <c r="T23" i="16" s="1"/>
  <c r="R23" i="16"/>
  <c r="W23" i="16"/>
  <c r="G24" i="16"/>
  <c r="J24" i="16" s="1"/>
  <c r="N24" i="16" s="1"/>
  <c r="R24" i="16"/>
  <c r="W24" i="16"/>
  <c r="E55" i="15"/>
  <c r="C22" i="15" s="1"/>
  <c r="I22" i="15"/>
  <c r="G23" i="15"/>
  <c r="G24" i="15" s="1"/>
  <c r="H23" i="15"/>
  <c r="H24" i="15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F12" i="14"/>
  <c r="D13" i="14"/>
  <c r="F15" i="14"/>
  <c r="F13" i="14" s="1"/>
  <c r="F14" i="14" s="1"/>
  <c r="F16" i="14" s="1"/>
  <c r="D14" i="14"/>
  <c r="D16" i="14" s="1"/>
  <c r="F22" i="14"/>
  <c r="D23" i="14"/>
  <c r="D24" i="14" s="1"/>
  <c r="D26" i="14" s="1"/>
  <c r="F25" i="14"/>
  <c r="F23" i="14" s="1"/>
  <c r="F24" i="14" s="1"/>
  <c r="F26" i="14" s="1"/>
  <c r="F28" i="14" s="1"/>
  <c r="B7" i="8"/>
  <c r="C7" i="8"/>
  <c r="G7" i="8"/>
  <c r="J7" i="8"/>
  <c r="B8" i="8"/>
  <c r="C8" i="8"/>
  <c r="G8" i="8"/>
  <c r="J8" i="8"/>
  <c r="K8" i="8" s="1"/>
  <c r="L8" i="8" s="1"/>
  <c r="M8" i="8" s="1"/>
  <c r="B9" i="8"/>
  <c r="C9" i="8"/>
  <c r="G9" i="8"/>
  <c r="J9" i="8"/>
  <c r="K9" i="8"/>
  <c r="L9" i="8" s="1"/>
  <c r="M9" i="8" s="1"/>
  <c r="B10" i="8"/>
  <c r="C10" i="8"/>
  <c r="G10" i="8"/>
  <c r="J10" i="8"/>
  <c r="B11" i="8"/>
  <c r="C11" i="8"/>
  <c r="G11" i="8"/>
  <c r="J11" i="8"/>
  <c r="K11" i="8" s="1"/>
  <c r="L11" i="8" s="1"/>
  <c r="M11" i="8" s="1"/>
  <c r="B12" i="8"/>
  <c r="C12" i="8"/>
  <c r="G12" i="8"/>
  <c r="K12" i="8" s="1"/>
  <c r="L12" i="8" s="1"/>
  <c r="M12" i="8" s="1"/>
  <c r="J12" i="8"/>
  <c r="B13" i="8"/>
  <c r="C13" i="8"/>
  <c r="G13" i="8"/>
  <c r="J13" i="8"/>
  <c r="B14" i="8"/>
  <c r="C14" i="8"/>
  <c r="G14" i="8"/>
  <c r="K14" i="8" s="1"/>
  <c r="L14" i="8" s="1"/>
  <c r="M14" i="8" s="1"/>
  <c r="J14" i="8"/>
  <c r="B15" i="8"/>
  <c r="C15" i="8"/>
  <c r="G15" i="8"/>
  <c r="J15" i="8"/>
  <c r="B16" i="8"/>
  <c r="C16" i="8"/>
  <c r="G16" i="8"/>
  <c r="J16" i="8"/>
  <c r="K16" i="8" s="1"/>
  <c r="L16" i="8" s="1"/>
  <c r="M16" i="8" s="1"/>
  <c r="B17" i="8"/>
  <c r="C17" i="8"/>
  <c r="G17" i="8"/>
  <c r="J17" i="8"/>
  <c r="K17" i="8"/>
  <c r="L17" i="8" s="1"/>
  <c r="M17" i="8" s="1"/>
  <c r="B18" i="8"/>
  <c r="C18" i="8"/>
  <c r="G18" i="8"/>
  <c r="J18" i="8"/>
  <c r="B19" i="8"/>
  <c r="C19" i="8"/>
  <c r="G19" i="8"/>
  <c r="J19" i="8"/>
  <c r="K19" i="8" s="1"/>
  <c r="L19" i="8" s="1"/>
  <c r="M19" i="8" s="1"/>
  <c r="B20" i="8"/>
  <c r="C20" i="8"/>
  <c r="G20" i="8"/>
  <c r="K20" i="8" s="1"/>
  <c r="L20" i="8" s="1"/>
  <c r="M20" i="8" s="1"/>
  <c r="J20" i="8"/>
  <c r="B21" i="8"/>
  <c r="C21" i="8"/>
  <c r="G21" i="8"/>
  <c r="J21" i="8"/>
  <c r="B22" i="8"/>
  <c r="C22" i="8"/>
  <c r="G22" i="8"/>
  <c r="K22" i="8" s="1"/>
  <c r="L22" i="8" s="1"/>
  <c r="M22" i="8" s="1"/>
  <c r="J22" i="8"/>
  <c r="B23" i="8"/>
  <c r="C23" i="8"/>
  <c r="G23" i="8"/>
  <c r="J23" i="8"/>
  <c r="K47" i="13"/>
  <c r="L47" i="13" s="1"/>
  <c r="C30" i="1" s="1"/>
  <c r="K48" i="13"/>
  <c r="L48" i="13" s="1"/>
  <c r="D30" i="1" s="1"/>
  <c r="G60" i="13"/>
  <c r="C133" i="13"/>
  <c r="D133" i="13"/>
  <c r="C134" i="13"/>
  <c r="D134" i="13"/>
  <c r="E19" i="6"/>
  <c r="E20" i="6"/>
  <c r="E21" i="6"/>
  <c r="E24" i="6"/>
  <c r="E22" i="6"/>
  <c r="E23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F126" i="6" s="1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F22" i="6"/>
  <c r="H22" i="6" s="1"/>
  <c r="F23" i="6"/>
  <c r="H23" i="6" s="1"/>
  <c r="F26" i="6"/>
  <c r="H26" i="6" s="1"/>
  <c r="F29" i="6"/>
  <c r="H29" i="6" s="1"/>
  <c r="F34" i="6"/>
  <c r="H34" i="6" s="1"/>
  <c r="F44" i="6"/>
  <c r="H44" i="6" s="1"/>
  <c r="F53" i="6"/>
  <c r="H53" i="6" s="1"/>
  <c r="F68" i="6"/>
  <c r="H68" i="6" s="1"/>
  <c r="F69" i="6"/>
  <c r="H69" i="6" s="1"/>
  <c r="F75" i="6"/>
  <c r="H75" i="6" s="1"/>
  <c r="F78" i="6"/>
  <c r="H78" i="6" s="1"/>
  <c r="F79" i="6"/>
  <c r="H79" i="6" s="1"/>
  <c r="F85" i="6"/>
  <c r="H85" i="6"/>
  <c r="F88" i="6"/>
  <c r="H88" i="6" s="1"/>
  <c r="F89" i="6"/>
  <c r="H89" i="6" s="1"/>
  <c r="F90" i="6"/>
  <c r="H90" i="6" s="1"/>
  <c r="F92" i="6"/>
  <c r="H92" i="6" s="1"/>
  <c r="F93" i="6"/>
  <c r="H93" i="6" s="1"/>
  <c r="F100" i="6"/>
  <c r="H100" i="6" s="1"/>
  <c r="F103" i="6"/>
  <c r="H103" i="6" s="1"/>
  <c r="F107" i="6"/>
  <c r="H107" i="6" s="1"/>
  <c r="F115" i="6"/>
  <c r="H115" i="6" s="1"/>
  <c r="F118" i="6"/>
  <c r="H118" i="6" s="1"/>
  <c r="F119" i="6"/>
  <c r="H119" i="6" s="1"/>
  <c r="F121" i="6"/>
  <c r="H121" i="6" s="1"/>
  <c r="F125" i="6"/>
  <c r="H125" i="6" s="1"/>
  <c r="F128" i="6"/>
  <c r="H128" i="6" s="1"/>
  <c r="F130" i="6"/>
  <c r="H130" i="6" s="1"/>
  <c r="F131" i="6"/>
  <c r="H131" i="6" s="1"/>
  <c r="F133" i="6"/>
  <c r="H133" i="6"/>
  <c r="F134" i="6"/>
  <c r="H134" i="6" s="1"/>
  <c r="F136" i="6"/>
  <c r="H136" i="6" s="1"/>
  <c r="F137" i="6"/>
  <c r="H137" i="6" s="1"/>
  <c r="F139" i="6"/>
  <c r="H139" i="6" s="1"/>
  <c r="F141" i="6"/>
  <c r="H141" i="6" s="1"/>
  <c r="F142" i="6"/>
  <c r="H142" i="6" s="1"/>
  <c r="F143" i="6"/>
  <c r="H143" i="6" s="1"/>
  <c r="F144" i="6"/>
  <c r="H144" i="6" s="1"/>
  <c r="F145" i="6"/>
  <c r="H145" i="6" s="1"/>
  <c r="F146" i="6"/>
  <c r="H146" i="6" s="1"/>
  <c r="F147" i="6"/>
  <c r="H147" i="6" s="1"/>
  <c r="F149" i="6"/>
  <c r="H149" i="6" s="1"/>
  <c r="F150" i="6"/>
  <c r="H150" i="6" s="1"/>
  <c r="F151" i="6"/>
  <c r="H151" i="6" s="1"/>
  <c r="F153" i="6"/>
  <c r="H153" i="6" s="1"/>
  <c r="F154" i="6"/>
  <c r="H154" i="6" s="1"/>
  <c r="F155" i="6"/>
  <c r="H155" i="6" s="1"/>
  <c r="F157" i="6"/>
  <c r="H157" i="6" s="1"/>
  <c r="F158" i="6"/>
  <c r="H158" i="6" s="1"/>
  <c r="F159" i="6"/>
  <c r="H159" i="6" s="1"/>
  <c r="F160" i="6"/>
  <c r="H160" i="6" s="1"/>
  <c r="F161" i="6"/>
  <c r="H161" i="6" s="1"/>
  <c r="F162" i="6"/>
  <c r="H162" i="6" s="1"/>
  <c r="F163" i="6"/>
  <c r="H163" i="6" s="1"/>
  <c r="F165" i="6"/>
  <c r="H165" i="6"/>
  <c r="F166" i="6"/>
  <c r="H166" i="6" s="1"/>
  <c r="F167" i="6"/>
  <c r="H167" i="6" s="1"/>
  <c r="F169" i="6"/>
  <c r="H169" i="6" s="1"/>
  <c r="F170" i="6"/>
  <c r="H170" i="6" s="1"/>
  <c r="F171" i="6"/>
  <c r="H171" i="6" s="1"/>
  <c r="F173" i="6"/>
  <c r="F174" i="6"/>
  <c r="H174" i="6" s="1"/>
  <c r="F175" i="6"/>
  <c r="H175" i="6" s="1"/>
  <c r="F176" i="6"/>
  <c r="H176" i="6" s="1"/>
  <c r="F177" i="6"/>
  <c r="H177" i="6" s="1"/>
  <c r="F178" i="6"/>
  <c r="H178" i="6" s="1"/>
  <c r="F179" i="6"/>
  <c r="H179" i="6" s="1"/>
  <c r="F180" i="6"/>
  <c r="H180" i="6" s="1"/>
  <c r="F181" i="6"/>
  <c r="H181" i="6" s="1"/>
  <c r="F182" i="6"/>
  <c r="H182" i="6" s="1"/>
  <c r="F183" i="6"/>
  <c r="H183" i="6" s="1"/>
  <c r="F185" i="6"/>
  <c r="F186" i="6"/>
  <c r="H186" i="6" s="1"/>
  <c r="F187" i="6"/>
  <c r="H187" i="6" s="1"/>
  <c r="F189" i="6"/>
  <c r="H189" i="6" s="1"/>
  <c r="F190" i="6"/>
  <c r="H190" i="6" s="1"/>
  <c r="F191" i="6"/>
  <c r="H191" i="6" s="1"/>
  <c r="F192" i="6"/>
  <c r="H192" i="6" s="1"/>
  <c r="F193" i="6"/>
  <c r="H193" i="6" s="1"/>
  <c r="F194" i="6"/>
  <c r="H194" i="6" s="1"/>
  <c r="F195" i="6"/>
  <c r="H195" i="6" s="1"/>
  <c r="F197" i="6"/>
  <c r="H197" i="6" s="1"/>
  <c r="F198" i="6"/>
  <c r="F199" i="6"/>
  <c r="H199" i="6" s="1"/>
  <c r="F201" i="6"/>
  <c r="H201" i="6" s="1"/>
  <c r="F202" i="6"/>
  <c r="H202" i="6" s="1"/>
  <c r="F203" i="6"/>
  <c r="H203" i="6" s="1"/>
  <c r="F205" i="6"/>
  <c r="H205" i="6" s="1"/>
  <c r="F206" i="6"/>
  <c r="H206" i="6" s="1"/>
  <c r="F207" i="6"/>
  <c r="H207" i="6" s="1"/>
  <c r="F208" i="6"/>
  <c r="H208" i="6" s="1"/>
  <c r="F209" i="6"/>
  <c r="H209" i="6" s="1"/>
  <c r="F210" i="6"/>
  <c r="H210" i="6" s="1"/>
  <c r="F211" i="6"/>
  <c r="H211" i="6" s="1"/>
  <c r="F213" i="6"/>
  <c r="F214" i="6"/>
  <c r="H214" i="6" s="1"/>
  <c r="F215" i="6"/>
  <c r="H215" i="6" s="1"/>
  <c r="F217" i="6"/>
  <c r="H217" i="6" s="1"/>
  <c r="F218" i="6"/>
  <c r="H218" i="6" s="1"/>
  <c r="F219" i="6"/>
  <c r="H219" i="6" s="1"/>
  <c r="F223" i="6"/>
  <c r="H223" i="6" s="1"/>
  <c r="F227" i="6"/>
  <c r="H227" i="6" s="1"/>
  <c r="F231" i="6"/>
  <c r="H231" i="6" s="1"/>
  <c r="F235" i="6"/>
  <c r="F236" i="6"/>
  <c r="H236" i="6" s="1"/>
  <c r="F237" i="6"/>
  <c r="H237" i="6" s="1"/>
  <c r="F238" i="6"/>
  <c r="H238" i="6" s="1"/>
  <c r="F239" i="6"/>
  <c r="H239" i="6" s="1"/>
  <c r="F240" i="6"/>
  <c r="H240" i="6" s="1"/>
  <c r="F241" i="6"/>
  <c r="H241" i="6" s="1"/>
  <c r="F242" i="6"/>
  <c r="H242" i="6" s="1"/>
  <c r="F243" i="6"/>
  <c r="H243" i="6" s="1"/>
  <c r="F244" i="6"/>
  <c r="H244" i="6" s="1"/>
  <c r="F245" i="6"/>
  <c r="H245" i="6" s="1"/>
  <c r="F246" i="6"/>
  <c r="H246" i="6"/>
  <c r="F247" i="6"/>
  <c r="H247" i="6" s="1"/>
  <c r="F248" i="6"/>
  <c r="H248" i="6" s="1"/>
  <c r="F249" i="6"/>
  <c r="H249" i="6" s="1"/>
  <c r="F250" i="6"/>
  <c r="H250" i="6"/>
  <c r="F251" i="6"/>
  <c r="H251" i="6" s="1"/>
  <c r="F252" i="6"/>
  <c r="H252" i="6" s="1"/>
  <c r="F253" i="6"/>
  <c r="H253" i="6"/>
  <c r="F254" i="6"/>
  <c r="H254" i="6"/>
  <c r="F255" i="6"/>
  <c r="H255" i="6" s="1"/>
  <c r="F256" i="6"/>
  <c r="H256" i="6" s="1"/>
  <c r="F257" i="6"/>
  <c r="H257" i="6"/>
  <c r="F258" i="6"/>
  <c r="H258" i="6"/>
  <c r="F259" i="6"/>
  <c r="H259" i="6" s="1"/>
  <c r="F260" i="6"/>
  <c r="H260" i="6"/>
  <c r="F261" i="6"/>
  <c r="H261" i="6" s="1"/>
  <c r="F262" i="6"/>
  <c r="H262" i="6"/>
  <c r="F263" i="6"/>
  <c r="H263" i="6" s="1"/>
  <c r="F264" i="6"/>
  <c r="H264" i="6" s="1"/>
  <c r="F265" i="6"/>
  <c r="H265" i="6"/>
  <c r="F266" i="6"/>
  <c r="H266" i="6" s="1"/>
  <c r="F267" i="6"/>
  <c r="H267" i="6" s="1"/>
  <c r="F268" i="6"/>
  <c r="H268" i="6" s="1"/>
  <c r="F269" i="6"/>
  <c r="H269" i="6"/>
  <c r="F270" i="6"/>
  <c r="H270" i="6" s="1"/>
  <c r="F271" i="6"/>
  <c r="H271" i="6" s="1"/>
  <c r="F272" i="6"/>
  <c r="H272" i="6"/>
  <c r="F273" i="6"/>
  <c r="H273" i="6" s="1"/>
  <c r="F274" i="6"/>
  <c r="H274" i="6" s="1"/>
  <c r="F275" i="6"/>
  <c r="H275" i="6" s="1"/>
  <c r="F276" i="6"/>
  <c r="H276" i="6"/>
  <c r="F277" i="6"/>
  <c r="H277" i="6" s="1"/>
  <c r="F278" i="6"/>
  <c r="H278" i="6" s="1"/>
  <c r="F279" i="6"/>
  <c r="H279" i="6" s="1"/>
  <c r="F280" i="6"/>
  <c r="H280" i="6" s="1"/>
  <c r="F281" i="6"/>
  <c r="H281" i="6" s="1"/>
  <c r="F282" i="6"/>
  <c r="H282" i="6" s="1"/>
  <c r="F283" i="6"/>
  <c r="F284" i="6"/>
  <c r="H284" i="6" s="1"/>
  <c r="F285" i="6"/>
  <c r="H285" i="6" s="1"/>
  <c r="F286" i="6"/>
  <c r="H286" i="6" s="1"/>
  <c r="F287" i="6"/>
  <c r="H287" i="6" s="1"/>
  <c r="F288" i="6"/>
  <c r="H288" i="6" s="1"/>
  <c r="F289" i="6"/>
  <c r="H289" i="6" s="1"/>
  <c r="F290" i="6"/>
  <c r="H290" i="6"/>
  <c r="F291" i="6"/>
  <c r="H291" i="6" s="1"/>
  <c r="F292" i="6"/>
  <c r="H292" i="6" s="1"/>
  <c r="F293" i="6"/>
  <c r="H293" i="6"/>
  <c r="F294" i="6"/>
  <c r="H294" i="6" s="1"/>
  <c r="F295" i="6"/>
  <c r="H295" i="6" s="1"/>
  <c r="F296" i="6"/>
  <c r="H296" i="6" s="1"/>
  <c r="F297" i="6"/>
  <c r="H297" i="6"/>
  <c r="F298" i="6"/>
  <c r="H298" i="6" s="1"/>
  <c r="F299" i="6"/>
  <c r="H299" i="6" s="1"/>
  <c r="F300" i="6"/>
  <c r="H300" i="6" s="1"/>
  <c r="F301" i="6"/>
  <c r="H301" i="6" s="1"/>
  <c r="F302" i="6"/>
  <c r="H302" i="6"/>
  <c r="F303" i="6"/>
  <c r="H303" i="6" s="1"/>
  <c r="F304" i="6"/>
  <c r="H304" i="6" s="1"/>
  <c r="F305" i="6"/>
  <c r="H305" i="6"/>
  <c r="F306" i="6"/>
  <c r="H306" i="6" s="1"/>
  <c r="F307" i="6"/>
  <c r="H307" i="6" s="1"/>
  <c r="F308" i="6"/>
  <c r="H308" i="6" s="1"/>
  <c r="F309" i="6"/>
  <c r="H309" i="6"/>
  <c r="F310" i="6"/>
  <c r="H310" i="6" s="1"/>
  <c r="F311" i="6"/>
  <c r="H311" i="6"/>
  <c r="F312" i="6"/>
  <c r="H312" i="6" s="1"/>
  <c r="F313" i="6"/>
  <c r="H313" i="6" s="1"/>
  <c r="F314" i="6"/>
  <c r="H314" i="6"/>
  <c r="F315" i="6"/>
  <c r="H315" i="6" s="1"/>
  <c r="F316" i="6"/>
  <c r="H316" i="6" s="1"/>
  <c r="F317" i="6"/>
  <c r="H317" i="6" s="1"/>
  <c r="F318" i="6"/>
  <c r="H318" i="6" s="1"/>
  <c r="F319" i="6"/>
  <c r="H319" i="6" s="1"/>
  <c r="F320" i="6"/>
  <c r="H320" i="6" s="1"/>
  <c r="F321" i="6"/>
  <c r="H321" i="6" s="1"/>
  <c r="F322" i="6"/>
  <c r="H322" i="6" s="1"/>
  <c r="F323" i="6"/>
  <c r="H323" i="6"/>
  <c r="F324" i="6"/>
  <c r="H324" i="6" s="1"/>
  <c r="F325" i="6"/>
  <c r="H325" i="6"/>
  <c r="F326" i="6"/>
  <c r="H326" i="6"/>
  <c r="F327" i="6"/>
  <c r="H327" i="6" s="1"/>
  <c r="F328" i="6"/>
  <c r="H328" i="6" s="1"/>
  <c r="F329" i="6"/>
  <c r="H329" i="6" s="1"/>
  <c r="F330" i="6"/>
  <c r="H330" i="6" s="1"/>
  <c r="F331" i="6"/>
  <c r="H331" i="6" s="1"/>
  <c r="F332" i="6"/>
  <c r="H332" i="6" s="1"/>
  <c r="F333" i="6"/>
  <c r="H333" i="6" s="1"/>
  <c r="F334" i="6"/>
  <c r="H334" i="6"/>
  <c r="F335" i="6"/>
  <c r="H335" i="6"/>
  <c r="F336" i="6"/>
  <c r="H336" i="6" s="1"/>
  <c r="F337" i="6"/>
  <c r="H337" i="6"/>
  <c r="F338" i="6"/>
  <c r="H338" i="6" s="1"/>
  <c r="F339" i="6"/>
  <c r="H339" i="6" s="1"/>
  <c r="F340" i="6"/>
  <c r="H340" i="6" s="1"/>
  <c r="F341" i="6"/>
  <c r="F342" i="6"/>
  <c r="H342" i="6" s="1"/>
  <c r="F343" i="6"/>
  <c r="H343" i="6" s="1"/>
  <c r="F344" i="6"/>
  <c r="H344" i="6" s="1"/>
  <c r="F345" i="6"/>
  <c r="H345" i="6" s="1"/>
  <c r="F346" i="6"/>
  <c r="H346" i="6"/>
  <c r="F347" i="6"/>
  <c r="H347" i="6" s="1"/>
  <c r="F348" i="6"/>
  <c r="H348" i="6" s="1"/>
  <c r="F349" i="6"/>
  <c r="H349" i="6"/>
  <c r="F350" i="6"/>
  <c r="H350" i="6" s="1"/>
  <c r="F351" i="6"/>
  <c r="H351" i="6" s="1"/>
  <c r="F352" i="6"/>
  <c r="H352" i="6" s="1"/>
  <c r="F353" i="6"/>
  <c r="H353" i="6" s="1"/>
  <c r="F354" i="6"/>
  <c r="H354" i="6" s="1"/>
  <c r="F355" i="6"/>
  <c r="H355" i="6"/>
  <c r="F356" i="6"/>
  <c r="H356" i="6" s="1"/>
  <c r="F357" i="6"/>
  <c r="H357" i="6" s="1"/>
  <c r="F358" i="6"/>
  <c r="F359" i="6"/>
  <c r="H359" i="6"/>
  <c r="F360" i="6"/>
  <c r="H360" i="6" s="1"/>
  <c r="F361" i="6"/>
  <c r="H361" i="6" s="1"/>
  <c r="F362" i="6"/>
  <c r="H362" i="6" s="1"/>
  <c r="F363" i="6"/>
  <c r="H363" i="6" s="1"/>
  <c r="F364" i="6"/>
  <c r="H364" i="6" s="1"/>
  <c r="F365" i="6"/>
  <c r="H365" i="6" s="1"/>
  <c r="F366" i="6"/>
  <c r="H366" i="6" s="1"/>
  <c r="F367" i="6"/>
  <c r="F368" i="6"/>
  <c r="H368" i="6" s="1"/>
  <c r="F369" i="6"/>
  <c r="H369" i="6" s="1"/>
  <c r="F370" i="6"/>
  <c r="H370" i="6" s="1"/>
  <c r="F371" i="6"/>
  <c r="H371" i="6" s="1"/>
  <c r="F372" i="6"/>
  <c r="H372" i="6" s="1"/>
  <c r="F373" i="6"/>
  <c r="H373" i="6"/>
  <c r="F374" i="6"/>
  <c r="F375" i="6"/>
  <c r="H375" i="6"/>
  <c r="F376" i="6"/>
  <c r="H376" i="6" s="1"/>
  <c r="F377" i="6"/>
  <c r="H377" i="6" s="1"/>
  <c r="F378" i="6"/>
  <c r="H378" i="6" s="1"/>
  <c r="F379" i="6"/>
  <c r="H379" i="6" s="1"/>
  <c r="F380" i="6"/>
  <c r="H380" i="6" s="1"/>
  <c r="F381" i="6"/>
  <c r="H381" i="6" s="1"/>
  <c r="F382" i="6"/>
  <c r="H382" i="6"/>
  <c r="F383" i="6"/>
  <c r="H383" i="6" s="1"/>
  <c r="F384" i="6"/>
  <c r="F385" i="6"/>
  <c r="H385" i="6" s="1"/>
  <c r="F386" i="6"/>
  <c r="H386" i="6" s="1"/>
  <c r="F387" i="6"/>
  <c r="H387" i="6" s="1"/>
  <c r="F388" i="6"/>
  <c r="H388" i="6" s="1"/>
  <c r="F389" i="6"/>
  <c r="H389" i="6" s="1"/>
  <c r="F390" i="6"/>
  <c r="H390" i="6"/>
  <c r="F391" i="6"/>
  <c r="H391" i="6" s="1"/>
  <c r="F392" i="6"/>
  <c r="F393" i="6"/>
  <c r="H393" i="6" s="1"/>
  <c r="F394" i="6"/>
  <c r="H394" i="6" s="1"/>
  <c r="F395" i="6"/>
  <c r="H395" i="6" s="1"/>
  <c r="F396" i="6"/>
  <c r="H396" i="6" s="1"/>
  <c r="F397" i="6"/>
  <c r="H397" i="6" s="1"/>
  <c r="F398" i="6"/>
  <c r="H398" i="6" s="1"/>
  <c r="F399" i="6"/>
  <c r="H399" i="6"/>
  <c r="F400" i="6"/>
  <c r="H400" i="6" s="1"/>
  <c r="F401" i="6"/>
  <c r="H401" i="6"/>
  <c r="F402" i="6"/>
  <c r="H402" i="6" s="1"/>
  <c r="F403" i="6"/>
  <c r="H403" i="6" s="1"/>
  <c r="F404" i="6"/>
  <c r="H404" i="6" s="1"/>
  <c r="F405" i="6"/>
  <c r="H405" i="6"/>
  <c r="F406" i="6"/>
  <c r="F407" i="6"/>
  <c r="H407" i="6" s="1"/>
  <c r="F408" i="6"/>
  <c r="H408" i="6" s="1"/>
  <c r="F409" i="6"/>
  <c r="H409" i="6" s="1"/>
  <c r="F410" i="6"/>
  <c r="H410" i="6"/>
  <c r="F411" i="6"/>
  <c r="H411" i="6" s="1"/>
  <c r="F412" i="6"/>
  <c r="H412" i="6" s="1"/>
  <c r="F413" i="6"/>
  <c r="H413" i="6" s="1"/>
  <c r="F414" i="6"/>
  <c r="H414" i="6" s="1"/>
  <c r="F415" i="6"/>
  <c r="H415" i="6" s="1"/>
  <c r="F416" i="6"/>
  <c r="H416" i="6" s="1"/>
  <c r="F417" i="6"/>
  <c r="H417" i="6" s="1"/>
  <c r="F418" i="6"/>
  <c r="H418" i="6" s="1"/>
  <c r="F419" i="6"/>
  <c r="H419" i="6"/>
  <c r="F420" i="6"/>
  <c r="H420" i="6" s="1"/>
  <c r="F421" i="6"/>
  <c r="H421" i="6"/>
  <c r="F422" i="6"/>
  <c r="H422" i="6"/>
  <c r="F423" i="6"/>
  <c r="H423" i="6" s="1"/>
  <c r="F424" i="6"/>
  <c r="H424" i="6" s="1"/>
  <c r="F425" i="6"/>
  <c r="H425" i="6" s="1"/>
  <c r="F426" i="6"/>
  <c r="H426" i="6" s="1"/>
  <c r="F427" i="6"/>
  <c r="H427" i="6"/>
  <c r="F428" i="6"/>
  <c r="H428" i="6" s="1"/>
  <c r="F429" i="6"/>
  <c r="H429" i="6" s="1"/>
  <c r="F430" i="6"/>
  <c r="H430" i="6" s="1"/>
  <c r="F431" i="6"/>
  <c r="H431" i="6"/>
  <c r="F432" i="6"/>
  <c r="H432" i="6" s="1"/>
  <c r="F433" i="6"/>
  <c r="H433" i="6"/>
  <c r="F434" i="6"/>
  <c r="H434" i="6" s="1"/>
  <c r="F435" i="6"/>
  <c r="H435" i="6" s="1"/>
  <c r="F436" i="6"/>
  <c r="H436" i="6" s="1"/>
  <c r="F437" i="6"/>
  <c r="H437" i="6" s="1"/>
  <c r="F438" i="6"/>
  <c r="F439" i="6"/>
  <c r="H439" i="6" s="1"/>
  <c r="F440" i="6"/>
  <c r="H440" i="6" s="1"/>
  <c r="F441" i="6"/>
  <c r="H441" i="6" s="1"/>
  <c r="F442" i="6"/>
  <c r="H442" i="6"/>
  <c r="F443" i="6"/>
  <c r="H443" i="6" s="1"/>
  <c r="F444" i="6"/>
  <c r="H444" i="6" s="1"/>
  <c r="F445" i="6"/>
  <c r="F446" i="6"/>
  <c r="J446" i="6" s="1"/>
  <c r="F447" i="6"/>
  <c r="H447" i="6" s="1"/>
  <c r="F448" i="6"/>
  <c r="H448" i="6" s="1"/>
  <c r="F449" i="6"/>
  <c r="H449" i="6" s="1"/>
  <c r="F450" i="6"/>
  <c r="H450" i="6" s="1"/>
  <c r="F451" i="6"/>
  <c r="H451" i="6"/>
  <c r="F452" i="6"/>
  <c r="H452" i="6" s="1"/>
  <c r="F453" i="6"/>
  <c r="H453" i="6"/>
  <c r="F454" i="6"/>
  <c r="J454" i="6" s="1"/>
  <c r="F455" i="6"/>
  <c r="H455" i="6" s="1"/>
  <c r="F456" i="6"/>
  <c r="H456" i="6" s="1"/>
  <c r="F457" i="6"/>
  <c r="H457" i="6" s="1"/>
  <c r="F458" i="6"/>
  <c r="H458" i="6" s="1"/>
  <c r="F459" i="6"/>
  <c r="H459" i="6"/>
  <c r="F460" i="6"/>
  <c r="H460" i="6" s="1"/>
  <c r="F461" i="6"/>
  <c r="H461" i="6" s="1"/>
  <c r="F462" i="6"/>
  <c r="H462" i="6" s="1"/>
  <c r="F463" i="6"/>
  <c r="H463" i="6" s="1"/>
  <c r="F464" i="6"/>
  <c r="F465" i="6"/>
  <c r="H465" i="6" s="1"/>
  <c r="F466" i="6"/>
  <c r="H466" i="6" s="1"/>
  <c r="F467" i="6"/>
  <c r="H467" i="6" s="1"/>
  <c r="F468" i="6"/>
  <c r="H468" i="6" s="1"/>
  <c r="F469" i="6"/>
  <c r="H469" i="6" s="1"/>
  <c r="F470" i="6"/>
  <c r="F471" i="6"/>
  <c r="F472" i="6"/>
  <c r="H472" i="6" s="1"/>
  <c r="F473" i="6"/>
  <c r="H473" i="6" s="1"/>
  <c r="F474" i="6"/>
  <c r="H474" i="6" s="1"/>
  <c r="F475" i="6"/>
  <c r="H475" i="6" s="1"/>
  <c r="F476" i="6"/>
  <c r="H476" i="6" s="1"/>
  <c r="F477" i="6"/>
  <c r="H477" i="6"/>
  <c r="F478" i="6"/>
  <c r="J478" i="6" s="1"/>
  <c r="F479" i="6"/>
  <c r="H479" i="6" s="1"/>
  <c r="F480" i="6"/>
  <c r="H480" i="6" s="1"/>
  <c r="F481" i="6"/>
  <c r="H481" i="6" s="1"/>
  <c r="F482" i="6"/>
  <c r="H482" i="6" s="1"/>
  <c r="F483" i="6"/>
  <c r="H483" i="6" s="1"/>
  <c r="F484" i="6"/>
  <c r="H484" i="6" s="1"/>
  <c r="F485" i="6"/>
  <c r="H485" i="6"/>
  <c r="F486" i="6"/>
  <c r="H486" i="6" s="1"/>
  <c r="F487" i="6"/>
  <c r="H487" i="6"/>
  <c r="F488" i="6"/>
  <c r="H488" i="6" s="1"/>
  <c r="F489" i="6"/>
  <c r="H489" i="6" s="1"/>
  <c r="F490" i="6"/>
  <c r="H490" i="6" s="1"/>
  <c r="F491" i="6"/>
  <c r="F492" i="6"/>
  <c r="H492" i="6" s="1"/>
  <c r="F493" i="6"/>
  <c r="H493" i="6" s="1"/>
  <c r="F494" i="6"/>
  <c r="F495" i="6"/>
  <c r="H495" i="6" s="1"/>
  <c r="F496" i="6"/>
  <c r="H496" i="6" s="1"/>
  <c r="F497" i="6"/>
  <c r="J497" i="6" s="1"/>
  <c r="H497" i="6"/>
  <c r="F498" i="6"/>
  <c r="J498" i="6" s="1"/>
  <c r="F499" i="6"/>
  <c r="F500" i="6"/>
  <c r="F501" i="6"/>
  <c r="H501" i="6"/>
  <c r="F502" i="6"/>
  <c r="J502" i="6" s="1"/>
  <c r="H502" i="6"/>
  <c r="F503" i="6"/>
  <c r="H503" i="6" s="1"/>
  <c r="F504" i="6"/>
  <c r="H504" i="6" s="1"/>
  <c r="F505" i="6"/>
  <c r="J505" i="6" s="1"/>
  <c r="H505" i="6"/>
  <c r="F506" i="6"/>
  <c r="F507" i="6"/>
  <c r="F508" i="6"/>
  <c r="F509" i="6"/>
  <c r="H509" i="6"/>
  <c r="F510" i="6"/>
  <c r="J510" i="6" s="1"/>
  <c r="H510" i="6"/>
  <c r="F511" i="6"/>
  <c r="J511" i="6" s="1"/>
  <c r="F512" i="6"/>
  <c r="H512" i="6" s="1"/>
  <c r="F513" i="6"/>
  <c r="H513" i="6" s="1"/>
  <c r="F514" i="6"/>
  <c r="J514" i="6" s="1"/>
  <c r="H514" i="6"/>
  <c r="F515" i="6"/>
  <c r="J515" i="6" s="1"/>
  <c r="F516" i="6"/>
  <c r="F517" i="6"/>
  <c r="F518" i="6"/>
  <c r="H518" i="6" s="1"/>
  <c r="F519" i="6"/>
  <c r="H519" i="6" s="1"/>
  <c r="F520" i="6"/>
  <c r="H520" i="6" s="1"/>
  <c r="F521" i="6"/>
  <c r="H521" i="6"/>
  <c r="J22" i="6"/>
  <c r="J23" i="6"/>
  <c r="J26" i="6"/>
  <c r="J29" i="6"/>
  <c r="J34" i="6"/>
  <c r="J44" i="6"/>
  <c r="J53" i="6"/>
  <c r="J68" i="6"/>
  <c r="J69" i="6"/>
  <c r="J75" i="6"/>
  <c r="J78" i="6"/>
  <c r="J79" i="6"/>
  <c r="J85" i="6"/>
  <c r="J88" i="6"/>
  <c r="J89" i="6"/>
  <c r="J90" i="6"/>
  <c r="J92" i="6"/>
  <c r="J93" i="6"/>
  <c r="J100" i="6"/>
  <c r="J103" i="6"/>
  <c r="J107" i="6"/>
  <c r="J115" i="6"/>
  <c r="J118" i="6"/>
  <c r="J119" i="6"/>
  <c r="J121" i="6"/>
  <c r="J125" i="6"/>
  <c r="J128" i="6"/>
  <c r="J130" i="6"/>
  <c r="J131" i="6"/>
  <c r="J133" i="6"/>
  <c r="J134" i="6"/>
  <c r="J136" i="6"/>
  <c r="J137" i="6"/>
  <c r="J139" i="6"/>
  <c r="J141" i="6"/>
  <c r="J142" i="6"/>
  <c r="J143" i="6"/>
  <c r="J144" i="6"/>
  <c r="J145" i="6"/>
  <c r="J146" i="6"/>
  <c r="J147" i="6"/>
  <c r="J149" i="6"/>
  <c r="J150" i="6"/>
  <c r="J151" i="6"/>
  <c r="J153" i="6"/>
  <c r="J154" i="6"/>
  <c r="J155" i="6"/>
  <c r="J157" i="6"/>
  <c r="J158" i="6"/>
  <c r="J159" i="6"/>
  <c r="J161" i="6"/>
  <c r="J162" i="6"/>
  <c r="J163" i="6"/>
  <c r="J165" i="6"/>
  <c r="J166" i="6"/>
  <c r="J167" i="6"/>
  <c r="J169" i="6"/>
  <c r="J170" i="6"/>
  <c r="J171" i="6"/>
  <c r="J174" i="6"/>
  <c r="J175" i="6"/>
  <c r="J176" i="6"/>
  <c r="J177" i="6"/>
  <c r="J178" i="6"/>
  <c r="J179" i="6"/>
  <c r="J180" i="6"/>
  <c r="J181" i="6"/>
  <c r="J182" i="6"/>
  <c r="J183" i="6"/>
  <c r="J186" i="6"/>
  <c r="J187" i="6"/>
  <c r="J189" i="6"/>
  <c r="J190" i="6"/>
  <c r="J191" i="6"/>
  <c r="J192" i="6"/>
  <c r="J193" i="6"/>
  <c r="J194" i="6"/>
  <c r="J195" i="6"/>
  <c r="J197" i="6"/>
  <c r="J199" i="6"/>
  <c r="J201" i="6"/>
  <c r="J202" i="6"/>
  <c r="J203" i="6"/>
  <c r="J205" i="6"/>
  <c r="J206" i="6"/>
  <c r="J207" i="6"/>
  <c r="J208" i="6"/>
  <c r="J209" i="6"/>
  <c r="J210" i="6"/>
  <c r="J211" i="6"/>
  <c r="J214" i="6"/>
  <c r="J215" i="6"/>
  <c r="J217" i="6"/>
  <c r="J218" i="6"/>
  <c r="J219" i="6"/>
  <c r="J223" i="6"/>
  <c r="J227" i="6"/>
  <c r="J231" i="6"/>
  <c r="J236" i="6"/>
  <c r="J237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4" i="6"/>
  <c r="J285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2" i="6"/>
  <c r="J343" i="6"/>
  <c r="J344" i="6"/>
  <c r="J345" i="6"/>
  <c r="J346" i="6"/>
  <c r="J347" i="6"/>
  <c r="J348" i="6"/>
  <c r="J349" i="6"/>
  <c r="J350" i="6"/>
  <c r="J351" i="6"/>
  <c r="J352" i="6"/>
  <c r="J354" i="6"/>
  <c r="J355" i="6"/>
  <c r="J356" i="6"/>
  <c r="J357" i="6"/>
  <c r="J359" i="6"/>
  <c r="J360" i="6"/>
  <c r="J361" i="6"/>
  <c r="J362" i="6"/>
  <c r="J363" i="6"/>
  <c r="J364" i="6"/>
  <c r="J365" i="6"/>
  <c r="J366" i="6"/>
  <c r="J368" i="6"/>
  <c r="J369" i="6"/>
  <c r="J371" i="6"/>
  <c r="J372" i="6"/>
  <c r="J373" i="6"/>
  <c r="J375" i="6"/>
  <c r="J376" i="6"/>
  <c r="J377" i="6"/>
  <c r="J378" i="6"/>
  <c r="J380" i="6"/>
  <c r="J381" i="6"/>
  <c r="J382" i="6"/>
  <c r="J383" i="6"/>
  <c r="J385" i="6"/>
  <c r="J386" i="6"/>
  <c r="J387" i="6"/>
  <c r="J388" i="6"/>
  <c r="J389" i="6"/>
  <c r="J390" i="6"/>
  <c r="J391" i="6"/>
  <c r="J393" i="6"/>
  <c r="J394" i="6"/>
  <c r="J395" i="6"/>
  <c r="J396" i="6"/>
  <c r="J398" i="6"/>
  <c r="J399" i="6"/>
  <c r="J400" i="6"/>
  <c r="J401" i="6"/>
  <c r="J402" i="6"/>
  <c r="J403" i="6"/>
  <c r="J404" i="6"/>
  <c r="J405" i="6"/>
  <c r="J407" i="6"/>
  <c r="J409" i="6"/>
  <c r="J410" i="6"/>
  <c r="J411" i="6"/>
  <c r="J412" i="6"/>
  <c r="J413" i="6"/>
  <c r="J414" i="6"/>
  <c r="J415" i="6"/>
  <c r="J416" i="6"/>
  <c r="J417" i="6"/>
  <c r="J418" i="6"/>
  <c r="J419" i="6"/>
  <c r="J421" i="6"/>
  <c r="J422" i="6"/>
  <c r="J423" i="6"/>
  <c r="J424" i="6"/>
  <c r="J425" i="6"/>
  <c r="J426" i="6"/>
  <c r="J427" i="6"/>
  <c r="J429" i="6"/>
  <c r="J430" i="6"/>
  <c r="J431" i="6"/>
  <c r="J433" i="6"/>
  <c r="J434" i="6"/>
  <c r="J435" i="6"/>
  <c r="J436" i="6"/>
  <c r="J439" i="6"/>
  <c r="J441" i="6"/>
  <c r="J442" i="6"/>
  <c r="J443" i="6"/>
  <c r="J444" i="6"/>
  <c r="J447" i="6"/>
  <c r="J448" i="6"/>
  <c r="J450" i="6"/>
  <c r="J451" i="6"/>
  <c r="J452" i="6"/>
  <c r="J453" i="6"/>
  <c r="J455" i="6"/>
  <c r="J458" i="6"/>
  <c r="J459" i="6"/>
  <c r="J460" i="6"/>
  <c r="J461" i="6"/>
  <c r="J462" i="6"/>
  <c r="J463" i="6"/>
  <c r="J466" i="6"/>
  <c r="J467" i="6"/>
  <c r="J468" i="6"/>
  <c r="J472" i="6"/>
  <c r="J473" i="6"/>
  <c r="J474" i="6"/>
  <c r="J476" i="6"/>
  <c r="J477" i="6"/>
  <c r="J481" i="6"/>
  <c r="J482" i="6"/>
  <c r="J485" i="6"/>
  <c r="J487" i="6"/>
  <c r="J488" i="6"/>
  <c r="J492" i="6"/>
  <c r="J495" i="6"/>
  <c r="J496" i="6"/>
  <c r="J501" i="6"/>
  <c r="J503" i="6"/>
  <c r="J504" i="6"/>
  <c r="J509" i="6"/>
  <c r="J512" i="6"/>
  <c r="J513" i="6"/>
  <c r="J518" i="6"/>
  <c r="J521" i="6"/>
  <c r="A6" i="5"/>
  <c r="B6" i="5"/>
  <c r="M6" i="5"/>
  <c r="A7" i="5"/>
  <c r="B7" i="5"/>
  <c r="M7" i="5"/>
  <c r="M23" i="5" s="1"/>
  <c r="A8" i="5"/>
  <c r="B8" i="5"/>
  <c r="M8" i="5"/>
  <c r="E227" i="4" s="1"/>
  <c r="E263" i="4" s="1"/>
  <c r="A9" i="5"/>
  <c r="B9" i="5"/>
  <c r="M9" i="5"/>
  <c r="E228" i="4" s="1"/>
  <c r="E264" i="4" s="1"/>
  <c r="E300" i="4" s="1"/>
  <c r="A10" i="5"/>
  <c r="B10" i="5"/>
  <c r="M10" i="5"/>
  <c r="A11" i="5"/>
  <c r="B11" i="5"/>
  <c r="M11" i="5"/>
  <c r="E230" i="4" s="1"/>
  <c r="E266" i="4" s="1"/>
  <c r="E302" i="4" s="1"/>
  <c r="A12" i="5"/>
  <c r="B12" i="5"/>
  <c r="M12" i="5"/>
  <c r="A13" i="5"/>
  <c r="B13" i="5"/>
  <c r="M13" i="5"/>
  <c r="E232" i="4" s="1"/>
  <c r="E268" i="4" s="1"/>
  <c r="E304" i="4" s="1"/>
  <c r="A14" i="5"/>
  <c r="B14" i="5"/>
  <c r="M14" i="5"/>
  <c r="A15" i="5"/>
  <c r="B15" i="5"/>
  <c r="M15" i="5"/>
  <c r="E234" i="4" s="1"/>
  <c r="E270" i="4" s="1"/>
  <c r="E306" i="4" s="1"/>
  <c r="A16" i="5"/>
  <c r="B16" i="5"/>
  <c r="M16" i="5"/>
  <c r="A17" i="5"/>
  <c r="B17" i="5"/>
  <c r="M17" i="5"/>
  <c r="E236" i="4" s="1"/>
  <c r="E272" i="4" s="1"/>
  <c r="E308" i="4" s="1"/>
  <c r="A18" i="5"/>
  <c r="B18" i="5"/>
  <c r="M18" i="5"/>
  <c r="A19" i="5"/>
  <c r="B19" i="5"/>
  <c r="M19" i="5"/>
  <c r="E238" i="4" s="1"/>
  <c r="E274" i="4" s="1"/>
  <c r="E310" i="4" s="1"/>
  <c r="A20" i="5"/>
  <c r="B20" i="5"/>
  <c r="M20" i="5"/>
  <c r="A21" i="5"/>
  <c r="B21" i="5"/>
  <c r="M21" i="5"/>
  <c r="E240" i="4" s="1"/>
  <c r="E276" i="4" s="1"/>
  <c r="E312" i="4" s="1"/>
  <c r="A22" i="5"/>
  <c r="B22" i="5"/>
  <c r="M22" i="5"/>
  <c r="C23" i="5"/>
  <c r="D23" i="5"/>
  <c r="E23" i="5"/>
  <c r="F23" i="5"/>
  <c r="G23" i="5"/>
  <c r="H23" i="5"/>
  <c r="I23" i="5"/>
  <c r="J23" i="5"/>
  <c r="K23" i="5"/>
  <c r="L23" i="5"/>
  <c r="B9" i="4"/>
  <c r="C9" i="4"/>
  <c r="B10" i="4"/>
  <c r="B82" i="4" s="1"/>
  <c r="C10" i="4"/>
  <c r="C82" i="4" s="1"/>
  <c r="C118" i="4" s="1"/>
  <c r="C154" i="4" s="1"/>
  <c r="C190" i="4" s="1"/>
  <c r="C226" i="4" s="1"/>
  <c r="C262" i="4" s="1"/>
  <c r="C298" i="4" s="1"/>
  <c r="D10" i="4"/>
  <c r="B11" i="4"/>
  <c r="B47" i="4" s="1"/>
  <c r="C11" i="4"/>
  <c r="C83" i="4" s="1"/>
  <c r="B12" i="4"/>
  <c r="C12" i="4"/>
  <c r="C84" i="4" s="1"/>
  <c r="C120" i="4" s="1"/>
  <c r="C156" i="4" s="1"/>
  <c r="C192" i="4" s="1"/>
  <c r="C228" i="4" s="1"/>
  <c r="C264" i="4" s="1"/>
  <c r="C300" i="4" s="1"/>
  <c r="B13" i="4"/>
  <c r="B85" i="4" s="1"/>
  <c r="B121" i="4" s="1"/>
  <c r="B157" i="4" s="1"/>
  <c r="B193" i="4" s="1"/>
  <c r="B229" i="4" s="1"/>
  <c r="B265" i="4" s="1"/>
  <c r="B301" i="4" s="1"/>
  <c r="C13" i="4"/>
  <c r="C85" i="4" s="1"/>
  <c r="C121" i="4" s="1"/>
  <c r="C157" i="4" s="1"/>
  <c r="C193" i="4" s="1"/>
  <c r="C229" i="4" s="1"/>
  <c r="C265" i="4" s="1"/>
  <c r="C301" i="4" s="1"/>
  <c r="B14" i="4"/>
  <c r="B50" i="4" s="1"/>
  <c r="C14" i="4"/>
  <c r="C50" i="4" s="1"/>
  <c r="B15" i="4"/>
  <c r="C15" i="4"/>
  <c r="B16" i="4"/>
  <c r="C16" i="4"/>
  <c r="B17" i="4"/>
  <c r="C17" i="4"/>
  <c r="B18" i="4"/>
  <c r="C18" i="4"/>
  <c r="B19" i="4"/>
  <c r="C19" i="4"/>
  <c r="C91" i="4" s="1"/>
  <c r="C127" i="4" s="1"/>
  <c r="C163" i="4" s="1"/>
  <c r="C199" i="4" s="1"/>
  <c r="C235" i="4" s="1"/>
  <c r="C271" i="4" s="1"/>
  <c r="C307" i="4" s="1"/>
  <c r="B20" i="4"/>
  <c r="B56" i="4" s="1"/>
  <c r="C20" i="4"/>
  <c r="C56" i="4" s="1"/>
  <c r="B21" i="4"/>
  <c r="B57" i="4" s="1"/>
  <c r="C21" i="4"/>
  <c r="B22" i="4"/>
  <c r="B58" i="4" s="1"/>
  <c r="C22" i="4"/>
  <c r="C58" i="4" s="1"/>
  <c r="B23" i="4"/>
  <c r="C23" i="4"/>
  <c r="B24" i="4"/>
  <c r="B60" i="4" s="1"/>
  <c r="C24" i="4"/>
  <c r="B25" i="4"/>
  <c r="B61" i="4" s="1"/>
  <c r="C25" i="4"/>
  <c r="B45" i="4"/>
  <c r="C45" i="4"/>
  <c r="E45" i="4"/>
  <c r="E81" i="4" s="1"/>
  <c r="B46" i="4"/>
  <c r="C46" i="4"/>
  <c r="D46" i="4"/>
  <c r="D47" i="4" s="1"/>
  <c r="E46" i="4"/>
  <c r="E47" i="4"/>
  <c r="B48" i="4"/>
  <c r="C48" i="4"/>
  <c r="E48" i="4"/>
  <c r="E84" i="4" s="1"/>
  <c r="E49" i="4"/>
  <c r="E85" i="4" s="1"/>
  <c r="E50" i="4"/>
  <c r="E86" i="4" s="1"/>
  <c r="C51" i="4"/>
  <c r="E51" i="4"/>
  <c r="E87" i="4" s="1"/>
  <c r="E52" i="4"/>
  <c r="C53" i="4"/>
  <c r="E53" i="4"/>
  <c r="C54" i="4"/>
  <c r="E54" i="4"/>
  <c r="E90" i="4" s="1"/>
  <c r="C55" i="4"/>
  <c r="E55" i="4"/>
  <c r="E91" i="4" s="1"/>
  <c r="E56" i="4"/>
  <c r="E92" i="4" s="1"/>
  <c r="C57" i="4"/>
  <c r="E57" i="4"/>
  <c r="E58" i="4"/>
  <c r="B59" i="4"/>
  <c r="C59" i="4"/>
  <c r="E59" i="4"/>
  <c r="E95" i="4" s="1"/>
  <c r="E60" i="4"/>
  <c r="E61" i="4"/>
  <c r="E97" i="4" s="1"/>
  <c r="B68" i="4"/>
  <c r="B81" i="4"/>
  <c r="B117" i="4" s="1"/>
  <c r="B153" i="4" s="1"/>
  <c r="B189" i="4" s="1"/>
  <c r="B225" i="4" s="1"/>
  <c r="B261" i="4" s="1"/>
  <c r="B297" i="4" s="1"/>
  <c r="C81" i="4"/>
  <c r="C117" i="4" s="1"/>
  <c r="C153" i="4" s="1"/>
  <c r="C189" i="4" s="1"/>
  <c r="C225" i="4" s="1"/>
  <c r="C261" i="4" s="1"/>
  <c r="C297" i="4" s="1"/>
  <c r="E82" i="4"/>
  <c r="B83" i="4"/>
  <c r="B119" i="4" s="1"/>
  <c r="B155" i="4" s="1"/>
  <c r="B191" i="4" s="1"/>
  <c r="B227" i="4" s="1"/>
  <c r="B263" i="4" s="1"/>
  <c r="B299" i="4" s="1"/>
  <c r="E83" i="4"/>
  <c r="B84" i="4"/>
  <c r="B120" i="4" s="1"/>
  <c r="B156" i="4" s="1"/>
  <c r="B192" i="4" s="1"/>
  <c r="B228" i="4" s="1"/>
  <c r="B264" i="4" s="1"/>
  <c r="B300" i="4" s="1"/>
  <c r="B86" i="4"/>
  <c r="B122" i="4" s="1"/>
  <c r="B158" i="4" s="1"/>
  <c r="B194" i="4" s="1"/>
  <c r="B230" i="4" s="1"/>
  <c r="B266" i="4" s="1"/>
  <c r="B302" i="4" s="1"/>
  <c r="C86" i="4"/>
  <c r="C122" i="4" s="1"/>
  <c r="C158" i="4" s="1"/>
  <c r="C194" i="4" s="1"/>
  <c r="C230" i="4" s="1"/>
  <c r="C266" i="4" s="1"/>
  <c r="C302" i="4" s="1"/>
  <c r="C87" i="4"/>
  <c r="C123" i="4" s="1"/>
  <c r="C159" i="4" s="1"/>
  <c r="C195" i="4" s="1"/>
  <c r="C231" i="4" s="1"/>
  <c r="C267" i="4" s="1"/>
  <c r="C303" i="4" s="1"/>
  <c r="E88" i="4"/>
  <c r="C89" i="4"/>
  <c r="C125" i="4" s="1"/>
  <c r="C161" i="4" s="1"/>
  <c r="C197" i="4" s="1"/>
  <c r="C233" i="4" s="1"/>
  <c r="C269" i="4" s="1"/>
  <c r="C305" i="4" s="1"/>
  <c r="E89" i="4"/>
  <c r="C90" i="4"/>
  <c r="C126" i="4" s="1"/>
  <c r="C162" i="4" s="1"/>
  <c r="C198" i="4" s="1"/>
  <c r="C234" i="4" s="1"/>
  <c r="C270" i="4" s="1"/>
  <c r="C306" i="4" s="1"/>
  <c r="B92" i="4"/>
  <c r="B128" i="4" s="1"/>
  <c r="B164" i="4" s="1"/>
  <c r="B200" i="4" s="1"/>
  <c r="B236" i="4" s="1"/>
  <c r="B272" i="4" s="1"/>
  <c r="B308" i="4" s="1"/>
  <c r="C92" i="4"/>
  <c r="C128" i="4" s="1"/>
  <c r="C164" i="4" s="1"/>
  <c r="C200" i="4" s="1"/>
  <c r="C236" i="4" s="1"/>
  <c r="C272" i="4" s="1"/>
  <c r="C93" i="4"/>
  <c r="C129" i="4" s="1"/>
  <c r="E93" i="4"/>
  <c r="C94" i="4"/>
  <c r="C130" i="4" s="1"/>
  <c r="C166" i="4" s="1"/>
  <c r="C202" i="4" s="1"/>
  <c r="C238" i="4" s="1"/>
  <c r="C274" i="4" s="1"/>
  <c r="C310" i="4" s="1"/>
  <c r="E94" i="4"/>
  <c r="B95" i="4"/>
  <c r="C95" i="4"/>
  <c r="E96" i="4"/>
  <c r="B97" i="4"/>
  <c r="B133" i="4" s="1"/>
  <c r="B169" i="4" s="1"/>
  <c r="B205" i="4" s="1"/>
  <c r="B241" i="4" s="1"/>
  <c r="B277" i="4" s="1"/>
  <c r="B313" i="4" s="1"/>
  <c r="B104" i="4"/>
  <c r="D116" i="4"/>
  <c r="D224" i="4" s="1"/>
  <c r="D117" i="4"/>
  <c r="D225" i="4" s="1"/>
  <c r="B118" i="4"/>
  <c r="B154" i="4" s="1"/>
  <c r="B190" i="4" s="1"/>
  <c r="B226" i="4" s="1"/>
  <c r="B262" i="4" s="1"/>
  <c r="B298" i="4" s="1"/>
  <c r="C119" i="4"/>
  <c r="C155" i="4" s="1"/>
  <c r="C191" i="4" s="1"/>
  <c r="C227" i="4" s="1"/>
  <c r="C263" i="4" s="1"/>
  <c r="B131" i="4"/>
  <c r="B167" i="4" s="1"/>
  <c r="B203" i="4" s="1"/>
  <c r="B239" i="4" s="1"/>
  <c r="B275" i="4" s="1"/>
  <c r="B311" i="4" s="1"/>
  <c r="C131" i="4"/>
  <c r="C167" i="4" s="1"/>
  <c r="C203" i="4" s="1"/>
  <c r="C239" i="4" s="1"/>
  <c r="C275" i="4" s="1"/>
  <c r="C311" i="4" s="1"/>
  <c r="B138" i="4"/>
  <c r="B246" i="4" s="1"/>
  <c r="B140" i="4"/>
  <c r="D152" i="4"/>
  <c r="D260" i="4" s="1"/>
  <c r="D153" i="4"/>
  <c r="D261" i="4" s="1"/>
  <c r="E153" i="4"/>
  <c r="E189" i="4" s="1"/>
  <c r="E154" i="4"/>
  <c r="E155" i="4"/>
  <c r="E191" i="4" s="1"/>
  <c r="E156" i="4"/>
  <c r="E192" i="4" s="1"/>
  <c r="E157" i="4"/>
  <c r="E193" i="4" s="1"/>
  <c r="E158" i="4"/>
  <c r="E194" i="4" s="1"/>
  <c r="E159" i="4"/>
  <c r="E195" i="4" s="1"/>
  <c r="E160" i="4"/>
  <c r="E161" i="4"/>
  <c r="E197" i="4" s="1"/>
  <c r="E162" i="4"/>
  <c r="E198" i="4" s="1"/>
  <c r="E163" i="4"/>
  <c r="E164" i="4"/>
  <c r="C165" i="4"/>
  <c r="C201" i="4" s="1"/>
  <c r="E165" i="4"/>
  <c r="E201" i="4" s="1"/>
  <c r="E166" i="4"/>
  <c r="E202" i="4" s="1"/>
  <c r="E167" i="4"/>
  <c r="E203" i="4" s="1"/>
  <c r="E168" i="4"/>
  <c r="E169" i="4"/>
  <c r="B174" i="4"/>
  <c r="B282" i="4" s="1"/>
  <c r="B175" i="4"/>
  <c r="B176" i="4"/>
  <c r="D188" i="4"/>
  <c r="E190" i="4"/>
  <c r="E196" i="4"/>
  <c r="E199" i="4"/>
  <c r="E200" i="4"/>
  <c r="E204" i="4"/>
  <c r="E205" i="4"/>
  <c r="B210" i="4"/>
  <c r="B211" i="4"/>
  <c r="B212" i="4"/>
  <c r="E225" i="4"/>
  <c r="E261" i="4" s="1"/>
  <c r="E297" i="4" s="1"/>
  <c r="E226" i="4"/>
  <c r="E229" i="4"/>
  <c r="E265" i="4" s="1"/>
  <c r="E301" i="4" s="1"/>
  <c r="E231" i="4"/>
  <c r="E267" i="4" s="1"/>
  <c r="E303" i="4" s="1"/>
  <c r="E233" i="4"/>
  <c r="E235" i="4"/>
  <c r="E271" i="4" s="1"/>
  <c r="C237" i="4"/>
  <c r="C273" i="4" s="1"/>
  <c r="C309" i="4" s="1"/>
  <c r="E237" i="4"/>
  <c r="E273" i="4" s="1"/>
  <c r="E309" i="4" s="1"/>
  <c r="E239" i="4"/>
  <c r="E241" i="4"/>
  <c r="E277" i="4" s="1"/>
  <c r="E313" i="4" s="1"/>
  <c r="B248" i="4"/>
  <c r="E262" i="4"/>
  <c r="E298" i="4" s="1"/>
  <c r="E269" i="4"/>
  <c r="E305" i="4" s="1"/>
  <c r="E275" i="4"/>
  <c r="E311" i="4" s="1"/>
  <c r="B283" i="4"/>
  <c r="B284" i="4"/>
  <c r="D296" i="4"/>
  <c r="C299" i="4"/>
  <c r="E299" i="4"/>
  <c r="E307" i="4"/>
  <c r="C308" i="4"/>
  <c r="B318" i="4"/>
  <c r="B319" i="4"/>
  <c r="B320" i="4"/>
  <c r="E7" i="3"/>
  <c r="K7" i="3" s="1"/>
  <c r="J7" i="3"/>
  <c r="F7" i="3"/>
  <c r="M7" i="3"/>
  <c r="E8" i="3"/>
  <c r="J8" i="3"/>
  <c r="F8" i="3"/>
  <c r="L8" i="3" s="1"/>
  <c r="K8" i="3"/>
  <c r="M8" i="3"/>
  <c r="E9" i="3"/>
  <c r="J9" i="3"/>
  <c r="M9" i="3"/>
  <c r="E10" i="3"/>
  <c r="J10" i="3"/>
  <c r="E11" i="3"/>
  <c r="J11" i="3"/>
  <c r="F11" i="3"/>
  <c r="L11" i="3" s="1"/>
  <c r="K11" i="3"/>
  <c r="M11" i="3"/>
  <c r="E12" i="3"/>
  <c r="K12" i="3" s="1"/>
  <c r="J12" i="3"/>
  <c r="M12" i="3"/>
  <c r="E13" i="3"/>
  <c r="K13" i="3" s="1"/>
  <c r="J13" i="3"/>
  <c r="E14" i="3"/>
  <c r="J14" i="3"/>
  <c r="F14" i="3"/>
  <c r="L14" i="3" s="1"/>
  <c r="K14" i="3"/>
  <c r="M14" i="3"/>
  <c r="E15" i="3"/>
  <c r="M15" i="3" s="1"/>
  <c r="J15" i="3"/>
  <c r="E16" i="3"/>
  <c r="K16" i="3" s="1"/>
  <c r="J16" i="3"/>
  <c r="F16" i="3"/>
  <c r="L16" i="3" s="1"/>
  <c r="M16" i="3"/>
  <c r="E17" i="3"/>
  <c r="J17" i="3"/>
  <c r="K17" i="3"/>
  <c r="M17" i="3"/>
  <c r="E18" i="3"/>
  <c r="F18" i="3" s="1"/>
  <c r="L18" i="3" s="1"/>
  <c r="J18" i="3"/>
  <c r="E19" i="3"/>
  <c r="M19" i="3" s="1"/>
  <c r="J19" i="3"/>
  <c r="K19" i="3"/>
  <c r="E20" i="3"/>
  <c r="J20" i="3"/>
  <c r="E21" i="3"/>
  <c r="J21" i="3"/>
  <c r="K21" i="3"/>
  <c r="M21" i="3"/>
  <c r="E22" i="3"/>
  <c r="F22" i="3" s="1"/>
  <c r="L22" i="3" s="1"/>
  <c r="J22" i="3"/>
  <c r="E23" i="3"/>
  <c r="J23" i="3"/>
  <c r="F23" i="3" s="1"/>
  <c r="L23" i="3" s="1"/>
  <c r="G25" i="3"/>
  <c r="H25" i="3"/>
  <c r="I25" i="3"/>
  <c r="G26" i="3"/>
  <c r="H26" i="3"/>
  <c r="I26" i="3"/>
  <c r="A47" i="3"/>
  <c r="A87" i="3" s="1"/>
  <c r="B47" i="3"/>
  <c r="C47" i="3"/>
  <c r="E47" i="3"/>
  <c r="G47" i="3"/>
  <c r="J47" i="3" s="1"/>
  <c r="H47" i="3"/>
  <c r="I47" i="3"/>
  <c r="A48" i="3"/>
  <c r="B48" i="3"/>
  <c r="B88" i="3" s="1"/>
  <c r="C48" i="3"/>
  <c r="C88" i="3" s="1"/>
  <c r="E88" i="3" s="1"/>
  <c r="G48" i="3"/>
  <c r="G88" i="3" s="1"/>
  <c r="H48" i="3"/>
  <c r="H88" i="3" s="1"/>
  <c r="I48" i="3"/>
  <c r="A49" i="3"/>
  <c r="A89" i="3" s="1"/>
  <c r="B49" i="3"/>
  <c r="B89" i="3" s="1"/>
  <c r="C49" i="3"/>
  <c r="E49" i="3"/>
  <c r="G49" i="3"/>
  <c r="H49" i="3"/>
  <c r="I49" i="3"/>
  <c r="I89" i="3" s="1"/>
  <c r="J49" i="3"/>
  <c r="F49" i="3" s="1"/>
  <c r="L49" i="3" s="1"/>
  <c r="A50" i="3"/>
  <c r="A90" i="3" s="1"/>
  <c r="B50" i="3"/>
  <c r="B90" i="3" s="1"/>
  <c r="C50" i="3"/>
  <c r="E50" i="3"/>
  <c r="G50" i="3"/>
  <c r="H50" i="3"/>
  <c r="I50" i="3"/>
  <c r="I90" i="3" s="1"/>
  <c r="A51" i="3"/>
  <c r="A91" i="3" s="1"/>
  <c r="B51" i="3"/>
  <c r="B91" i="3" s="1"/>
  <c r="C51" i="3"/>
  <c r="E51" i="3" s="1"/>
  <c r="G51" i="3"/>
  <c r="H51" i="3"/>
  <c r="I51" i="3"/>
  <c r="A52" i="3"/>
  <c r="B52" i="3"/>
  <c r="B92" i="3" s="1"/>
  <c r="C52" i="3"/>
  <c r="E52" i="3"/>
  <c r="G52" i="3"/>
  <c r="H52" i="3"/>
  <c r="H92" i="3" s="1"/>
  <c r="I52" i="3"/>
  <c r="I92" i="3" s="1"/>
  <c r="A53" i="3"/>
  <c r="A93" i="3" s="1"/>
  <c r="B53" i="3"/>
  <c r="B93" i="3" s="1"/>
  <c r="C53" i="3"/>
  <c r="E53" i="3" s="1"/>
  <c r="G53" i="3"/>
  <c r="H53" i="3"/>
  <c r="H93" i="3" s="1"/>
  <c r="I53" i="3"/>
  <c r="I93" i="3" s="1"/>
  <c r="J53" i="3"/>
  <c r="A54" i="3"/>
  <c r="B54" i="3"/>
  <c r="C54" i="3"/>
  <c r="E54" i="3"/>
  <c r="G54" i="3"/>
  <c r="J54" i="3" s="1"/>
  <c r="H54" i="3"/>
  <c r="H94" i="3" s="1"/>
  <c r="I54" i="3"/>
  <c r="A55" i="3"/>
  <c r="A95" i="3" s="1"/>
  <c r="B55" i="3"/>
  <c r="C55" i="3"/>
  <c r="E55" i="3"/>
  <c r="G55" i="3"/>
  <c r="H55" i="3"/>
  <c r="I55" i="3"/>
  <c r="A56" i="3"/>
  <c r="B56" i="3"/>
  <c r="B96" i="3" s="1"/>
  <c r="C56" i="3"/>
  <c r="E56" i="3" s="1"/>
  <c r="G56" i="3"/>
  <c r="H56" i="3"/>
  <c r="I56" i="3"/>
  <c r="I96" i="3" s="1"/>
  <c r="A57" i="3"/>
  <c r="B57" i="3"/>
  <c r="C57" i="3"/>
  <c r="E57" i="3" s="1"/>
  <c r="G57" i="3"/>
  <c r="G97" i="3" s="1"/>
  <c r="J97" i="3" s="1"/>
  <c r="H57" i="3"/>
  <c r="H97" i="3" s="1"/>
  <c r="I57" i="3"/>
  <c r="I97" i="3" s="1"/>
  <c r="A58" i="3"/>
  <c r="A98" i="3" s="1"/>
  <c r="B58" i="3"/>
  <c r="C58" i="3"/>
  <c r="E58" i="3" s="1"/>
  <c r="M58" i="3" s="1"/>
  <c r="G58" i="3"/>
  <c r="H58" i="3"/>
  <c r="H98" i="3" s="1"/>
  <c r="I58" i="3"/>
  <c r="A59" i="3"/>
  <c r="B59" i="3"/>
  <c r="B99" i="3" s="1"/>
  <c r="C59" i="3"/>
  <c r="E59" i="3"/>
  <c r="M59" i="3" s="1"/>
  <c r="G59" i="3"/>
  <c r="G99" i="3" s="1"/>
  <c r="H59" i="3"/>
  <c r="H99" i="3" s="1"/>
  <c r="I59" i="3"/>
  <c r="I99" i="3" s="1"/>
  <c r="A60" i="3"/>
  <c r="B60" i="3"/>
  <c r="B100" i="3" s="1"/>
  <c r="C60" i="3"/>
  <c r="E60" i="3" s="1"/>
  <c r="G60" i="3"/>
  <c r="H60" i="3"/>
  <c r="I60" i="3"/>
  <c r="J60" i="3" s="1"/>
  <c r="M60" i="3"/>
  <c r="A61" i="3"/>
  <c r="A101" i="3" s="1"/>
  <c r="B61" i="3"/>
  <c r="B101" i="3" s="1"/>
  <c r="C61" i="3"/>
  <c r="E61" i="3" s="1"/>
  <c r="G61" i="3"/>
  <c r="H61" i="3"/>
  <c r="H101" i="3" s="1"/>
  <c r="I61" i="3"/>
  <c r="I101" i="3" s="1"/>
  <c r="A62" i="3"/>
  <c r="B62" i="3"/>
  <c r="B102" i="3" s="1"/>
  <c r="C62" i="3"/>
  <c r="C102" i="3" s="1"/>
  <c r="G62" i="3"/>
  <c r="H62" i="3"/>
  <c r="I62" i="3"/>
  <c r="A63" i="3"/>
  <c r="A103" i="3" s="1"/>
  <c r="B63" i="3"/>
  <c r="C63" i="3"/>
  <c r="E63" i="3" s="1"/>
  <c r="G63" i="3"/>
  <c r="H63" i="3"/>
  <c r="J63" i="3" s="1"/>
  <c r="I63" i="3"/>
  <c r="B87" i="3"/>
  <c r="C87" i="3"/>
  <c r="E87" i="3" s="1"/>
  <c r="H87" i="3"/>
  <c r="I87" i="3"/>
  <c r="A88" i="3"/>
  <c r="I88" i="3"/>
  <c r="C89" i="3"/>
  <c r="E89" i="3" s="1"/>
  <c r="G89" i="3"/>
  <c r="J89" i="3" s="1"/>
  <c r="H89" i="3"/>
  <c r="C90" i="3"/>
  <c r="E90" i="3"/>
  <c r="H91" i="3"/>
  <c r="I91" i="3"/>
  <c r="A92" i="3"/>
  <c r="C92" i="3"/>
  <c r="E92" i="3" s="1"/>
  <c r="C93" i="3"/>
  <c r="E93" i="3" s="1"/>
  <c r="G93" i="3"/>
  <c r="J93" i="3" s="1"/>
  <c r="A94" i="3"/>
  <c r="B94" i="3"/>
  <c r="C94" i="3"/>
  <c r="E94" i="3" s="1"/>
  <c r="B95" i="3"/>
  <c r="C95" i="3"/>
  <c r="E95" i="3" s="1"/>
  <c r="H95" i="3"/>
  <c r="I95" i="3"/>
  <c r="A96" i="3"/>
  <c r="G96" i="3"/>
  <c r="H96" i="3"/>
  <c r="A97" i="3"/>
  <c r="B97" i="3"/>
  <c r="B98" i="3"/>
  <c r="C98" i="3"/>
  <c r="E98" i="3"/>
  <c r="I98" i="3"/>
  <c r="A99" i="3"/>
  <c r="C99" i="3"/>
  <c r="E99" i="3" s="1"/>
  <c r="A100" i="3"/>
  <c r="C100" i="3"/>
  <c r="E100" i="3"/>
  <c r="G100" i="3"/>
  <c r="H100" i="3"/>
  <c r="C101" i="3"/>
  <c r="E101" i="3" s="1"/>
  <c r="G101" i="3"/>
  <c r="A102" i="3"/>
  <c r="E102" i="3"/>
  <c r="G102" i="3"/>
  <c r="H102" i="3"/>
  <c r="I102" i="3"/>
  <c r="B103" i="3"/>
  <c r="G103" i="3"/>
  <c r="I103" i="3"/>
  <c r="J102" i="3" l="1"/>
  <c r="F102" i="3" s="1"/>
  <c r="L102" i="3" s="1"/>
  <c r="G95" i="3"/>
  <c r="J95" i="3" s="1"/>
  <c r="J55" i="3"/>
  <c r="F55" i="3" s="1"/>
  <c r="L55" i="3" s="1"/>
  <c r="C88" i="4"/>
  <c r="C124" i="4" s="1"/>
  <c r="C160" i="4" s="1"/>
  <c r="C196" i="4" s="1"/>
  <c r="C232" i="4" s="1"/>
  <c r="C268" i="4" s="1"/>
  <c r="C304" i="4" s="1"/>
  <c r="C52" i="4"/>
  <c r="K98" i="3"/>
  <c r="H126" i="6"/>
  <c r="J126" i="6"/>
  <c r="C96" i="3"/>
  <c r="E96" i="3" s="1"/>
  <c r="K96" i="3" s="1"/>
  <c r="J62" i="3"/>
  <c r="H235" i="6"/>
  <c r="J235" i="6"/>
  <c r="M55" i="3"/>
  <c r="J475" i="6"/>
  <c r="H283" i="6"/>
  <c r="J283" i="6"/>
  <c r="J101" i="3"/>
  <c r="F101" i="3" s="1"/>
  <c r="L101" i="3" s="1"/>
  <c r="I66" i="3"/>
  <c r="E62" i="3"/>
  <c r="J56" i="3"/>
  <c r="K49" i="3"/>
  <c r="E48" i="3"/>
  <c r="M48" i="3" s="1"/>
  <c r="J456" i="6"/>
  <c r="H392" i="6"/>
  <c r="J392" i="6"/>
  <c r="H464" i="6"/>
  <c r="J464" i="6"/>
  <c r="H341" i="6"/>
  <c r="J341" i="6"/>
  <c r="H65" i="3"/>
  <c r="G91" i="3"/>
  <c r="J91" i="3" s="1"/>
  <c r="J51" i="3"/>
  <c r="F51" i="3" s="1"/>
  <c r="L51" i="3" s="1"/>
  <c r="K88" i="3"/>
  <c r="D154" i="4"/>
  <c r="D262" i="4" s="1"/>
  <c r="K100" i="3"/>
  <c r="J160" i="6"/>
  <c r="H384" i="6"/>
  <c r="J384" i="6"/>
  <c r="K102" i="3"/>
  <c r="K10" i="3"/>
  <c r="M10" i="3"/>
  <c r="B94" i="4"/>
  <c r="B130" i="4" s="1"/>
  <c r="B166" i="4" s="1"/>
  <c r="B202" i="4" s="1"/>
  <c r="B238" i="4" s="1"/>
  <c r="B274" i="4" s="1"/>
  <c r="B310" i="4" s="1"/>
  <c r="G94" i="3"/>
  <c r="J94" i="3" s="1"/>
  <c r="F94" i="3" s="1"/>
  <c r="L94" i="3" s="1"/>
  <c r="K58" i="3"/>
  <c r="J58" i="3"/>
  <c r="F58" i="3" s="1"/>
  <c r="L58" i="3" s="1"/>
  <c r="G98" i="3"/>
  <c r="J98" i="3" s="1"/>
  <c r="F98" i="3" s="1"/>
  <c r="L98" i="3" s="1"/>
  <c r="I65" i="3"/>
  <c r="I94" i="3"/>
  <c r="I105" i="3" s="1"/>
  <c r="I106" i="3"/>
  <c r="K20" i="3"/>
  <c r="M20" i="3"/>
  <c r="C49" i="4"/>
  <c r="J437" i="6"/>
  <c r="B55" i="4"/>
  <c r="B91" i="4"/>
  <c r="B127" i="4" s="1"/>
  <c r="B163" i="4" s="1"/>
  <c r="B199" i="4" s="1"/>
  <c r="B235" i="4" s="1"/>
  <c r="B271" i="4" s="1"/>
  <c r="B307" i="4" s="1"/>
  <c r="B49" i="4"/>
  <c r="C61" i="4"/>
  <c r="C97" i="4"/>
  <c r="C133" i="4" s="1"/>
  <c r="C169" i="4" s="1"/>
  <c r="C205" i="4" s="1"/>
  <c r="C241" i="4" s="1"/>
  <c r="C277" i="4" s="1"/>
  <c r="C313" i="4" s="1"/>
  <c r="J490" i="6"/>
  <c r="J471" i="6"/>
  <c r="H471" i="6"/>
  <c r="J358" i="6"/>
  <c r="H358" i="6"/>
  <c r="H491" i="6"/>
  <c r="J491" i="6"/>
  <c r="J367" i="6"/>
  <c r="H367" i="6"/>
  <c r="J88" i="3"/>
  <c r="F88" i="3" s="1"/>
  <c r="L88" i="3" s="1"/>
  <c r="J61" i="3"/>
  <c r="M23" i="3"/>
  <c r="K23" i="3"/>
  <c r="J449" i="6"/>
  <c r="H500" i="6"/>
  <c r="J500" i="6"/>
  <c r="H173" i="6"/>
  <c r="J173" i="6"/>
  <c r="K61" i="3"/>
  <c r="J99" i="3"/>
  <c r="F99" i="3" s="1"/>
  <c r="L99" i="3" s="1"/>
  <c r="H499" i="6"/>
  <c r="J499" i="6"/>
  <c r="H185" i="6"/>
  <c r="J185" i="6"/>
  <c r="H516" i="6"/>
  <c r="J516" i="6"/>
  <c r="H507" i="6"/>
  <c r="J507" i="6"/>
  <c r="H445" i="6"/>
  <c r="J445" i="6"/>
  <c r="H213" i="6"/>
  <c r="J213" i="6"/>
  <c r="H198" i="6"/>
  <c r="J198" i="6"/>
  <c r="F12" i="3"/>
  <c r="L12" i="3" s="1"/>
  <c r="E26" i="3"/>
  <c r="J479" i="6"/>
  <c r="J465" i="6"/>
  <c r="J428" i="6"/>
  <c r="J379" i="6"/>
  <c r="J318" i="6"/>
  <c r="F138" i="6"/>
  <c r="AB19" i="16"/>
  <c r="AE19" i="16" s="1"/>
  <c r="I100" i="3"/>
  <c r="J100" i="3" s="1"/>
  <c r="F100" i="3" s="1"/>
  <c r="L100" i="3" s="1"/>
  <c r="J96" i="3"/>
  <c r="J440" i="6"/>
  <c r="J353" i="6"/>
  <c r="H454" i="6"/>
  <c r="H446" i="6"/>
  <c r="F123" i="6"/>
  <c r="F64" i="6"/>
  <c r="F135" i="6"/>
  <c r="T10" i="16"/>
  <c r="H498" i="6"/>
  <c r="F27" i="6"/>
  <c r="R21" i="16"/>
  <c r="F48" i="6"/>
  <c r="F112" i="6"/>
  <c r="M49" i="3"/>
  <c r="J397" i="6"/>
  <c r="B93" i="4"/>
  <c r="B129" i="4" s="1"/>
  <c r="B165" i="4" s="1"/>
  <c r="B201" i="4" s="1"/>
  <c r="B237" i="4" s="1"/>
  <c r="B273" i="4" s="1"/>
  <c r="B309" i="4" s="1"/>
  <c r="J484" i="6"/>
  <c r="F80" i="6"/>
  <c r="K21" i="8"/>
  <c r="L21" i="8" s="1"/>
  <c r="M21" i="8" s="1"/>
  <c r="K13" i="8"/>
  <c r="L13" i="8" s="1"/>
  <c r="M13" i="8" s="1"/>
  <c r="F18" i="14"/>
  <c r="F60" i="3"/>
  <c r="L60" i="3" s="1"/>
  <c r="J520" i="6"/>
  <c r="J486" i="6"/>
  <c r="M52" i="3"/>
  <c r="C97" i="3"/>
  <c r="E97" i="3" s="1"/>
  <c r="K50" i="3"/>
  <c r="F20" i="3"/>
  <c r="L20" i="3" s="1"/>
  <c r="J483" i="6"/>
  <c r="J469" i="6"/>
  <c r="J457" i="6"/>
  <c r="J432" i="6"/>
  <c r="J420" i="6"/>
  <c r="J408" i="6"/>
  <c r="J370" i="6"/>
  <c r="J286" i="6"/>
  <c r="J238" i="6"/>
  <c r="H511" i="6"/>
  <c r="F32" i="6"/>
  <c r="R20" i="16"/>
  <c r="F129" i="6"/>
  <c r="K18" i="8"/>
  <c r="L18" i="8" s="1"/>
  <c r="M18" i="8" s="1"/>
  <c r="K10" i="8"/>
  <c r="L10" i="8" s="1"/>
  <c r="M10" i="8" s="1"/>
  <c r="T12" i="16"/>
  <c r="AB8" i="16"/>
  <c r="F96" i="6"/>
  <c r="C103" i="3"/>
  <c r="E103" i="3" s="1"/>
  <c r="J493" i="6"/>
  <c r="J480" i="6"/>
  <c r="K23" i="8"/>
  <c r="L23" i="8" s="1"/>
  <c r="M23" i="8" s="1"/>
  <c r="K15" i="8"/>
  <c r="L15" i="8" s="1"/>
  <c r="M15" i="8" s="1"/>
  <c r="K7" i="8"/>
  <c r="L7" i="8" s="1"/>
  <c r="M7" i="8" s="1"/>
  <c r="I23" i="15"/>
  <c r="AE16" i="16"/>
  <c r="AF16" i="16"/>
  <c r="AD16" i="16"/>
  <c r="T21" i="16"/>
  <c r="AB21" i="16" s="1"/>
  <c r="AE21" i="16" s="1"/>
  <c r="T11" i="16"/>
  <c r="AB11" i="16" s="1"/>
  <c r="AD11" i="16" s="1"/>
  <c r="T24" i="16"/>
  <c r="F89" i="3"/>
  <c r="L89" i="3" s="1"/>
  <c r="K89" i="3"/>
  <c r="M89" i="3"/>
  <c r="F97" i="3"/>
  <c r="L97" i="3" s="1"/>
  <c r="K97" i="3"/>
  <c r="M97" i="3"/>
  <c r="K53" i="3"/>
  <c r="M53" i="3"/>
  <c r="F53" i="3"/>
  <c r="L53" i="3" s="1"/>
  <c r="K101" i="3"/>
  <c r="M101" i="3"/>
  <c r="K93" i="3"/>
  <c r="M93" i="3"/>
  <c r="F93" i="3"/>
  <c r="L93" i="3" s="1"/>
  <c r="K57" i="3"/>
  <c r="M57" i="3"/>
  <c r="K63" i="3"/>
  <c r="F63" i="3"/>
  <c r="L63" i="3" s="1"/>
  <c r="M63" i="3"/>
  <c r="K99" i="3"/>
  <c r="M99" i="3"/>
  <c r="F47" i="3"/>
  <c r="K95" i="3"/>
  <c r="M95" i="3"/>
  <c r="F95" i="3"/>
  <c r="L95" i="3" s="1"/>
  <c r="K103" i="3"/>
  <c r="M102" i="3"/>
  <c r="M100" i="3"/>
  <c r="M98" i="3"/>
  <c r="G87" i="3"/>
  <c r="M61" i="3"/>
  <c r="M51" i="3"/>
  <c r="K48" i="3"/>
  <c r="G66" i="3"/>
  <c r="J57" i="3"/>
  <c r="F57" i="3" s="1"/>
  <c r="L57" i="3" s="1"/>
  <c r="K55" i="3"/>
  <c r="K52" i="3"/>
  <c r="K22" i="3"/>
  <c r="M22" i="3"/>
  <c r="M18" i="3"/>
  <c r="F17" i="3"/>
  <c r="L17" i="3" s="1"/>
  <c r="F10" i="3"/>
  <c r="L10" i="3" s="1"/>
  <c r="M96" i="3"/>
  <c r="M88" i="3"/>
  <c r="H66" i="3"/>
  <c r="K59" i="3"/>
  <c r="F54" i="3"/>
  <c r="L54" i="3" s="1"/>
  <c r="K54" i="3"/>
  <c r="G90" i="3"/>
  <c r="M90" i="3" s="1"/>
  <c r="J50" i="3"/>
  <c r="F50" i="3" s="1"/>
  <c r="L50" i="3" s="1"/>
  <c r="K47" i="3"/>
  <c r="H103" i="3"/>
  <c r="C91" i="3"/>
  <c r="E91" i="3" s="1"/>
  <c r="E106" i="3" s="1"/>
  <c r="H90" i="3"/>
  <c r="K51" i="3"/>
  <c r="J48" i="3"/>
  <c r="M47" i="3"/>
  <c r="K18" i="3"/>
  <c r="F15" i="3"/>
  <c r="L15" i="3" s="1"/>
  <c r="K15" i="3"/>
  <c r="E25" i="3"/>
  <c r="K56" i="3"/>
  <c r="M56" i="3"/>
  <c r="M54" i="3"/>
  <c r="M50" i="3"/>
  <c r="F13" i="3"/>
  <c r="L13" i="3" s="1"/>
  <c r="M13" i="3"/>
  <c r="K60" i="3"/>
  <c r="J59" i="3"/>
  <c r="F59" i="3" s="1"/>
  <c r="L59" i="3" s="1"/>
  <c r="G92" i="3"/>
  <c r="J92" i="3" s="1"/>
  <c r="F92" i="3" s="1"/>
  <c r="L92" i="3" s="1"/>
  <c r="J52" i="3"/>
  <c r="F52" i="3" s="1"/>
  <c r="L52" i="3" s="1"/>
  <c r="K25" i="3"/>
  <c r="C7" i="1" s="1"/>
  <c r="J25" i="3"/>
  <c r="F56" i="3"/>
  <c r="L56" i="3" s="1"/>
  <c r="J26" i="3"/>
  <c r="F19" i="3"/>
  <c r="L19" i="3" s="1"/>
  <c r="F9" i="3"/>
  <c r="L9" i="3" s="1"/>
  <c r="K9" i="3"/>
  <c r="L7" i="3"/>
  <c r="F61" i="3"/>
  <c r="L61" i="3" s="1"/>
  <c r="G65" i="3"/>
  <c r="B96" i="4"/>
  <c r="B132" i="4" s="1"/>
  <c r="B168" i="4" s="1"/>
  <c r="B204" i="4" s="1"/>
  <c r="B240" i="4" s="1"/>
  <c r="B276" i="4" s="1"/>
  <c r="B312" i="4" s="1"/>
  <c r="F21" i="3"/>
  <c r="L21" i="3" s="1"/>
  <c r="C96" i="4"/>
  <c r="C132" i="4" s="1"/>
  <c r="C168" i="4" s="1"/>
  <c r="C204" i="4" s="1"/>
  <c r="C240" i="4" s="1"/>
  <c r="C276" i="4" s="1"/>
  <c r="C312" i="4" s="1"/>
  <c r="C60" i="4"/>
  <c r="B53" i="4"/>
  <c r="B89" i="4"/>
  <c r="B125" i="4" s="1"/>
  <c r="B161" i="4" s="1"/>
  <c r="B197" i="4" s="1"/>
  <c r="B233" i="4" s="1"/>
  <c r="B269" i="4" s="1"/>
  <c r="B305" i="4" s="1"/>
  <c r="H517" i="6"/>
  <c r="J517" i="6"/>
  <c r="D155" i="4"/>
  <c r="D263" i="4" s="1"/>
  <c r="D48" i="4"/>
  <c r="B51" i="4"/>
  <c r="B87" i="4"/>
  <c r="B123" i="4" s="1"/>
  <c r="B159" i="4" s="1"/>
  <c r="B195" i="4" s="1"/>
  <c r="B231" i="4" s="1"/>
  <c r="B267" i="4" s="1"/>
  <c r="B303" i="4" s="1"/>
  <c r="D11" i="4"/>
  <c r="D118" i="4"/>
  <c r="D226" i="4" s="1"/>
  <c r="H508" i="6"/>
  <c r="J508" i="6"/>
  <c r="B90" i="4"/>
  <c r="B126" i="4" s="1"/>
  <c r="B162" i="4" s="1"/>
  <c r="B198" i="4" s="1"/>
  <c r="B234" i="4" s="1"/>
  <c r="B270" i="4" s="1"/>
  <c r="B306" i="4" s="1"/>
  <c r="B54" i="4"/>
  <c r="H506" i="6"/>
  <c r="J506" i="6"/>
  <c r="B52" i="4"/>
  <c r="B88" i="4"/>
  <c r="B124" i="4" s="1"/>
  <c r="B160" i="4" s="1"/>
  <c r="B196" i="4" s="1"/>
  <c r="B232" i="4" s="1"/>
  <c r="B268" i="4" s="1"/>
  <c r="B304" i="4" s="1"/>
  <c r="J519" i="6"/>
  <c r="C47" i="4"/>
  <c r="H515" i="6"/>
  <c r="J489" i="6"/>
  <c r="J494" i="6"/>
  <c r="H494" i="6"/>
  <c r="H438" i="6"/>
  <c r="J438" i="6"/>
  <c r="H374" i="6"/>
  <c r="J374" i="6"/>
  <c r="H470" i="6"/>
  <c r="J470" i="6"/>
  <c r="H478" i="6"/>
  <c r="H406" i="6"/>
  <c r="J406" i="6"/>
  <c r="F113" i="6"/>
  <c r="F102" i="6"/>
  <c r="F97" i="6"/>
  <c r="F91" i="6"/>
  <c r="F86" i="6"/>
  <c r="F81" i="6"/>
  <c r="F70" i="6"/>
  <c r="F65" i="6"/>
  <c r="F59" i="6"/>
  <c r="F54" i="6"/>
  <c r="F49" i="6"/>
  <c r="F43" i="6"/>
  <c r="F38" i="6"/>
  <c r="F33" i="6"/>
  <c r="K22" i="15"/>
  <c r="C23" i="15"/>
  <c r="E134" i="13"/>
  <c r="AB9" i="16"/>
  <c r="AF9" i="16" s="1"/>
  <c r="F127" i="6"/>
  <c r="F122" i="6"/>
  <c r="F117" i="6"/>
  <c r="F111" i="6"/>
  <c r="F106" i="6"/>
  <c r="F101" i="6"/>
  <c r="F95" i="6"/>
  <c r="F74" i="6"/>
  <c r="F63" i="6"/>
  <c r="F58" i="6"/>
  <c r="F47" i="6"/>
  <c r="F42" i="6"/>
  <c r="F37" i="6"/>
  <c r="F31" i="6"/>
  <c r="E133" i="13"/>
  <c r="AB23" i="16"/>
  <c r="AF23" i="16" s="1"/>
  <c r="T20" i="16"/>
  <c r="AB15" i="16"/>
  <c r="AF15" i="16" s="1"/>
  <c r="AB12" i="16"/>
  <c r="AF12" i="16" s="1"/>
  <c r="F234" i="6"/>
  <c r="F230" i="6"/>
  <c r="F226" i="6"/>
  <c r="F222" i="6"/>
  <c r="F212" i="6"/>
  <c r="F196" i="6"/>
  <c r="F164" i="6"/>
  <c r="F148" i="6"/>
  <c r="F132" i="6"/>
  <c r="F116" i="6"/>
  <c r="F84" i="6"/>
  <c r="F52" i="6"/>
  <c r="F36" i="6"/>
  <c r="F25" i="6"/>
  <c r="F19" i="6"/>
  <c r="F20" i="6"/>
  <c r="F21" i="6"/>
  <c r="F30" i="6"/>
  <c r="AB18" i="16"/>
  <c r="AD18" i="16" s="1"/>
  <c r="F110" i="6"/>
  <c r="F105" i="6"/>
  <c r="F99" i="6"/>
  <c r="F94" i="6"/>
  <c r="F83" i="6"/>
  <c r="F73" i="6"/>
  <c r="F67" i="6"/>
  <c r="F62" i="6"/>
  <c r="F57" i="6"/>
  <c r="F51" i="6"/>
  <c r="F46" i="6"/>
  <c r="F41" i="6"/>
  <c r="F35" i="6"/>
  <c r="F24" i="6"/>
  <c r="AE8" i="16"/>
  <c r="AF8" i="16"/>
  <c r="F233" i="6"/>
  <c r="F229" i="6"/>
  <c r="F225" i="6"/>
  <c r="F221" i="6"/>
  <c r="F216" i="6"/>
  <c r="F200" i="6"/>
  <c r="F184" i="6"/>
  <c r="F168" i="6"/>
  <c r="F152" i="6"/>
  <c r="F120" i="6"/>
  <c r="F104" i="6"/>
  <c r="F72" i="6"/>
  <c r="F56" i="6"/>
  <c r="F40" i="6"/>
  <c r="AB10" i="16"/>
  <c r="AF10" i="16" s="1"/>
  <c r="F114" i="6"/>
  <c r="F109" i="6"/>
  <c r="F98" i="6"/>
  <c r="F87" i="6"/>
  <c r="F82" i="6"/>
  <c r="F77" i="6"/>
  <c r="F71" i="6"/>
  <c r="F66" i="6"/>
  <c r="F61" i="6"/>
  <c r="F55" i="6"/>
  <c r="F50" i="6"/>
  <c r="F45" i="6"/>
  <c r="F39" i="6"/>
  <c r="F28" i="6"/>
  <c r="M25" i="8"/>
  <c r="C34" i="1" s="1"/>
  <c r="M26" i="8"/>
  <c r="D34" i="1" s="1"/>
  <c r="I24" i="15"/>
  <c r="G25" i="15"/>
  <c r="AB22" i="16"/>
  <c r="AF22" i="16" s="1"/>
  <c r="AB17" i="16"/>
  <c r="AF17" i="16" s="1"/>
  <c r="AB14" i="16"/>
  <c r="AD14" i="16" s="1"/>
  <c r="AB13" i="16"/>
  <c r="AD13" i="16" s="1"/>
  <c r="F232" i="6"/>
  <c r="F228" i="6"/>
  <c r="F224" i="6"/>
  <c r="F220" i="6"/>
  <c r="F204" i="6"/>
  <c r="F188" i="6"/>
  <c r="F172" i="6"/>
  <c r="F156" i="6"/>
  <c r="F140" i="6"/>
  <c r="F124" i="6"/>
  <c r="F108" i="6"/>
  <c r="F76" i="6"/>
  <c r="F60" i="6"/>
  <c r="AB24" i="16"/>
  <c r="AD24" i="16" s="1"/>
  <c r="AD19" i="16"/>
  <c r="AD8" i="16"/>
  <c r="H27" i="6" l="1"/>
  <c r="J27" i="6"/>
  <c r="K90" i="3"/>
  <c r="H138" i="6"/>
  <c r="J138" i="6"/>
  <c r="K62" i="3"/>
  <c r="F62" i="3"/>
  <c r="L62" i="3" s="1"/>
  <c r="M62" i="3"/>
  <c r="H105" i="3"/>
  <c r="H96" i="6"/>
  <c r="J96" i="6"/>
  <c r="AF19" i="16"/>
  <c r="H135" i="6"/>
  <c r="J135" i="6"/>
  <c r="H80" i="6"/>
  <c r="J80" i="6"/>
  <c r="H64" i="6"/>
  <c r="J64" i="6"/>
  <c r="H129" i="6"/>
  <c r="J129" i="6"/>
  <c r="H123" i="6"/>
  <c r="J123" i="6"/>
  <c r="K92" i="3"/>
  <c r="H32" i="6"/>
  <c r="J32" i="6"/>
  <c r="K26" i="3"/>
  <c r="C13" i="1" s="1"/>
  <c r="J65" i="3"/>
  <c r="H112" i="6"/>
  <c r="J112" i="6"/>
  <c r="M26" i="3"/>
  <c r="E13" i="1" s="1"/>
  <c r="H48" i="6"/>
  <c r="J48" i="6"/>
  <c r="F96" i="3"/>
  <c r="L96" i="3" s="1"/>
  <c r="E66" i="3"/>
  <c r="M94" i="3"/>
  <c r="E65" i="3"/>
  <c r="K94" i="3"/>
  <c r="AD21" i="16"/>
  <c r="AF21" i="16"/>
  <c r="AD10" i="16"/>
  <c r="AD22" i="16"/>
  <c r="AD23" i="16"/>
  <c r="AE9" i="16"/>
  <c r="AE17" i="16"/>
  <c r="AD12" i="16"/>
  <c r="AE23" i="16"/>
  <c r="H60" i="6"/>
  <c r="J60" i="6"/>
  <c r="H204" i="6"/>
  <c r="J204" i="6"/>
  <c r="AD17" i="16"/>
  <c r="H71" i="6"/>
  <c r="J71" i="6"/>
  <c r="H168" i="6"/>
  <c r="J168" i="6"/>
  <c r="H46" i="6"/>
  <c r="J46" i="6"/>
  <c r="H99" i="6"/>
  <c r="J99" i="6"/>
  <c r="H20" i="6"/>
  <c r="J20" i="6"/>
  <c r="H148" i="6"/>
  <c r="J148" i="6"/>
  <c r="H74" i="6"/>
  <c r="J74" i="6"/>
  <c r="AD9" i="16"/>
  <c r="K23" i="15"/>
  <c r="C24" i="15"/>
  <c r="H65" i="6"/>
  <c r="J65" i="6"/>
  <c r="J90" i="3"/>
  <c r="F90" i="3" s="1"/>
  <c r="L90" i="3" s="1"/>
  <c r="J103" i="3"/>
  <c r="F103" i="3" s="1"/>
  <c r="L103" i="3" s="1"/>
  <c r="AF24" i="16"/>
  <c r="AE24" i="16"/>
  <c r="H76" i="6"/>
  <c r="J76" i="6"/>
  <c r="H220" i="6"/>
  <c r="J220" i="6"/>
  <c r="H28" i="6"/>
  <c r="J28" i="6"/>
  <c r="H77" i="6"/>
  <c r="J77" i="6"/>
  <c r="AE22" i="16"/>
  <c r="H184" i="6"/>
  <c r="J184" i="6"/>
  <c r="H51" i="6"/>
  <c r="J51" i="6"/>
  <c r="H105" i="6"/>
  <c r="J105" i="6"/>
  <c r="H19" i="6"/>
  <c r="J19" i="6"/>
  <c r="H164" i="6"/>
  <c r="J164" i="6"/>
  <c r="AF11" i="16"/>
  <c r="AE11" i="16"/>
  <c r="H95" i="6"/>
  <c r="J95" i="6"/>
  <c r="H70" i="6"/>
  <c r="J70" i="6"/>
  <c r="H106" i="3"/>
  <c r="F48" i="3"/>
  <c r="L48" i="3" s="1"/>
  <c r="G26" i="15"/>
  <c r="I25" i="15"/>
  <c r="H108" i="6"/>
  <c r="J108" i="6"/>
  <c r="H224" i="6"/>
  <c r="J224" i="6"/>
  <c r="H39" i="6"/>
  <c r="J39" i="6"/>
  <c r="H82" i="6"/>
  <c r="J82" i="6"/>
  <c r="H40" i="6"/>
  <c r="J40" i="6"/>
  <c r="H200" i="6"/>
  <c r="J200" i="6"/>
  <c r="H57" i="6"/>
  <c r="J57" i="6"/>
  <c r="H110" i="6"/>
  <c r="J110" i="6"/>
  <c r="H25" i="6"/>
  <c r="J25" i="6"/>
  <c r="H196" i="6"/>
  <c r="J196" i="6"/>
  <c r="H31" i="6"/>
  <c r="J31" i="6"/>
  <c r="H101" i="6"/>
  <c r="J101" i="6"/>
  <c r="AE12" i="16"/>
  <c r="H33" i="6"/>
  <c r="J33" i="6"/>
  <c r="H81" i="6"/>
  <c r="J81" i="6"/>
  <c r="D119" i="4"/>
  <c r="D227" i="4" s="1"/>
  <c r="D12" i="4"/>
  <c r="M25" i="3"/>
  <c r="E7" i="1" s="1"/>
  <c r="F91" i="3"/>
  <c r="L91" i="3" s="1"/>
  <c r="K91" i="3"/>
  <c r="M91" i="3"/>
  <c r="H124" i="6"/>
  <c r="J124" i="6"/>
  <c r="H228" i="6"/>
  <c r="J228" i="6"/>
  <c r="H45" i="6"/>
  <c r="J45" i="6"/>
  <c r="H87" i="6"/>
  <c r="J87" i="6"/>
  <c r="H56" i="6"/>
  <c r="J56" i="6"/>
  <c r="H216" i="6"/>
  <c r="J216" i="6"/>
  <c r="H62" i="6"/>
  <c r="J62" i="6"/>
  <c r="AE10" i="16"/>
  <c r="H36" i="6"/>
  <c r="J36" i="6"/>
  <c r="H212" i="6"/>
  <c r="J212" i="6"/>
  <c r="H37" i="6"/>
  <c r="J37" i="6"/>
  <c r="H106" i="6"/>
  <c r="J106" i="6"/>
  <c r="H38" i="6"/>
  <c r="J38" i="6"/>
  <c r="H86" i="6"/>
  <c r="J86" i="6"/>
  <c r="L26" i="3"/>
  <c r="D13" i="1" s="1"/>
  <c r="L25" i="3"/>
  <c r="D7" i="1" s="1"/>
  <c r="M103" i="3"/>
  <c r="H140" i="6"/>
  <c r="J140" i="6"/>
  <c r="H232" i="6"/>
  <c r="J232" i="6"/>
  <c r="H50" i="6"/>
  <c r="J50" i="6"/>
  <c r="H98" i="6"/>
  <c r="J98" i="6"/>
  <c r="H72" i="6"/>
  <c r="J72" i="6"/>
  <c r="H221" i="6"/>
  <c r="J221" i="6"/>
  <c r="H67" i="6"/>
  <c r="J67" i="6"/>
  <c r="H52" i="6"/>
  <c r="J52" i="6"/>
  <c r="H222" i="6"/>
  <c r="J222" i="6"/>
  <c r="AD15" i="16"/>
  <c r="H42" i="6"/>
  <c r="J42" i="6"/>
  <c r="H111" i="6"/>
  <c r="J111" i="6"/>
  <c r="AE15" i="16"/>
  <c r="H43" i="6"/>
  <c r="J43" i="6"/>
  <c r="H91" i="6"/>
  <c r="J91" i="6"/>
  <c r="F26" i="3"/>
  <c r="H156" i="6"/>
  <c r="J156" i="6"/>
  <c r="H109" i="6"/>
  <c r="J109" i="6"/>
  <c r="H104" i="6"/>
  <c r="J104" i="6"/>
  <c r="H225" i="6"/>
  <c r="J225" i="6"/>
  <c r="H24" i="6"/>
  <c r="J24" i="6"/>
  <c r="H73" i="6"/>
  <c r="J73" i="6"/>
  <c r="AF18" i="16"/>
  <c r="AE18" i="16"/>
  <c r="H84" i="6"/>
  <c r="J84" i="6"/>
  <c r="H226" i="6"/>
  <c r="J226" i="6"/>
  <c r="H47" i="6"/>
  <c r="J47" i="6"/>
  <c r="H117" i="6"/>
  <c r="J117" i="6"/>
  <c r="H49" i="6"/>
  <c r="J49" i="6"/>
  <c r="H97" i="6"/>
  <c r="J97" i="6"/>
  <c r="D156" i="4"/>
  <c r="D264" i="4" s="1"/>
  <c r="D49" i="4"/>
  <c r="M66" i="3"/>
  <c r="E14" i="1" s="1"/>
  <c r="M65" i="3"/>
  <c r="E8" i="1" s="1"/>
  <c r="F25" i="3"/>
  <c r="G106" i="3"/>
  <c r="J87" i="3"/>
  <c r="G105" i="3"/>
  <c r="F66" i="3"/>
  <c r="L47" i="3"/>
  <c r="F65" i="3"/>
  <c r="M87" i="3"/>
  <c r="H55" i="6"/>
  <c r="J55" i="6"/>
  <c r="H172" i="6"/>
  <c r="J172" i="6"/>
  <c r="AF13" i="16"/>
  <c r="AE13" i="16"/>
  <c r="H61" i="6"/>
  <c r="J61" i="6"/>
  <c r="H114" i="6"/>
  <c r="J114" i="6"/>
  <c r="H120" i="6"/>
  <c r="J120" i="6"/>
  <c r="H229" i="6"/>
  <c r="J229" i="6"/>
  <c r="H35" i="6"/>
  <c r="J35" i="6"/>
  <c r="H83" i="6"/>
  <c r="J83" i="6"/>
  <c r="H30" i="6"/>
  <c r="J30" i="6"/>
  <c r="H116" i="6"/>
  <c r="J116" i="6"/>
  <c r="H230" i="6"/>
  <c r="J230" i="6"/>
  <c r="AB20" i="16"/>
  <c r="AD20" i="16" s="1"/>
  <c r="H58" i="6"/>
  <c r="J58" i="6"/>
  <c r="H122" i="6"/>
  <c r="J122" i="6"/>
  <c r="H54" i="6"/>
  <c r="J54" i="6"/>
  <c r="H102" i="6"/>
  <c r="J102" i="6"/>
  <c r="K65" i="3"/>
  <c r="C8" i="1" s="1"/>
  <c r="K66" i="3"/>
  <c r="C14" i="1" s="1"/>
  <c r="E105" i="3"/>
  <c r="H188" i="6"/>
  <c r="J188" i="6"/>
  <c r="AE14" i="16"/>
  <c r="AF14" i="16"/>
  <c r="H66" i="6"/>
  <c r="J66" i="6"/>
  <c r="H152" i="6"/>
  <c r="J152" i="6"/>
  <c r="H233" i="6"/>
  <c r="J233" i="6"/>
  <c r="H41" i="6"/>
  <c r="J41" i="6"/>
  <c r="H94" i="6"/>
  <c r="J94" i="6"/>
  <c r="H21" i="6"/>
  <c r="J21" i="6"/>
  <c r="H132" i="6"/>
  <c r="J132" i="6"/>
  <c r="H234" i="6"/>
  <c r="J234" i="6"/>
  <c r="H63" i="6"/>
  <c r="J63" i="6"/>
  <c r="H127" i="6"/>
  <c r="J127" i="6"/>
  <c r="H59" i="6"/>
  <c r="J59" i="6"/>
  <c r="H113" i="6"/>
  <c r="J113" i="6"/>
  <c r="M92" i="3"/>
  <c r="J66" i="3"/>
  <c r="K87" i="3"/>
  <c r="AD25" i="16" l="1"/>
  <c r="M105" i="3"/>
  <c r="E9" i="1" s="1"/>
  <c r="M106" i="3"/>
  <c r="E15" i="1" s="1"/>
  <c r="E16" i="1" s="1"/>
  <c r="AF20" i="16"/>
  <c r="AF25" i="16" s="1"/>
  <c r="AE20" i="16"/>
  <c r="AE25" i="16" s="1"/>
  <c r="B4" i="6"/>
  <c r="E10" i="1"/>
  <c r="D120" i="4"/>
  <c r="D228" i="4" s="1"/>
  <c r="D13" i="4"/>
  <c r="I26" i="15"/>
  <c r="G27" i="15"/>
  <c r="L66" i="3"/>
  <c r="D14" i="1" s="1"/>
  <c r="L65" i="3"/>
  <c r="D8" i="1" s="1"/>
  <c r="K105" i="3"/>
  <c r="C9" i="1" s="1"/>
  <c r="C10" i="1" s="1"/>
  <c r="K106" i="3"/>
  <c r="C15" i="1" s="1"/>
  <c r="C16" i="1" s="1"/>
  <c r="J105" i="3"/>
  <c r="J106" i="3"/>
  <c r="F87" i="3"/>
  <c r="D50" i="4"/>
  <c r="D157" i="4"/>
  <c r="D265" i="4" s="1"/>
  <c r="B6" i="6"/>
  <c r="K24" i="15"/>
  <c r="C25" i="15"/>
  <c r="I27" i="15" l="1"/>
  <c r="G28" i="15"/>
  <c r="C26" i="15"/>
  <c r="K25" i="15"/>
  <c r="D14" i="4"/>
  <c r="D121" i="4"/>
  <c r="D229" i="4" s="1"/>
  <c r="D51" i="4"/>
  <c r="D158" i="4"/>
  <c r="D266" i="4" s="1"/>
  <c r="B8" i="6"/>
  <c r="F9" i="4" s="1"/>
  <c r="L87" i="3"/>
  <c r="F105" i="3"/>
  <c r="F106" i="3"/>
  <c r="L106" i="3" l="1"/>
  <c r="D15" i="1" s="1"/>
  <c r="D16" i="1" s="1"/>
  <c r="L105" i="3"/>
  <c r="D9" i="1" s="1"/>
  <c r="D10" i="1" s="1"/>
  <c r="F117" i="4"/>
  <c r="F153" i="4"/>
  <c r="G153" i="4" s="1"/>
  <c r="F189" i="4"/>
  <c r="F81" i="4"/>
  <c r="G9" i="4"/>
  <c r="F10" i="4"/>
  <c r="F45" i="4"/>
  <c r="G45" i="4" s="1"/>
  <c r="D159" i="4"/>
  <c r="D267" i="4" s="1"/>
  <c r="D52" i="4"/>
  <c r="K26" i="15"/>
  <c r="C27" i="15"/>
  <c r="G29" i="15"/>
  <c r="I28" i="15"/>
  <c r="D122" i="4"/>
  <c r="D230" i="4" s="1"/>
  <c r="D15" i="4"/>
  <c r="H153" i="4" l="1"/>
  <c r="I153" i="4"/>
  <c r="K27" i="15"/>
  <c r="C28" i="15"/>
  <c r="D160" i="4"/>
  <c r="D53" i="4"/>
  <c r="D54" i="4" s="1"/>
  <c r="F225" i="4"/>
  <c r="G225" i="4" s="1"/>
  <c r="G117" i="4"/>
  <c r="F261" i="4"/>
  <c r="G261" i="4" s="1"/>
  <c r="F297" i="4"/>
  <c r="D16" i="4"/>
  <c r="D123" i="4"/>
  <c r="D231" i="4" s="1"/>
  <c r="H45" i="4"/>
  <c r="I45" i="4"/>
  <c r="G10" i="4"/>
  <c r="F154" i="4"/>
  <c r="G154" i="4" s="1"/>
  <c r="F190" i="4"/>
  <c r="F11" i="4"/>
  <c r="F82" i="4"/>
  <c r="F46" i="4"/>
  <c r="G46" i="4" s="1"/>
  <c r="F118" i="4"/>
  <c r="I29" i="15"/>
  <c r="G30" i="15"/>
  <c r="H9" i="4"/>
  <c r="I9" i="4"/>
  <c r="D161" i="4" l="1"/>
  <c r="D269" i="4" s="1"/>
  <c r="D268" i="4"/>
  <c r="D55" i="4"/>
  <c r="D162" i="4"/>
  <c r="D270" i="4" s="1"/>
  <c r="F155" i="4"/>
  <c r="G155" i="4" s="1"/>
  <c r="F191" i="4"/>
  <c r="F119" i="4"/>
  <c r="F83" i="4"/>
  <c r="G11" i="4"/>
  <c r="F47" i="4"/>
  <c r="G47" i="4" s="1"/>
  <c r="F12" i="4"/>
  <c r="C29" i="15"/>
  <c r="K28" i="15"/>
  <c r="I225" i="4"/>
  <c r="H225" i="4"/>
  <c r="H154" i="4"/>
  <c r="I154" i="4"/>
  <c r="I10" i="4"/>
  <c r="H10" i="4"/>
  <c r="I261" i="4"/>
  <c r="H261" i="4"/>
  <c r="F226" i="4"/>
  <c r="G226" i="4" s="1"/>
  <c r="G118" i="4"/>
  <c r="F262" i="4"/>
  <c r="G262" i="4" s="1"/>
  <c r="F298" i="4"/>
  <c r="H46" i="4"/>
  <c r="I46" i="4"/>
  <c r="D17" i="4"/>
  <c r="D124" i="4"/>
  <c r="D232" i="4" s="1"/>
  <c r="G31" i="15"/>
  <c r="I30" i="15"/>
  <c r="I117" i="4"/>
  <c r="H117" i="4"/>
  <c r="I226" i="4" l="1"/>
  <c r="H226" i="4"/>
  <c r="K29" i="15"/>
  <c r="C30" i="15"/>
  <c r="F120" i="4"/>
  <c r="F156" i="4"/>
  <c r="G156" i="4" s="1"/>
  <c r="F192" i="4"/>
  <c r="G12" i="4"/>
  <c r="F13" i="4"/>
  <c r="F48" i="4"/>
  <c r="G48" i="4" s="1"/>
  <c r="F84" i="4"/>
  <c r="D56" i="4"/>
  <c r="D163" i="4"/>
  <c r="D271" i="4" s="1"/>
  <c r="I47" i="4"/>
  <c r="H47" i="4"/>
  <c r="I11" i="4"/>
  <c r="H11" i="4"/>
  <c r="I31" i="15"/>
  <c r="G32" i="15"/>
  <c r="F227" i="4"/>
  <c r="G227" i="4" s="1"/>
  <c r="G119" i="4"/>
  <c r="F299" i="4"/>
  <c r="F263" i="4"/>
  <c r="G263" i="4" s="1"/>
  <c r="D125" i="4"/>
  <c r="D233" i="4" s="1"/>
  <c r="D18" i="4"/>
  <c r="H262" i="4"/>
  <c r="I262" i="4"/>
  <c r="H118" i="4"/>
  <c r="I118" i="4"/>
  <c r="I155" i="4"/>
  <c r="H155" i="4"/>
  <c r="K30" i="15" l="1"/>
  <c r="C31" i="15"/>
  <c r="I48" i="4"/>
  <c r="H48" i="4"/>
  <c r="D126" i="4"/>
  <c r="D234" i="4" s="1"/>
  <c r="D19" i="4"/>
  <c r="H263" i="4"/>
  <c r="I263" i="4"/>
  <c r="F157" i="4"/>
  <c r="G157" i="4" s="1"/>
  <c r="F193" i="4"/>
  <c r="F14" i="4"/>
  <c r="F49" i="4"/>
  <c r="G49" i="4" s="1"/>
  <c r="F85" i="4"/>
  <c r="G13" i="4"/>
  <c r="F121" i="4"/>
  <c r="H12" i="4"/>
  <c r="I12" i="4"/>
  <c r="I119" i="4"/>
  <c r="H119" i="4"/>
  <c r="I227" i="4"/>
  <c r="H227" i="4"/>
  <c r="H156" i="4"/>
  <c r="I156" i="4"/>
  <c r="F228" i="4"/>
  <c r="G228" i="4" s="1"/>
  <c r="G120" i="4"/>
  <c r="F264" i="4"/>
  <c r="G264" i="4" s="1"/>
  <c r="F300" i="4"/>
  <c r="I32" i="15"/>
  <c r="G33" i="15"/>
  <c r="D164" i="4"/>
  <c r="D272" i="4" s="1"/>
  <c r="D57" i="4"/>
  <c r="H157" i="4" l="1"/>
  <c r="I157" i="4"/>
  <c r="H264" i="4"/>
  <c r="I264" i="4"/>
  <c r="I120" i="4"/>
  <c r="H120" i="4"/>
  <c r="G121" i="4"/>
  <c r="F229" i="4"/>
  <c r="G229" i="4" s="1"/>
  <c r="F301" i="4"/>
  <c r="F265" i="4"/>
  <c r="G265" i="4" s="1"/>
  <c r="K31" i="15"/>
  <c r="C32" i="15"/>
  <c r="I13" i="4"/>
  <c r="H13" i="4"/>
  <c r="H228" i="4"/>
  <c r="I228" i="4"/>
  <c r="D165" i="4"/>
  <c r="D273" i="4" s="1"/>
  <c r="D58" i="4"/>
  <c r="I49" i="4"/>
  <c r="H49" i="4"/>
  <c r="G34" i="15"/>
  <c r="I33" i="15"/>
  <c r="F15" i="4"/>
  <c r="F86" i="4"/>
  <c r="F158" i="4"/>
  <c r="G158" i="4" s="1"/>
  <c r="F194" i="4"/>
  <c r="F122" i="4"/>
  <c r="G14" i="4"/>
  <c r="F50" i="4"/>
  <c r="G50" i="4" s="1"/>
  <c r="D127" i="4"/>
  <c r="D235" i="4" s="1"/>
  <c r="D20" i="4"/>
  <c r="I158" i="4" l="1"/>
  <c r="H158" i="4"/>
  <c r="H265" i="4"/>
  <c r="I265" i="4"/>
  <c r="I14" i="4"/>
  <c r="H14" i="4"/>
  <c r="D128" i="4"/>
  <c r="D236" i="4" s="1"/>
  <c r="D21" i="4"/>
  <c r="G15" i="4"/>
  <c r="F159" i="4"/>
  <c r="G159" i="4" s="1"/>
  <c r="F195" i="4"/>
  <c r="F87" i="4"/>
  <c r="F51" i="4"/>
  <c r="G51" i="4" s="1"/>
  <c r="F16" i="4"/>
  <c r="F123" i="4"/>
  <c r="H229" i="4"/>
  <c r="I229" i="4"/>
  <c r="H50" i="4"/>
  <c r="I50" i="4"/>
  <c r="I34" i="15"/>
  <c r="G35" i="15"/>
  <c r="H121" i="4"/>
  <c r="I121" i="4"/>
  <c r="G122" i="4"/>
  <c r="F230" i="4"/>
  <c r="G230" i="4" s="1"/>
  <c r="F266" i="4"/>
  <c r="G266" i="4" s="1"/>
  <c r="F302" i="4"/>
  <c r="D59" i="4"/>
  <c r="D166" i="4"/>
  <c r="D274" i="4" s="1"/>
  <c r="K32" i="15"/>
  <c r="C33" i="15"/>
  <c r="H15" i="4" l="1"/>
  <c r="I15" i="4"/>
  <c r="I35" i="15"/>
  <c r="G36" i="15"/>
  <c r="I36" i="15" s="1"/>
  <c r="I230" i="4"/>
  <c r="H230" i="4"/>
  <c r="F231" i="4"/>
  <c r="G231" i="4" s="1"/>
  <c r="F267" i="4"/>
  <c r="G267" i="4" s="1"/>
  <c r="G123" i="4"/>
  <c r="F303" i="4"/>
  <c r="I266" i="4"/>
  <c r="H266" i="4"/>
  <c r="H51" i="4"/>
  <c r="I51" i="4"/>
  <c r="H122" i="4"/>
  <c r="I122" i="4"/>
  <c r="G16" i="4"/>
  <c r="F160" i="4"/>
  <c r="G160" i="4" s="1"/>
  <c r="F196" i="4"/>
  <c r="F17" i="4"/>
  <c r="F52" i="4"/>
  <c r="G52" i="4" s="1"/>
  <c r="F124" i="4"/>
  <c r="F88" i="4"/>
  <c r="C34" i="15"/>
  <c r="K33" i="15"/>
  <c r="D22" i="4"/>
  <c r="D129" i="4"/>
  <c r="D237" i="4" s="1"/>
  <c r="D167" i="4"/>
  <c r="D275" i="4" s="1"/>
  <c r="D60" i="4"/>
  <c r="H159" i="4"/>
  <c r="I159" i="4"/>
  <c r="D61" i="4" l="1"/>
  <c r="D169" i="4" s="1"/>
  <c r="D277" i="4" s="1"/>
  <c r="D168" i="4"/>
  <c r="D276" i="4" s="1"/>
  <c r="I160" i="4"/>
  <c r="H160" i="4"/>
  <c r="D23" i="4"/>
  <c r="D130" i="4"/>
  <c r="D238" i="4" s="1"/>
  <c r="I16" i="4"/>
  <c r="H16" i="4"/>
  <c r="F161" i="4"/>
  <c r="G161" i="4" s="1"/>
  <c r="F197" i="4"/>
  <c r="F125" i="4"/>
  <c r="F18" i="4"/>
  <c r="F53" i="4"/>
  <c r="G53" i="4" s="1"/>
  <c r="G17" i="4"/>
  <c r="F89" i="4"/>
  <c r="H267" i="4"/>
  <c r="I267" i="4"/>
  <c r="K34" i="15"/>
  <c r="C35" i="15"/>
  <c r="I231" i="4"/>
  <c r="H231" i="4"/>
  <c r="F232" i="4"/>
  <c r="G232" i="4" s="1"/>
  <c r="G124" i="4"/>
  <c r="F268" i="4"/>
  <c r="G268" i="4" s="1"/>
  <c r="F304" i="4"/>
  <c r="I52" i="4"/>
  <c r="H52" i="4"/>
  <c r="I123" i="4"/>
  <c r="H123" i="4"/>
  <c r="K35" i="15" l="1"/>
  <c r="C36" i="15"/>
  <c r="K36" i="15" s="1"/>
  <c r="F233" i="4"/>
  <c r="G233" i="4" s="1"/>
  <c r="F305" i="4"/>
  <c r="F269" i="4"/>
  <c r="G269" i="4" s="1"/>
  <c r="G125" i="4"/>
  <c r="H161" i="4"/>
  <c r="I161" i="4"/>
  <c r="I124" i="4"/>
  <c r="H124" i="4"/>
  <c r="H17" i="4"/>
  <c r="I17" i="4"/>
  <c r="F19" i="4"/>
  <c r="F162" i="4"/>
  <c r="G162" i="4" s="1"/>
  <c r="F198" i="4"/>
  <c r="F90" i="4"/>
  <c r="F54" i="4"/>
  <c r="G54" i="4" s="1"/>
  <c r="G18" i="4"/>
  <c r="F126" i="4"/>
  <c r="H268" i="4"/>
  <c r="I268" i="4"/>
  <c r="H232" i="4"/>
  <c r="I232" i="4"/>
  <c r="H53" i="4"/>
  <c r="I53" i="4"/>
  <c r="D24" i="4"/>
  <c r="D131" i="4"/>
  <c r="D239" i="4" s="1"/>
  <c r="D25" i="4" l="1"/>
  <c r="D133" i="4" s="1"/>
  <c r="D241" i="4" s="1"/>
  <c r="D132" i="4"/>
  <c r="D240" i="4" s="1"/>
  <c r="H125" i="4"/>
  <c r="I125" i="4"/>
  <c r="I269" i="4"/>
  <c r="H269" i="4"/>
  <c r="H54" i="4"/>
  <c r="I54" i="4"/>
  <c r="H162" i="4"/>
  <c r="I162" i="4"/>
  <c r="F163" i="4"/>
  <c r="G163" i="4" s="1"/>
  <c r="F199" i="4"/>
  <c r="G19" i="4"/>
  <c r="F127" i="4"/>
  <c r="F20" i="4"/>
  <c r="F55" i="4"/>
  <c r="G55" i="4" s="1"/>
  <c r="F91" i="4"/>
  <c r="I233" i="4"/>
  <c r="H233" i="4"/>
  <c r="I18" i="4"/>
  <c r="H18" i="4"/>
  <c r="G126" i="4"/>
  <c r="F234" i="4"/>
  <c r="G234" i="4" s="1"/>
  <c r="F270" i="4"/>
  <c r="G270" i="4" s="1"/>
  <c r="F306" i="4"/>
  <c r="K39" i="15"/>
  <c r="K42" i="15"/>
  <c r="H19" i="4" l="1"/>
  <c r="I19" i="4"/>
  <c r="I163" i="4"/>
  <c r="H163" i="4"/>
  <c r="F235" i="4"/>
  <c r="G235" i="4" s="1"/>
  <c r="G127" i="4"/>
  <c r="F307" i="4"/>
  <c r="F271" i="4"/>
  <c r="G271" i="4" s="1"/>
  <c r="H270" i="4"/>
  <c r="I270" i="4"/>
  <c r="H234" i="4"/>
  <c r="I234" i="4"/>
  <c r="I126" i="4"/>
  <c r="H126" i="4"/>
  <c r="H55" i="4"/>
  <c r="I55" i="4"/>
  <c r="F128" i="4"/>
  <c r="G20" i="4"/>
  <c r="F164" i="4"/>
  <c r="G164" i="4" s="1"/>
  <c r="F200" i="4"/>
  <c r="F21" i="4"/>
  <c r="F92" i="4"/>
  <c r="F56" i="4"/>
  <c r="G56" i="4" s="1"/>
  <c r="I20" i="4" l="1"/>
  <c r="H20" i="4"/>
  <c r="H164" i="4"/>
  <c r="I164" i="4"/>
  <c r="I127" i="4"/>
  <c r="H127" i="4"/>
  <c r="F236" i="4"/>
  <c r="G236" i="4" s="1"/>
  <c r="G128" i="4"/>
  <c r="F272" i="4"/>
  <c r="G272" i="4" s="1"/>
  <c r="F308" i="4"/>
  <c r="H271" i="4"/>
  <c r="I271" i="4"/>
  <c r="H235" i="4"/>
  <c r="I235" i="4"/>
  <c r="H56" i="4"/>
  <c r="I56" i="4"/>
  <c r="F165" i="4"/>
  <c r="G165" i="4" s="1"/>
  <c r="F201" i="4"/>
  <c r="G21" i="4"/>
  <c r="F93" i="4"/>
  <c r="F129" i="4"/>
  <c r="F22" i="4"/>
  <c r="F57" i="4"/>
  <c r="G57" i="4" s="1"/>
  <c r="I236" i="4" l="1"/>
  <c r="H236" i="4"/>
  <c r="G129" i="4"/>
  <c r="F237" i="4"/>
  <c r="G237" i="4" s="1"/>
  <c r="F273" i="4"/>
  <c r="G273" i="4" s="1"/>
  <c r="F309" i="4"/>
  <c r="H165" i="4"/>
  <c r="I165" i="4"/>
  <c r="H21" i="4"/>
  <c r="I21" i="4"/>
  <c r="H57" i="4"/>
  <c r="I57" i="4"/>
  <c r="I272" i="4"/>
  <c r="H272" i="4"/>
  <c r="F23" i="4"/>
  <c r="F94" i="4"/>
  <c r="F130" i="4"/>
  <c r="F166" i="4"/>
  <c r="G166" i="4" s="1"/>
  <c r="F202" i="4"/>
  <c r="F58" i="4"/>
  <c r="G58" i="4" s="1"/>
  <c r="G22" i="4"/>
  <c r="H128" i="4"/>
  <c r="I128" i="4"/>
  <c r="I58" i="4" l="1"/>
  <c r="H58" i="4"/>
  <c r="H273" i="4"/>
  <c r="I273" i="4"/>
  <c r="H166" i="4"/>
  <c r="I166" i="4"/>
  <c r="H237" i="4"/>
  <c r="I237" i="4"/>
  <c r="F238" i="4"/>
  <c r="G238" i="4" s="1"/>
  <c r="F274" i="4"/>
  <c r="G274" i="4" s="1"/>
  <c r="G130" i="4"/>
  <c r="F310" i="4"/>
  <c r="I129" i="4"/>
  <c r="H129" i="4"/>
  <c r="F167" i="4"/>
  <c r="G167" i="4" s="1"/>
  <c r="F203" i="4"/>
  <c r="G23" i="4"/>
  <c r="F95" i="4"/>
  <c r="F24" i="4"/>
  <c r="F131" i="4"/>
  <c r="F59" i="4"/>
  <c r="G59" i="4" s="1"/>
  <c r="I22" i="4"/>
  <c r="H22" i="4"/>
  <c r="F239" i="4" l="1"/>
  <c r="G239" i="4" s="1"/>
  <c r="F275" i="4"/>
  <c r="G275" i="4" s="1"/>
  <c r="G131" i="4"/>
  <c r="F311" i="4"/>
  <c r="G24" i="4"/>
  <c r="F168" i="4"/>
  <c r="G168" i="4" s="1"/>
  <c r="F204" i="4"/>
  <c r="F132" i="4"/>
  <c r="F96" i="4"/>
  <c r="F25" i="4"/>
  <c r="F60" i="4"/>
  <c r="G60" i="4" s="1"/>
  <c r="I274" i="4"/>
  <c r="H274" i="4"/>
  <c r="I167" i="4"/>
  <c r="H167" i="4"/>
  <c r="I238" i="4"/>
  <c r="H238" i="4"/>
  <c r="I23" i="4"/>
  <c r="H23" i="4"/>
  <c r="H130" i="4"/>
  <c r="I130" i="4"/>
  <c r="I59" i="4"/>
  <c r="H59" i="4"/>
  <c r="G25" i="4" l="1"/>
  <c r="F169" i="4"/>
  <c r="G169" i="4" s="1"/>
  <c r="F205" i="4"/>
  <c r="F97" i="4"/>
  <c r="F61" i="4"/>
  <c r="G61" i="4" s="1"/>
  <c r="F133" i="4"/>
  <c r="F240" i="4"/>
  <c r="G240" i="4" s="1"/>
  <c r="G132" i="4"/>
  <c r="F312" i="4"/>
  <c r="F276" i="4"/>
  <c r="G276" i="4" s="1"/>
  <c r="H60" i="4"/>
  <c r="I60" i="4"/>
  <c r="I131" i="4"/>
  <c r="H131" i="4"/>
  <c r="H168" i="4"/>
  <c r="I168" i="4"/>
  <c r="H275" i="4"/>
  <c r="I275" i="4"/>
  <c r="H24" i="4"/>
  <c r="I24" i="4"/>
  <c r="H239" i="4"/>
  <c r="I239" i="4"/>
  <c r="F241" i="4" l="1"/>
  <c r="G241" i="4" s="1"/>
  <c r="G133" i="4"/>
  <c r="F313" i="4"/>
  <c r="F277" i="4"/>
  <c r="G277" i="4" s="1"/>
  <c r="H61" i="4"/>
  <c r="I61" i="4"/>
  <c r="H276" i="4"/>
  <c r="I276" i="4"/>
  <c r="H132" i="4"/>
  <c r="I132" i="4"/>
  <c r="I169" i="4"/>
  <c r="H169" i="4"/>
  <c r="H240" i="4"/>
  <c r="I240" i="4"/>
  <c r="H25" i="4"/>
  <c r="I25" i="4"/>
  <c r="I171" i="4" l="1"/>
  <c r="I170" i="4"/>
  <c r="D27" i="1" s="1"/>
  <c r="I26" i="4"/>
  <c r="C26" i="1" s="1"/>
  <c r="I27" i="4"/>
  <c r="H62" i="4"/>
  <c r="D21" i="1" s="1"/>
  <c r="H63" i="4"/>
  <c r="H26" i="4"/>
  <c r="C21" i="1" s="1"/>
  <c r="H27" i="4"/>
  <c r="I277" i="4"/>
  <c r="H277" i="4"/>
  <c r="I63" i="4"/>
  <c r="I62" i="4"/>
  <c r="D26" i="1" s="1"/>
  <c r="I133" i="4"/>
  <c r="H133" i="4"/>
  <c r="H171" i="4"/>
  <c r="H170" i="4"/>
  <c r="D22" i="1" s="1"/>
  <c r="I241" i="4"/>
  <c r="H241" i="4"/>
  <c r="H279" i="4" l="1"/>
  <c r="H278" i="4"/>
  <c r="D23" i="1" s="1"/>
  <c r="H135" i="4"/>
  <c r="H134" i="4"/>
  <c r="C22" i="1" s="1"/>
  <c r="I134" i="4"/>
  <c r="C27" i="1" s="1"/>
  <c r="I135" i="4"/>
  <c r="H243" i="4"/>
  <c r="H242" i="4"/>
  <c r="C23" i="1" s="1"/>
  <c r="I243" i="4"/>
  <c r="I242" i="4"/>
  <c r="C28" i="1" s="1"/>
  <c r="I278" i="4"/>
  <c r="D28" i="1" s="1"/>
  <c r="I279" i="4"/>
  <c r="G81" i="4" l="1"/>
  <c r="H81" i="4" s="1"/>
  <c r="D82" i="4"/>
  <c r="D83" i="4" s="1"/>
  <c r="D189" i="4"/>
  <c r="G189" i="4" s="1"/>
  <c r="H189" i="4" s="1"/>
  <c r="K49" i="13"/>
  <c r="L49" i="13" s="1"/>
  <c r="D297" i="4" l="1"/>
  <c r="G297" i="4" s="1"/>
  <c r="H297" i="4" s="1"/>
  <c r="D190" i="4"/>
  <c r="G82" i="4"/>
  <c r="H82" i="4" s="1"/>
  <c r="E30" i="1"/>
  <c r="L50" i="13"/>
  <c r="D191" i="4"/>
  <c r="G83" i="4"/>
  <c r="D84" i="4"/>
  <c r="I297" i="4"/>
  <c r="I189" i="4"/>
  <c r="I81" i="4"/>
  <c r="I82" i="4"/>
  <c r="D298" i="4" l="1"/>
  <c r="G298" i="4" s="1"/>
  <c r="G190" i="4"/>
  <c r="H83" i="4"/>
  <c r="I83" i="4"/>
  <c r="G84" i="4"/>
  <c r="D85" i="4"/>
  <c r="D192" i="4"/>
  <c r="D299" i="4"/>
  <c r="G299" i="4" s="1"/>
  <c r="G191" i="4"/>
  <c r="I190" i="4" l="1"/>
  <c r="H190" i="4"/>
  <c r="H298" i="4"/>
  <c r="I298" i="4"/>
  <c r="H191" i="4"/>
  <c r="I191" i="4"/>
  <c r="G192" i="4"/>
  <c r="D300" i="4"/>
  <c r="G300" i="4" s="1"/>
  <c r="H299" i="4"/>
  <c r="I299" i="4"/>
  <c r="D193" i="4"/>
  <c r="G85" i="4"/>
  <c r="D86" i="4"/>
  <c r="H84" i="4"/>
  <c r="I84" i="4"/>
  <c r="H300" i="4" l="1"/>
  <c r="I300" i="4"/>
  <c r="D301" i="4"/>
  <c r="G301" i="4" s="1"/>
  <c r="G193" i="4"/>
  <c r="H192" i="4"/>
  <c r="I192" i="4"/>
  <c r="G86" i="4"/>
  <c r="D87" i="4"/>
  <c r="D194" i="4"/>
  <c r="H85" i="4"/>
  <c r="I85" i="4"/>
  <c r="H301" i="4" l="1"/>
  <c r="I301" i="4"/>
  <c r="H86" i="4"/>
  <c r="I86" i="4"/>
  <c r="H193" i="4"/>
  <c r="I193" i="4"/>
  <c r="D195" i="4"/>
  <c r="G87" i="4"/>
  <c r="D88" i="4"/>
  <c r="G194" i="4"/>
  <c r="D302" i="4"/>
  <c r="G302" i="4" s="1"/>
  <c r="H194" i="4" l="1"/>
  <c r="I194" i="4"/>
  <c r="D303" i="4"/>
  <c r="G303" i="4" s="1"/>
  <c r="G195" i="4"/>
  <c r="I302" i="4"/>
  <c r="H302" i="4"/>
  <c r="G88" i="4"/>
  <c r="D89" i="4"/>
  <c r="D196" i="4"/>
  <c r="H87" i="4"/>
  <c r="I87" i="4"/>
  <c r="G196" i="4" l="1"/>
  <c r="D304" i="4"/>
  <c r="G304" i="4" s="1"/>
  <c r="H195" i="4"/>
  <c r="I195" i="4"/>
  <c r="D197" i="4"/>
  <c r="G89" i="4"/>
  <c r="D90" i="4"/>
  <c r="H303" i="4"/>
  <c r="I303" i="4"/>
  <c r="H88" i="4"/>
  <c r="I88" i="4"/>
  <c r="D305" i="4" l="1"/>
  <c r="G305" i="4" s="1"/>
  <c r="G197" i="4"/>
  <c r="H89" i="4"/>
  <c r="I89" i="4"/>
  <c r="G90" i="4"/>
  <c r="D91" i="4"/>
  <c r="D198" i="4"/>
  <c r="H196" i="4"/>
  <c r="I196" i="4"/>
  <c r="H304" i="4"/>
  <c r="I304" i="4"/>
  <c r="G198" i="4" l="1"/>
  <c r="D306" i="4"/>
  <c r="G306" i="4" s="1"/>
  <c r="H90" i="4"/>
  <c r="I90" i="4"/>
  <c r="H197" i="4"/>
  <c r="I197" i="4"/>
  <c r="D199" i="4"/>
  <c r="G91" i="4"/>
  <c r="D92" i="4"/>
  <c r="H305" i="4"/>
  <c r="I305" i="4"/>
  <c r="G92" i="4" l="1"/>
  <c r="D93" i="4"/>
  <c r="D200" i="4"/>
  <c r="H198" i="4"/>
  <c r="I198" i="4"/>
  <c r="H306" i="4"/>
  <c r="I306" i="4"/>
  <c r="H91" i="4"/>
  <c r="I91" i="4"/>
  <c r="D307" i="4"/>
  <c r="G307" i="4" s="1"/>
  <c r="G199" i="4"/>
  <c r="H199" i="4" l="1"/>
  <c r="I199" i="4"/>
  <c r="D201" i="4"/>
  <c r="G93" i="4"/>
  <c r="D94" i="4"/>
  <c r="G200" i="4"/>
  <c r="D308" i="4"/>
  <c r="G308" i="4" s="1"/>
  <c r="H307" i="4"/>
  <c r="I307" i="4"/>
  <c r="H92" i="4"/>
  <c r="I92" i="4"/>
  <c r="H308" i="4" l="1"/>
  <c r="I308" i="4"/>
  <c r="G94" i="4"/>
  <c r="D95" i="4"/>
  <c r="D202" i="4"/>
  <c r="H93" i="4"/>
  <c r="I93" i="4"/>
  <c r="H200" i="4"/>
  <c r="I200" i="4"/>
  <c r="D309" i="4"/>
  <c r="G309" i="4" s="1"/>
  <c r="G201" i="4"/>
  <c r="G202" i="4" l="1"/>
  <c r="D310" i="4"/>
  <c r="G310" i="4" s="1"/>
  <c r="H94" i="4"/>
  <c r="I94" i="4"/>
  <c r="D203" i="4"/>
  <c r="G95" i="4"/>
  <c r="D96" i="4"/>
  <c r="H201" i="4"/>
  <c r="I201" i="4"/>
  <c r="H309" i="4"/>
  <c r="I309" i="4"/>
  <c r="G96" i="4" l="1"/>
  <c r="D97" i="4"/>
  <c r="D204" i="4"/>
  <c r="H95" i="4"/>
  <c r="I95" i="4"/>
  <c r="D311" i="4"/>
  <c r="G311" i="4" s="1"/>
  <c r="G203" i="4"/>
  <c r="I310" i="4"/>
  <c r="H310" i="4"/>
  <c r="H202" i="4"/>
  <c r="I202" i="4"/>
  <c r="H203" i="4" l="1"/>
  <c r="I203" i="4"/>
  <c r="H311" i="4"/>
  <c r="I311" i="4"/>
  <c r="G204" i="4"/>
  <c r="D312" i="4"/>
  <c r="G312" i="4" s="1"/>
  <c r="D205" i="4"/>
  <c r="G97" i="4"/>
  <c r="H96" i="4"/>
  <c r="I96" i="4"/>
  <c r="H97" i="4" l="1"/>
  <c r="I97" i="4"/>
  <c r="H312" i="4"/>
  <c r="I312" i="4"/>
  <c r="D313" i="4"/>
  <c r="G313" i="4" s="1"/>
  <c r="G205" i="4"/>
  <c r="H204" i="4"/>
  <c r="I204" i="4"/>
  <c r="H205" i="4" l="1"/>
  <c r="I205" i="4"/>
  <c r="H313" i="4"/>
  <c r="I313" i="4"/>
  <c r="I98" i="4"/>
  <c r="E26" i="1" s="1"/>
  <c r="I99" i="4"/>
  <c r="H99" i="4"/>
  <c r="H98" i="4"/>
  <c r="E21" i="1" s="1"/>
  <c r="I314" i="4" l="1"/>
  <c r="E28" i="1" s="1"/>
  <c r="I315" i="4"/>
  <c r="H315" i="4"/>
  <c r="H314" i="4"/>
  <c r="E23" i="1" s="1"/>
  <c r="I206" i="4"/>
  <c r="E27" i="1" s="1"/>
  <c r="I207" i="4"/>
  <c r="H206" i="4"/>
  <c r="E22" i="1" s="1"/>
  <c r="H207" i="4"/>
</calcChain>
</file>

<file path=xl/sharedStrings.xml><?xml version="1.0" encoding="utf-8"?>
<sst xmlns="http://schemas.openxmlformats.org/spreadsheetml/2006/main" count="2008" uniqueCount="1453">
  <si>
    <t>Constant Growth DCF</t>
  </si>
  <si>
    <t>Mean Low</t>
  </si>
  <si>
    <t>Mean</t>
  </si>
  <si>
    <t>Mean High</t>
  </si>
  <si>
    <t>30-Day Average</t>
  </si>
  <si>
    <t>90-Day Average</t>
  </si>
  <si>
    <t>180-Day Average</t>
  </si>
  <si>
    <t>Median Low</t>
  </si>
  <si>
    <t>Median</t>
  </si>
  <si>
    <t>Median High</t>
  </si>
  <si>
    <t>Risk Premium</t>
  </si>
  <si>
    <t>Current 30-day Average Treasury Bond Yield</t>
  </si>
  <si>
    <t>Value Line Beta</t>
  </si>
  <si>
    <t>Bloomberg Beta</t>
  </si>
  <si>
    <t>[1]</t>
  </si>
  <si>
    <t>[2]</t>
  </si>
  <si>
    <t>[3]</t>
  </si>
  <si>
    <t>[4]</t>
  </si>
  <si>
    <t>[5]</t>
  </si>
  <si>
    <t>[6]</t>
  </si>
  <si>
    <t>Company</t>
  </si>
  <si>
    <t>Ticker</t>
  </si>
  <si>
    <t>ALLETE, Inc.</t>
  </si>
  <si>
    <t>ALE</t>
  </si>
  <si>
    <t>Alliant Energy Corporation</t>
  </si>
  <si>
    <t>LNT</t>
  </si>
  <si>
    <t>Ameren Corporation</t>
  </si>
  <si>
    <t>AEE</t>
  </si>
  <si>
    <t>American Electric Power Company, Inc.</t>
  </si>
  <si>
    <t>AEP</t>
  </si>
  <si>
    <t>ATO</t>
  </si>
  <si>
    <t>Avista Corporation</t>
  </si>
  <si>
    <t>AVA</t>
  </si>
  <si>
    <t>CMS Energy Corporation</t>
  </si>
  <si>
    <t>CMS</t>
  </si>
  <si>
    <t>ED</t>
  </si>
  <si>
    <t>Duke Energy Corporation</t>
  </si>
  <si>
    <t>DUK</t>
  </si>
  <si>
    <t>Edison International</t>
  </si>
  <si>
    <t>EIX</t>
  </si>
  <si>
    <t>Entergy Corporation</t>
  </si>
  <si>
    <t>ETR</t>
  </si>
  <si>
    <t>EVRG</t>
  </si>
  <si>
    <t>Eversource Energy</t>
  </si>
  <si>
    <t>ES</t>
  </si>
  <si>
    <t>IDACORP, Inc.</t>
  </si>
  <si>
    <t>IDA</t>
  </si>
  <si>
    <t>NextEra Energy, Inc.</t>
  </si>
  <si>
    <t>NEE</t>
  </si>
  <si>
    <t>NI</t>
  </si>
  <si>
    <t>NorthWestern Corporation</t>
  </si>
  <si>
    <t>NWE</t>
  </si>
  <si>
    <t>OGE Energy Corporation</t>
  </si>
  <si>
    <t>OGE</t>
  </si>
  <si>
    <t>Portland General Electric Company</t>
  </si>
  <si>
    <t>POR</t>
  </si>
  <si>
    <t>PEG</t>
  </si>
  <si>
    <t>Southern Company</t>
  </si>
  <si>
    <t>SO</t>
  </si>
  <si>
    <t>WEC</t>
  </si>
  <si>
    <t>Xcel Energy Inc.</t>
  </si>
  <si>
    <t>XEL</t>
  </si>
  <si>
    <t>Notes:</t>
  </si>
  <si>
    <t>[7]</t>
  </si>
  <si>
    <t>[8]</t>
  </si>
  <si>
    <t>[9]</t>
  </si>
  <si>
    <t>[10]</t>
  </si>
  <si>
    <t>[11]</t>
  </si>
  <si>
    <t>Annualized Dividend</t>
  </si>
  <si>
    <t>Stock
Price</t>
  </si>
  <si>
    <t>Dividend Yield</t>
  </si>
  <si>
    <t>Expected Dividend Yield</t>
  </si>
  <si>
    <t xml:space="preserve">Value Line EPS Growth </t>
  </si>
  <si>
    <t>Yahoo! Finance EPS Growth</t>
  </si>
  <si>
    <t>Zacks EPS Growth</t>
  </si>
  <si>
    <t>Average Growth Rate</t>
  </si>
  <si>
    <t>Low ROE</t>
  </si>
  <si>
    <t>Mean ROE</t>
  </si>
  <si>
    <t>High ROE</t>
  </si>
  <si>
    <t>[3] Equals [1] / [2]</t>
  </si>
  <si>
    <t>[4] Equals [3] x (1 + 0.50 x [8])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</si>
  <si>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</si>
  <si>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</si>
  <si>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</si>
  <si>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</si>
  <si>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CAPITAL ASSET PRICING MODEL -- CURRENT RISK-FREE RATE &amp; VL BETA</t>
  </si>
  <si>
    <t>K = Rf + β (Rm − Rf)</t>
  </si>
  <si>
    <t>K = Rf + 0.25 x (Rm - Rf) + 0.75 x β x (Rm − Rf)</t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</si>
  <si>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</si>
  <si>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</si>
  <si>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</si>
  <si>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</si>
  <si>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</si>
  <si>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</si>
  <si>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</si>
  <si>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</si>
  <si>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</si>
  <si>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</si>
  <si>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CAPITAL ASSET PRICING MODEL -- LONG-TERM PROJECTED RISK-FREE RATE &amp; VL BETA</t>
  </si>
  <si>
    <t>CAPITAL ASSET PRICING MODEL -- CURRENT RISK-FREE RATE &amp; BLOOMBERG BETA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</si>
  <si>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</si>
  <si>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</si>
  <si>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</si>
  <si>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CAPITAL ASSET PRICING MODEL -- NEAR-TERM PROJECTED RISK-FREE RATE &amp; VALUE LINE LT AVERAGE BETA</t>
  </si>
  <si>
    <t>CAPITAL ASSET PRICING MODEL -- LONG-TERM PROJECTED RISK-FREE RATE &amp; VALUE LINE LT BETA</t>
  </si>
  <si>
    <t>Average</t>
  </si>
  <si>
    <t>[1] Value Line, dated December 26, 2013.</t>
  </si>
  <si>
    <t>[2] Value Line, dated December 31, 2014.</t>
  </si>
  <si>
    <t>[3] Value Line, dated December 30, 2015.</t>
  </si>
  <si>
    <t>[4] Value Line, dated December 29, 2016.</t>
  </si>
  <si>
    <t>[5] Value Line, dated December 28, 2017.</t>
  </si>
  <si>
    <t>[6] Value Line, dated December 27, 2018.</t>
  </si>
  <si>
    <t>[7] Value Line, dated December 26, 2019.</t>
  </si>
  <si>
    <t>[8] Value Line, dated December 30, 2020.</t>
  </si>
  <si>
    <t>[9] Value Line, dated December 29, 2021.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</si>
  <si>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</si>
  <si>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</si>
  <si>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</si>
  <si>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</si>
  <si>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</si>
  <si>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Value Line</t>
  </si>
  <si>
    <t xml:space="preserve">Cap-Weighted </t>
  </si>
  <si>
    <t>Shares</t>
  </si>
  <si>
    <t>Market</t>
  </si>
  <si>
    <t>Weight in</t>
  </si>
  <si>
    <t>Estimated</t>
  </si>
  <si>
    <t>Cap-Weighted</t>
  </si>
  <si>
    <t>Long-Term</t>
  </si>
  <si>
    <t>Name</t>
  </si>
  <si>
    <t>Outst'g</t>
  </si>
  <si>
    <t>Price</t>
  </si>
  <si>
    <t>Capitalization</t>
  </si>
  <si>
    <t>Index</t>
  </si>
  <si>
    <t>Growth Est.</t>
  </si>
  <si>
    <t>Agilent Technologies Inc</t>
  </si>
  <si>
    <t>A</t>
  </si>
  <si>
    <t>American Airlines Group Inc</t>
  </si>
  <si>
    <t>AAL</t>
  </si>
  <si>
    <t/>
  </si>
  <si>
    <t>Apple Inc</t>
  </si>
  <si>
    <t>AAPL</t>
  </si>
  <si>
    <t>AbbVie Inc</t>
  </si>
  <si>
    <t>ABBV</t>
  </si>
  <si>
    <t>Abbott Laboratories</t>
  </si>
  <si>
    <t>ABT</t>
  </si>
  <si>
    <t>Accenture PLC</t>
  </si>
  <si>
    <t>ACN</t>
  </si>
  <si>
    <t>Adobe Inc</t>
  </si>
  <si>
    <t>ADBE</t>
  </si>
  <si>
    <t>Analog Devices Inc</t>
  </si>
  <si>
    <t>ADI</t>
  </si>
  <si>
    <t>Archer-Daniels-Midland Co</t>
  </si>
  <si>
    <t>ADM</t>
  </si>
  <si>
    <t>Automatic Data Processing Inc</t>
  </si>
  <si>
    <t>ADP</t>
  </si>
  <si>
    <t>Autodesk Inc</t>
  </si>
  <si>
    <t>ADSK</t>
  </si>
  <si>
    <t>Ameren Corp</t>
  </si>
  <si>
    <t>American Electric Power Co Inc</t>
  </si>
  <si>
    <t>AES Corp/The</t>
  </si>
  <si>
    <t>AES</t>
  </si>
  <si>
    <t>Aflac Inc</t>
  </si>
  <si>
    <t>AFL</t>
  </si>
  <si>
    <t>American International Group Inc</t>
  </si>
  <si>
    <t>AIG</t>
  </si>
  <si>
    <t>Assurant Inc</t>
  </si>
  <si>
    <t>AIZ</t>
  </si>
  <si>
    <t>Arthur J Gallagher &amp; Co</t>
  </si>
  <si>
    <t>AJG</t>
  </si>
  <si>
    <t>Akamai Technologies Inc</t>
  </si>
  <si>
    <t>AKAM</t>
  </si>
  <si>
    <t>Albemarle Corp</t>
  </si>
  <si>
    <t>ALB</t>
  </si>
  <si>
    <t>Align Technology Inc</t>
  </si>
  <si>
    <t>ALGN</t>
  </si>
  <si>
    <t>Alaska Air Group Inc</t>
  </si>
  <si>
    <t>ALK</t>
  </si>
  <si>
    <t>Allstate Corp/The</t>
  </si>
  <si>
    <t>ALL</t>
  </si>
  <si>
    <t>Allegion plc</t>
  </si>
  <si>
    <t>ALLE</t>
  </si>
  <si>
    <t>Applied Materials Inc</t>
  </si>
  <si>
    <t>AMAT</t>
  </si>
  <si>
    <t>Amcor PLC</t>
  </si>
  <si>
    <t>AMCR</t>
  </si>
  <si>
    <t>Advanced Micro Devices Inc</t>
  </si>
  <si>
    <t>AMD</t>
  </si>
  <si>
    <t>AMETEK Inc</t>
  </si>
  <si>
    <t>AME</t>
  </si>
  <si>
    <t>Amgen Inc</t>
  </si>
  <si>
    <t>AMGN</t>
  </si>
  <si>
    <t>Ameriprise Financial Inc</t>
  </si>
  <si>
    <t>AMP</t>
  </si>
  <si>
    <t>American Tower Corp</t>
  </si>
  <si>
    <t>AMT</t>
  </si>
  <si>
    <t>Amazon.com Inc</t>
  </si>
  <si>
    <t>AMZN</t>
  </si>
  <si>
    <t>Arista Networks Inc</t>
  </si>
  <si>
    <t>ANET</t>
  </si>
  <si>
    <t>ANSYS Inc</t>
  </si>
  <si>
    <t>ANSS</t>
  </si>
  <si>
    <t>Aon PLC</t>
  </si>
  <si>
    <t>AON</t>
  </si>
  <si>
    <t>A O Smith Corp</t>
  </si>
  <si>
    <t>AOS</t>
  </si>
  <si>
    <t>APA Corp</t>
  </si>
  <si>
    <t>APA</t>
  </si>
  <si>
    <t>Air Products and Chemicals Inc</t>
  </si>
  <si>
    <t>APD</t>
  </si>
  <si>
    <t>Amphenol Corp</t>
  </si>
  <si>
    <t>APH</t>
  </si>
  <si>
    <t>Aptiv PLC</t>
  </si>
  <si>
    <t>APTV</t>
  </si>
  <si>
    <t>Alexandria Real Estate Equities Inc</t>
  </si>
  <si>
    <t>ARE</t>
  </si>
  <si>
    <t>Atmos Energy Corp</t>
  </si>
  <si>
    <t>Activision Blizzard Inc</t>
  </si>
  <si>
    <t>ATVI</t>
  </si>
  <si>
    <t>AvalonBay Communities Inc</t>
  </si>
  <si>
    <t>AVB</t>
  </si>
  <si>
    <t>Broadcom Inc</t>
  </si>
  <si>
    <t>AVGO</t>
  </si>
  <si>
    <t>Avery Dennison Corp</t>
  </si>
  <si>
    <t>AVY</t>
  </si>
  <si>
    <t>American Water Works Co Inc</t>
  </si>
  <si>
    <t>AWK</t>
  </si>
  <si>
    <t>American Express Co</t>
  </si>
  <si>
    <t>AXP</t>
  </si>
  <si>
    <t>AutoZone Inc</t>
  </si>
  <si>
    <t>AZO</t>
  </si>
  <si>
    <t>Boeing Co/The</t>
  </si>
  <si>
    <t>BA</t>
  </si>
  <si>
    <t>Bank of America Corp</t>
  </si>
  <si>
    <t>BAC</t>
  </si>
  <si>
    <t>Ball Corp</t>
  </si>
  <si>
    <t>BALL</t>
  </si>
  <si>
    <t>Baxter International Inc</t>
  </si>
  <si>
    <t>BAX</t>
  </si>
  <si>
    <t>Bath &amp; Body Works Inc</t>
  </si>
  <si>
    <t>BBWI</t>
  </si>
  <si>
    <t>Best Buy Co Inc</t>
  </si>
  <si>
    <t>BBY</t>
  </si>
  <si>
    <t>BDX</t>
  </si>
  <si>
    <t>Franklin Resources Inc</t>
  </si>
  <si>
    <t>BEN</t>
  </si>
  <si>
    <t>Brown-Forman Corp</t>
  </si>
  <si>
    <t>BF/B</t>
  </si>
  <si>
    <t>Biogen Inc</t>
  </si>
  <si>
    <t>BIIB</t>
  </si>
  <si>
    <t>Bio-Rad Laboratories Inc</t>
  </si>
  <si>
    <t>BIO</t>
  </si>
  <si>
    <t>Bank of New York Mellon Corp/The</t>
  </si>
  <si>
    <t>BK</t>
  </si>
  <si>
    <t>Booking Holdings Inc</t>
  </si>
  <si>
    <t>BKNG</t>
  </si>
  <si>
    <t>Baker Hughes Co</t>
  </si>
  <si>
    <t>BKR</t>
  </si>
  <si>
    <t>BlackRock Inc</t>
  </si>
  <si>
    <t>BLK</t>
  </si>
  <si>
    <t>Bristol-Myers Squibb Co</t>
  </si>
  <si>
    <t>BMY</t>
  </si>
  <si>
    <t>Broadridge Financial Solutions Inc</t>
  </si>
  <si>
    <t>BR</t>
  </si>
  <si>
    <t>Berkshire Hathaway Inc</t>
  </si>
  <si>
    <t>BRK/B</t>
  </si>
  <si>
    <t>Brown &amp; Brown Inc</t>
  </si>
  <si>
    <t>BRO</t>
  </si>
  <si>
    <t>Boston Scientific Corp</t>
  </si>
  <si>
    <t>BSX</t>
  </si>
  <si>
    <t>BorgWarner Inc</t>
  </si>
  <si>
    <t>BWA</t>
  </si>
  <si>
    <t>Boston Properties Inc</t>
  </si>
  <si>
    <t>BXP</t>
  </si>
  <si>
    <t>Citigroup Inc</t>
  </si>
  <si>
    <t>C</t>
  </si>
  <si>
    <t>Conagra Brands Inc</t>
  </si>
  <si>
    <t>CAG</t>
  </si>
  <si>
    <t>Cardinal Health Inc</t>
  </si>
  <si>
    <t>CAH</t>
  </si>
  <si>
    <t>Carrier Global Corp</t>
  </si>
  <si>
    <t>CARR</t>
  </si>
  <si>
    <t>Caterpillar Inc</t>
  </si>
  <si>
    <t>CAT</t>
  </si>
  <si>
    <t>Chubb Ltd</t>
  </si>
  <si>
    <t>CB</t>
  </si>
  <si>
    <t>Cboe Global Markets Inc</t>
  </si>
  <si>
    <t>CBOE</t>
  </si>
  <si>
    <t>CBRE Group Inc</t>
  </si>
  <si>
    <t>CBRE</t>
  </si>
  <si>
    <t>CCI</t>
  </si>
  <si>
    <t>Carnival Corp</t>
  </si>
  <si>
    <t>CCL</t>
  </si>
  <si>
    <t>Ceridian HCM Holding Inc</t>
  </si>
  <si>
    <t>CDAY</t>
  </si>
  <si>
    <t>Cadence Design Systems Inc</t>
  </si>
  <si>
    <t>CDNS</t>
  </si>
  <si>
    <t>CDW Corp/DE</t>
  </si>
  <si>
    <t>CDW</t>
  </si>
  <si>
    <t>Celanese Corp</t>
  </si>
  <si>
    <t>CE</t>
  </si>
  <si>
    <t>Constellation Energy Corp</t>
  </si>
  <si>
    <t>CEG</t>
  </si>
  <si>
    <t>CF Industries Holdings Inc</t>
  </si>
  <si>
    <t>CF</t>
  </si>
  <si>
    <t>Citizens Financial Group Inc</t>
  </si>
  <si>
    <t>CFG</t>
  </si>
  <si>
    <t>Church &amp; Dwight Co Inc</t>
  </si>
  <si>
    <t>CHD</t>
  </si>
  <si>
    <t>CH Robinson Worldwide Inc</t>
  </si>
  <si>
    <t>CHRW</t>
  </si>
  <si>
    <t>Charter Communications Inc</t>
  </si>
  <si>
    <t>CHTR</t>
  </si>
  <si>
    <t>CI</t>
  </si>
  <si>
    <t>Cincinnati Financial Corp</t>
  </si>
  <si>
    <t>CINF</t>
  </si>
  <si>
    <t>Colgate-Palmolive Co</t>
  </si>
  <si>
    <t>CL</t>
  </si>
  <si>
    <t>Clorox Co/The</t>
  </si>
  <si>
    <t>CLX</t>
  </si>
  <si>
    <t>Comerica Inc</t>
  </si>
  <si>
    <t>CMA</t>
  </si>
  <si>
    <t>Comcast Corp</t>
  </si>
  <si>
    <t>CMCSA</t>
  </si>
  <si>
    <t>CME Group Inc</t>
  </si>
  <si>
    <t>CME</t>
  </si>
  <si>
    <t>Chipotle Mexican Grill Inc</t>
  </si>
  <si>
    <t>CMG</t>
  </si>
  <si>
    <t>Cummins Inc</t>
  </si>
  <si>
    <t>CMI</t>
  </si>
  <si>
    <t>CMS Energy Corp</t>
  </si>
  <si>
    <t>Centene Corp</t>
  </si>
  <si>
    <t>CNC</t>
  </si>
  <si>
    <t>CenterPoint Energy Inc</t>
  </si>
  <si>
    <t>CNP</t>
  </si>
  <si>
    <t>Capital One Financial Corp</t>
  </si>
  <si>
    <t>COF</t>
  </si>
  <si>
    <t>Cooper Cos Inc/The</t>
  </si>
  <si>
    <t>COO</t>
  </si>
  <si>
    <t>ConocoPhillips</t>
  </si>
  <si>
    <t>COP</t>
  </si>
  <si>
    <t>Costco Wholesale Corp</t>
  </si>
  <si>
    <t>COST</t>
  </si>
  <si>
    <t>Campbell Soup Co</t>
  </si>
  <si>
    <t>CPB</t>
  </si>
  <si>
    <t>Copart Inc</t>
  </si>
  <si>
    <t>CPRT</t>
  </si>
  <si>
    <t>Camden Property Trust</t>
  </si>
  <si>
    <t>CPT</t>
  </si>
  <si>
    <t>Charles River Laboratories International Inc</t>
  </si>
  <si>
    <t>CRL</t>
  </si>
  <si>
    <t>Salesforce Inc</t>
  </si>
  <si>
    <t>CRM</t>
  </si>
  <si>
    <t>Cisco Systems Inc</t>
  </si>
  <si>
    <t>CSCO</t>
  </si>
  <si>
    <t>CSX Corp</t>
  </si>
  <si>
    <t>CSX</t>
  </si>
  <si>
    <t>Cintas Corp</t>
  </si>
  <si>
    <t>CTAS</t>
  </si>
  <si>
    <t>Catalent Inc</t>
  </si>
  <si>
    <t>CTLT</t>
  </si>
  <si>
    <t>Coterra Energy Inc</t>
  </si>
  <si>
    <t>CTRA</t>
  </si>
  <si>
    <t>Cognizant Technology Solutions Corp</t>
  </si>
  <si>
    <t>CTSH</t>
  </si>
  <si>
    <t>Corteva Inc</t>
  </si>
  <si>
    <t>CTVA</t>
  </si>
  <si>
    <t>CVS Health Corp</t>
  </si>
  <si>
    <t>CVS</t>
  </si>
  <si>
    <t>Chevron Corp</t>
  </si>
  <si>
    <t>CVX</t>
  </si>
  <si>
    <t>Caesars Entertainment Inc</t>
  </si>
  <si>
    <t>CZR</t>
  </si>
  <si>
    <t>Dominion Energy Inc</t>
  </si>
  <si>
    <t>D</t>
  </si>
  <si>
    <t>Delta Air Lines Inc</t>
  </si>
  <si>
    <t>DAL</t>
  </si>
  <si>
    <t>DuPont de Nemours Inc</t>
  </si>
  <si>
    <t>DD</t>
  </si>
  <si>
    <t>Deere &amp; Co</t>
  </si>
  <si>
    <t>DE</t>
  </si>
  <si>
    <t>Discover Financial Services</t>
  </si>
  <si>
    <t>DFS</t>
  </si>
  <si>
    <t>Dollar General Corp</t>
  </si>
  <si>
    <t>DG</t>
  </si>
  <si>
    <t>Quest Diagnostics Inc</t>
  </si>
  <si>
    <t>DGX</t>
  </si>
  <si>
    <t>DR Horton Inc</t>
  </si>
  <si>
    <t>DHI</t>
  </si>
  <si>
    <t>Danaher Corp</t>
  </si>
  <si>
    <t>DHR</t>
  </si>
  <si>
    <t>Walt Disney Co/The</t>
  </si>
  <si>
    <t>DIS</t>
  </si>
  <si>
    <t>Digital Realty Trust Inc</t>
  </si>
  <si>
    <t>DLR</t>
  </si>
  <si>
    <t>Dollar Tree Inc</t>
  </si>
  <si>
    <t>DLTR</t>
  </si>
  <si>
    <t>Dover Corp</t>
  </si>
  <si>
    <t>DOV</t>
  </si>
  <si>
    <t>Dow Inc</t>
  </si>
  <si>
    <t>DOW</t>
  </si>
  <si>
    <t>Domino's Pizza Inc</t>
  </si>
  <si>
    <t>DPZ</t>
  </si>
  <si>
    <t>Darden Restaurants Inc</t>
  </si>
  <si>
    <t>DRI</t>
  </si>
  <si>
    <t>DTE Energy Co</t>
  </si>
  <si>
    <t>DTE</t>
  </si>
  <si>
    <t>Duke Energy Corp</t>
  </si>
  <si>
    <t>DaVita Inc</t>
  </si>
  <si>
    <t>DVA</t>
  </si>
  <si>
    <t>Devon Energy Corp</t>
  </si>
  <si>
    <t>DVN</t>
  </si>
  <si>
    <t>DXC Technology Co</t>
  </si>
  <si>
    <t>DXC</t>
  </si>
  <si>
    <t>Dexcom Inc</t>
  </si>
  <si>
    <t>DXCM</t>
  </si>
  <si>
    <t>Electronic Arts Inc</t>
  </si>
  <si>
    <t>EA</t>
  </si>
  <si>
    <t>eBay Inc</t>
  </si>
  <si>
    <t>EBAY</t>
  </si>
  <si>
    <t>Ecolab Inc</t>
  </si>
  <si>
    <t>ECL</t>
  </si>
  <si>
    <t>Consolidated Edison Inc</t>
  </si>
  <si>
    <t>Equifax Inc</t>
  </si>
  <si>
    <t>EFX</t>
  </si>
  <si>
    <t>Estee Lauder Cos Inc/The</t>
  </si>
  <si>
    <t>EL</t>
  </si>
  <si>
    <t>Eastman Chemical Co</t>
  </si>
  <si>
    <t>EMN</t>
  </si>
  <si>
    <t>Emerson Electric Co</t>
  </si>
  <si>
    <t>EMR</t>
  </si>
  <si>
    <t>Enphase Energy Inc</t>
  </si>
  <si>
    <t>ENPH</t>
  </si>
  <si>
    <t>EOG Resources Inc</t>
  </si>
  <si>
    <t>EOG</t>
  </si>
  <si>
    <t>EPAM Systems Inc</t>
  </si>
  <si>
    <t>EPAM</t>
  </si>
  <si>
    <t>Equinix Inc</t>
  </si>
  <si>
    <t>EQIX</t>
  </si>
  <si>
    <t>Equity Residential</t>
  </si>
  <si>
    <t>EQR</t>
  </si>
  <si>
    <t>Essex Property Trust Inc</t>
  </si>
  <si>
    <t>ESS</t>
  </si>
  <si>
    <t>Eaton Corp PLC</t>
  </si>
  <si>
    <t>ETN</t>
  </si>
  <si>
    <t>Entergy Corp</t>
  </si>
  <si>
    <t>Etsy Inc</t>
  </si>
  <si>
    <t>ETSY</t>
  </si>
  <si>
    <t>Evergy Inc</t>
  </si>
  <si>
    <t>Edwards Lifesciences Corp</t>
  </si>
  <si>
    <t>EW</t>
  </si>
  <si>
    <t>Exelon Corp</t>
  </si>
  <si>
    <t>EXC</t>
  </si>
  <si>
    <t>Expeditors International of Washington Inc</t>
  </si>
  <si>
    <t>EXPD</t>
  </si>
  <si>
    <t>Expedia Group Inc</t>
  </si>
  <si>
    <t>EXPE</t>
  </si>
  <si>
    <t>Extra Space Storage Inc</t>
  </si>
  <si>
    <t>EXR</t>
  </si>
  <si>
    <t>Ford Motor Co</t>
  </si>
  <si>
    <t>F</t>
  </si>
  <si>
    <t>Diamondback Energy Inc</t>
  </si>
  <si>
    <t>FANG</t>
  </si>
  <si>
    <t>Fastenal Co</t>
  </si>
  <si>
    <t>FAST</t>
  </si>
  <si>
    <t>Meta Platforms Inc</t>
  </si>
  <si>
    <t>Freeport-McMoRan Inc</t>
  </si>
  <si>
    <t>FCX</t>
  </si>
  <si>
    <t>FactSet Research Systems Inc</t>
  </si>
  <si>
    <t>FDS</t>
  </si>
  <si>
    <t>FedEx Corp</t>
  </si>
  <si>
    <t>FDX</t>
  </si>
  <si>
    <t>FirstEnergy Corp</t>
  </si>
  <si>
    <t>FE</t>
  </si>
  <si>
    <t>F5 Inc</t>
  </si>
  <si>
    <t>FFIV</t>
  </si>
  <si>
    <t>Fidelity National Information Services Inc</t>
  </si>
  <si>
    <t>FIS</t>
  </si>
  <si>
    <t>Fiserv Inc</t>
  </si>
  <si>
    <t>Fifth Third Bancorp</t>
  </si>
  <si>
    <t>FITB</t>
  </si>
  <si>
    <t>FleetCor Technologies Inc</t>
  </si>
  <si>
    <t>FLT</t>
  </si>
  <si>
    <t>FMC Corp</t>
  </si>
  <si>
    <t>FMC</t>
  </si>
  <si>
    <t>Fox Corp</t>
  </si>
  <si>
    <t>FOX</t>
  </si>
  <si>
    <t>FOXA</t>
  </si>
  <si>
    <t>Federal Realty Investment Trust</t>
  </si>
  <si>
    <t>FRT</t>
  </si>
  <si>
    <t>Fortinet Inc</t>
  </si>
  <si>
    <t>FTNT</t>
  </si>
  <si>
    <t>Fortive Corp</t>
  </si>
  <si>
    <t>FTV</t>
  </si>
  <si>
    <t>General Dynamics Corp</t>
  </si>
  <si>
    <t>GD</t>
  </si>
  <si>
    <t>General Electric Co</t>
  </si>
  <si>
    <t>GE</t>
  </si>
  <si>
    <t>Gilead Sciences Inc</t>
  </si>
  <si>
    <t>GILD</t>
  </si>
  <si>
    <t>General Mills Inc</t>
  </si>
  <si>
    <t>GIS</t>
  </si>
  <si>
    <t>Globe Life Inc</t>
  </si>
  <si>
    <t>GL</t>
  </si>
  <si>
    <t>Corning Inc</t>
  </si>
  <si>
    <t>GLW</t>
  </si>
  <si>
    <t>General Motors Co</t>
  </si>
  <si>
    <t>GM</t>
  </si>
  <si>
    <t>Generac Holdings Inc</t>
  </si>
  <si>
    <t>GNRC</t>
  </si>
  <si>
    <t>Alphabet Inc</t>
  </si>
  <si>
    <t>GOOG</t>
  </si>
  <si>
    <t>GOOGL</t>
  </si>
  <si>
    <t>Genuine Parts Co</t>
  </si>
  <si>
    <t>GPC</t>
  </si>
  <si>
    <t>Global Payments Inc</t>
  </si>
  <si>
    <t>GPN</t>
  </si>
  <si>
    <t>Garmin Ltd</t>
  </si>
  <si>
    <t>GRMN</t>
  </si>
  <si>
    <t>Goldman Sachs Group Inc/The</t>
  </si>
  <si>
    <t>GS</t>
  </si>
  <si>
    <t>WW Grainger Inc</t>
  </si>
  <si>
    <t>GWW</t>
  </si>
  <si>
    <t>Halliburton Co</t>
  </si>
  <si>
    <t>HAL</t>
  </si>
  <si>
    <t>Hasbro Inc</t>
  </si>
  <si>
    <t>HAS</t>
  </si>
  <si>
    <t>Huntington Bancshares Inc/OH</t>
  </si>
  <si>
    <t>HBAN</t>
  </si>
  <si>
    <t>HCA Healthcare Inc</t>
  </si>
  <si>
    <t>HCA</t>
  </si>
  <si>
    <t>Home Depot Inc/The</t>
  </si>
  <si>
    <t>HD</t>
  </si>
  <si>
    <t>Hess Corp</t>
  </si>
  <si>
    <t>HES</t>
  </si>
  <si>
    <t>Hartford Financial Services Group Inc/The</t>
  </si>
  <si>
    <t>HIG</t>
  </si>
  <si>
    <t>Huntington Ingalls Industries Inc</t>
  </si>
  <si>
    <t>HII</t>
  </si>
  <si>
    <t>Hilton Worldwide Holdings Inc</t>
  </si>
  <si>
    <t>HLT</t>
  </si>
  <si>
    <t>Hologic Inc</t>
  </si>
  <si>
    <t>HOLX</t>
  </si>
  <si>
    <t>Honeywell International Inc</t>
  </si>
  <si>
    <t>HON</t>
  </si>
  <si>
    <t>Hewlett Packard Enterprise Co</t>
  </si>
  <si>
    <t>HPE</t>
  </si>
  <si>
    <t>HP Inc</t>
  </si>
  <si>
    <t>HPQ</t>
  </si>
  <si>
    <t>Hormel Foods Corp</t>
  </si>
  <si>
    <t>HRL</t>
  </si>
  <si>
    <t>Henry Schein Inc</t>
  </si>
  <si>
    <t>HSIC</t>
  </si>
  <si>
    <t>Host Hotels &amp; Resorts Inc</t>
  </si>
  <si>
    <t>HST</t>
  </si>
  <si>
    <t>Hershey Co/The</t>
  </si>
  <si>
    <t>HSY</t>
  </si>
  <si>
    <t>Humana Inc</t>
  </si>
  <si>
    <t>HUM</t>
  </si>
  <si>
    <t>Howmet Aerospace Inc</t>
  </si>
  <si>
    <t>HWM</t>
  </si>
  <si>
    <t>International Business Machines Corp</t>
  </si>
  <si>
    <t>IBM</t>
  </si>
  <si>
    <t>Intercontinental Exchange Inc</t>
  </si>
  <si>
    <t>ICE</t>
  </si>
  <si>
    <t>IDEXX Laboratories Inc</t>
  </si>
  <si>
    <t>IDXX</t>
  </si>
  <si>
    <t>IDEX Corp</t>
  </si>
  <si>
    <t>IEX</t>
  </si>
  <si>
    <t>International Flavors &amp; Fragrances Inc</t>
  </si>
  <si>
    <t>IFF</t>
  </si>
  <si>
    <t>Illumina Inc</t>
  </si>
  <si>
    <t>ILMN</t>
  </si>
  <si>
    <t>Incyte Corp</t>
  </si>
  <si>
    <t>INCY</t>
  </si>
  <si>
    <t>Intel Corp</t>
  </si>
  <si>
    <t>INTC</t>
  </si>
  <si>
    <t>Intuit Inc</t>
  </si>
  <si>
    <t>INTU</t>
  </si>
  <si>
    <t>International Paper Co</t>
  </si>
  <si>
    <t>IP</t>
  </si>
  <si>
    <t>Interpublic Group of Cos Inc/The</t>
  </si>
  <si>
    <t>IPG</t>
  </si>
  <si>
    <t>IQVIA Holdings Inc</t>
  </si>
  <si>
    <t>IQV</t>
  </si>
  <si>
    <t>Ingersoll Rand Inc</t>
  </si>
  <si>
    <t>IR</t>
  </si>
  <si>
    <t>Iron Mountain Inc</t>
  </si>
  <si>
    <t>IRM</t>
  </si>
  <si>
    <t>Intuitive Surgical Inc</t>
  </si>
  <si>
    <t>ISRG</t>
  </si>
  <si>
    <t>Gartner Inc</t>
  </si>
  <si>
    <t>IT</t>
  </si>
  <si>
    <t>Illinois Tool Works Inc</t>
  </si>
  <si>
    <t>ITW</t>
  </si>
  <si>
    <t>Invesco Ltd</t>
  </si>
  <si>
    <t>IVZ</t>
  </si>
  <si>
    <t>J</t>
  </si>
  <si>
    <t>JB Hunt Transport Services Inc</t>
  </si>
  <si>
    <t>JBHT</t>
  </si>
  <si>
    <t>Johnson Controls International plc</t>
  </si>
  <si>
    <t>JCI</t>
  </si>
  <si>
    <t>Jack Henry &amp; Associates Inc</t>
  </si>
  <si>
    <t>JKHY</t>
  </si>
  <si>
    <t>Johnson &amp; Johnson</t>
  </si>
  <si>
    <t>JNJ</t>
  </si>
  <si>
    <t>Juniper Networks Inc</t>
  </si>
  <si>
    <t>JNPR</t>
  </si>
  <si>
    <t>JPMorgan Chase &amp; Co</t>
  </si>
  <si>
    <t>JPM</t>
  </si>
  <si>
    <t>K</t>
  </si>
  <si>
    <t>KeyCorp</t>
  </si>
  <si>
    <t>KEY</t>
  </si>
  <si>
    <t>Keysight Technologies Inc</t>
  </si>
  <si>
    <t>KEYS</t>
  </si>
  <si>
    <t>Kraft Heinz Co/The</t>
  </si>
  <si>
    <t>KHC</t>
  </si>
  <si>
    <t>Kimco Realty Corp</t>
  </si>
  <si>
    <t>KIM</t>
  </si>
  <si>
    <t>KLA Corp</t>
  </si>
  <si>
    <t>KLAC</t>
  </si>
  <si>
    <t>Kimberly-Clark Corp</t>
  </si>
  <si>
    <t>KMB</t>
  </si>
  <si>
    <t>Kinder Morgan Inc</t>
  </si>
  <si>
    <t>KMI</t>
  </si>
  <si>
    <t>CarMax Inc</t>
  </si>
  <si>
    <t>KMX</t>
  </si>
  <si>
    <t>Coca-Cola Co/The</t>
  </si>
  <si>
    <t>KO</t>
  </si>
  <si>
    <t>Kroger Co/The</t>
  </si>
  <si>
    <t>KR</t>
  </si>
  <si>
    <t>Loews Corp</t>
  </si>
  <si>
    <t>L</t>
  </si>
  <si>
    <t>Leidos Holdings Inc</t>
  </si>
  <si>
    <t>LDOS</t>
  </si>
  <si>
    <t>Lennar Corp</t>
  </si>
  <si>
    <t>LEN</t>
  </si>
  <si>
    <t>Laboratory Corp of America Holdings</t>
  </si>
  <si>
    <t>LH</t>
  </si>
  <si>
    <t>L3Harris Technologies Inc</t>
  </si>
  <si>
    <t>LHX</t>
  </si>
  <si>
    <t>Linde PLC</t>
  </si>
  <si>
    <t>LIN</t>
  </si>
  <si>
    <t>LKQ Corp</t>
  </si>
  <si>
    <t>LKQ</t>
  </si>
  <si>
    <t>Eli Lilly &amp; Co</t>
  </si>
  <si>
    <t>LLY</t>
  </si>
  <si>
    <t>Lockheed Martin Corp</t>
  </si>
  <si>
    <t>LMT</t>
  </si>
  <si>
    <t>Alliant Energy Corp</t>
  </si>
  <si>
    <t>Lowe's Cos Inc</t>
  </si>
  <si>
    <t>LOW</t>
  </si>
  <si>
    <t>Lam Research Corp</t>
  </si>
  <si>
    <t>LRCX</t>
  </si>
  <si>
    <t>Southwest Airlines Co</t>
  </si>
  <si>
    <t>LUV</t>
  </si>
  <si>
    <t>Las Vegas Sands Corp</t>
  </si>
  <si>
    <t>LVS</t>
  </si>
  <si>
    <t>Lamb Weston Holdings Inc</t>
  </si>
  <si>
    <t>LW</t>
  </si>
  <si>
    <t>LyondellBasell Industries NV</t>
  </si>
  <si>
    <t>LYB</t>
  </si>
  <si>
    <t>Live Nation Entertainment Inc</t>
  </si>
  <si>
    <t>LYV</t>
  </si>
  <si>
    <t>Mastercard Inc</t>
  </si>
  <si>
    <t>MA</t>
  </si>
  <si>
    <t>Mid-America Apartment Communities Inc</t>
  </si>
  <si>
    <t>MAA</t>
  </si>
  <si>
    <t>Marriott International Inc/MD</t>
  </si>
  <si>
    <t>MAR</t>
  </si>
  <si>
    <t>Masco Corp</t>
  </si>
  <si>
    <t>MAS</t>
  </si>
  <si>
    <t>McDonald's Corp</t>
  </si>
  <si>
    <t>MCD</t>
  </si>
  <si>
    <t>Microchip Technology Inc</t>
  </si>
  <si>
    <t>MCHP</t>
  </si>
  <si>
    <t>McKesson Corp</t>
  </si>
  <si>
    <t>MCK</t>
  </si>
  <si>
    <t>Moody's Corp</t>
  </si>
  <si>
    <t>MCO</t>
  </si>
  <si>
    <t>Mondelez International Inc</t>
  </si>
  <si>
    <t>MDLZ</t>
  </si>
  <si>
    <t>Medtronic PLC</t>
  </si>
  <si>
    <t>MDT</t>
  </si>
  <si>
    <t>MetLife Inc</t>
  </si>
  <si>
    <t>MET</t>
  </si>
  <si>
    <t>MGM Resorts International</t>
  </si>
  <si>
    <t>MGM</t>
  </si>
  <si>
    <t>Mohawk Industries Inc</t>
  </si>
  <si>
    <t>MHK</t>
  </si>
  <si>
    <t>McCormick &amp; Co Inc/MD</t>
  </si>
  <si>
    <t>MKC</t>
  </si>
  <si>
    <t>MarketAxess Holdings Inc</t>
  </si>
  <si>
    <t>MKTX</t>
  </si>
  <si>
    <t>Martin Marietta Materials Inc</t>
  </si>
  <si>
    <t>MLM</t>
  </si>
  <si>
    <t>Marsh &amp; McLennan Cos Inc</t>
  </si>
  <si>
    <t>MMC</t>
  </si>
  <si>
    <t>3M Co</t>
  </si>
  <si>
    <t>MMM</t>
  </si>
  <si>
    <t>Monster Beverage Corp</t>
  </si>
  <si>
    <t>MNST</t>
  </si>
  <si>
    <t>Altria Group Inc</t>
  </si>
  <si>
    <t>MO</t>
  </si>
  <si>
    <t>Molina Healthcare Inc</t>
  </si>
  <si>
    <t>MOH</t>
  </si>
  <si>
    <t>Mosaic Co/The</t>
  </si>
  <si>
    <t>MOS</t>
  </si>
  <si>
    <t>Marathon Petroleum Corp</t>
  </si>
  <si>
    <t>MPC</t>
  </si>
  <si>
    <t>Monolithic Power Systems Inc</t>
  </si>
  <si>
    <t>MPWR</t>
  </si>
  <si>
    <t>Merck &amp; Co Inc</t>
  </si>
  <si>
    <t>MRK</t>
  </si>
  <si>
    <t>Moderna Inc</t>
  </si>
  <si>
    <t>MRNA</t>
  </si>
  <si>
    <t>Marathon Oil Corp</t>
  </si>
  <si>
    <t>MRO</t>
  </si>
  <si>
    <t>Morgan Stanley</t>
  </si>
  <si>
    <t>MS</t>
  </si>
  <si>
    <t>MSCI Inc</t>
  </si>
  <si>
    <t>MSCI</t>
  </si>
  <si>
    <t>Microsoft Corp</t>
  </si>
  <si>
    <t>MSFT</t>
  </si>
  <si>
    <t>Motorola Solutions Inc</t>
  </si>
  <si>
    <t>MSI</t>
  </si>
  <si>
    <t>M&amp;T Bank Corp</t>
  </si>
  <si>
    <t>MTB</t>
  </si>
  <si>
    <t>Match Group Inc</t>
  </si>
  <si>
    <t>MTCH</t>
  </si>
  <si>
    <t>Mettler-Toledo International Inc</t>
  </si>
  <si>
    <t>MTD</t>
  </si>
  <si>
    <t>Micron Technology Inc</t>
  </si>
  <si>
    <t>MU</t>
  </si>
  <si>
    <t>Norwegian Cruise Line Holdings Ltd</t>
  </si>
  <si>
    <t>NCLH</t>
  </si>
  <si>
    <t>Nasdaq Inc</t>
  </si>
  <si>
    <t>NDAQ</t>
  </si>
  <si>
    <t>Nordson Corp</t>
  </si>
  <si>
    <t>NDSN</t>
  </si>
  <si>
    <t>NextEra Energy Inc</t>
  </si>
  <si>
    <t>Newmont Corp</t>
  </si>
  <si>
    <t>NEM</t>
  </si>
  <si>
    <t>Netflix Inc</t>
  </si>
  <si>
    <t>NFLX</t>
  </si>
  <si>
    <t>NiSource Inc</t>
  </si>
  <si>
    <t>NIKE Inc</t>
  </si>
  <si>
    <t>NKE</t>
  </si>
  <si>
    <t>Northrop Grumman Corp</t>
  </si>
  <si>
    <t>NOC</t>
  </si>
  <si>
    <t>ServiceNow Inc</t>
  </si>
  <si>
    <t>NOW</t>
  </si>
  <si>
    <t>NRG Energy Inc</t>
  </si>
  <si>
    <t>NRG</t>
  </si>
  <si>
    <t>Norfolk Southern Corp</t>
  </si>
  <si>
    <t>NSC</t>
  </si>
  <si>
    <t>NetApp Inc</t>
  </si>
  <si>
    <t>NTAP</t>
  </si>
  <si>
    <t>Northern Trust Corp</t>
  </si>
  <si>
    <t>NTRS</t>
  </si>
  <si>
    <t>Nucor Corp</t>
  </si>
  <si>
    <t>NUE</t>
  </si>
  <si>
    <t>NVIDIA Corp</t>
  </si>
  <si>
    <t>NVDA</t>
  </si>
  <si>
    <t>NVR Inc</t>
  </si>
  <si>
    <t>NVR</t>
  </si>
  <si>
    <t>News Corp</t>
  </si>
  <si>
    <t>NWS</t>
  </si>
  <si>
    <t>NWSA</t>
  </si>
  <si>
    <t>NXP Semiconductors NV</t>
  </si>
  <si>
    <t>NXPI</t>
  </si>
  <si>
    <t>Realty Income Corp</t>
  </si>
  <si>
    <t>O</t>
  </si>
  <si>
    <t>Old Dominion Freight Line Inc</t>
  </si>
  <si>
    <t>ODFL</t>
  </si>
  <si>
    <t>Organon &amp; Co</t>
  </si>
  <si>
    <t>OGN</t>
  </si>
  <si>
    <t>ONEOK Inc</t>
  </si>
  <si>
    <t>OKE</t>
  </si>
  <si>
    <t>Omnicom Group Inc</t>
  </si>
  <si>
    <t>OMC</t>
  </si>
  <si>
    <t>Oracle Corp</t>
  </si>
  <si>
    <t>ORCL</t>
  </si>
  <si>
    <t>O'Reilly Automotive Inc</t>
  </si>
  <si>
    <t>ORLY</t>
  </si>
  <si>
    <t>Otis Worldwide Corp</t>
  </si>
  <si>
    <t>OTIS</t>
  </si>
  <si>
    <t>Occidental Petroleum Corp</t>
  </si>
  <si>
    <t>OXY</t>
  </si>
  <si>
    <t>Paramount Global</t>
  </si>
  <si>
    <t>PARA</t>
  </si>
  <si>
    <t>Paycom Software Inc</t>
  </si>
  <si>
    <t>PAYC</t>
  </si>
  <si>
    <t>Paychex Inc</t>
  </si>
  <si>
    <t>PAYX</t>
  </si>
  <si>
    <t>PACCAR Inc</t>
  </si>
  <si>
    <t>PCAR</t>
  </si>
  <si>
    <t>Healthpeak Properties Inc</t>
  </si>
  <si>
    <t>PEAK</t>
  </si>
  <si>
    <t>Public Service Enterprise Group Inc</t>
  </si>
  <si>
    <t>PepsiCo Inc</t>
  </si>
  <si>
    <t>PEP</t>
  </si>
  <si>
    <t>Pfizer Inc</t>
  </si>
  <si>
    <t>PFE</t>
  </si>
  <si>
    <t>Principal Financial Group Inc</t>
  </si>
  <si>
    <t>PFG</t>
  </si>
  <si>
    <t>Procter &amp; Gamble Co/The</t>
  </si>
  <si>
    <t>PG</t>
  </si>
  <si>
    <t>Progressive Corp/The</t>
  </si>
  <si>
    <t>PGR</t>
  </si>
  <si>
    <t>Parker-Hannifin Corp</t>
  </si>
  <si>
    <t>PH</t>
  </si>
  <si>
    <t>PulteGroup Inc</t>
  </si>
  <si>
    <t>PHM</t>
  </si>
  <si>
    <t>Packaging Corp of America</t>
  </si>
  <si>
    <t>PKG</t>
  </si>
  <si>
    <t>Prologis Inc</t>
  </si>
  <si>
    <t>PLD</t>
  </si>
  <si>
    <t>Philip Morris International Inc</t>
  </si>
  <si>
    <t>PM</t>
  </si>
  <si>
    <t>PNC Financial Services Group Inc/The</t>
  </si>
  <si>
    <t>PNC</t>
  </si>
  <si>
    <t>Pentair PLC</t>
  </si>
  <si>
    <t>PNR</t>
  </si>
  <si>
    <t>Pinnacle West Capital Corp</t>
  </si>
  <si>
    <t>PNW</t>
  </si>
  <si>
    <t>Pool Corp</t>
  </si>
  <si>
    <t>POOL</t>
  </si>
  <si>
    <t>PPG Industries Inc</t>
  </si>
  <si>
    <t>PPG</t>
  </si>
  <si>
    <t>PPL Corp</t>
  </si>
  <si>
    <t>PPL</t>
  </si>
  <si>
    <t>Prudential Financial Inc</t>
  </si>
  <si>
    <t>PRU</t>
  </si>
  <si>
    <t>Public Storage</t>
  </si>
  <si>
    <t>PSA</t>
  </si>
  <si>
    <t>Phillips 66</t>
  </si>
  <si>
    <t>PSX</t>
  </si>
  <si>
    <t>PTC Inc</t>
  </si>
  <si>
    <t>PTC</t>
  </si>
  <si>
    <t>Quanta Services Inc</t>
  </si>
  <si>
    <t>PWR</t>
  </si>
  <si>
    <t>Pioneer Natural Resources Co</t>
  </si>
  <si>
    <t>PXD</t>
  </si>
  <si>
    <t>PayPal Holdings Inc</t>
  </si>
  <si>
    <t>PYPL</t>
  </si>
  <si>
    <t>QUALCOMM Inc</t>
  </si>
  <si>
    <t>QCOM</t>
  </si>
  <si>
    <t>Qorvo Inc</t>
  </si>
  <si>
    <t>QRVO</t>
  </si>
  <si>
    <t>Royal Caribbean Cruises Ltd</t>
  </si>
  <si>
    <t>RCL</t>
  </si>
  <si>
    <t>Regency Centers Corp</t>
  </si>
  <si>
    <t>REG</t>
  </si>
  <si>
    <t>Regeneron Pharmaceuticals Inc</t>
  </si>
  <si>
    <t>REGN</t>
  </si>
  <si>
    <t>Regions Financial Corp</t>
  </si>
  <si>
    <t>RF</t>
  </si>
  <si>
    <t>RHI</t>
  </si>
  <si>
    <t>Raymond James Financial Inc</t>
  </si>
  <si>
    <t>RJF</t>
  </si>
  <si>
    <t>Ralph Lauren Corp</t>
  </si>
  <si>
    <t>RL</t>
  </si>
  <si>
    <t>ResMed Inc</t>
  </si>
  <si>
    <t>RMD</t>
  </si>
  <si>
    <t>Rockwell Automation Inc</t>
  </si>
  <si>
    <t>ROK</t>
  </si>
  <si>
    <t>Rollins Inc</t>
  </si>
  <si>
    <t>ROL</t>
  </si>
  <si>
    <t>Roper Technologies Inc</t>
  </si>
  <si>
    <t>ROP</t>
  </si>
  <si>
    <t>Ross Stores Inc</t>
  </si>
  <si>
    <t>ROST</t>
  </si>
  <si>
    <t>Republic Services Inc</t>
  </si>
  <si>
    <t>RSG</t>
  </si>
  <si>
    <t>RTX</t>
  </si>
  <si>
    <t>SBA Communications Corp</t>
  </si>
  <si>
    <t>SBAC</t>
  </si>
  <si>
    <t>Starbucks Corp</t>
  </si>
  <si>
    <t>SBUX</t>
  </si>
  <si>
    <t>Charles Schwab Corp/The</t>
  </si>
  <si>
    <t>SCHW</t>
  </si>
  <si>
    <t>SolarEdge Technologies Inc</t>
  </si>
  <si>
    <t>SEDG</t>
  </si>
  <si>
    <t>Sealed Air Corp</t>
  </si>
  <si>
    <t>SEE</t>
  </si>
  <si>
    <t>Sherwin-Williams Co/The</t>
  </si>
  <si>
    <t>SHW</t>
  </si>
  <si>
    <t>J M Smucker Co/The</t>
  </si>
  <si>
    <t>SJM</t>
  </si>
  <si>
    <t>SLB</t>
  </si>
  <si>
    <t>Snap-on Inc</t>
  </si>
  <si>
    <t>SNA</t>
  </si>
  <si>
    <t>Synopsys Inc</t>
  </si>
  <si>
    <t>SNPS</t>
  </si>
  <si>
    <t>Southern Co/The</t>
  </si>
  <si>
    <t>Simon Property Group Inc</t>
  </si>
  <si>
    <t>SPG</t>
  </si>
  <si>
    <t>S&amp;P Global Inc</t>
  </si>
  <si>
    <t>SPGI</t>
  </si>
  <si>
    <t>SRE</t>
  </si>
  <si>
    <t>STERIS PLC</t>
  </si>
  <si>
    <t>STE</t>
  </si>
  <si>
    <t>State Street Corp</t>
  </si>
  <si>
    <t>STT</t>
  </si>
  <si>
    <t>Seagate Technology Holdings PLC</t>
  </si>
  <si>
    <t>STX</t>
  </si>
  <si>
    <t>Constellation Brands Inc</t>
  </si>
  <si>
    <t>STZ</t>
  </si>
  <si>
    <t>Stanley Black &amp; Decker Inc</t>
  </si>
  <si>
    <t>SWK</t>
  </si>
  <si>
    <t>Skyworks Solutions Inc</t>
  </si>
  <si>
    <t>SWKS</t>
  </si>
  <si>
    <t>Synchrony Financial</t>
  </si>
  <si>
    <t>SYF</t>
  </si>
  <si>
    <t>Stryker Corp</t>
  </si>
  <si>
    <t>SYK</t>
  </si>
  <si>
    <t>Sysco Corp</t>
  </si>
  <si>
    <t>SYY</t>
  </si>
  <si>
    <t>AT&amp;T Inc</t>
  </si>
  <si>
    <t>T</t>
  </si>
  <si>
    <t>Molson Coors Beverage Co</t>
  </si>
  <si>
    <t>TAP</t>
  </si>
  <si>
    <t>TransDigm Group Inc</t>
  </si>
  <si>
    <t>TDG</t>
  </si>
  <si>
    <t>Teledyne Technologies Inc</t>
  </si>
  <si>
    <t>TDY</t>
  </si>
  <si>
    <t>Bio-Techne Corp</t>
  </si>
  <si>
    <t>TECH</t>
  </si>
  <si>
    <t>TE Connectivity Ltd</t>
  </si>
  <si>
    <t>TEL</t>
  </si>
  <si>
    <t>Teradyne Inc</t>
  </si>
  <si>
    <t>TER</t>
  </si>
  <si>
    <t>Truist Financial Corp</t>
  </si>
  <si>
    <t>TFC</t>
  </si>
  <si>
    <t>Teleflex Inc</t>
  </si>
  <si>
    <t>TFX</t>
  </si>
  <si>
    <t>Target Corp</t>
  </si>
  <si>
    <t>TGT</t>
  </si>
  <si>
    <t>TJX Cos Inc/The</t>
  </si>
  <si>
    <t>TJX</t>
  </si>
  <si>
    <t>Thermo Fisher Scientific Inc</t>
  </si>
  <si>
    <t>TMO</t>
  </si>
  <si>
    <t>T-Mobile US Inc</t>
  </si>
  <si>
    <t>TMUS</t>
  </si>
  <si>
    <t>Tapestry Inc</t>
  </si>
  <si>
    <t>TPR</t>
  </si>
  <si>
    <t>Trimble Inc</t>
  </si>
  <si>
    <t>TRMB</t>
  </si>
  <si>
    <t>T Rowe Price Group Inc</t>
  </si>
  <si>
    <t>TROW</t>
  </si>
  <si>
    <t>Travelers Cos Inc/The</t>
  </si>
  <si>
    <t>TRV</t>
  </si>
  <si>
    <t>Tractor Supply Co</t>
  </si>
  <si>
    <t>TSCO</t>
  </si>
  <si>
    <t>Tesla Inc</t>
  </si>
  <si>
    <t>TSLA</t>
  </si>
  <si>
    <t>Tyson Foods Inc</t>
  </si>
  <si>
    <t>TSN</t>
  </si>
  <si>
    <t>Trane Technologies PLC</t>
  </si>
  <si>
    <t>TT</t>
  </si>
  <si>
    <t>Take-Two Interactive Software Inc</t>
  </si>
  <si>
    <t>TTWO</t>
  </si>
  <si>
    <t>Texas Instruments Inc</t>
  </si>
  <si>
    <t>TXN</t>
  </si>
  <si>
    <t>Textron Inc</t>
  </si>
  <si>
    <t>TXT</t>
  </si>
  <si>
    <t>Tyler Technologies Inc</t>
  </si>
  <si>
    <t>TYL</t>
  </si>
  <si>
    <t>United Airlines Holdings Inc</t>
  </si>
  <si>
    <t>UAL</t>
  </si>
  <si>
    <t>UDR Inc</t>
  </si>
  <si>
    <t>UDR</t>
  </si>
  <si>
    <t>Universal Health Services Inc</t>
  </si>
  <si>
    <t>UHS</t>
  </si>
  <si>
    <t>Ulta Beauty Inc</t>
  </si>
  <si>
    <t>ULTA</t>
  </si>
  <si>
    <t>UnitedHealth Group Inc</t>
  </si>
  <si>
    <t>UNH</t>
  </si>
  <si>
    <t>Union Pacific Corp</t>
  </si>
  <si>
    <t>UNP</t>
  </si>
  <si>
    <t>United Parcel Service Inc</t>
  </si>
  <si>
    <t>UPS</t>
  </si>
  <si>
    <t>United Rentals Inc</t>
  </si>
  <si>
    <t>URI</t>
  </si>
  <si>
    <t>US Bancorp</t>
  </si>
  <si>
    <t>USB</t>
  </si>
  <si>
    <t>Visa Inc</t>
  </si>
  <si>
    <t>V</t>
  </si>
  <si>
    <t>VF Corp</t>
  </si>
  <si>
    <t>VFC</t>
  </si>
  <si>
    <t>Valero Energy Corp</t>
  </si>
  <si>
    <t>VLO</t>
  </si>
  <si>
    <t>Vulcan Materials Co</t>
  </si>
  <si>
    <t>VMC</t>
  </si>
  <si>
    <t>Verisk Analytics Inc</t>
  </si>
  <si>
    <t>VRSK</t>
  </si>
  <si>
    <t>VeriSign Inc</t>
  </si>
  <si>
    <t>VRSN</t>
  </si>
  <si>
    <t>Vertex Pharmaceuticals Inc</t>
  </si>
  <si>
    <t>VRTX</t>
  </si>
  <si>
    <t>Ventas Inc</t>
  </si>
  <si>
    <t>VTR</t>
  </si>
  <si>
    <t>Viatris Inc</t>
  </si>
  <si>
    <t>VTRS</t>
  </si>
  <si>
    <t>Verizon Communications Inc</t>
  </si>
  <si>
    <t>VZ</t>
  </si>
  <si>
    <t>Westinghouse Air Brake Technologies Corp</t>
  </si>
  <si>
    <t>WAB</t>
  </si>
  <si>
    <t>Waters Corp</t>
  </si>
  <si>
    <t>WAT</t>
  </si>
  <si>
    <t>Walgreens Boots Alliance Inc</t>
  </si>
  <si>
    <t>WBA</t>
  </si>
  <si>
    <t>Warner Bros Discovery Inc</t>
  </si>
  <si>
    <t>WBD</t>
  </si>
  <si>
    <t>Western Digital Corp</t>
  </si>
  <si>
    <t>WDC</t>
  </si>
  <si>
    <t>WEC Energy Group Inc</t>
  </si>
  <si>
    <t>Welltower Inc</t>
  </si>
  <si>
    <t>WELL</t>
  </si>
  <si>
    <t>Wells Fargo &amp; Co</t>
  </si>
  <si>
    <t>WFC</t>
  </si>
  <si>
    <t>Whirlpool Corp</t>
  </si>
  <si>
    <t>WHR</t>
  </si>
  <si>
    <t>Waste Management Inc</t>
  </si>
  <si>
    <t>WM</t>
  </si>
  <si>
    <t>Williams Cos Inc/The</t>
  </si>
  <si>
    <t>WMB</t>
  </si>
  <si>
    <t>Walmart Inc</t>
  </si>
  <si>
    <t>WMT</t>
  </si>
  <si>
    <t>W R Berkley Corp</t>
  </si>
  <si>
    <t>WRB</t>
  </si>
  <si>
    <t>Westrock Co</t>
  </si>
  <si>
    <t>WRK</t>
  </si>
  <si>
    <t>West Pharmaceutical Services Inc</t>
  </si>
  <si>
    <t>WST</t>
  </si>
  <si>
    <t>Willis Towers Watson PLC</t>
  </si>
  <si>
    <t>WTW</t>
  </si>
  <si>
    <t>Weyerhaeuser Co</t>
  </si>
  <si>
    <t>WY</t>
  </si>
  <si>
    <t>Wynn Resorts Ltd</t>
  </si>
  <si>
    <t>WYNN</t>
  </si>
  <si>
    <t>Xcel Energy Inc</t>
  </si>
  <si>
    <t>Exxon Mobil Corp</t>
  </si>
  <si>
    <t>XOM</t>
  </si>
  <si>
    <t>DENTSPLY SIRONA Inc</t>
  </si>
  <si>
    <t>XRAY</t>
  </si>
  <si>
    <t>Xylem Inc/NY</t>
  </si>
  <si>
    <t>XYL</t>
  </si>
  <si>
    <t>Yum! Brands Inc</t>
  </si>
  <si>
    <t>YUM</t>
  </si>
  <si>
    <t>Zimmer Biomet Holdings Inc</t>
  </si>
  <si>
    <t>ZBH</t>
  </si>
  <si>
    <t>Zebra Technologies Corp</t>
  </si>
  <si>
    <t>ZBRA</t>
  </si>
  <si>
    <t>Zions Bancorp NA</t>
  </si>
  <si>
    <t>ZION</t>
  </si>
  <si>
    <t>Zoetis Inc</t>
  </si>
  <si>
    <t>ZTS</t>
  </si>
  <si>
    <t>[1] Equals sum of Col. [9]</t>
  </si>
  <si>
    <t>[2] Equals sum of Col. [11]</t>
  </si>
  <si>
    <t>[3] Equals ([1] x (1 + (0.5 x [2]))) + [2]</t>
  </si>
  <si>
    <t>[6] Equals [4] x [5]</t>
  </si>
  <si>
    <r>
      <t xml:space="preserve">[7] Equals weight in S&amp;P 500 based on market capitalization [6] if Growth Rate &gt;0% and </t>
    </r>
    <r>
      <rPr>
        <sz val="10"/>
        <color indexed="8"/>
        <rFont val="Calibri"/>
        <family val="2"/>
      </rPr>
      <t>≤</t>
    </r>
    <r>
      <rPr>
        <sz val="10"/>
        <color indexed="8"/>
        <rFont val="Arial"/>
        <family val="2"/>
      </rPr>
      <t>20%</t>
    </r>
  </si>
  <si>
    <t>[9] Equals [7] x [8]</t>
  </si>
  <si>
    <t>[11] Equals [7] x [10]</t>
  </si>
  <si>
    <t>BOND YIELD PLUS RISK PREMIUM</t>
  </si>
  <si>
    <t>Quarter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</si>
  <si>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</si>
  <si>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</si>
  <si>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</si>
  <si>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</si>
  <si>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</si>
  <si>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</si>
  <si>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</si>
  <si>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</si>
  <si>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</si>
  <si>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</si>
  <si>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</si>
  <si>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</si>
  <si>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</si>
  <si>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</si>
  <si>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</si>
  <si>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</si>
  <si>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</si>
  <si>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SUMMARY OUTPUT</t>
  </si>
  <si>
    <t>1996.2</t>
  </si>
  <si>
    <t>1996.3</t>
  </si>
  <si>
    <t>Regression Statistics</t>
  </si>
  <si>
    <t>1996.4</t>
  </si>
  <si>
    <t>Multiple R</t>
  </si>
  <si>
    <t>1997.1</t>
  </si>
  <si>
    <t>R Square</t>
  </si>
  <si>
    <t>1997.2</t>
  </si>
  <si>
    <t>Adjusted R Square</t>
  </si>
  <si>
    <t>1997.3</t>
  </si>
  <si>
    <t>Standard Error</t>
  </si>
  <si>
    <t>1997.4</t>
  </si>
  <si>
    <t>Observations</t>
  </si>
  <si>
    <t>1998.2</t>
  </si>
  <si>
    <t>ANOVA</t>
  </si>
  <si>
    <t>1998.3</t>
  </si>
  <si>
    <t>df</t>
  </si>
  <si>
    <t>SS</t>
  </si>
  <si>
    <t>Significance F</t>
  </si>
  <si>
    <t>1998.4</t>
  </si>
  <si>
    <t>Regression</t>
  </si>
  <si>
    <t>1999.1</t>
  </si>
  <si>
    <t>Residual</t>
  </si>
  <si>
    <t>1999.2</t>
  </si>
  <si>
    <t>Total</t>
  </si>
  <si>
    <t>1999.4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</si>
  <si>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</si>
  <si>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</si>
  <si>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</si>
  <si>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</si>
  <si>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</si>
  <si>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</si>
  <si>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</si>
  <si>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2000.1</t>
  </si>
  <si>
    <t>Intercept</t>
  </si>
  <si>
    <t>2000.2</t>
  </si>
  <si>
    <t>2000.3</t>
  </si>
  <si>
    <t>2000.4</t>
  </si>
  <si>
    <t>2001.1</t>
  </si>
  <si>
    <t>2001.2</t>
  </si>
  <si>
    <t>U.S. Govt.</t>
  </si>
  <si>
    <t>30-year</t>
  </si>
  <si>
    <t>Risk</t>
  </si>
  <si>
    <t>2001.4</t>
  </si>
  <si>
    <t>Treasury</t>
  </si>
  <si>
    <t>Premium</t>
  </si>
  <si>
    <t>ROE</t>
  </si>
  <si>
    <t>2002.1</t>
  </si>
  <si>
    <t>2002.2</t>
  </si>
  <si>
    <t>Current 30-day average of 30-year U.S. Treasury bond yield [4]</t>
  </si>
  <si>
    <t>2002.3</t>
  </si>
  <si>
    <t>2002.4</t>
  </si>
  <si>
    <t>2003.1</t>
  </si>
  <si>
    <t>AVERAGE</t>
  </si>
  <si>
    <t>2003.2</t>
  </si>
  <si>
    <t>2003.3</t>
  </si>
  <si>
    <t>2003.4</t>
  </si>
  <si>
    <t>2004.1</t>
  </si>
  <si>
    <t>2004.2</t>
  </si>
  <si>
    <t>[3] Equals Column [1] − Column [2]</t>
  </si>
  <si>
    <t>2004.3</t>
  </si>
  <si>
    <t>2004.4</t>
  </si>
  <si>
    <t>2005.1</t>
  </si>
  <si>
    <t>2005.2</t>
  </si>
  <si>
    <t xml:space="preserve">[7] See notes [4], [5] &amp; [6] </t>
  </si>
  <si>
    <t>2005.3</t>
  </si>
  <si>
    <t>2005.4</t>
  </si>
  <si>
    <t>[9] Equals Column [7] + Column [8]</t>
  </si>
  <si>
    <t>2006.1</t>
  </si>
  <si>
    <t>2006.2</t>
  </si>
  <si>
    <t>2006.3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</si>
  <si>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</si>
  <si>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</si>
  <si>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</si>
  <si>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</si>
  <si>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</si>
  <si>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</si>
  <si>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</si>
  <si>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</si>
  <si>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</si>
  <si>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</si>
  <si>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</si>
  <si>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</si>
  <si>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</si>
  <si>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</si>
  <si>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</si>
  <si>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</si>
  <si>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</si>
  <si>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</si>
  <si>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</si>
  <si>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</si>
  <si>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</si>
  <si>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</si>
  <si>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</si>
  <si>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</si>
  <si>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</si>
  <si>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</si>
  <si>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</si>
  <si>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</si>
  <si>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</si>
  <si>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</si>
  <si>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</si>
  <si>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</si>
  <si>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</si>
  <si>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</si>
  <si>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</si>
  <si>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</si>
  <si>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</si>
  <si>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</si>
  <si>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</si>
  <si>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</si>
  <si>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</si>
  <si>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</si>
  <si>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</si>
  <si>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</si>
  <si>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</si>
  <si>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</si>
  <si>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</si>
  <si>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</si>
  <si>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</si>
  <si>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</si>
  <si>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</si>
  <si>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</si>
  <si>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</si>
  <si>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</si>
  <si>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</si>
  <si>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</si>
  <si>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Steel Dynamics Inc</t>
  </si>
  <si>
    <t>STLD</t>
  </si>
  <si>
    <t>EQT Corp</t>
  </si>
  <si>
    <t>EQT</t>
  </si>
  <si>
    <t>PG&amp;E Corp</t>
  </si>
  <si>
    <t>PCG</t>
  </si>
  <si>
    <t>Gen Digital Inc</t>
  </si>
  <si>
    <t>GEN</t>
  </si>
  <si>
    <t>Keurig Dr Pepper Inc</t>
  </si>
  <si>
    <t>KDP</t>
  </si>
  <si>
    <t>ON Semiconductor Corp</t>
  </si>
  <si>
    <t>ON</t>
  </si>
  <si>
    <t>Elevance Health Inc</t>
  </si>
  <si>
    <t>ELV</t>
  </si>
  <si>
    <t>First Solar Inc</t>
  </si>
  <si>
    <t>FSLR</t>
  </si>
  <si>
    <t>Jacobs Solutions Inc</t>
  </si>
  <si>
    <t>VICI Properties Inc</t>
  </si>
  <si>
    <t>VICI</t>
  </si>
  <si>
    <t>CoStar Group Inc</t>
  </si>
  <si>
    <t>CSGP</t>
  </si>
  <si>
    <t>Invitation Homes Inc</t>
  </si>
  <si>
    <t>INVH</t>
  </si>
  <si>
    <t>META</t>
  </si>
  <si>
    <t>Arch Capital Group Ltd</t>
  </si>
  <si>
    <t>ACGL</t>
  </si>
  <si>
    <t>Crown Castle Inc</t>
  </si>
  <si>
    <t>Targa Resources Corp</t>
  </si>
  <si>
    <t>TRGP</t>
  </si>
  <si>
    <t>HISTORICAL BETA - 2013 - 2022</t>
  </si>
  <si>
    <t>[10] Value Line, dated December 30, 2022.</t>
  </si>
  <si>
    <t>[11] Average ([1] - [10])</t>
  </si>
  <si>
    <t>Average Authorized VI Electric ROE</t>
  </si>
  <si>
    <t>EXPECTED EARNINGS ANALYSIS</t>
  </si>
  <si>
    <t>Compound Annual Growth Rate</t>
  </si>
  <si>
    <t>Adjustment Factor</t>
  </si>
  <si>
    <t>Adjusted Return on Common Equity</t>
  </si>
  <si>
    <t>[4] Equals [2] x [3]</t>
  </si>
  <si>
    <t>[7] Equals [5] x [6]</t>
  </si>
  <si>
    <t>[8] Equals ([7] / [4]) ^ (1/5) - 1</t>
  </si>
  <si>
    <t>[9] Equals 2 x (1 + [8]) / (2 + [8])</t>
  </si>
  <si>
    <t>[10] Equals [1] x [9]</t>
  </si>
  <si>
    <t>Evergy, Inc.</t>
  </si>
  <si>
    <t>GE HealthCare Technologies Inc</t>
  </si>
  <si>
    <t>GEHC</t>
  </si>
  <si>
    <t>NMF</t>
  </si>
  <si>
    <t>Expected Earnings</t>
  </si>
  <si>
    <t>30-DAY CONSTANT GROWTH DCF -- PACIFICORP PROXY GROUP</t>
  </si>
  <si>
    <t>90-DAY CONSTANT GROWTH DCF -- PACIFICORP PROXY GROUP</t>
  </si>
  <si>
    <t>180-DAY CONSTANT GROWTH DCF -- PACIFICORP PROXY GROUP</t>
  </si>
  <si>
    <t>negative</t>
  </si>
  <si>
    <t>Blue Chip Near-Term Projected Forecast (Q4 2023 - Q4 2024) [5]</t>
  </si>
  <si>
    <t>Blue Chip Long-Term Projected Forecast (2025-2029) [6]</t>
  </si>
  <si>
    <t>Projected 30-year U.S. Treasury bond yield 
(2025 - 2029)</t>
  </si>
  <si>
    <t>Near-term projected 30-year U.S. Treasury bond yield 
(Q4 2023 - Q4 2024)</t>
  </si>
  <si>
    <t>Pinnacle West Capital Corporation</t>
  </si>
  <si>
    <t>Value Line ROE
2026-2028</t>
  </si>
  <si>
    <t>Value Line
Total Capital
2022</t>
  </si>
  <si>
    <t>Value Line
Common Equity Ratio 
2022</t>
  </si>
  <si>
    <t>Total Equity 
2022</t>
  </si>
  <si>
    <t>Value Line
Total Capital
2026-2028</t>
  </si>
  <si>
    <t>Value Line
Common Equity Ratio
2026-2028</t>
  </si>
  <si>
    <t>Total Equity 
2026-2028</t>
  </si>
  <si>
    <t>SUMMARY OF RESULTS OF THE COST OF EQUITY ANALYSES</t>
  </si>
  <si>
    <t>ECAPM:</t>
  </si>
  <si>
    <t>CAPM:</t>
  </si>
  <si>
    <t>CAPM, ECAPM, Risk Premium</t>
  </si>
  <si>
    <t>Risk Premium:</t>
  </si>
  <si>
    <t>Comparison of Dr. Woolridge DCF Analysis</t>
  </si>
  <si>
    <t>As-Filed v. As-Updated</t>
  </si>
  <si>
    <t>Dr. Woolridge</t>
  </si>
  <si>
    <t>Notes</t>
  </si>
  <si>
    <t>As-Filed</t>
  </si>
  <si>
    <t>Proj. EPS Gwth Rate</t>
  </si>
  <si>
    <t>Panel A - Dr. Woolridge Proxy Group</t>
  </si>
  <si>
    <t>Adjusted Dividend Yield</t>
  </si>
  <si>
    <t>Growth Rate</t>
  </si>
  <si>
    <t>Cost of Equity</t>
  </si>
  <si>
    <t>Panel B - Ms. Bulkley Proxy Group</t>
  </si>
  <si>
    <t>[2] Equals 1+(0.5 x [4])</t>
  </si>
  <si>
    <t>[3] [1] x [2]</t>
  </si>
  <si>
    <t>[5] Equals [3] + [4]</t>
  </si>
  <si>
    <t>As-Updated for</t>
  </si>
  <si>
    <t>[1] Exh. JRW-7, p. 1</t>
  </si>
  <si>
    <t xml:space="preserve">     (Wall Street analysts and Value Line) from Exh. JRW-7, pp. 4-5</t>
  </si>
  <si>
    <r>
      <t xml:space="preserve">[4] </t>
    </r>
    <r>
      <rPr>
        <i/>
        <sz val="12"/>
        <rFont val="Times New Roman"/>
        <family val="1"/>
      </rPr>
      <t>As-Filed</t>
    </r>
    <r>
      <rPr>
        <sz val="12"/>
        <rFont val="Times New Roman"/>
        <family val="1"/>
      </rPr>
      <t xml:space="preserve">:  Exh. JRW-7, p. 1;  </t>
    </r>
    <r>
      <rPr>
        <i/>
        <sz val="12"/>
        <rFont val="Times New Roman"/>
        <family val="1"/>
      </rPr>
      <t>As-Updated</t>
    </r>
    <r>
      <rPr>
        <sz val="12"/>
        <rFont val="Times New Roman"/>
        <family val="1"/>
      </rPr>
      <t>:  Midpoint of projected EPS growth rates from</t>
    </r>
  </si>
  <si>
    <t>Cost of Equity Increase from As-Filed:</t>
  </si>
  <si>
    <t>RISK-FREE</t>
  </si>
  <si>
    <t>RISK</t>
  </si>
  <si>
    <t>CAPM</t>
  </si>
  <si>
    <t>RATE</t>
  </si>
  <si>
    <t>BETA</t>
  </si>
  <si>
    <t>PREMIUM</t>
  </si>
  <si>
    <t>RATES</t>
  </si>
  <si>
    <t>Standard &amp; Poor's, and Federal Reserve.</t>
  </si>
  <si>
    <t>20-year Treasury Bonds</t>
  </si>
  <si>
    <t>Month</t>
  </si>
  <si>
    <t>Rate</t>
  </si>
  <si>
    <t>Jul-23</t>
  </si>
  <si>
    <t>ALLETE</t>
  </si>
  <si>
    <t>Avista Corp</t>
  </si>
  <si>
    <t>Black Hills Corp</t>
  </si>
  <si>
    <t>Fortis, Inc.</t>
  </si>
  <si>
    <t>IDACORP</t>
  </si>
  <si>
    <t>Northwestern Corp</t>
  </si>
  <si>
    <t>OGE Energy</t>
  </si>
  <si>
    <t>Otter Tail Corp</t>
  </si>
  <si>
    <t>Portland General Electric</t>
  </si>
  <si>
    <t>WEC Energy Group</t>
  </si>
  <si>
    <t>INCOME-ONLY</t>
  </si>
  <si>
    <t>LT GOV'T</t>
  </si>
  <si>
    <t>BONDS</t>
  </si>
  <si>
    <t>RETURN ON</t>
  </si>
  <si>
    <t>LARGE CO.</t>
  </si>
  <si>
    <t>STOCKS</t>
  </si>
  <si>
    <t>MARKET</t>
  </si>
  <si>
    <t>USE OF ADJUSTED HISTORICAL MARKET RISK PREMIUM</t>
  </si>
  <si>
    <t>HISTORICAL</t>
  </si>
  <si>
    <t>(1926-2022)</t>
  </si>
  <si>
    <t>CAPITAL STRUCTURE - MARKET VALUE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</si>
  <si>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</si>
  <si>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</si>
  <si>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</si>
  <si>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</si>
  <si>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</si>
  <si>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</si>
  <si>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</si>
  <si>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</si>
  <si>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</si>
  <si>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Market Value of Debt ($000)</t>
  </si>
  <si>
    <t>Market Value of Preferred Equity ($000)</t>
  </si>
  <si>
    <t>Market Value of Common Equity ($000)</t>
  </si>
  <si>
    <t>Market Value of Firm</t>
  </si>
  <si>
    <t>Market Value Ratio</t>
  </si>
  <si>
    <t>Current Assets</t>
  </si>
  <si>
    <t>Current Liabilities</t>
  </si>
  <si>
    <t>Current Long-Term Debt and Leases</t>
  </si>
  <si>
    <t>Net Working Capital</t>
  </si>
  <si>
    <t>Short-term Debt</t>
  </si>
  <si>
    <t xml:space="preserve">Adj. Short-Debt </t>
  </si>
  <si>
    <t>Long-term Debt</t>
  </si>
  <si>
    <t xml:space="preserve"> Debt - Book Value</t>
  </si>
  <si>
    <t xml:space="preserve">Unadjusted Market Value of Debt </t>
  </si>
  <si>
    <t xml:space="preserve">Carrying Amount </t>
  </si>
  <si>
    <t>Adjustment to Book Value of Long-term Debt</t>
  </si>
  <si>
    <t>Debt - Market Value</t>
  </si>
  <si>
    <t>Preferred Equity - Book Value</t>
  </si>
  <si>
    <t>Preferred Equity - Market Value</t>
  </si>
  <si>
    <t>Common Equity - Book Value</t>
  </si>
  <si>
    <t>Common Equity - Market Value</t>
  </si>
  <si>
    <t>Debt</t>
  </si>
  <si>
    <t>Preferred</t>
  </si>
  <si>
    <t>Common</t>
  </si>
  <si>
    <t>MEAN</t>
  </si>
  <si>
    <t>[4] Equals [1] - ([2] -[3])</t>
  </si>
  <si>
    <t>[6] Equals:</t>
  </si>
  <si>
    <t>[A] 0 if [4] &gt; 0</t>
  </si>
  <si>
    <t>[B] ABS of [4] if  [4] &lt; 0 and ABS of [4] &lt; [5]</t>
  </si>
  <si>
    <t>[C] [5] if  [4] &lt; 0 and ABS of [4] &gt; [5]</t>
  </si>
  <si>
    <t>[8] Equals [3] + [6] + [7]</t>
  </si>
  <si>
    <t>[9] Company 10-Ks</t>
  </si>
  <si>
    <t>[10] Company 10-Ks</t>
  </si>
  <si>
    <t>[11] Equals [9] - [10]</t>
  </si>
  <si>
    <t>[12] Equals [8] + [11]</t>
  </si>
  <si>
    <t>[14] Equals [13]</t>
  </si>
  <si>
    <t xml:space="preserve">[17] Equals [12] + [14] + [16] </t>
  </si>
  <si>
    <t>[18] Equals [12] / [17]</t>
  </si>
  <si>
    <t>[19] Equals [14] / [17]</t>
  </si>
  <si>
    <t>[20] Equals [16] / [17]</t>
  </si>
  <si>
    <t>[1] S&amp;P Capital IQ Pro.</t>
  </si>
  <si>
    <t>[2] S&amp;P Capital IQ Pro.</t>
  </si>
  <si>
    <t>[3] S&amp;P Capital IQ Pro.</t>
  </si>
  <si>
    <t>[5] S&amp;P Capital IQ Pro.</t>
  </si>
  <si>
    <t>[7] S&amp;P Capital IQ Pro.</t>
  </si>
  <si>
    <t>[13] S&amp;P Capital IQ Pro.</t>
  </si>
  <si>
    <t>[15] S&amp;P Capital IQ Pro.</t>
  </si>
  <si>
    <t>[16] S&amp;P Capital IQ Pro.</t>
  </si>
  <si>
    <t>[1] Bloomberg Professional</t>
  </si>
  <si>
    <t>[5] Value Line</t>
  </si>
  <si>
    <t>[6] Yahoo! Finance</t>
  </si>
  <si>
    <t>[7] Zacks</t>
  </si>
  <si>
    <t>[2] Value Line</t>
  </si>
  <si>
    <t>[3] Market Return</t>
  </si>
  <si>
    <t>[1] Blue Chip Financial Forecasts, Vol. 42, No. 6, June 1, 2023, at 14</t>
  </si>
  <si>
    <t>[2] Bloomberg Professional, based on 10-year weekly returns</t>
  </si>
  <si>
    <t>[2] LT Beta</t>
  </si>
  <si>
    <t>[2] S&amp;P Capital IQ Pro, quarterly bond yields are the average of each trading day in the quarter</t>
  </si>
  <si>
    <t>[6] Blue Chip Financial Forecasts, Vol. 42, No. 6, June 1, 2023, at 14</t>
  </si>
  <si>
    <t>[1] Value Line</t>
  </si>
  <si>
    <t>[3] Value Line</t>
  </si>
  <si>
    <t>[6] Value Line</t>
  </si>
  <si>
    <t>[2] Bloomberg Professional, equals 30-day average as of September 30, 2023</t>
  </si>
  <si>
    <t>[2] Bloomberg Professional, equals 90-day average as of September 30, 2023</t>
  </si>
  <si>
    <t>[2] Bloomberg Professional, equals 180-day average as of September 30, 2023</t>
  </si>
  <si>
    <t>RTX Corp</t>
  </si>
  <si>
    <t>Cigna Group/The</t>
  </si>
  <si>
    <t>Axon Enterprise Inc</t>
  </si>
  <si>
    <t>AXON</t>
  </si>
  <si>
    <t>Becton Dickinson &amp; Co</t>
  </si>
  <si>
    <t>Airbnb Inc</t>
  </si>
  <si>
    <t>ABNB</t>
  </si>
  <si>
    <t>Revvity Inc</t>
  </si>
  <si>
    <t>RVTY</t>
  </si>
  <si>
    <t>Insulet Corp</t>
  </si>
  <si>
    <t>PODD</t>
  </si>
  <si>
    <t>Kellanova</t>
  </si>
  <si>
    <t>Robert Half Inc</t>
  </si>
  <si>
    <t>Schlumberger NV</t>
  </si>
  <si>
    <t>Blackstone Inc</t>
  </si>
  <si>
    <t>BX</t>
  </si>
  <si>
    <t>FI</t>
  </si>
  <si>
    <t>Fair Isaac Corp</t>
  </si>
  <si>
    <t>FICO</t>
  </si>
  <si>
    <t>Cencora Inc</t>
  </si>
  <si>
    <t>COR</t>
  </si>
  <si>
    <t>Sempra</t>
  </si>
  <si>
    <t>Bunge Ltd</t>
  </si>
  <si>
    <t>BG</t>
  </si>
  <si>
    <t>Palo Alto Networks Inc</t>
  </si>
  <si>
    <t>PANW</t>
  </si>
  <si>
    <t>Everest Group Ltd</t>
  </si>
  <si>
    <t>EG</t>
  </si>
  <si>
    <t>Kenvue Inc</t>
  </si>
  <si>
    <t>KVUE</t>
  </si>
  <si>
    <t>[4] Bloomberg Professional as of September 30, 2023</t>
  </si>
  <si>
    <t>[5] Bloomberg Professional as of September 30, 2023</t>
  </si>
  <si>
    <t>[8] Bloomberg Professional, as of September 30, 2023</t>
  </si>
  <si>
    <t>[10] Value Line, as of September 30, 2023</t>
  </si>
  <si>
    <t>[1] Bloomberg Professional, as of September 30, 2023</t>
  </si>
  <si>
    <t>[1] Blue Chip Financial Forecasts, Vol. 42, No. 10, October 1, 2023, at 2</t>
  </si>
  <si>
    <t>[1] Regulatory Research Associates, rate cases through September 30, 2023</t>
  </si>
  <si>
    <t>[4] S&amp;P Capital IQ Pro, 30-day average as of September 30, 2023</t>
  </si>
  <si>
    <t>[5] Blue Chip Financial Forecasts, Vol. 42, No. 10, October 1, 2023, at 2</t>
  </si>
  <si>
    <t>US Government 30 Year Treasury</t>
  </si>
  <si>
    <t>Near-Term Projected Treasury Bond Yield</t>
  </si>
  <si>
    <t>Longer-Term Projected Treasury Bond Yield</t>
  </si>
  <si>
    <t>Long-Term Avg. Beta</t>
  </si>
  <si>
    <t>COMPANY</t>
  </si>
  <si>
    <t>Parcell Proxy Group</t>
  </si>
  <si>
    <t>Source:  Value Line Investment Survey, June 9, 2023, July 21, 2023, August 11, 2023.</t>
  </si>
  <si>
    <t>WITNESS PARCELL CAPM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</si>
</sst>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[&quot;#&quot;]&quot;"/>
    <numFmt numFmtId="165" formatCode="&quot;$&quot;#,##0.00"/>
    <numFmt numFmtId="166" formatCode="0.0000000%"/>
    <numFmt numFmtId="167" formatCode="0.0000000"/>
    <numFmt numFmtId="168" formatCode="_(* #,##0.0000_);_(* \(#,##0.0000\);_(* &quot;-&quot;??_);_(@_)"/>
    <numFmt numFmtId="169" formatCode="0.000"/>
    <numFmt numFmtId="170" formatCode="_(* #,##0_);_(* \(#,##0\);_(* &quot;-&quot;??_);_(@_)"/>
    <numFmt numFmtId="171" formatCode="_(* #,##0.00000_);_(* \(#,##0.00000\);_(* &quot;-&quot;??_);_(@_)"/>
    <numFmt numFmtId="172" formatCode="_(* #,##0.000000_);_(* \(#,##0.000000\);_(* &quot;-&quot;??_);_(@_)"/>
    <numFmt numFmtId="173" formatCode="0.0000"/>
    <numFmt numFmtId="174" formatCode="0.0%"/>
    <numFmt numFmtId="175" formatCode="[$-409]mmmm\-yy;@"/>
    <numFmt numFmtId="176" formatCode="&quot;$&quot;#,##0"/>
    <numFmt numFmtId="177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  <font>
      <sz val="10"/>
      <color indexed="8"/>
      <name val="Calibri"/>
      <family val="2"/>
    </font>
    <font>
      <i/>
      <sz val="10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b/>
      <sz val="16"/>
      <name val="Times New Roman"/>
      <family val="1"/>
    </font>
    <font>
      <b/>
      <sz val="12"/>
      <color theme="1"/>
      <name val="Arial"/>
      <family val="2"/>
    </font>
    <font>
      <b/>
      <i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2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 applyNumberFormat="0" applyBorder="0" applyProtection="0">
      <alignment vertical="center"/>
    </xf>
    <xf numFmtId="9" fontId="2" fillId="0" borderId="0" applyFont="0" applyFill="0" applyBorder="0" applyAlignment="0" applyProtection="0"/>
    <xf numFmtId="0" fontId="25" fillId="0" borderId="0"/>
    <xf numFmtId="175" fontId="7" fillId="0" borderId="0"/>
    <xf numFmtId="0" fontId="1" fillId="0" borderId="0" applyNumberFormat="0" applyBorder="0" applyProtection="0">
      <alignment vertical="center"/>
    </xf>
  </cellStyleXfs>
  <cellXfs count="304">
    <xf numFmtId="0" fontId="0" fillId="0" borderId="0" xfId="0"/>
    <xf numFmtId="0" fontId="2" fillId="0" borderId="0" xfId="3" applyAlignment="1">
      <alignment horizontal="center" wrapText="1"/>
    </xf>
    <xf numFmtId="0" fontId="2" fillId="0" borderId="0" xfId="3" applyAlignment="1">
      <alignment wrapText="1"/>
    </xf>
    <xf numFmtId="0" fontId="3" fillId="0" borderId="0" xfId="3" applyFont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10" fontId="2" fillId="0" borderId="0" xfId="3" applyNumberFormat="1" applyAlignment="1">
      <alignment horizontal="center" vertical="center" wrapText="1"/>
    </xf>
    <xf numFmtId="0" fontId="2" fillId="0" borderId="0" xfId="3"/>
    <xf numFmtId="0" fontId="5" fillId="0" borderId="0" xfId="6" applyAlignment="1">
      <alignment horizontal="left" wrapText="1"/>
    </xf>
    <xf numFmtId="3" fontId="2" fillId="0" borderId="0" xfId="3" applyNumberFormat="1"/>
    <xf numFmtId="0" fontId="5" fillId="0" borderId="1" xfId="7" applyBorder="1" applyAlignment="1">
      <alignment horizontal="center"/>
    </xf>
    <xf numFmtId="0" fontId="5" fillId="0" borderId="1" xfId="7" applyBorder="1" applyAlignment="1">
      <alignment horizontal="center" wrapText="1"/>
    </xf>
    <xf numFmtId="0" fontId="2" fillId="0" borderId="0" xfId="6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0" xfId="7" applyNumberFormat="1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center"/>
    </xf>
    <xf numFmtId="0" fontId="5" fillId="0" borderId="0" xfId="8" applyFont="1" applyAlignment="1">
      <alignment horizontal="center"/>
    </xf>
    <xf numFmtId="0" fontId="5" fillId="0" borderId="0" xfId="8" applyFont="1"/>
    <xf numFmtId="164" fontId="5" fillId="0" borderId="2" xfId="0" applyNumberFormat="1" applyFont="1" applyBorder="1" applyAlignment="1">
      <alignment horizontal="center"/>
    </xf>
    <xf numFmtId="0" fontId="2" fillId="0" borderId="1" xfId="8" applyFont="1" applyBorder="1" applyAlignment="1">
      <alignment horizontal="center"/>
    </xf>
    <xf numFmtId="0" fontId="5" fillId="0" borderId="1" xfId="8" applyFont="1" applyBorder="1" applyAlignment="1">
      <alignment horizontal="center"/>
    </xf>
    <xf numFmtId="0" fontId="2" fillId="0" borderId="1" xfId="8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8" applyFont="1"/>
    <xf numFmtId="0" fontId="2" fillId="0" borderId="0" xfId="0" applyFont="1"/>
    <xf numFmtId="0" fontId="2" fillId="0" borderId="0" xfId="8" applyFont="1" applyAlignment="1">
      <alignment horizontal="center"/>
    </xf>
    <xf numFmtId="165" fontId="2" fillId="0" borderId="0" xfId="8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Border="1" applyAlignment="1">
      <alignment horizontal="center"/>
    </xf>
    <xf numFmtId="10" fontId="2" fillId="0" borderId="0" xfId="8" applyNumberFormat="1" applyFont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10" fontId="5" fillId="0" borderId="0" xfId="2" applyNumberFormat="1" applyFont="1"/>
    <xf numFmtId="165" fontId="2" fillId="0" borderId="4" xfId="8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0" fontId="2" fillId="0" borderId="4" xfId="8" applyNumberFormat="1" applyFont="1" applyBorder="1" applyAlignment="1">
      <alignment horizontal="center"/>
    </xf>
    <xf numFmtId="10" fontId="2" fillId="0" borderId="4" xfId="9" applyNumberFormat="1" applyFont="1" applyBorder="1" applyAlignment="1">
      <alignment horizontal="center"/>
    </xf>
    <xf numFmtId="0" fontId="2" fillId="0" borderId="3" xfId="8" applyFont="1" applyBorder="1"/>
    <xf numFmtId="0" fontId="5" fillId="0" borderId="3" xfId="8" applyFont="1" applyBorder="1"/>
    <xf numFmtId="0" fontId="5" fillId="0" borderId="3" xfId="8" applyFont="1" applyBorder="1" applyAlignment="1">
      <alignment horizontal="center"/>
    </xf>
    <xf numFmtId="10" fontId="5" fillId="0" borderId="3" xfId="8" applyNumberFormat="1" applyFont="1" applyBorder="1" applyAlignment="1">
      <alignment horizontal="center"/>
    </xf>
    <xf numFmtId="10" fontId="5" fillId="0" borderId="0" xfId="8" applyNumberFormat="1" applyFont="1" applyAlignment="1">
      <alignment horizontal="center"/>
    </xf>
    <xf numFmtId="0" fontId="5" fillId="0" borderId="4" xfId="10" applyBorder="1"/>
    <xf numFmtId="0" fontId="5" fillId="0" borderId="0" xfId="10"/>
    <xf numFmtId="43" fontId="5" fillId="0" borderId="0" xfId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4" xfId="8" applyFont="1" applyBorder="1"/>
    <xf numFmtId="0" fontId="2" fillId="0" borderId="4" xfId="8" applyFont="1" applyBorder="1" applyAlignment="1">
      <alignment horizontal="center"/>
    </xf>
    <xf numFmtId="10" fontId="2" fillId="0" borderId="4" xfId="2" applyNumberFormat="1" applyFont="1" applyFill="1" applyBorder="1" applyAlignment="1">
      <alignment horizontal="center"/>
    </xf>
    <xf numFmtId="0" fontId="5" fillId="0" borderId="0" xfId="7"/>
    <xf numFmtId="0" fontId="5" fillId="0" borderId="0" xfId="7" applyAlignment="1">
      <alignment horizontal="center"/>
    </xf>
    <xf numFmtId="0" fontId="2" fillId="0" borderId="1" xfId="7" applyFont="1" applyBorder="1" applyAlignment="1">
      <alignment horizontal="center" wrapText="1"/>
    </xf>
    <xf numFmtId="10" fontId="5" fillId="0" borderId="0" xfId="2" applyNumberFormat="1" applyFont="1" applyFill="1" applyAlignment="1">
      <alignment horizontal="center"/>
    </xf>
    <xf numFmtId="2" fontId="5" fillId="0" borderId="3" xfId="7" applyNumberFormat="1" applyBorder="1" applyAlignment="1">
      <alignment horizontal="center"/>
    </xf>
    <xf numFmtId="10" fontId="5" fillId="0" borderId="0" xfId="7" applyNumberFormat="1" applyAlignment="1">
      <alignment horizontal="center"/>
    </xf>
    <xf numFmtId="2" fontId="5" fillId="0" borderId="0" xfId="7" applyNumberFormat="1" applyAlignment="1">
      <alignment horizontal="center"/>
    </xf>
    <xf numFmtId="0" fontId="2" fillId="0" borderId="4" xfId="0" applyFont="1" applyBorder="1"/>
    <xf numFmtId="0" fontId="5" fillId="0" borderId="3" xfId="7" applyBorder="1"/>
    <xf numFmtId="10" fontId="5" fillId="0" borderId="3" xfId="7" applyNumberFormat="1" applyBorder="1" applyAlignment="1">
      <alignment horizontal="center"/>
    </xf>
    <xf numFmtId="0" fontId="5" fillId="0" borderId="2" xfId="7" applyBorder="1"/>
    <xf numFmtId="2" fontId="5" fillId="0" borderId="2" xfId="7" applyNumberFormat="1" applyBorder="1" applyAlignment="1">
      <alignment horizontal="center"/>
    </xf>
    <xf numFmtId="10" fontId="5" fillId="0" borderId="2" xfId="7" applyNumberFormat="1" applyBorder="1" applyAlignment="1">
      <alignment horizontal="center"/>
    </xf>
    <xf numFmtId="0" fontId="5" fillId="0" borderId="4" xfId="7" applyBorder="1"/>
    <xf numFmtId="0" fontId="5" fillId="0" borderId="0" xfId="7" applyAlignment="1">
      <alignment horizontal="left"/>
    </xf>
    <xf numFmtId="2" fontId="2" fillId="0" borderId="4" xfId="7" applyNumberFormat="1" applyFont="1" applyBorder="1" applyAlignment="1">
      <alignment horizontal="center"/>
    </xf>
    <xf numFmtId="166" fontId="5" fillId="0" borderId="0" xfId="7" applyNumberFormat="1"/>
    <xf numFmtId="2" fontId="5" fillId="0" borderId="0" xfId="7" applyNumberFormat="1" applyBorder="1" applyAlignment="1">
      <alignment horizontal="center"/>
    </xf>
    <xf numFmtId="10" fontId="5" fillId="0" borderId="0" xfId="7" applyNumberFormat="1"/>
    <xf numFmtId="0" fontId="2" fillId="0" borderId="2" xfId="0" applyFont="1" applyBorder="1"/>
    <xf numFmtId="0" fontId="5" fillId="0" borderId="1" xfId="7" applyBorder="1"/>
    <xf numFmtId="14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9" fillId="0" borderId="0" xfId="0" applyFont="1"/>
    <xf numFmtId="2" fontId="2" fillId="0" borderId="5" xfId="12" applyNumberFormat="1" applyFont="1" applyBorder="1" applyAlignment="1">
      <alignment horizontal="center"/>
    </xf>
    <xf numFmtId="0" fontId="5" fillId="0" borderId="4" xfId="0" applyFont="1" applyBorder="1"/>
    <xf numFmtId="167" fontId="5" fillId="0" borderId="0" xfId="0" applyNumberFormat="1" applyFont="1"/>
    <xf numFmtId="0" fontId="10" fillId="0" borderId="0" xfId="6" applyFont="1"/>
    <xf numFmtId="0" fontId="5" fillId="0" borderId="0" xfId="6"/>
    <xf numFmtId="0" fontId="10" fillId="0" borderId="0" xfId="6" applyFont="1" applyAlignment="1">
      <alignment horizontal="centerContinuous"/>
    </xf>
    <xf numFmtId="0" fontId="10" fillId="0" borderId="0" xfId="6" applyFont="1" applyAlignment="1">
      <alignment horizontal="center"/>
    </xf>
    <xf numFmtId="0" fontId="10" fillId="0" borderId="8" xfId="6" applyFont="1" applyBorder="1"/>
    <xf numFmtId="0" fontId="2" fillId="0" borderId="8" xfId="6" applyFont="1" applyBorder="1"/>
    <xf numFmtId="0" fontId="11" fillId="0" borderId="8" xfId="6" applyFont="1" applyBorder="1"/>
    <xf numFmtId="0" fontId="10" fillId="0" borderId="8" xfId="6" applyFont="1" applyBorder="1" applyAlignment="1">
      <alignment horizontal="center"/>
    </xf>
    <xf numFmtId="0" fontId="10" fillId="0" borderId="4" xfId="6" applyFont="1" applyBorder="1" applyAlignment="1">
      <alignment horizontal="center"/>
    </xf>
    <xf numFmtId="0" fontId="2" fillId="0" borderId="4" xfId="6" applyFont="1" applyBorder="1" applyAlignment="1">
      <alignment horizontal="center"/>
    </xf>
    <xf numFmtId="0" fontId="5" fillId="0" borderId="0" xfId="6" applyAlignment="1">
      <alignment horizontal="center"/>
    </xf>
    <xf numFmtId="10" fontId="10" fillId="0" borderId="0" xfId="6" applyNumberFormat="1" applyFont="1" applyAlignment="1">
      <alignment horizontal="center"/>
    </xf>
    <xf numFmtId="10" fontId="10" fillId="0" borderId="0" xfId="13" applyNumberFormat="1" applyFont="1" applyFill="1" applyAlignment="1">
      <alignment horizontal="center"/>
    </xf>
    <xf numFmtId="9" fontId="10" fillId="0" borderId="0" xfId="6" applyNumberFormat="1" applyFont="1"/>
    <xf numFmtId="0" fontId="10" fillId="0" borderId="4" xfId="6" applyFont="1" applyBorder="1"/>
    <xf numFmtId="0" fontId="2" fillId="0" borderId="0" xfId="15"/>
    <xf numFmtId="0" fontId="2" fillId="0" borderId="0" xfId="15" applyAlignment="1">
      <alignment horizontal="center"/>
    </xf>
    <xf numFmtId="0" fontId="2" fillId="0" borderId="1" xfId="15" applyBorder="1" applyAlignment="1">
      <alignment horizontal="center"/>
    </xf>
    <xf numFmtId="0" fontId="2" fillId="0" borderId="1" xfId="15" applyBorder="1" applyAlignment="1">
      <alignment horizontal="center" wrapText="1"/>
    </xf>
    <xf numFmtId="10" fontId="2" fillId="0" borderId="0" xfId="16" applyNumberFormat="1" applyFont="1" applyAlignment="1">
      <alignment horizontal="center"/>
    </xf>
    <xf numFmtId="10" fontId="2" fillId="0" borderId="0" xfId="16" applyNumberFormat="1" applyFont="1" applyBorder="1" applyAlignment="1">
      <alignment horizontal="center"/>
    </xf>
    <xf numFmtId="0" fontId="2" fillId="0" borderId="8" xfId="15" applyBorder="1"/>
    <xf numFmtId="0" fontId="2" fillId="0" borderId="8" xfId="15" applyBorder="1" applyAlignment="1">
      <alignment horizontal="center"/>
    </xf>
    <xf numFmtId="0" fontId="2" fillId="0" borderId="4" xfId="15" applyBorder="1"/>
    <xf numFmtId="0" fontId="2" fillId="0" borderId="4" xfId="15" applyBorder="1" applyAlignment="1">
      <alignment horizontal="center"/>
    </xf>
    <xf numFmtId="10" fontId="2" fillId="0" borderId="0" xfId="16" applyNumberFormat="1" applyFont="1" applyFill="1" applyBorder="1" applyAlignment="1">
      <alignment horizontal="center"/>
    </xf>
    <xf numFmtId="10" fontId="2" fillId="0" borderId="4" xfId="16" applyNumberFormat="1" applyFont="1" applyFill="1" applyBorder="1" applyAlignment="1">
      <alignment horizontal="center"/>
    </xf>
    <xf numFmtId="10" fontId="2" fillId="0" borderId="4" xfId="16" applyNumberFormat="1" applyFont="1" applyBorder="1" applyAlignment="1">
      <alignment horizontal="center"/>
    </xf>
    <xf numFmtId="10" fontId="2" fillId="0" borderId="9" xfId="16" applyNumberFormat="1" applyFont="1" applyBorder="1" applyAlignment="1">
      <alignment horizontal="center"/>
    </xf>
    <xf numFmtId="10" fontId="5" fillId="0" borderId="3" xfId="15" applyNumberFormat="1" applyFont="1" applyBorder="1" applyAlignment="1">
      <alignment horizontal="center"/>
    </xf>
    <xf numFmtId="0" fontId="2" fillId="0" borderId="0" xfId="0" applyFont="1" applyBorder="1"/>
    <xf numFmtId="2" fontId="2" fillId="0" borderId="3" xfId="7" applyNumberFormat="1" applyFont="1" applyBorder="1" applyAlignment="1">
      <alignment horizontal="center"/>
    </xf>
    <xf numFmtId="2" fontId="2" fillId="0" borderId="0" xfId="7" applyNumberFormat="1" applyFont="1" applyBorder="1" applyAlignment="1">
      <alignment horizontal="center"/>
    </xf>
    <xf numFmtId="0" fontId="5" fillId="0" borderId="0" xfId="20" applyFont="1"/>
    <xf numFmtId="0" fontId="4" fillId="0" borderId="0" xfId="21" applyFont="1" applyAlignment="1">
      <alignment horizontal="center" vertical="center" wrapText="1"/>
    </xf>
    <xf numFmtId="0" fontId="15" fillId="0" borderId="0" xfId="20" applyFont="1"/>
    <xf numFmtId="0" fontId="5" fillId="0" borderId="0" xfId="20" applyFont="1" applyAlignment="1">
      <alignment horizontal="center"/>
    </xf>
    <xf numFmtId="0" fontId="5" fillId="0" borderId="0" xfId="20" applyFont="1" applyAlignment="1">
      <alignment horizontal="center" wrapText="1"/>
    </xf>
    <xf numFmtId="0" fontId="5" fillId="0" borderId="1" xfId="20" applyFont="1" applyBorder="1"/>
    <xf numFmtId="0" fontId="5" fillId="0" borderId="1" xfId="20" applyFont="1" applyBorder="1" applyAlignment="1">
      <alignment horizontal="center" wrapText="1"/>
    </xf>
    <xf numFmtId="0" fontId="5" fillId="0" borderId="0" xfId="20" applyFont="1" applyAlignment="1">
      <alignment horizontal="center" vertical="center"/>
    </xf>
    <xf numFmtId="0" fontId="2" fillId="0" borderId="0" xfId="15" applyFont="1"/>
    <xf numFmtId="10" fontId="2" fillId="0" borderId="0" xfId="16" applyNumberFormat="1" applyAlignment="1">
      <alignment horizontal="center"/>
    </xf>
    <xf numFmtId="3" fontId="2" fillId="0" borderId="0" xfId="23" applyNumberFormat="1" applyFont="1" applyAlignment="1">
      <alignment horizontal="center"/>
    </xf>
    <xf numFmtId="10" fontId="5" fillId="0" borderId="0" xfId="24" applyNumberFormat="1" applyFont="1" applyAlignment="1">
      <alignment horizontal="center"/>
    </xf>
    <xf numFmtId="169" fontId="5" fillId="0" borderId="0" xfId="20" applyNumberFormat="1" applyFont="1" applyAlignment="1">
      <alignment horizontal="center"/>
    </xf>
    <xf numFmtId="10" fontId="5" fillId="0" borderId="0" xfId="20" applyNumberFormat="1" applyFont="1" applyAlignment="1">
      <alignment horizontal="center"/>
    </xf>
    <xf numFmtId="168" fontId="15" fillId="0" borderId="0" xfId="23" applyNumberFormat="1" applyFont="1"/>
    <xf numFmtId="10" fontId="15" fillId="0" borderId="0" xfId="22" applyNumberFormat="1" applyFont="1"/>
    <xf numFmtId="0" fontId="2" fillId="0" borderId="3" xfId="10" applyFont="1" applyBorder="1" applyAlignment="1">
      <alignment horizontal="left" vertical="center"/>
    </xf>
    <xf numFmtId="0" fontId="5" fillId="0" borderId="3" xfId="20" applyFont="1" applyBorder="1" applyAlignment="1">
      <alignment horizontal="center"/>
    </xf>
    <xf numFmtId="0" fontId="4" fillId="0" borderId="3" xfId="20" applyFont="1" applyBorder="1" applyAlignment="1">
      <alignment horizontal="center"/>
    </xf>
    <xf numFmtId="0" fontId="5" fillId="0" borderId="3" xfId="20" applyFont="1" applyBorder="1"/>
    <xf numFmtId="10" fontId="2" fillId="0" borderId="3" xfId="25" applyNumberFormat="1" applyFont="1" applyBorder="1" applyAlignment="1">
      <alignment horizontal="center"/>
    </xf>
    <xf numFmtId="0" fontId="5" fillId="0" borderId="2" xfId="20" applyFont="1" applyBorder="1"/>
    <xf numFmtId="0" fontId="5" fillId="0" borderId="2" xfId="20" applyFont="1" applyBorder="1" applyAlignment="1">
      <alignment horizontal="center"/>
    </xf>
    <xf numFmtId="0" fontId="4" fillId="0" borderId="2" xfId="20" applyFont="1" applyBorder="1" applyAlignment="1">
      <alignment horizontal="center"/>
    </xf>
    <xf numFmtId="10" fontId="5" fillId="0" borderId="2" xfId="20" applyNumberFormat="1" applyFont="1" applyBorder="1" applyAlignment="1">
      <alignment horizontal="center" vertical="center"/>
    </xf>
    <xf numFmtId="0" fontId="4" fillId="0" borderId="0" xfId="21" applyFont="1"/>
    <xf numFmtId="0" fontId="5" fillId="0" borderId="4" xfId="20" applyFont="1" applyBorder="1"/>
    <xf numFmtId="0" fontId="15" fillId="0" borderId="0" xfId="20" applyFont="1" applyAlignment="1">
      <alignment horizontal="center"/>
    </xf>
    <xf numFmtId="0" fontId="5" fillId="0" borderId="0" xfId="20" applyFont="1" applyAlignment="1">
      <alignment horizontal="left"/>
    </xf>
    <xf numFmtId="3" fontId="5" fillId="0" borderId="0" xfId="20" applyNumberFormat="1" applyFont="1"/>
    <xf numFmtId="170" fontId="5" fillId="0" borderId="0" xfId="23" applyNumberFormat="1" applyFont="1"/>
    <xf numFmtId="170" fontId="15" fillId="0" borderId="0" xfId="20" applyNumberFormat="1" applyFont="1"/>
    <xf numFmtId="43" fontId="5" fillId="0" borderId="0" xfId="20" applyNumberFormat="1" applyFont="1"/>
    <xf numFmtId="43" fontId="15" fillId="0" borderId="0" xfId="20" applyNumberFormat="1" applyFont="1"/>
    <xf numFmtId="10" fontId="5" fillId="0" borderId="0" xfId="22" applyNumberFormat="1" applyFont="1"/>
    <xf numFmtId="0" fontId="15" fillId="0" borderId="0" xfId="20" applyFont="1" applyAlignment="1">
      <alignment horizontal="left"/>
    </xf>
    <xf numFmtId="0" fontId="1" fillId="0" borderId="0" xfId="18">
      <alignment vertical="center"/>
    </xf>
    <xf numFmtId="0" fontId="2" fillId="0" borderId="0" xfId="15" quotePrefix="1" applyFont="1" applyAlignment="1">
      <alignment horizontal="center"/>
    </xf>
    <xf numFmtId="0" fontId="2" fillId="0" borderId="0" xfId="15" applyFont="1" applyAlignment="1">
      <alignment horizontal="center"/>
    </xf>
    <xf numFmtId="0" fontId="2" fillId="0" borderId="0" xfId="15" applyAlignment="1"/>
    <xf numFmtId="0" fontId="13" fillId="0" borderId="1" xfId="15" applyFont="1" applyFill="1" applyBorder="1" applyAlignment="1">
      <alignment horizontal="centerContinuous"/>
    </xf>
    <xf numFmtId="0" fontId="2" fillId="0" borderId="0" xfId="15" applyFill="1" applyBorder="1" applyAlignment="1"/>
    <xf numFmtId="0" fontId="2" fillId="0" borderId="2" xfId="15" applyFill="1" applyBorder="1" applyAlignment="1"/>
    <xf numFmtId="0" fontId="13" fillId="0" borderId="1" xfId="15" applyFont="1" applyFill="1" applyBorder="1" applyAlignment="1">
      <alignment horizontal="center"/>
    </xf>
    <xf numFmtId="0" fontId="5" fillId="0" borderId="0" xfId="18" applyFont="1">
      <alignment vertical="center"/>
    </xf>
    <xf numFmtId="0" fontId="5" fillId="0" borderId="0" xfId="18" applyFont="1" applyFill="1">
      <alignment vertical="center"/>
    </xf>
    <xf numFmtId="0" fontId="2" fillId="0" borderId="4" xfId="0" applyFont="1" applyBorder="1" applyAlignment="1">
      <alignment horizontal="center"/>
    </xf>
    <xf numFmtId="2" fontId="2" fillId="0" borderId="0" xfId="12" applyNumberFormat="1" applyFont="1" applyFill="1" applyAlignment="1">
      <alignment horizontal="center"/>
    </xf>
    <xf numFmtId="10" fontId="2" fillId="0" borderId="0" xfId="16" applyNumberFormat="1" applyFill="1" applyAlignment="1">
      <alignment horizontal="center"/>
    </xf>
    <xf numFmtId="3" fontId="2" fillId="0" borderId="0" xfId="23" applyNumberFormat="1" applyFont="1" applyFill="1" applyAlignment="1">
      <alignment horizontal="center"/>
    </xf>
    <xf numFmtId="0" fontId="5" fillId="0" borderId="0" xfId="20" applyFont="1" applyFill="1" applyAlignment="1">
      <alignment horizontal="center" vertical="center"/>
    </xf>
    <xf numFmtId="0" fontId="2" fillId="0" borderId="0" xfId="15" applyFont="1" applyFill="1"/>
    <xf numFmtId="0" fontId="15" fillId="0" borderId="0" xfId="20" applyFont="1" applyFill="1"/>
    <xf numFmtId="0" fontId="5" fillId="0" borderId="0" xfId="6" applyBorder="1"/>
    <xf numFmtId="4" fontId="5" fillId="0" borderId="0" xfId="6" applyNumberFormat="1" applyFont="1" applyAlignment="1">
      <alignment horizontal="center"/>
    </xf>
    <xf numFmtId="172" fontId="0" fillId="0" borderId="0" xfId="5" applyNumberFormat="1" applyFont="1" applyFill="1" applyBorder="1" applyAlignment="1"/>
    <xf numFmtId="0" fontId="0" fillId="0" borderId="0" xfId="0" applyAlignment="1"/>
    <xf numFmtId="0" fontId="0" fillId="0" borderId="2" xfId="0" applyFill="1" applyBorder="1" applyAlignment="1"/>
    <xf numFmtId="0" fontId="13" fillId="0" borderId="1" xfId="0" applyFont="1" applyFill="1" applyBorder="1" applyAlignment="1">
      <alignment horizontal="center"/>
    </xf>
    <xf numFmtId="0" fontId="0" fillId="0" borderId="0" xfId="0" applyFill="1" applyBorder="1" applyAlignment="1"/>
    <xf numFmtId="172" fontId="0" fillId="0" borderId="2" xfId="5" applyNumberFormat="1" applyFont="1" applyFill="1" applyBorder="1" applyAlignment="1"/>
    <xf numFmtId="168" fontId="0" fillId="0" borderId="0" xfId="5" applyNumberFormat="1" applyFont="1" applyFill="1" applyBorder="1" applyAlignment="1"/>
    <xf numFmtId="43" fontId="0" fillId="0" borderId="0" xfId="5" applyFont="1" applyFill="1" applyBorder="1" applyAlignment="1"/>
    <xf numFmtId="171" fontId="0" fillId="0" borderId="0" xfId="5" applyNumberFormat="1" applyFont="1" applyFill="1" applyBorder="1" applyAlignment="1"/>
    <xf numFmtId="168" fontId="0" fillId="0" borderId="2" xfId="5" applyNumberFormat="1" applyFont="1" applyFill="1" applyBorder="1" applyAlignment="1"/>
    <xf numFmtId="43" fontId="0" fillId="0" borderId="2" xfId="5" applyFont="1" applyFill="1" applyBorder="1" applyAlignment="1"/>
    <xf numFmtId="171" fontId="0" fillId="0" borderId="2" xfId="5" applyNumberFormat="1" applyFont="1" applyFill="1" applyBorder="1" applyAlignment="1"/>
    <xf numFmtId="0" fontId="2" fillId="0" borderId="4" xfId="15" applyFont="1" applyBorder="1"/>
    <xf numFmtId="0" fontId="2" fillId="0" borderId="9" xfId="15" applyFont="1" applyBorder="1"/>
    <xf numFmtId="0" fontId="2" fillId="0" borderId="0" xfId="15" quotePrefix="1" applyFont="1" applyBorder="1" applyAlignment="1">
      <alignment horizontal="center"/>
    </xf>
    <xf numFmtId="0" fontId="2" fillId="0" borderId="0" xfId="15" applyFont="1" applyBorder="1" applyAlignment="1">
      <alignment horizontal="center"/>
    </xf>
    <xf numFmtId="10" fontId="5" fillId="0" borderId="0" xfId="15" applyNumberFormat="1" applyFont="1" applyBorder="1" applyAlignment="1">
      <alignment horizontal="center"/>
    </xf>
    <xf numFmtId="0" fontId="2" fillId="0" borderId="3" xfId="15" applyFont="1" applyBorder="1" applyAlignment="1">
      <alignment horizontal="center"/>
    </xf>
    <xf numFmtId="0" fontId="5" fillId="0" borderId="10" xfId="18" applyFont="1" applyBorder="1">
      <alignment vertical="center"/>
    </xf>
    <xf numFmtId="10" fontId="5" fillId="0" borderId="10" xfId="2" applyNumberFormat="1" applyFont="1" applyBorder="1" applyAlignment="1">
      <alignment horizontal="center" vertical="center"/>
    </xf>
    <xf numFmtId="0" fontId="5" fillId="0" borderId="8" xfId="7" applyBorder="1" applyAlignment="1">
      <alignment horizontal="center" wrapText="1"/>
    </xf>
    <xf numFmtId="0" fontId="2" fillId="0" borderId="0" xfId="3" applyAlignment="1">
      <alignment horizontal="center" wrapText="1"/>
    </xf>
    <xf numFmtId="0" fontId="6" fillId="0" borderId="0" xfId="6" applyFont="1" applyBorder="1" applyAlignment="1">
      <alignment vertical="top" wrapText="1"/>
    </xf>
    <xf numFmtId="0" fontId="17" fillId="0" borderId="0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10" fontId="14" fillId="0" borderId="0" xfId="4" applyNumberFormat="1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wrapText="1"/>
    </xf>
    <xf numFmtId="10" fontId="14" fillId="0" borderId="0" xfId="3" applyNumberFormat="1" applyFont="1" applyBorder="1" applyAlignment="1">
      <alignment horizontal="center" vertical="center" wrapText="1"/>
    </xf>
    <xf numFmtId="0" fontId="14" fillId="0" borderId="0" xfId="3" applyFont="1" applyBorder="1" applyAlignment="1">
      <alignment horizontal="left" vertical="center" wrapText="1"/>
    </xf>
    <xf numFmtId="0" fontId="14" fillId="0" borderId="4" xfId="3" applyFont="1" applyBorder="1" applyAlignment="1">
      <alignment horizontal="center" vertical="center" wrapText="1"/>
    </xf>
    <xf numFmtId="0" fontId="2" fillId="0" borderId="0" xfId="3" applyBorder="1"/>
    <xf numFmtId="0" fontId="18" fillId="0" borderId="2" xfId="6" applyFont="1" applyBorder="1" applyAlignment="1">
      <alignment vertical="top" wrapText="1"/>
    </xf>
    <xf numFmtId="0" fontId="14" fillId="0" borderId="0" xfId="3" applyFont="1" applyBorder="1" applyAlignment="1">
      <alignment horizontal="center" wrapText="1"/>
    </xf>
    <xf numFmtId="0" fontId="2" fillId="0" borderId="2" xfId="3" applyBorder="1" applyAlignment="1">
      <alignment horizontal="center" wrapText="1"/>
    </xf>
    <xf numFmtId="0" fontId="19" fillId="0" borderId="0" xfId="40" applyFont="1"/>
    <xf numFmtId="0" fontId="20" fillId="0" borderId="0" xfId="40" applyFont="1" applyAlignment="1">
      <alignment horizontal="right"/>
    </xf>
    <xf numFmtId="0" fontId="1" fillId="0" borderId="0" xfId="41">
      <alignment vertical="center"/>
    </xf>
    <xf numFmtId="0" fontId="20" fillId="0" borderId="0" xfId="40" applyFont="1"/>
    <xf numFmtId="0" fontId="20" fillId="0" borderId="0" xfId="40" applyFont="1" applyFill="1" applyAlignment="1">
      <alignment horizontal="centerContinuous"/>
    </xf>
    <xf numFmtId="0" fontId="21" fillId="0" borderId="0" xfId="40" applyFont="1" applyFill="1" applyAlignment="1">
      <alignment horizontal="centerContinuous"/>
    </xf>
    <xf numFmtId="0" fontId="20" fillId="0" borderId="0" xfId="40" applyFont="1" applyFill="1"/>
    <xf numFmtId="0" fontId="19" fillId="0" borderId="0" xfId="40" applyFont="1" applyBorder="1"/>
    <xf numFmtId="0" fontId="20" fillId="0" borderId="0" xfId="40" applyFont="1" applyFill="1" applyBorder="1" applyAlignment="1">
      <alignment horizontal="centerContinuous"/>
    </xf>
    <xf numFmtId="0" fontId="19" fillId="0" borderId="0" xfId="40" applyFont="1" applyFill="1" applyBorder="1"/>
    <xf numFmtId="0" fontId="20" fillId="0" borderId="0" xfId="40" applyFont="1" applyFill="1" applyBorder="1" applyAlignment="1"/>
    <xf numFmtId="0" fontId="20" fillId="0" borderId="2" xfId="40" applyFont="1" applyFill="1" applyBorder="1" applyAlignment="1">
      <alignment horizontal="centerContinuous"/>
    </xf>
    <xf numFmtId="2" fontId="20" fillId="0" borderId="2" xfId="40" applyNumberFormat="1" applyFont="1" applyFill="1" applyBorder="1" applyAlignment="1"/>
    <xf numFmtId="0" fontId="20" fillId="0" borderId="2" xfId="40" applyFont="1" applyFill="1" applyBorder="1" applyAlignment="1"/>
    <xf numFmtId="0" fontId="19" fillId="0" borderId="0" xfId="40" applyFont="1" applyFill="1" applyBorder="1" applyAlignment="1">
      <alignment horizontal="left" indent="2"/>
    </xf>
    <xf numFmtId="0" fontId="19" fillId="0" borderId="0" xfId="40" applyFont="1" applyFill="1" applyBorder="1" applyAlignment="1">
      <alignment horizontal="center"/>
    </xf>
    <xf numFmtId="10" fontId="19" fillId="0" borderId="0" xfId="42" applyNumberFormat="1" applyFont="1" applyFill="1" applyBorder="1" applyAlignment="1">
      <alignment horizontal="center"/>
    </xf>
    <xf numFmtId="0" fontId="19" fillId="0" borderId="0" xfId="40" applyFont="1" applyFill="1" applyBorder="1" applyAlignment="1">
      <alignment horizontal="left" indent="3"/>
    </xf>
    <xf numFmtId="173" fontId="22" fillId="0" borderId="0" xfId="40" applyNumberFormat="1" applyFont="1" applyFill="1" applyBorder="1" applyAlignment="1">
      <alignment horizontal="center"/>
    </xf>
    <xf numFmtId="10" fontId="22" fillId="0" borderId="0" xfId="42" applyNumberFormat="1" applyFont="1" applyFill="1" applyBorder="1" applyAlignment="1">
      <alignment horizontal="center"/>
    </xf>
    <xf numFmtId="10" fontId="20" fillId="0" borderId="0" xfId="42" applyNumberFormat="1" applyFont="1" applyFill="1" applyBorder="1" applyAlignment="1">
      <alignment horizontal="center"/>
    </xf>
    <xf numFmtId="10" fontId="23" fillId="0" borderId="0" xfId="42" applyNumberFormat="1" applyFont="1" applyFill="1" applyBorder="1" applyAlignment="1">
      <alignment horizontal="center"/>
    </xf>
    <xf numFmtId="10" fontId="19" fillId="0" borderId="0" xfId="40" applyNumberFormat="1" applyFont="1" applyFill="1" applyBorder="1" applyAlignment="1">
      <alignment horizontal="center"/>
    </xf>
    <xf numFmtId="0" fontId="22" fillId="0" borderId="0" xfId="40" applyFont="1" applyFill="1" applyBorder="1" applyAlignment="1">
      <alignment horizontal="center"/>
    </xf>
    <xf numFmtId="0" fontId="19" fillId="0" borderId="0" xfId="40" applyFont="1" applyFill="1"/>
    <xf numFmtId="0" fontId="19" fillId="0" borderId="4" xfId="40" applyFont="1" applyFill="1" applyBorder="1"/>
    <xf numFmtId="0" fontId="19" fillId="0" borderId="0" xfId="43" applyFont="1"/>
    <xf numFmtId="0" fontId="20" fillId="0" borderId="0" xfId="43" applyFont="1"/>
    <xf numFmtId="0" fontId="26" fillId="0" borderId="0" xfId="43" applyFont="1" applyAlignment="1">
      <alignment horizontal="centerContinuous"/>
    </xf>
    <xf numFmtId="0" fontId="19" fillId="0" borderId="11" xfId="43" applyFont="1" applyBorder="1"/>
    <xf numFmtId="0" fontId="19" fillId="0" borderId="0" xfId="43" applyFont="1" applyBorder="1"/>
    <xf numFmtId="0" fontId="20" fillId="0" borderId="0" xfId="43" applyFont="1" applyAlignment="1">
      <alignment horizontal="center"/>
    </xf>
    <xf numFmtId="0" fontId="19" fillId="0" borderId="4" xfId="43" applyFont="1" applyBorder="1"/>
    <xf numFmtId="10" fontId="19" fillId="0" borderId="0" xfId="43" applyNumberFormat="1" applyFont="1" applyAlignment="1">
      <alignment horizontal="center"/>
    </xf>
    <xf numFmtId="0" fontId="19" fillId="0" borderId="0" xfId="43" applyFont="1" applyAlignment="1">
      <alignment horizontal="center"/>
    </xf>
    <xf numFmtId="2" fontId="19" fillId="0" borderId="0" xfId="43" applyNumberFormat="1" applyFont="1" applyAlignment="1">
      <alignment horizontal="center"/>
    </xf>
    <xf numFmtId="174" fontId="19" fillId="0" borderId="0" xfId="43" applyNumberFormat="1" applyFont="1" applyAlignment="1">
      <alignment horizontal="center"/>
    </xf>
    <xf numFmtId="2" fontId="19" fillId="0" borderId="0" xfId="43" applyNumberFormat="1" applyFont="1"/>
    <xf numFmtId="10" fontId="19" fillId="0" borderId="4" xfId="43" applyNumberFormat="1" applyFont="1" applyBorder="1" applyAlignment="1">
      <alignment horizontal="center"/>
    </xf>
    <xf numFmtId="2" fontId="19" fillId="0" borderId="4" xfId="43" applyNumberFormat="1" applyFont="1" applyBorder="1" applyAlignment="1">
      <alignment horizontal="center"/>
    </xf>
    <xf numFmtId="174" fontId="19" fillId="0" borderId="4" xfId="43" applyNumberFormat="1" applyFont="1" applyBorder="1" applyAlignment="1">
      <alignment horizontal="center"/>
    </xf>
    <xf numFmtId="174" fontId="20" fillId="0" borderId="0" xfId="43" applyNumberFormat="1" applyFont="1" applyAlignment="1">
      <alignment horizontal="center"/>
    </xf>
    <xf numFmtId="174" fontId="20" fillId="0" borderId="4" xfId="43" applyNumberFormat="1" applyFont="1" applyBorder="1" applyAlignment="1">
      <alignment horizontal="center"/>
    </xf>
    <xf numFmtId="0" fontId="19" fillId="0" borderId="10" xfId="43" applyFont="1" applyBorder="1"/>
    <xf numFmtId="10" fontId="19" fillId="0" borderId="10" xfId="43" applyNumberFormat="1" applyFont="1" applyBorder="1" applyAlignment="1">
      <alignment horizontal="center"/>
    </xf>
    <xf numFmtId="2" fontId="19" fillId="0" borderId="10" xfId="43" applyNumberFormat="1" applyFont="1" applyBorder="1" applyAlignment="1">
      <alignment horizontal="center"/>
    </xf>
    <xf numFmtId="174" fontId="19" fillId="0" borderId="10" xfId="43" applyNumberFormat="1" applyFont="1" applyBorder="1" applyAlignment="1">
      <alignment horizontal="center"/>
    </xf>
    <xf numFmtId="0" fontId="19" fillId="0" borderId="0" xfId="43" applyFont="1" applyAlignment="1">
      <alignment horizontal="right"/>
    </xf>
    <xf numFmtId="17" fontId="19" fillId="0" borderId="0" xfId="43" applyNumberFormat="1" applyFont="1" applyAlignment="1">
      <alignment horizontal="right"/>
    </xf>
    <xf numFmtId="0" fontId="19" fillId="0" borderId="0" xfId="43" quotePrefix="1" applyFont="1" applyAlignment="1">
      <alignment horizontal="right"/>
    </xf>
    <xf numFmtId="10" fontId="19" fillId="0" borderId="0" xfId="43" applyNumberFormat="1" applyFont="1"/>
    <xf numFmtId="14" fontId="19" fillId="0" borderId="0" xfId="43" applyNumberFormat="1" applyFont="1" applyAlignment="1">
      <alignment horizontal="right"/>
    </xf>
    <xf numFmtId="0" fontId="5" fillId="0" borderId="0" xfId="17" applyFont="1">
      <alignment vertical="center"/>
    </xf>
    <xf numFmtId="0" fontId="5" fillId="0" borderId="0" xfId="17" applyFont="1" applyAlignment="1">
      <alignment horizontal="center" vertical="center"/>
    </xf>
    <xf numFmtId="0" fontId="5" fillId="0" borderId="8" xfId="17" applyFont="1" applyBorder="1">
      <alignment vertical="center"/>
    </xf>
    <xf numFmtId="175" fontId="2" fillId="0" borderId="4" xfId="44" applyFont="1" applyBorder="1" applyAlignment="1">
      <alignment horizontal="left"/>
    </xf>
    <xf numFmtId="175" fontId="2" fillId="0" borderId="4" xfId="44" applyFont="1" applyBorder="1"/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17" applyFont="1" applyBorder="1" applyAlignment="1">
      <alignment horizontal="center" vertical="center"/>
    </xf>
    <xf numFmtId="0" fontId="5" fillId="0" borderId="4" xfId="17" applyFont="1" applyBorder="1" applyAlignment="1">
      <alignment horizontal="center" vertical="center" wrapText="1"/>
    </xf>
    <xf numFmtId="0" fontId="5" fillId="0" borderId="4" xfId="17" applyFont="1" applyBorder="1">
      <alignment vertical="center"/>
    </xf>
    <xf numFmtId="175" fontId="2" fillId="0" borderId="0" xfId="44" applyFont="1" applyBorder="1"/>
    <xf numFmtId="175" fontId="2" fillId="0" borderId="0" xfId="44" applyFont="1"/>
    <xf numFmtId="175" fontId="2" fillId="0" borderId="0" xfId="44" applyFont="1" applyAlignment="1">
      <alignment horizontal="center"/>
    </xf>
    <xf numFmtId="176" fontId="5" fillId="0" borderId="0" xfId="39" applyNumberFormat="1" applyFont="1" applyAlignment="1">
      <alignment vertical="center"/>
    </xf>
    <xf numFmtId="5" fontId="5" fillId="0" borderId="0" xfId="39" applyNumberFormat="1" applyFont="1" applyAlignment="1">
      <alignment vertical="center"/>
    </xf>
    <xf numFmtId="177" fontId="5" fillId="0" borderId="0" xfId="39" applyNumberFormat="1" applyFont="1" applyAlignment="1">
      <alignment vertical="center"/>
    </xf>
    <xf numFmtId="176" fontId="5" fillId="0" borderId="0" xfId="17" applyNumberFormat="1" applyFont="1">
      <alignment vertical="center"/>
    </xf>
    <xf numFmtId="10" fontId="5" fillId="0" borderId="0" xfId="2" applyNumberFormat="1" applyFont="1" applyAlignment="1">
      <alignment vertical="center"/>
    </xf>
    <xf numFmtId="10" fontId="5" fillId="0" borderId="0" xfId="17" applyNumberFormat="1" applyFont="1">
      <alignment vertical="center"/>
    </xf>
    <xf numFmtId="175" fontId="2" fillId="0" borderId="4" xfId="44" applyFont="1" applyBorder="1" applyAlignment="1">
      <alignment horizontal="center"/>
    </xf>
    <xf numFmtId="176" fontId="5" fillId="0" borderId="4" xfId="39" applyNumberFormat="1" applyFont="1" applyBorder="1" applyAlignment="1">
      <alignment vertical="center"/>
    </xf>
    <xf numFmtId="5" fontId="5" fillId="0" borderId="4" xfId="39" applyNumberFormat="1" applyFont="1" applyBorder="1" applyAlignment="1">
      <alignment vertical="center"/>
    </xf>
    <xf numFmtId="177" fontId="5" fillId="0" borderId="4" xfId="39" applyNumberFormat="1" applyFont="1" applyBorder="1" applyAlignment="1">
      <alignment vertical="center"/>
    </xf>
    <xf numFmtId="176" fontId="5" fillId="0" borderId="4" xfId="17" applyNumberFormat="1" applyFont="1" applyBorder="1">
      <alignment vertical="center"/>
    </xf>
    <xf numFmtId="10" fontId="5" fillId="0" borderId="4" xfId="2" applyNumberFormat="1" applyFont="1" applyBorder="1" applyAlignment="1">
      <alignment vertical="center"/>
    </xf>
    <xf numFmtId="0" fontId="5" fillId="0" borderId="5" xfId="17" applyFont="1" applyBorder="1">
      <alignment vertical="center"/>
    </xf>
    <xf numFmtId="10" fontId="5" fillId="0" borderId="5" xfId="17" applyNumberFormat="1" applyFont="1" applyBorder="1">
      <alignment vertical="center"/>
    </xf>
    <xf numFmtId="0" fontId="5" fillId="0" borderId="4" xfId="10" applyFont="1" applyBorder="1"/>
    <xf numFmtId="0" fontId="5" fillId="0" borderId="0" xfId="10" applyFont="1"/>
    <xf numFmtId="0" fontId="5" fillId="0" borderId="0" xfId="17" applyFont="1" applyAlignment="1">
      <alignment horizontal="left" vertical="center" indent="2"/>
    </xf>
    <xf numFmtId="0" fontId="5" fillId="0" borderId="4" xfId="17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17" applyFont="1" applyFill="1" applyBorder="1">
      <alignment vertical="center"/>
    </xf>
    <xf numFmtId="176" fontId="5" fillId="0" borderId="0" xfId="45" applyNumberFormat="1" applyFont="1">
      <alignment vertical="center"/>
    </xf>
    <xf numFmtId="10" fontId="28" fillId="0" borderId="0" xfId="42" applyNumberFormat="1" applyFont="1" applyFill="1" applyBorder="1" applyAlignment="1">
      <alignment horizontal="center"/>
    </xf>
    <xf numFmtId="0" fontId="16" fillId="2" borderId="0" xfId="3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wrapText="1"/>
    </xf>
    <xf numFmtId="0" fontId="8" fillId="0" borderId="0" xfId="8" applyFont="1" applyAlignment="1">
      <alignment horizontal="center"/>
    </xf>
    <xf numFmtId="0" fontId="5" fillId="0" borderId="0" xfId="7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6" applyAlignment="1">
      <alignment horizontal="center" wrapText="1"/>
    </xf>
    <xf numFmtId="10" fontId="10" fillId="0" borderId="6" xfId="6" applyNumberFormat="1" applyFont="1" applyBorder="1" applyAlignment="1">
      <alignment horizontal="center"/>
    </xf>
    <xf numFmtId="10" fontId="10" fillId="0" borderId="7" xfId="6" applyNumberFormat="1" applyFont="1" applyBorder="1" applyAlignment="1">
      <alignment horizontal="center"/>
    </xf>
    <xf numFmtId="10" fontId="10" fillId="0" borderId="6" xfId="13" applyNumberFormat="1" applyFont="1" applyFill="1" applyBorder="1" applyAlignment="1">
      <alignment horizontal="center"/>
    </xf>
    <xf numFmtId="10" fontId="10" fillId="0" borderId="7" xfId="13" applyNumberFormat="1" applyFont="1" applyFill="1" applyBorder="1" applyAlignment="1">
      <alignment horizontal="center"/>
    </xf>
    <xf numFmtId="0" fontId="1" fillId="0" borderId="0" xfId="18" applyAlignment="1">
      <alignment horizontal="center" vertical="center"/>
    </xf>
    <xf numFmtId="0" fontId="5" fillId="0" borderId="0" xfId="20" applyFont="1" applyAlignment="1">
      <alignment horizontal="center"/>
    </xf>
    <xf numFmtId="0" fontId="19" fillId="0" borderId="4" xfId="43" applyFont="1" applyBorder="1" applyAlignment="1">
      <alignment horizontal="center"/>
    </xf>
    <xf numFmtId="0" fontId="27" fillId="0" borderId="0" xfId="17" applyFont="1" applyAlignment="1">
      <alignment horizontal="center" vertical="center"/>
    </xf>
    <xf numFmtId="0" fontId="5" fillId="0" borderId="8" xfId="17" applyFont="1" applyBorder="1" applyAlignment="1">
      <alignment horizontal="center" vertical="center"/>
    </xf>
    <xf numFmtId="0" fontId="5" fillId="0" borderId="4" xfId="17" applyFont="1" applyBorder="1" applyAlignment="1">
      <alignment horizontal="center" vertical="center"/>
    </xf>
  </cellXfs>
  <cellStyles count="46">
    <cellStyle name="Comma" xfId="1" builtinId="3"/>
    <cellStyle name="Comma 10" xfId="5" xr:uid="{00000000-0005-0000-0000-000001000000}"/>
    <cellStyle name="Comma 101" xfId="12" xr:uid="{00000000-0005-0000-0000-000002000000}"/>
    <cellStyle name="Comma 2 2 21" xfId="27" xr:uid="{00000000-0005-0000-0000-000003000000}"/>
    <cellStyle name="Comma 4 17" xfId="23" xr:uid="{00000000-0005-0000-0000-000004000000}"/>
    <cellStyle name="Currency" xfId="39" builtinId="4"/>
    <cellStyle name="Normal" xfId="0" builtinId="0"/>
    <cellStyle name="Normal 10 10" xfId="6" xr:uid="{00000000-0005-0000-0000-000007000000}"/>
    <cellStyle name="Normal 10 10 3 2" xfId="10" xr:uid="{00000000-0005-0000-0000-000008000000}"/>
    <cellStyle name="Normal 10 10 6 2" xfId="28" xr:uid="{00000000-0005-0000-0000-000009000000}"/>
    <cellStyle name="Normal 10 10 8" xfId="29" xr:uid="{00000000-0005-0000-0000-00000A000000}"/>
    <cellStyle name="Normal 10 21 3" xfId="40" xr:uid="{00000000-0005-0000-0000-00000B000000}"/>
    <cellStyle name="Normal 12 50" xfId="20" xr:uid="{00000000-0005-0000-0000-00000C000000}"/>
    <cellStyle name="Normal 14 12 10 2 2 2" xfId="37" xr:uid="{00000000-0005-0000-0000-00000D000000}"/>
    <cellStyle name="Normal 195 2" xfId="7" xr:uid="{00000000-0005-0000-0000-00000E000000}"/>
    <cellStyle name="Normal 2" xfId="17" xr:uid="{00000000-0005-0000-0000-00000F000000}"/>
    <cellStyle name="Normal 2 10 2" xfId="15" xr:uid="{00000000-0005-0000-0000-000010000000}"/>
    <cellStyle name="Normal 2 142 2" xfId="31" xr:uid="{00000000-0005-0000-0000-000011000000}"/>
    <cellStyle name="Normal 2 146" xfId="45" xr:uid="{00000000-0005-0000-0000-000012000000}"/>
    <cellStyle name="Normal 201" xfId="33" xr:uid="{00000000-0005-0000-0000-000013000000}"/>
    <cellStyle name="Normal 246" xfId="3" xr:uid="{00000000-0005-0000-0000-000014000000}"/>
    <cellStyle name="Normal 246 2" xfId="4" xr:uid="{00000000-0005-0000-0000-000015000000}"/>
    <cellStyle name="Normal 252" xfId="8" xr:uid="{00000000-0005-0000-0000-000016000000}"/>
    <cellStyle name="Normal 259" xfId="44" xr:uid="{00000000-0005-0000-0000-000017000000}"/>
    <cellStyle name="Normal 260" xfId="41" xr:uid="{00000000-0005-0000-0000-000018000000}"/>
    <cellStyle name="Normal 3" xfId="18" xr:uid="{00000000-0005-0000-0000-000019000000}"/>
    <cellStyle name="Normal 3 115" xfId="14" xr:uid="{00000000-0005-0000-0000-00001A000000}"/>
    <cellStyle name="Normal 4" xfId="19" xr:uid="{00000000-0005-0000-0000-00001B000000}"/>
    <cellStyle name="Normal 4 4 7" xfId="21" xr:uid="{00000000-0005-0000-0000-00001C000000}"/>
    <cellStyle name="Normal 41" xfId="32" xr:uid="{00000000-0005-0000-0000-00001D000000}"/>
    <cellStyle name="Normal 5" xfId="43" xr:uid="{00000000-0005-0000-0000-00001E000000}"/>
    <cellStyle name="Normal 5 10 3" xfId="34" xr:uid="{00000000-0005-0000-0000-00001F000000}"/>
    <cellStyle name="Normal 6 14" xfId="35" xr:uid="{00000000-0005-0000-0000-000020000000}"/>
    <cellStyle name="Normal 6 2 5" xfId="11" xr:uid="{00000000-0005-0000-0000-000021000000}"/>
    <cellStyle name="Percent" xfId="2" builtinId="5"/>
    <cellStyle name="Percent 10" xfId="42" xr:uid="{00000000-0005-0000-0000-000023000000}"/>
    <cellStyle name="Percent 2 155 2" xfId="26" xr:uid="{00000000-0005-0000-0000-000024000000}"/>
    <cellStyle name="Percent 2 155 2 3" xfId="38" xr:uid="{00000000-0005-0000-0000-000025000000}"/>
    <cellStyle name="Percent 2 16" xfId="16" xr:uid="{00000000-0005-0000-0000-000026000000}"/>
    <cellStyle name="Percent 6 4" xfId="24" xr:uid="{00000000-0005-0000-0000-000027000000}"/>
    <cellStyle name="Percent 79" xfId="22" xr:uid="{00000000-0005-0000-0000-000028000000}"/>
    <cellStyle name="Percent 82" xfId="36" xr:uid="{00000000-0005-0000-0000-000029000000}"/>
    <cellStyle name="Percent 88 3" xfId="25" xr:uid="{00000000-0005-0000-0000-00002A000000}"/>
    <cellStyle name="Percent 94 2" xfId="30" xr:uid="{00000000-0005-0000-0000-00002B000000}"/>
    <cellStyle name="Percent 95" xfId="9" xr:uid="{00000000-0005-0000-0000-00002C000000}"/>
    <cellStyle name="Percent 96" xfId="13" xr:uid="{00000000-0005-0000-0000-00002D000000}"/>
  </cellStyles>
  <dxfs count="9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2117500893605"/>
          <c:y val="2.8104184646706058E-2"/>
          <c:w val="0.85044618010784101"/>
          <c:h val="0.81212352563677004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5500229939206318E-2"/>
                  <c:y val="-0.473350415067011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'AEB-21 RiskPrem'!$D$6:$D$132</c:f>
              <c:numCache>
                <c:formatCode>0.00%</c:formatCode>
                <c:ptCount val="127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  <c:pt idx="122">
                  <c:v>3.2607575757575759E-2</c:v>
                </c:pt>
                <c:pt idx="123">
                  <c:v>3.8912500000000003E-2</c:v>
                </c:pt>
                <c:pt idx="124">
                  <c:v>3.7495384615384618E-2</c:v>
                </c:pt>
                <c:pt idx="125">
                  <c:v>3.808461538461537E-2</c:v>
                </c:pt>
                <c:pt idx="126">
                  <c:v>4.234461538461539E-2</c:v>
                </c:pt>
              </c:numCache>
            </c:numRef>
          </c:xVal>
          <c:yVal>
            <c:numRef>
              <c:f>'AEB-21 RiskPrem'!$E$6:$E$132</c:f>
              <c:numCache>
                <c:formatCode>0.00%</c:formatCode>
                <c:ptCount val="127"/>
                <c:pt idx="0">
                  <c:v>4.5759206349206355E-2</c:v>
                </c:pt>
                <c:pt idx="1">
                  <c:v>3.9298809523809528E-2</c:v>
                </c:pt>
                <c:pt idx="2">
                  <c:v>4.5856249999999987E-2</c:v>
                </c:pt>
                <c:pt idx="3">
                  <c:v>4.6170729166666688E-2</c:v>
                </c:pt>
                <c:pt idx="4">
                  <c:v>4.7641013824884781E-2</c:v>
                </c:pt>
                <c:pt idx="5">
                  <c:v>4.7826984126984079E-2</c:v>
                </c:pt>
                <c:pt idx="6">
                  <c:v>4.8361979166666652E-2</c:v>
                </c:pt>
                <c:pt idx="7">
                  <c:v>4.9065104166666651E-2</c:v>
                </c:pt>
                <c:pt idx="8">
                  <c:v>4.4911269841269849E-2</c:v>
                </c:pt>
                <c:pt idx="9">
                  <c:v>3.767741935483869E-2</c:v>
                </c:pt>
                <c:pt idx="10">
                  <c:v>5.1606249999999979E-2</c:v>
                </c:pt>
                <c:pt idx="11">
                  <c:v>3.2750000000000001E-2</c:v>
                </c:pt>
                <c:pt idx="12">
                  <c:v>4.3278125000000001E-2</c:v>
                </c:pt>
                <c:pt idx="13">
                  <c:v>4.3740277777777808E-2</c:v>
                </c:pt>
                <c:pt idx="14">
                  <c:v>4.6526984126984139E-2</c:v>
                </c:pt>
                <c:pt idx="15">
                  <c:v>5.3452380952380932E-2</c:v>
                </c:pt>
                <c:pt idx="16">
                  <c:v>5.1683076923076943E-2</c:v>
                </c:pt>
                <c:pt idx="17">
                  <c:v>4.5373504273504298E-2</c:v>
                </c:pt>
                <c:pt idx="18">
                  <c:v>3.7327272727272737E-2</c:v>
                </c:pt>
                <c:pt idx="19">
                  <c:v>4.9399999999999999E-2</c:v>
                </c:pt>
                <c:pt idx="20">
                  <c:v>4.2646875000000001E-2</c:v>
                </c:pt>
                <c:pt idx="21">
                  <c:v>4.6797435897435929E-2</c:v>
                </c:pt>
                <c:pt idx="22">
                  <c:v>5.4695454545454547E-2</c:v>
                </c:pt>
                <c:pt idx="23">
                  <c:v>4.9121874999999988E-2</c:v>
                </c:pt>
                <c:pt idx="24">
                  <c:v>5.4281249999999989E-2</c:v>
                </c:pt>
                <c:pt idx="25">
                  <c:v>6.350923076923079E-2</c:v>
                </c:pt>
                <c:pt idx="26">
                  <c:v>6.1737878787878765E-2</c:v>
                </c:pt>
                <c:pt idx="27">
                  <c:v>7.1928787878787884E-2</c:v>
                </c:pt>
                <c:pt idx="28">
                  <c:v>5.0265625000000015E-2</c:v>
                </c:pt>
                <c:pt idx="29">
                  <c:v>5.1412307692307709E-2</c:v>
                </c:pt>
                <c:pt idx="30">
                  <c:v>4.7092424242424248E-2</c:v>
                </c:pt>
                <c:pt idx="31">
                  <c:v>4.844090909090909E-2</c:v>
                </c:pt>
                <c:pt idx="32">
                  <c:v>4.9166538461538498E-2</c:v>
                </c:pt>
                <c:pt idx="33">
                  <c:v>5.0212307692307702E-2</c:v>
                </c:pt>
                <c:pt idx="34">
                  <c:v>5.8867692307692308E-2</c:v>
                </c:pt>
                <c:pt idx="35">
                  <c:v>6.8092307692307702E-2</c:v>
                </c:pt>
                <c:pt idx="36">
                  <c:v>5.9285384615384608E-2</c:v>
                </c:pt>
                <c:pt idx="37">
                  <c:v>5.2983076923076931E-2</c:v>
                </c:pt>
                <c:pt idx="38">
                  <c:v>5.2306373626373658E-2</c:v>
                </c:pt>
                <c:pt idx="39">
                  <c:v>6.691363636363637E-2</c:v>
                </c:pt>
                <c:pt idx="40">
                  <c:v>4.5342187500000006E-2</c:v>
                </c:pt>
                <c:pt idx="41">
                  <c:v>5.7885384615384609E-2</c:v>
                </c:pt>
                <c:pt idx="42">
                  <c:v>6.563181818181818E-2</c:v>
                </c:pt>
                <c:pt idx="43">
                  <c:v>6.6343939393939386E-2</c:v>
                </c:pt>
                <c:pt idx="44">
                  <c:v>6.8681249999999999E-2</c:v>
                </c:pt>
                <c:pt idx="45">
                  <c:v>6.5592692307692324E-2</c:v>
                </c:pt>
                <c:pt idx="46">
                  <c:v>5.3860606060606046E-2</c:v>
                </c:pt>
                <c:pt idx="47">
                  <c:v>6.2253030303030296E-2</c:v>
                </c:pt>
                <c:pt idx="48">
                  <c:v>6.1223076923076915E-2</c:v>
                </c:pt>
                <c:pt idx="49">
                  <c:v>5.3031868131868137E-2</c:v>
                </c:pt>
                <c:pt idx="50">
                  <c:v>5.642575757575756E-2</c:v>
                </c:pt>
                <c:pt idx="51">
                  <c:v>6.3117272727272716E-2</c:v>
                </c:pt>
                <c:pt idx="52">
                  <c:v>5.9179687500000008E-2</c:v>
                </c:pt>
                <c:pt idx="53">
                  <c:v>5.8415769230769229E-2</c:v>
                </c:pt>
                <c:pt idx="54">
                  <c:v>6.6604545454545472E-2</c:v>
                </c:pt>
                <c:pt idx="55">
                  <c:v>5.978942307692308E-2</c:v>
                </c:pt>
                <c:pt idx="56">
                  <c:v>6.0679230769230791E-2</c:v>
                </c:pt>
                <c:pt idx="57">
                  <c:v>5.6447307692307686E-2</c:v>
                </c:pt>
                <c:pt idx="58">
                  <c:v>5.3511282051282034E-2</c:v>
                </c:pt>
                <c:pt idx="59">
                  <c:v>5.9076923076923089E-2</c:v>
                </c:pt>
                <c:pt idx="60">
                  <c:v>5.7941282051282024E-2</c:v>
                </c:pt>
                <c:pt idx="61">
                  <c:v>5.335769230769228E-2</c:v>
                </c:pt>
                <c:pt idx="62">
                  <c:v>5.4500000000000028E-2</c:v>
                </c:pt>
                <c:pt idx="63">
                  <c:v>6.0359999999999969E-2</c:v>
                </c:pt>
                <c:pt idx="64">
                  <c:v>6.2054615384615375E-2</c:v>
                </c:pt>
                <c:pt idx="65">
                  <c:v>5.9622500000000002E-2</c:v>
                </c:pt>
                <c:pt idx="66">
                  <c:v>5.9765151515151528E-2</c:v>
                </c:pt>
                <c:pt idx="67">
                  <c:v>6.7437499999999984E-2</c:v>
                </c:pt>
                <c:pt idx="68">
                  <c:v>7.3126250000000004E-2</c:v>
                </c:pt>
                <c:pt idx="69">
                  <c:v>6.5807692307692303E-2</c:v>
                </c:pt>
                <c:pt idx="70">
                  <c:v>6.1783333333333336E-2</c:v>
                </c:pt>
                <c:pt idx="71">
                  <c:v>6.252781250000003E-2</c:v>
                </c:pt>
                <c:pt idx="72">
                  <c:v>5.9681250000000019E-2</c:v>
                </c:pt>
                <c:pt idx="73">
                  <c:v>5.8107692307692325E-2</c:v>
                </c:pt>
                <c:pt idx="74">
                  <c:v>6.5469696969696969E-2</c:v>
                </c:pt>
                <c:pt idx="75">
                  <c:v>6.2037435897435912E-2</c:v>
                </c:pt>
                <c:pt idx="76">
                  <c:v>5.5307291666666661E-2</c:v>
                </c:pt>
                <c:pt idx="77">
                  <c:v>5.9240879120879122E-2</c:v>
                </c:pt>
                <c:pt idx="78">
                  <c:v>6.8756060606060626E-2</c:v>
                </c:pt>
                <c:pt idx="79">
                  <c:v>7.3501587301587304E-2</c:v>
                </c:pt>
                <c:pt idx="80">
                  <c:v>7.1667032967032973E-2</c:v>
                </c:pt>
                <c:pt idx="81">
                  <c:v>7.0136923076923083E-2</c:v>
                </c:pt>
                <c:pt idx="82">
                  <c:v>7.1570769230769229E-2</c:v>
                </c:pt>
                <c:pt idx="83">
                  <c:v>7.2996231617647095E-2</c:v>
                </c:pt>
                <c:pt idx="84">
                  <c:v>6.7196874999999989E-2</c:v>
                </c:pt>
                <c:pt idx="85">
                  <c:v>6.7187692307692309E-2</c:v>
                </c:pt>
                <c:pt idx="86">
                  <c:v>6.4092424242424229E-2</c:v>
                </c:pt>
                <c:pt idx="87">
                  <c:v>6.1785937500000006E-2</c:v>
                </c:pt>
                <c:pt idx="88">
                  <c:v>6.164687499999999E-2</c:v>
                </c:pt>
                <c:pt idx="89">
                  <c:v>6.6569230769230769E-2</c:v>
                </c:pt>
                <c:pt idx="90">
                  <c:v>6.6342424242424258E-2</c:v>
                </c:pt>
                <c:pt idx="91">
                  <c:v>6.9802500000000003E-2</c:v>
                </c:pt>
                <c:pt idx="92">
                  <c:v>7.0834374999999977E-2</c:v>
                </c:pt>
                <c:pt idx="93">
                  <c:v>6.9429743589743576E-2</c:v>
                </c:pt>
                <c:pt idx="94">
                  <c:v>6.4375757575757558E-2</c:v>
                </c:pt>
                <c:pt idx="95">
                  <c:v>6.8994696969696956E-2</c:v>
                </c:pt>
                <c:pt idx="96">
                  <c:v>6.9781538461538478E-2</c:v>
                </c:pt>
                <c:pt idx="97">
                  <c:v>6.9127692307692307E-2</c:v>
                </c:pt>
                <c:pt idx="98">
                  <c:v>7.4556060606060598E-2</c:v>
                </c:pt>
                <c:pt idx="99">
                  <c:v>6.9986153846153837E-2</c:v>
                </c:pt>
                <c:pt idx="100">
                  <c:v>6.6731025641025635E-2</c:v>
                </c:pt>
                <c:pt idx="101">
                  <c:v>6.7456263736263733E-2</c:v>
                </c:pt>
                <c:pt idx="102">
                  <c:v>7.1826153846153845E-2</c:v>
                </c:pt>
                <c:pt idx="103">
                  <c:v>7.0890439560439569E-2</c:v>
                </c:pt>
                <c:pt idx="104">
                  <c:v>6.6647948717948713E-2</c:v>
                </c:pt>
                <c:pt idx="105">
                  <c:v>6.662115384615383E-2</c:v>
                </c:pt>
                <c:pt idx="106">
                  <c:v>6.6252307692307666E-2</c:v>
                </c:pt>
                <c:pt idx="107">
                  <c:v>6.2531060606060618E-2</c:v>
                </c:pt>
                <c:pt idx="108">
                  <c:v>6.7036979166666663E-2</c:v>
                </c:pt>
                <c:pt idx="109">
                  <c:v>6.7925576923076908E-2</c:v>
                </c:pt>
                <c:pt idx="110">
                  <c:v>7.2450000000000001E-2</c:v>
                </c:pt>
                <c:pt idx="111">
                  <c:v>7.6308333333333325E-2</c:v>
                </c:pt>
                <c:pt idx="112">
                  <c:v>7.8307252747252754E-2</c:v>
                </c:pt>
                <c:pt idx="113">
                  <c:v>8.1948461538461539E-2</c:v>
                </c:pt>
                <c:pt idx="114">
                  <c:v>7.9345454545454525E-2</c:v>
                </c:pt>
                <c:pt idx="115">
                  <c:v>7.938939393939394E-2</c:v>
                </c:pt>
                <c:pt idx="116">
                  <c:v>7.3751562500000006E-2</c:v>
                </c:pt>
                <c:pt idx="117">
                  <c:v>7.2103333333333325E-2</c:v>
                </c:pt>
                <c:pt idx="118">
                  <c:v>7.3406666666666676E-2</c:v>
                </c:pt>
                <c:pt idx="119">
                  <c:v>7.7420312500000005E-2</c:v>
                </c:pt>
                <c:pt idx="120">
                  <c:v>7.1953968253968242E-2</c:v>
                </c:pt>
                <c:pt idx="121">
                  <c:v>6.4544615384615395E-2</c:v>
                </c:pt>
                <c:pt idx="122">
                  <c:v>5.8792424242424236E-2</c:v>
                </c:pt>
                <c:pt idx="123">
                  <c:v>5.9760833333333346E-2</c:v>
                </c:pt>
                <c:pt idx="124">
                  <c:v>5.9671282051282061E-2</c:v>
                </c:pt>
                <c:pt idx="125">
                  <c:v>5.8582051282051309E-2</c:v>
                </c:pt>
                <c:pt idx="126">
                  <c:v>5.5544273504273496E-2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79-4965-A200-EA49964C6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795120"/>
        <c:axId val="1143802192"/>
      </c:scatterChart>
      <c:valAx>
        <c:axId val="1143795120"/>
        <c:scaling>
          <c:orientation val="minMax"/>
          <c:max val="8.0000000000000016E-2"/>
          <c:min val="1.000000000000000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b="0" i="0" baseline="0">
                    <a:solidFill>
                      <a:sysClr val="windowText" lastClr="000000"/>
                    </a:solidFill>
                    <a:latin typeface="Arial" panose="020B0604020202020204" pitchFamily="34" charset="0"/>
                  </a:rPr>
                  <a:t>U.S. Government 30-year Treasury Yield</a:t>
                </a:r>
              </a:p>
            </c:rich>
          </c:tx>
          <c:layout>
            <c:manualLayout>
              <c:xMode val="edge"/>
              <c:yMode val="edge"/>
              <c:x val="0.34729134419095042"/>
              <c:y val="0.9268066266780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143802192"/>
        <c:crosses val="autoZero"/>
        <c:crossBetween val="midCat"/>
      </c:valAx>
      <c:valAx>
        <c:axId val="1143802192"/>
        <c:scaling>
          <c:orientation val="minMax"/>
          <c:max val="9.0000000000000024E-2"/>
          <c:min val="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Risk Premium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1437951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45157</xdr:colOff>
      <xdr:row>2</xdr:row>
      <xdr:rowOff>14609</xdr:rowOff>
    </xdr:from>
    <xdr:to>
      <xdr:col>12</xdr:col>
      <xdr:colOff>702984</xdr:colOff>
      <xdr:row>19</xdr:row>
      <xdr:rowOff>43847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as\MGE\MGE%20GR-2006-0422\Schedules\Direct\Atmos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O\Documents%20and%20Settings\jlm8149\Local%20Settings\Temporary%20Internet%20Files\OLK5C\Cost%20of%20Capital%20estimated%2012-31-04%20(1-24-0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orma%202001%201.0f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-Offices-GO\INCTAX\PROVIS\Old%20Link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\AFUDC\AFUDC%202002\AFUDC2002%20Forecast%20All%20Cos%20Act.%20thru%20M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LATE\Testimony%20Templates\Econ.%20data%20&amp;%20graphs\Testimony%20draft%20to%20be%20updated\historical.Graphs-testimony%20ready-revis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03600-03699)%20-%20Projects\03682%20-%20PAA-MT%20(Property%20Tax%20Appraisal)\Analysis\FERC%20Model\FERC%20Transmission%20Model%2012-31-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ata"/>
      <sheetName val="Moody's Bond Yield Data"/>
      <sheetName val="Cover"/>
      <sheetName val="List"/>
      <sheetName val="Discount Rate"/>
      <sheetName val="Prime Rate"/>
      <sheetName val="Inflation"/>
      <sheetName val="Moody's"/>
      <sheetName val="30 Yr. Bonds"/>
      <sheetName val="Discount Chart"/>
      <sheetName val="Inflation Chart"/>
      <sheetName val="Moody's T-Bond Chart"/>
      <sheetName val="Moody's Spread Chart"/>
      <sheetName val="Moody's Baa Bond Yields Chart"/>
      <sheetName val="Econ Est &amp; Proj"/>
      <sheetName val="Hist. Cap Stru Atmos"/>
      <sheetName val="Ratios"/>
      <sheetName val="Cap. Struct."/>
      <sheetName val="LTD Rate"/>
      <sheetName val="STD Rate"/>
      <sheetName val="Comp. Co Criteria"/>
      <sheetName val="Ticker - Distr."/>
      <sheetName val="10-yr. Historical Growth"/>
      <sheetName val="5-yr. historical growth"/>
      <sheetName val="Avg 5-year and 10-year"/>
      <sheetName val="Comparable Projected Growth"/>
      <sheetName val="Comparable Stock Prices"/>
      <sheetName val="Comp DCF"/>
      <sheetName val="Comp CAPM"/>
      <sheetName val="Comp. Ratios"/>
      <sheetName val="RR"/>
      <sheetName val="WACC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I30">
            <v>8.4</v>
          </cell>
          <cell r="K30">
            <v>12</v>
          </cell>
          <cell r="O30">
            <v>2.5099999999999998</v>
          </cell>
          <cell r="P30">
            <v>1.5240553745928338</v>
          </cell>
        </row>
        <row r="31">
          <cell r="C31">
            <v>14.22</v>
          </cell>
          <cell r="E31">
            <v>16.72</v>
          </cell>
          <cell r="I31">
            <v>7.6</v>
          </cell>
          <cell r="K31">
            <v>12</v>
          </cell>
          <cell r="O31">
            <v>2.4999999999999982</v>
          </cell>
          <cell r="P31">
            <v>1.5240553745928338</v>
          </cell>
        </row>
        <row r="32">
          <cell r="C32">
            <v>13.53</v>
          </cell>
          <cell r="E32">
            <v>16.07</v>
          </cell>
          <cell r="I32">
            <v>6.8</v>
          </cell>
          <cell r="K32">
            <v>12</v>
          </cell>
          <cell r="O32">
            <v>2.5400000000000009</v>
          </cell>
          <cell r="P32">
            <v>1.5240553745928338</v>
          </cell>
        </row>
        <row r="33">
          <cell r="C33">
            <v>13.37</v>
          </cell>
          <cell r="E33">
            <v>15.82</v>
          </cell>
          <cell r="I33">
            <v>6.5</v>
          </cell>
          <cell r="K33">
            <v>12</v>
          </cell>
          <cell r="O33">
            <v>2.4500000000000011</v>
          </cell>
          <cell r="P33">
            <v>1.5240553745928338</v>
          </cell>
        </row>
        <row r="34">
          <cell r="C34">
            <v>13.24</v>
          </cell>
          <cell r="E34">
            <v>15.6</v>
          </cell>
          <cell r="I34">
            <v>6.7</v>
          </cell>
          <cell r="K34">
            <v>12</v>
          </cell>
          <cell r="O34">
            <v>2.3599999999999994</v>
          </cell>
          <cell r="P34">
            <v>1.5240553745928338</v>
          </cell>
        </row>
        <row r="35">
          <cell r="C35">
            <v>13.92</v>
          </cell>
          <cell r="E35">
            <v>16.18</v>
          </cell>
          <cell r="I35">
            <v>7.1</v>
          </cell>
          <cell r="K35">
            <v>12</v>
          </cell>
          <cell r="O35">
            <v>2.2599999999999998</v>
          </cell>
          <cell r="P35">
            <v>1.5240553745928338</v>
          </cell>
        </row>
        <row r="36">
          <cell r="C36">
            <v>13.55</v>
          </cell>
          <cell r="E36">
            <v>16.04</v>
          </cell>
          <cell r="I36">
            <v>6.4</v>
          </cell>
          <cell r="K36">
            <v>11</v>
          </cell>
          <cell r="O36">
            <v>2.4899999999999984</v>
          </cell>
          <cell r="P36">
            <v>1.5240553745928338</v>
          </cell>
        </row>
        <row r="37">
          <cell r="C37">
            <v>12.77</v>
          </cell>
          <cell r="E37">
            <v>15.22</v>
          </cell>
          <cell r="I37">
            <v>5.9</v>
          </cell>
          <cell r="K37">
            <v>10</v>
          </cell>
          <cell r="O37">
            <v>2.4500000000000011</v>
          </cell>
          <cell r="P37">
            <v>1.5240553745928338</v>
          </cell>
        </row>
        <row r="38">
          <cell r="C38">
            <v>12.07</v>
          </cell>
          <cell r="E38">
            <v>14.56</v>
          </cell>
          <cell r="I38">
            <v>5</v>
          </cell>
          <cell r="K38">
            <v>9.5</v>
          </cell>
          <cell r="O38">
            <v>2.4900000000000002</v>
          </cell>
          <cell r="P38">
            <v>1.5240553745928338</v>
          </cell>
        </row>
        <row r="39">
          <cell r="C39">
            <v>11.17</v>
          </cell>
          <cell r="E39">
            <v>13.88</v>
          </cell>
          <cell r="I39">
            <v>5.0999999999999996</v>
          </cell>
          <cell r="K39">
            <v>9</v>
          </cell>
          <cell r="O39">
            <v>2.7100000000000009</v>
          </cell>
          <cell r="P39">
            <v>1.5240553745928338</v>
          </cell>
        </row>
        <row r="40">
          <cell r="C40">
            <v>10.54</v>
          </cell>
          <cell r="E40">
            <v>13.58</v>
          </cell>
          <cell r="I40">
            <v>4.5999999999999996</v>
          </cell>
          <cell r="K40">
            <v>9</v>
          </cell>
          <cell r="O40">
            <v>3.0400000000000009</v>
          </cell>
          <cell r="P40">
            <v>1.5240553745928338</v>
          </cell>
        </row>
        <row r="41">
          <cell r="C41">
            <v>10.54</v>
          </cell>
          <cell r="E41">
            <v>13.55</v>
          </cell>
          <cell r="I41">
            <v>3.8</v>
          </cell>
          <cell r="K41">
            <v>8.5</v>
          </cell>
          <cell r="O41">
            <v>3.0100000000000016</v>
          </cell>
          <cell r="P41">
            <v>1.5240553745928338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I42">
            <v>3.7</v>
          </cell>
          <cell r="K42">
            <v>8.5</v>
          </cell>
          <cell r="O42">
            <v>2.83</v>
          </cell>
          <cell r="P42">
            <v>1.5240553745928338</v>
          </cell>
        </row>
        <row r="43">
          <cell r="C43">
            <v>10.88</v>
          </cell>
          <cell r="E43">
            <v>13.6</v>
          </cell>
          <cell r="I43">
            <v>3.5</v>
          </cell>
          <cell r="K43">
            <v>8.5</v>
          </cell>
          <cell r="O43">
            <v>2.7199999999999989</v>
          </cell>
          <cell r="P43">
            <v>1.5240553745928338</v>
          </cell>
        </row>
        <row r="44">
          <cell r="C44">
            <v>10.63</v>
          </cell>
          <cell r="E44">
            <v>13.28</v>
          </cell>
          <cell r="I44">
            <v>3.6</v>
          </cell>
          <cell r="K44">
            <v>8.5</v>
          </cell>
          <cell r="O44">
            <v>2.6499999999999986</v>
          </cell>
          <cell r="P44">
            <v>1.5240553745928338</v>
          </cell>
        </row>
        <row r="45">
          <cell r="C45">
            <v>10.48</v>
          </cell>
          <cell r="E45">
            <v>13.03</v>
          </cell>
          <cell r="I45">
            <v>3.9</v>
          </cell>
          <cell r="K45">
            <v>8.5</v>
          </cell>
          <cell r="O45">
            <v>2.5499999999999989</v>
          </cell>
          <cell r="P45">
            <v>1.5240553745928338</v>
          </cell>
        </row>
        <row r="46">
          <cell r="C46">
            <v>10.53</v>
          </cell>
          <cell r="E46">
            <v>13</v>
          </cell>
          <cell r="I46">
            <v>3.5</v>
          </cell>
          <cell r="K46">
            <v>8.5</v>
          </cell>
          <cell r="O46">
            <v>2.4700000000000006</v>
          </cell>
          <cell r="P46">
            <v>1.5240553745928338</v>
          </cell>
        </row>
        <row r="47">
          <cell r="C47">
            <v>10.93</v>
          </cell>
          <cell r="E47">
            <v>13.17</v>
          </cell>
          <cell r="I47">
            <v>2.6</v>
          </cell>
          <cell r="K47">
            <v>8.5</v>
          </cell>
          <cell r="O47">
            <v>2.2400000000000002</v>
          </cell>
          <cell r="P47">
            <v>1.5240553745928338</v>
          </cell>
        </row>
        <row r="48">
          <cell r="C48">
            <v>11.4</v>
          </cell>
          <cell r="E48">
            <v>13.28</v>
          </cell>
          <cell r="I48">
            <v>2.5</v>
          </cell>
          <cell r="K48">
            <v>8.5</v>
          </cell>
          <cell r="O48">
            <v>1.879999999999999</v>
          </cell>
          <cell r="P48">
            <v>1.5240553745928338</v>
          </cell>
        </row>
        <row r="49">
          <cell r="C49">
            <v>11.82</v>
          </cell>
          <cell r="E49">
            <v>13.5</v>
          </cell>
          <cell r="I49">
            <v>2.6</v>
          </cell>
          <cell r="K49">
            <v>8.5</v>
          </cell>
          <cell r="O49">
            <v>1.6799999999999997</v>
          </cell>
          <cell r="P49">
            <v>1.5240553745928338</v>
          </cell>
        </row>
        <row r="50">
          <cell r="C50">
            <v>11.63</v>
          </cell>
          <cell r="E50">
            <v>13.35</v>
          </cell>
          <cell r="I50">
            <v>2.9</v>
          </cell>
          <cell r="K50">
            <v>8.5</v>
          </cell>
          <cell r="O50">
            <v>1.7199999999999989</v>
          </cell>
          <cell r="P50">
            <v>1.5240553745928338</v>
          </cell>
        </row>
        <row r="51">
          <cell r="C51">
            <v>11.58</v>
          </cell>
          <cell r="E51">
            <v>13.19</v>
          </cell>
          <cell r="I51">
            <v>2.9</v>
          </cell>
          <cell r="K51">
            <v>8.5</v>
          </cell>
          <cell r="O51">
            <v>1.6099999999999994</v>
          </cell>
          <cell r="P51">
            <v>1.5240553745928338</v>
          </cell>
        </row>
        <row r="52">
          <cell r="C52">
            <v>11.75</v>
          </cell>
          <cell r="E52">
            <v>13.33</v>
          </cell>
          <cell r="I52">
            <v>3.3</v>
          </cell>
          <cell r="K52">
            <v>8.5</v>
          </cell>
          <cell r="O52">
            <v>1.58</v>
          </cell>
          <cell r="P52">
            <v>1.5240553745928338</v>
          </cell>
        </row>
        <row r="53">
          <cell r="C53">
            <v>11.88</v>
          </cell>
          <cell r="E53">
            <v>13.48</v>
          </cell>
          <cell r="I53">
            <v>3.8</v>
          </cell>
          <cell r="K53">
            <v>8.5</v>
          </cell>
          <cell r="O53">
            <v>1.5999999999999996</v>
          </cell>
          <cell r="P53">
            <v>1.5240553745928338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I54">
            <v>4.2</v>
          </cell>
          <cell r="K54">
            <v>8.5</v>
          </cell>
          <cell r="O54">
            <v>1.6500000000000004</v>
          </cell>
          <cell r="P54">
            <v>1.5240553745928338</v>
          </cell>
        </row>
        <row r="55">
          <cell r="C55">
            <v>11.95</v>
          </cell>
          <cell r="E55">
            <v>13.5</v>
          </cell>
          <cell r="I55">
            <v>4.5999999999999996</v>
          </cell>
          <cell r="K55">
            <v>8.5</v>
          </cell>
          <cell r="O55">
            <v>1.5500000000000007</v>
          </cell>
          <cell r="P55">
            <v>1.5240553745928338</v>
          </cell>
        </row>
        <row r="56">
          <cell r="C56">
            <v>12.38</v>
          </cell>
          <cell r="E56">
            <v>14.03</v>
          </cell>
          <cell r="I56">
            <v>4.8</v>
          </cell>
          <cell r="K56">
            <v>8.5</v>
          </cell>
          <cell r="O56">
            <v>1.6499999999999986</v>
          </cell>
          <cell r="P56">
            <v>1.5240553745928338</v>
          </cell>
        </row>
        <row r="57">
          <cell r="C57">
            <v>12.65</v>
          </cell>
          <cell r="E57">
            <v>14.3</v>
          </cell>
          <cell r="I57">
            <v>4.5999999999999996</v>
          </cell>
          <cell r="K57">
            <v>9</v>
          </cell>
          <cell r="O57">
            <v>1.6500000000000004</v>
          </cell>
          <cell r="P57">
            <v>1.5240553745928338</v>
          </cell>
        </row>
        <row r="58">
          <cell r="C58">
            <v>13.43</v>
          </cell>
          <cell r="E58">
            <v>14.95</v>
          </cell>
          <cell r="I58">
            <v>4.2</v>
          </cell>
          <cell r="K58">
            <v>9</v>
          </cell>
          <cell r="O58">
            <v>1.5199999999999996</v>
          </cell>
          <cell r="P58">
            <v>1.5240553745928338</v>
          </cell>
        </row>
        <row r="59">
          <cell r="C59">
            <v>13.44</v>
          </cell>
          <cell r="E59">
            <v>15.16</v>
          </cell>
          <cell r="I59">
            <v>4.2</v>
          </cell>
          <cell r="K59">
            <v>9</v>
          </cell>
          <cell r="O59">
            <v>1.7200000000000006</v>
          </cell>
          <cell r="P59">
            <v>1.5240553745928338</v>
          </cell>
        </row>
        <row r="60">
          <cell r="C60">
            <v>13.21</v>
          </cell>
          <cell r="E60">
            <v>14.92</v>
          </cell>
          <cell r="I60">
            <v>4.2</v>
          </cell>
          <cell r="K60">
            <v>9</v>
          </cell>
          <cell r="O60">
            <v>1.7099999999999991</v>
          </cell>
          <cell r="P60">
            <v>1.5240553745928338</v>
          </cell>
        </row>
        <row r="61">
          <cell r="C61">
            <v>12.54</v>
          </cell>
          <cell r="E61">
            <v>14.29</v>
          </cell>
          <cell r="I61">
            <v>4.3</v>
          </cell>
          <cell r="K61">
            <v>9</v>
          </cell>
          <cell r="O61">
            <v>1.75</v>
          </cell>
          <cell r="P61">
            <v>1.5240553745928338</v>
          </cell>
        </row>
        <row r="62">
          <cell r="C62">
            <v>12.29</v>
          </cell>
          <cell r="E62">
            <v>14.04</v>
          </cell>
          <cell r="I62">
            <v>4.3</v>
          </cell>
          <cell r="K62">
            <v>9</v>
          </cell>
          <cell r="O62">
            <v>1.75</v>
          </cell>
          <cell r="P62">
            <v>1.5240553745928338</v>
          </cell>
        </row>
        <row r="63">
          <cell r="C63">
            <v>11.98</v>
          </cell>
          <cell r="E63">
            <v>13.68</v>
          </cell>
          <cell r="I63">
            <v>4.3</v>
          </cell>
          <cell r="K63">
            <v>9</v>
          </cell>
          <cell r="O63">
            <v>1.6999999999999993</v>
          </cell>
          <cell r="P63">
            <v>1.5240553745928338</v>
          </cell>
        </row>
        <row r="64">
          <cell r="C64">
            <v>11.56</v>
          </cell>
          <cell r="E64">
            <v>13.15</v>
          </cell>
          <cell r="I64">
            <v>4.0999999999999996</v>
          </cell>
          <cell r="K64">
            <v>8.5</v>
          </cell>
          <cell r="O64">
            <v>1.5899999999999999</v>
          </cell>
          <cell r="P64">
            <v>1.5240553745928338</v>
          </cell>
        </row>
        <row r="65">
          <cell r="C65">
            <v>11.52</v>
          </cell>
          <cell r="E65">
            <v>12.96</v>
          </cell>
          <cell r="I65">
            <v>3.9</v>
          </cell>
          <cell r="K65">
            <v>8</v>
          </cell>
          <cell r="O65">
            <v>1.4400000000000013</v>
          </cell>
          <cell r="P65">
            <v>1.5240553745928338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I66">
            <v>3.5</v>
          </cell>
          <cell r="K66">
            <v>8</v>
          </cell>
          <cell r="O66">
            <v>1.4300000000000015</v>
          </cell>
          <cell r="P66">
            <v>1.5240553745928338</v>
          </cell>
        </row>
        <row r="67">
          <cell r="C67">
            <v>11.47</v>
          </cell>
          <cell r="E67">
            <v>13</v>
          </cell>
          <cell r="I67">
            <v>3.5</v>
          </cell>
          <cell r="K67">
            <v>8</v>
          </cell>
          <cell r="O67">
            <v>1.5299999999999994</v>
          </cell>
          <cell r="P67">
            <v>1.5240553745928338</v>
          </cell>
        </row>
        <row r="68">
          <cell r="C68">
            <v>11.81</v>
          </cell>
          <cell r="E68">
            <v>13.66</v>
          </cell>
          <cell r="I68">
            <v>3.7</v>
          </cell>
          <cell r="K68">
            <v>8</v>
          </cell>
          <cell r="O68">
            <v>1.8499999999999996</v>
          </cell>
          <cell r="P68">
            <v>1.5240553745928338</v>
          </cell>
        </row>
        <row r="69">
          <cell r="C69">
            <v>11.47</v>
          </cell>
          <cell r="E69">
            <v>13.42</v>
          </cell>
          <cell r="I69">
            <v>3.7</v>
          </cell>
          <cell r="K69">
            <v>8</v>
          </cell>
          <cell r="O69">
            <v>1.9499999999999993</v>
          </cell>
          <cell r="P69">
            <v>1.5240553745928338</v>
          </cell>
        </row>
        <row r="70">
          <cell r="C70">
            <v>11.05</v>
          </cell>
          <cell r="E70">
            <v>12.89</v>
          </cell>
          <cell r="I70">
            <v>3.8</v>
          </cell>
          <cell r="K70">
            <v>7.5</v>
          </cell>
          <cell r="O70">
            <v>1.8399999999999999</v>
          </cell>
          <cell r="P70">
            <v>1.5240553745928338</v>
          </cell>
        </row>
        <row r="71">
          <cell r="C71">
            <v>10.44</v>
          </cell>
          <cell r="E71">
            <v>11.91</v>
          </cell>
          <cell r="I71">
            <v>3.8</v>
          </cell>
          <cell r="K71">
            <v>7.5</v>
          </cell>
          <cell r="O71">
            <v>1.4700000000000006</v>
          </cell>
          <cell r="P71">
            <v>1.5240553745928338</v>
          </cell>
        </row>
        <row r="72">
          <cell r="C72">
            <v>10.5</v>
          </cell>
          <cell r="E72">
            <v>11.88</v>
          </cell>
          <cell r="I72">
            <v>3.6</v>
          </cell>
          <cell r="K72">
            <v>7.5</v>
          </cell>
          <cell r="O72">
            <v>1.3800000000000008</v>
          </cell>
          <cell r="P72">
            <v>1.5240553745928338</v>
          </cell>
        </row>
        <row r="73">
          <cell r="C73">
            <v>10.56</v>
          </cell>
          <cell r="E73">
            <v>11.93</v>
          </cell>
          <cell r="I73">
            <v>3.3</v>
          </cell>
          <cell r="K73">
            <v>7.5</v>
          </cell>
          <cell r="O73">
            <v>1.3699999999999992</v>
          </cell>
          <cell r="P73">
            <v>1.5240553745928338</v>
          </cell>
        </row>
        <row r="74">
          <cell r="C74">
            <v>10.61</v>
          </cell>
          <cell r="E74">
            <v>11.95</v>
          </cell>
          <cell r="I74">
            <v>3.1</v>
          </cell>
          <cell r="K74">
            <v>7.5</v>
          </cell>
          <cell r="O74">
            <v>1.3399999999999999</v>
          </cell>
          <cell r="P74">
            <v>1.5240553745928338</v>
          </cell>
        </row>
        <row r="75">
          <cell r="C75">
            <v>10.5</v>
          </cell>
          <cell r="E75">
            <v>11.84</v>
          </cell>
          <cell r="I75">
            <v>3.2</v>
          </cell>
          <cell r="K75">
            <v>7.5</v>
          </cell>
          <cell r="O75">
            <v>1.3399999999999999</v>
          </cell>
          <cell r="P75">
            <v>1.5240553745928338</v>
          </cell>
        </row>
        <row r="76">
          <cell r="C76">
            <v>10.06</v>
          </cell>
          <cell r="E76">
            <v>11.33</v>
          </cell>
          <cell r="I76">
            <v>3.5</v>
          </cell>
          <cell r="K76">
            <v>7.5</v>
          </cell>
          <cell r="O76">
            <v>1.2699999999999996</v>
          </cell>
          <cell r="P76">
            <v>1.5240553745928338</v>
          </cell>
        </row>
        <row r="77">
          <cell r="C77">
            <v>9.5399999999999991</v>
          </cell>
          <cell r="E77">
            <v>10.82</v>
          </cell>
          <cell r="I77">
            <v>3.8</v>
          </cell>
          <cell r="K77">
            <v>7.5</v>
          </cell>
          <cell r="O77">
            <v>1.2800000000000011</v>
          </cell>
          <cell r="P77">
            <v>1.5240553745928338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I78">
            <v>3.9</v>
          </cell>
          <cell r="K78">
            <v>7.5</v>
          </cell>
          <cell r="O78">
            <v>1.2599999999999998</v>
          </cell>
          <cell r="P78">
            <v>1.5240553745928338</v>
          </cell>
        </row>
        <row r="79">
          <cell r="C79">
            <v>8.93</v>
          </cell>
          <cell r="E79">
            <v>10.16</v>
          </cell>
          <cell r="I79">
            <v>3.1</v>
          </cell>
          <cell r="K79">
            <v>7.5</v>
          </cell>
          <cell r="O79">
            <v>1.2300000000000004</v>
          </cell>
          <cell r="P79">
            <v>1.5240553745928338</v>
          </cell>
        </row>
        <row r="80">
          <cell r="C80">
            <v>7.96</v>
          </cell>
          <cell r="E80">
            <v>9.33</v>
          </cell>
          <cell r="I80">
            <v>2.2999999999999998</v>
          </cell>
          <cell r="K80">
            <v>7</v>
          </cell>
          <cell r="O80">
            <v>1.37</v>
          </cell>
          <cell r="P80">
            <v>1.5240553745928338</v>
          </cell>
        </row>
        <row r="81">
          <cell r="C81">
            <v>7.39</v>
          </cell>
          <cell r="E81">
            <v>9.02</v>
          </cell>
          <cell r="I81">
            <v>1.6</v>
          </cell>
          <cell r="K81">
            <v>6.5</v>
          </cell>
          <cell r="O81">
            <v>1.63</v>
          </cell>
          <cell r="P81">
            <v>1.5240553745928338</v>
          </cell>
        </row>
        <row r="82">
          <cell r="C82">
            <v>7.52</v>
          </cell>
          <cell r="E82">
            <v>9.52</v>
          </cell>
          <cell r="I82">
            <v>1.5</v>
          </cell>
          <cell r="K82">
            <v>6.5</v>
          </cell>
          <cell r="O82">
            <v>2</v>
          </cell>
          <cell r="P82">
            <v>1.5240553745928338</v>
          </cell>
        </row>
        <row r="83">
          <cell r="C83">
            <v>7.57</v>
          </cell>
          <cell r="E83">
            <v>9.51</v>
          </cell>
          <cell r="I83">
            <v>1.8</v>
          </cell>
          <cell r="K83">
            <v>6.5</v>
          </cell>
          <cell r="O83">
            <v>1.9399999999999995</v>
          </cell>
          <cell r="P83">
            <v>1.5240553745928338</v>
          </cell>
        </row>
        <row r="84">
          <cell r="C84">
            <v>7.27</v>
          </cell>
          <cell r="E84">
            <v>9.19</v>
          </cell>
          <cell r="I84">
            <v>1.6</v>
          </cell>
          <cell r="K84">
            <v>6</v>
          </cell>
          <cell r="O84">
            <v>1.92</v>
          </cell>
          <cell r="P84">
            <v>1.5240553745928338</v>
          </cell>
        </row>
        <row r="85">
          <cell r="C85">
            <v>7.33</v>
          </cell>
          <cell r="E85">
            <v>9.15</v>
          </cell>
          <cell r="I85">
            <v>1.6</v>
          </cell>
          <cell r="K85">
            <v>5.5</v>
          </cell>
          <cell r="O85">
            <v>1.8200000000000003</v>
          </cell>
          <cell r="P85">
            <v>1.5240553745928338</v>
          </cell>
        </row>
        <row r="86">
          <cell r="C86">
            <v>7.62</v>
          </cell>
          <cell r="E86">
            <v>9.42</v>
          </cell>
          <cell r="I86">
            <v>1.8</v>
          </cell>
          <cell r="K86">
            <v>5.5</v>
          </cell>
          <cell r="O86">
            <v>1.7999999999999998</v>
          </cell>
          <cell r="P86">
            <v>1.5240553745928338</v>
          </cell>
        </row>
        <row r="87">
          <cell r="C87">
            <v>7.7</v>
          </cell>
          <cell r="E87">
            <v>9.39</v>
          </cell>
          <cell r="I87">
            <v>1.5</v>
          </cell>
          <cell r="K87">
            <v>5.5</v>
          </cell>
          <cell r="O87">
            <v>1.6900000000000004</v>
          </cell>
          <cell r="P87">
            <v>1.5240553745928338</v>
          </cell>
        </row>
        <row r="88">
          <cell r="C88">
            <v>7.52</v>
          </cell>
          <cell r="E88">
            <v>9.15</v>
          </cell>
          <cell r="I88">
            <v>1.3</v>
          </cell>
          <cell r="K88">
            <v>5.5</v>
          </cell>
          <cell r="O88">
            <v>1.6300000000000008</v>
          </cell>
          <cell r="P88">
            <v>1.5240553745928338</v>
          </cell>
        </row>
        <row r="89">
          <cell r="C89">
            <v>7.37</v>
          </cell>
          <cell r="E89">
            <v>8.9600000000000009</v>
          </cell>
          <cell r="I89">
            <v>1.1000000000000001</v>
          </cell>
          <cell r="K89">
            <v>5.5</v>
          </cell>
          <cell r="O89">
            <v>1.5900000000000007</v>
          </cell>
          <cell r="P89">
            <v>1.5240553745928338</v>
          </cell>
        </row>
        <row r="90">
          <cell r="B90">
            <v>87</v>
          </cell>
          <cell r="C90">
            <v>7.39</v>
          </cell>
          <cell r="E90">
            <v>8.77</v>
          </cell>
          <cell r="I90">
            <v>1.5</v>
          </cell>
          <cell r="K90">
            <v>5.5</v>
          </cell>
          <cell r="O90">
            <v>1.38</v>
          </cell>
          <cell r="P90">
            <v>1.5240553745928338</v>
          </cell>
        </row>
        <row r="91">
          <cell r="C91">
            <v>7.54</v>
          </cell>
          <cell r="E91">
            <v>8.81</v>
          </cell>
          <cell r="I91">
            <v>2.1</v>
          </cell>
          <cell r="K91">
            <v>5.5</v>
          </cell>
          <cell r="O91">
            <v>1.2700000000000005</v>
          </cell>
          <cell r="P91">
            <v>1.5240553745928338</v>
          </cell>
        </row>
        <row r="92">
          <cell r="C92">
            <v>7.55</v>
          </cell>
          <cell r="E92">
            <v>8.75</v>
          </cell>
          <cell r="I92">
            <v>3</v>
          </cell>
          <cell r="K92">
            <v>5.5</v>
          </cell>
          <cell r="O92">
            <v>1.2000000000000002</v>
          </cell>
          <cell r="P92">
            <v>1.5240553745928338</v>
          </cell>
        </row>
        <row r="93">
          <cell r="C93">
            <v>8.25</v>
          </cell>
          <cell r="E93">
            <v>9.3000000000000007</v>
          </cell>
          <cell r="I93">
            <v>3.8</v>
          </cell>
          <cell r="K93">
            <v>5.5</v>
          </cell>
          <cell r="O93">
            <v>1.0500000000000007</v>
          </cell>
          <cell r="P93">
            <v>1.5240553745928338</v>
          </cell>
        </row>
        <row r="94">
          <cell r="C94">
            <v>8.7799999999999994</v>
          </cell>
          <cell r="E94">
            <v>9.82</v>
          </cell>
          <cell r="I94">
            <v>3.9</v>
          </cell>
          <cell r="K94">
            <v>5.5</v>
          </cell>
          <cell r="O94">
            <v>1.0400000000000009</v>
          </cell>
          <cell r="P94">
            <v>1.5240553745928338</v>
          </cell>
        </row>
        <row r="95">
          <cell r="C95">
            <v>8.57</v>
          </cell>
          <cell r="E95">
            <v>9.8699999999999992</v>
          </cell>
          <cell r="I95">
            <v>3.7</v>
          </cell>
          <cell r="K95">
            <v>5.5</v>
          </cell>
          <cell r="O95">
            <v>1.2999999999999989</v>
          </cell>
          <cell r="P95">
            <v>1.5240553745928338</v>
          </cell>
        </row>
        <row r="96">
          <cell r="C96">
            <v>8.64</v>
          </cell>
          <cell r="E96">
            <v>10.01</v>
          </cell>
          <cell r="I96">
            <v>3.9</v>
          </cell>
          <cell r="K96">
            <v>5.5</v>
          </cell>
          <cell r="O96">
            <v>1.3699999999999992</v>
          </cell>
          <cell r="P96">
            <v>1.5240553745928338</v>
          </cell>
        </row>
        <row r="97">
          <cell r="C97">
            <v>8.9700000000000006</v>
          </cell>
          <cell r="E97">
            <v>10.33</v>
          </cell>
          <cell r="I97">
            <v>4.3</v>
          </cell>
          <cell r="K97">
            <v>5.5</v>
          </cell>
          <cell r="O97">
            <v>1.3599999999999994</v>
          </cell>
          <cell r="P97">
            <v>1.5240553745928338</v>
          </cell>
        </row>
        <row r="98">
          <cell r="C98">
            <v>9.59</v>
          </cell>
          <cell r="E98">
            <v>11</v>
          </cell>
          <cell r="I98">
            <v>4.4000000000000004</v>
          </cell>
          <cell r="K98">
            <v>6</v>
          </cell>
          <cell r="O98">
            <v>1.4100000000000001</v>
          </cell>
          <cell r="P98">
            <v>1.5240553745928338</v>
          </cell>
        </row>
        <row r="99">
          <cell r="C99">
            <v>9.61</v>
          </cell>
          <cell r="E99">
            <v>11.32</v>
          </cell>
          <cell r="I99">
            <v>4.5</v>
          </cell>
          <cell r="K99">
            <v>6</v>
          </cell>
          <cell r="O99">
            <v>1.7100000000000009</v>
          </cell>
          <cell r="P99">
            <v>1.5240553745928338</v>
          </cell>
        </row>
        <row r="100">
          <cell r="C100">
            <v>8.9499999999999993</v>
          </cell>
          <cell r="E100">
            <v>10.82</v>
          </cell>
          <cell r="I100">
            <v>4.5</v>
          </cell>
          <cell r="K100">
            <v>6</v>
          </cell>
          <cell r="O100">
            <v>1.870000000000001</v>
          </cell>
          <cell r="P100">
            <v>1.5240553745928338</v>
          </cell>
        </row>
        <row r="101">
          <cell r="C101">
            <v>9.1199999999999992</v>
          </cell>
          <cell r="E101">
            <v>10.99</v>
          </cell>
          <cell r="I101">
            <v>4.4000000000000004</v>
          </cell>
          <cell r="K101">
            <v>6</v>
          </cell>
          <cell r="O101">
            <v>1.870000000000001</v>
          </cell>
          <cell r="P101">
            <v>1.5240553745928338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I102">
            <v>4</v>
          </cell>
          <cell r="K102">
            <v>6</v>
          </cell>
          <cell r="O102">
            <v>1.92</v>
          </cell>
          <cell r="P102">
            <v>1.5240553745928338</v>
          </cell>
        </row>
        <row r="103">
          <cell r="C103">
            <v>8.43</v>
          </cell>
          <cell r="E103">
            <v>10.11</v>
          </cell>
          <cell r="I103">
            <v>3.9</v>
          </cell>
          <cell r="K103">
            <v>6</v>
          </cell>
          <cell r="O103">
            <v>1.6799999999999997</v>
          </cell>
          <cell r="P103">
            <v>1.5240553745928338</v>
          </cell>
        </row>
        <row r="104">
          <cell r="C104">
            <v>8.6300000000000008</v>
          </cell>
          <cell r="E104">
            <v>10.11</v>
          </cell>
          <cell r="I104">
            <v>3.9</v>
          </cell>
          <cell r="K104">
            <v>6</v>
          </cell>
          <cell r="O104">
            <v>1.4799999999999986</v>
          </cell>
          <cell r="P104">
            <v>1.5240553745928338</v>
          </cell>
        </row>
        <row r="105">
          <cell r="C105">
            <v>8.9499999999999993</v>
          </cell>
          <cell r="E105">
            <v>10.53</v>
          </cell>
          <cell r="I105">
            <v>3.9</v>
          </cell>
          <cell r="K105">
            <v>6</v>
          </cell>
          <cell r="O105">
            <v>1.58</v>
          </cell>
          <cell r="P105">
            <v>1.5240553745928338</v>
          </cell>
        </row>
        <row r="106">
          <cell r="C106">
            <v>9.23</v>
          </cell>
          <cell r="E106">
            <v>10.75</v>
          </cell>
          <cell r="I106">
            <v>3.9</v>
          </cell>
          <cell r="K106">
            <v>6</v>
          </cell>
          <cell r="O106">
            <v>1.5199999999999996</v>
          </cell>
          <cell r="P106">
            <v>1.5240553745928338</v>
          </cell>
        </row>
        <row r="107">
          <cell r="C107">
            <v>9</v>
          </cell>
          <cell r="E107">
            <v>10.71</v>
          </cell>
          <cell r="I107">
            <v>4</v>
          </cell>
          <cell r="K107">
            <v>6</v>
          </cell>
          <cell r="O107">
            <v>1.7100000000000009</v>
          </cell>
          <cell r="P107">
            <v>1.5240553745928338</v>
          </cell>
        </row>
        <row r="108">
          <cell r="C108">
            <v>9.14</v>
          </cell>
          <cell r="E108">
            <v>10.96</v>
          </cell>
          <cell r="I108">
            <v>4.0999999999999996</v>
          </cell>
          <cell r="K108">
            <v>6</v>
          </cell>
          <cell r="O108">
            <v>1.8200000000000003</v>
          </cell>
          <cell r="P108">
            <v>1.5240553745928338</v>
          </cell>
        </row>
        <row r="109">
          <cell r="C109">
            <v>9.32</v>
          </cell>
          <cell r="E109">
            <v>11.09</v>
          </cell>
          <cell r="I109">
            <v>4</v>
          </cell>
          <cell r="K109">
            <v>6.5</v>
          </cell>
          <cell r="O109">
            <v>1.7699999999999996</v>
          </cell>
          <cell r="P109">
            <v>1.5240553745928338</v>
          </cell>
        </row>
        <row r="110">
          <cell r="C110">
            <v>9.06</v>
          </cell>
          <cell r="E110">
            <v>10.56</v>
          </cell>
          <cell r="I110">
            <v>4.2</v>
          </cell>
          <cell r="K110">
            <v>6.5</v>
          </cell>
          <cell r="O110">
            <v>1.5</v>
          </cell>
          <cell r="P110">
            <v>1.5240553745928338</v>
          </cell>
        </row>
        <row r="111">
          <cell r="C111">
            <v>8.89</v>
          </cell>
          <cell r="E111">
            <v>9.92</v>
          </cell>
          <cell r="I111">
            <v>4.2</v>
          </cell>
          <cell r="K111">
            <v>6.5</v>
          </cell>
          <cell r="O111">
            <v>1.0299999999999994</v>
          </cell>
          <cell r="P111">
            <v>1.5240553745928338</v>
          </cell>
        </row>
        <row r="112">
          <cell r="C112">
            <v>9.02</v>
          </cell>
          <cell r="E112">
            <v>9.89</v>
          </cell>
          <cell r="I112">
            <v>4.2</v>
          </cell>
          <cell r="K112">
            <v>6.5</v>
          </cell>
          <cell r="O112">
            <v>0.87000000000000099</v>
          </cell>
          <cell r="P112">
            <v>1.5240553745928338</v>
          </cell>
        </row>
        <row r="113">
          <cell r="C113">
            <v>9.01</v>
          </cell>
          <cell r="E113">
            <v>10.02</v>
          </cell>
          <cell r="I113">
            <v>4.4000000000000004</v>
          </cell>
          <cell r="K113">
            <v>6.5</v>
          </cell>
          <cell r="O113">
            <v>1.0099999999999998</v>
          </cell>
          <cell r="P113">
            <v>1.5240553745928338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I114">
            <v>4.7</v>
          </cell>
          <cell r="K114">
            <v>6.5</v>
          </cell>
          <cell r="O114">
            <v>1.0899999999999999</v>
          </cell>
          <cell r="P114">
            <v>1.5240553745928338</v>
          </cell>
        </row>
        <row r="115">
          <cell r="C115">
            <v>9.01</v>
          </cell>
          <cell r="E115">
            <v>10.02</v>
          </cell>
          <cell r="I115">
            <v>4.8</v>
          </cell>
          <cell r="K115">
            <v>7</v>
          </cell>
          <cell r="O115">
            <v>1.0099999999999998</v>
          </cell>
          <cell r="P115">
            <v>1.5240553745928338</v>
          </cell>
        </row>
        <row r="116">
          <cell r="C116">
            <v>9.17</v>
          </cell>
          <cell r="E116">
            <v>10.16</v>
          </cell>
          <cell r="I116">
            <v>5</v>
          </cell>
          <cell r="K116">
            <v>7</v>
          </cell>
          <cell r="O116">
            <v>0.99000000000000021</v>
          </cell>
          <cell r="P116">
            <v>1.5240553745928338</v>
          </cell>
        </row>
        <row r="117">
          <cell r="C117">
            <v>9.0299999999999994</v>
          </cell>
          <cell r="E117">
            <v>10.14</v>
          </cell>
          <cell r="I117">
            <v>5.0999999999999996</v>
          </cell>
          <cell r="K117">
            <v>7</v>
          </cell>
          <cell r="O117">
            <v>1.1100000000000012</v>
          </cell>
          <cell r="P117">
            <v>1.5240553745928338</v>
          </cell>
        </row>
        <row r="118">
          <cell r="C118">
            <v>8.83</v>
          </cell>
          <cell r="E118">
            <v>9.92</v>
          </cell>
          <cell r="I118">
            <v>5.4</v>
          </cell>
          <cell r="K118">
            <v>7</v>
          </cell>
          <cell r="O118">
            <v>1.0899999999999999</v>
          </cell>
          <cell r="P118">
            <v>1.5240553745928338</v>
          </cell>
        </row>
        <row r="119">
          <cell r="C119">
            <v>8.27</v>
          </cell>
          <cell r="E119">
            <v>9.49</v>
          </cell>
          <cell r="I119">
            <v>5.2</v>
          </cell>
          <cell r="K119">
            <v>7</v>
          </cell>
          <cell r="O119">
            <v>1.2200000000000006</v>
          </cell>
          <cell r="P119">
            <v>1.5240553745928338</v>
          </cell>
        </row>
        <row r="120">
          <cell r="C120">
            <v>8.08</v>
          </cell>
          <cell r="E120">
            <v>9.34</v>
          </cell>
          <cell r="I120">
            <v>5</v>
          </cell>
          <cell r="K120">
            <v>7</v>
          </cell>
          <cell r="O120">
            <v>1.2599999999999998</v>
          </cell>
          <cell r="P120">
            <v>1.5240553745928338</v>
          </cell>
        </row>
        <row r="121">
          <cell r="C121">
            <v>8.1199999999999992</v>
          </cell>
          <cell r="E121">
            <v>9.3699999999999992</v>
          </cell>
          <cell r="I121">
            <v>4.7</v>
          </cell>
          <cell r="K121">
            <v>7</v>
          </cell>
          <cell r="O121">
            <v>1.25</v>
          </cell>
          <cell r="P121">
            <v>1.5240553745928338</v>
          </cell>
        </row>
        <row r="122">
          <cell r="C122">
            <v>8.15</v>
          </cell>
          <cell r="E122">
            <v>9.43</v>
          </cell>
          <cell r="I122">
            <v>4.3</v>
          </cell>
          <cell r="K122">
            <v>7</v>
          </cell>
          <cell r="O122">
            <v>1.2799999999999994</v>
          </cell>
          <cell r="P122">
            <v>1.5240553745928338</v>
          </cell>
        </row>
        <row r="123">
          <cell r="C123">
            <v>8</v>
          </cell>
          <cell r="E123">
            <v>9.3699999999999992</v>
          </cell>
          <cell r="I123">
            <v>4.5</v>
          </cell>
          <cell r="K123">
            <v>7</v>
          </cell>
          <cell r="O123">
            <v>1.3699999999999992</v>
          </cell>
          <cell r="P123">
            <v>1.5240553745928338</v>
          </cell>
        </row>
        <row r="124">
          <cell r="C124">
            <v>7.9</v>
          </cell>
          <cell r="E124">
            <v>9.33</v>
          </cell>
          <cell r="I124">
            <v>4.7</v>
          </cell>
          <cell r="K124">
            <v>7</v>
          </cell>
          <cell r="O124">
            <v>1.4299999999999997</v>
          </cell>
          <cell r="P124">
            <v>1.5240553745928338</v>
          </cell>
        </row>
        <row r="125">
          <cell r="C125">
            <v>7.9</v>
          </cell>
          <cell r="E125">
            <v>9.31</v>
          </cell>
          <cell r="I125">
            <v>4.5999999999999996</v>
          </cell>
          <cell r="K125">
            <v>7</v>
          </cell>
          <cell r="O125">
            <v>1.4100000000000001</v>
          </cell>
          <cell r="P125">
            <v>1.5240553745928338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I126">
            <v>5.2</v>
          </cell>
          <cell r="K126">
            <v>7</v>
          </cell>
          <cell r="O126">
            <v>1.1799999999999997</v>
          </cell>
          <cell r="P126">
            <v>1.5240553745928338</v>
          </cell>
        </row>
        <row r="127">
          <cell r="C127">
            <v>8.5</v>
          </cell>
          <cell r="E127">
            <v>9.66</v>
          </cell>
          <cell r="I127">
            <v>5.3</v>
          </cell>
          <cell r="K127">
            <v>7</v>
          </cell>
          <cell r="O127">
            <v>1.1600000000000001</v>
          </cell>
          <cell r="P127">
            <v>1.5240553745928338</v>
          </cell>
        </row>
        <row r="128">
          <cell r="C128">
            <v>8.56</v>
          </cell>
          <cell r="E128">
            <v>9.75</v>
          </cell>
          <cell r="I128">
            <v>5.2</v>
          </cell>
          <cell r="K128">
            <v>7</v>
          </cell>
          <cell r="O128">
            <v>1.1899999999999995</v>
          </cell>
          <cell r="P128">
            <v>1.5240553745928338</v>
          </cell>
        </row>
        <row r="129">
          <cell r="C129">
            <v>8.76</v>
          </cell>
          <cell r="E129">
            <v>9.8699999999999992</v>
          </cell>
          <cell r="I129">
            <v>4.7</v>
          </cell>
          <cell r="K129">
            <v>7</v>
          </cell>
          <cell r="O129">
            <v>1.1099999999999994</v>
          </cell>
          <cell r="P129">
            <v>1.5240553745928338</v>
          </cell>
        </row>
        <row r="130">
          <cell r="C130">
            <v>8.73</v>
          </cell>
          <cell r="E130">
            <v>9.89</v>
          </cell>
          <cell r="I130">
            <v>4.4000000000000004</v>
          </cell>
          <cell r="K130">
            <v>7</v>
          </cell>
          <cell r="O130">
            <v>1.1600000000000001</v>
          </cell>
          <cell r="P130">
            <v>1.5240553745928338</v>
          </cell>
        </row>
        <row r="131">
          <cell r="C131">
            <v>8.4600000000000009</v>
          </cell>
          <cell r="E131">
            <v>9.69</v>
          </cell>
          <cell r="I131">
            <v>4.7</v>
          </cell>
          <cell r="K131">
            <v>7</v>
          </cell>
          <cell r="O131">
            <v>1.2299999999999986</v>
          </cell>
          <cell r="P131">
            <v>1.5240553745928338</v>
          </cell>
        </row>
        <row r="132">
          <cell r="C132">
            <v>8.5</v>
          </cell>
          <cell r="E132">
            <v>9.66</v>
          </cell>
          <cell r="I132">
            <v>4.8</v>
          </cell>
          <cell r="K132">
            <v>7</v>
          </cell>
          <cell r="O132">
            <v>1.1600000000000001</v>
          </cell>
          <cell r="P132">
            <v>1.5240553745928338</v>
          </cell>
        </row>
        <row r="133">
          <cell r="C133">
            <v>8.86</v>
          </cell>
          <cell r="E133">
            <v>9.84</v>
          </cell>
          <cell r="I133">
            <v>5.6</v>
          </cell>
          <cell r="K133">
            <v>7</v>
          </cell>
          <cell r="O133">
            <v>0.98000000000000043</v>
          </cell>
          <cell r="P133">
            <v>1.5240553745928338</v>
          </cell>
        </row>
        <row r="134">
          <cell r="C134">
            <v>9.0299999999999994</v>
          </cell>
          <cell r="E134">
            <v>10.01</v>
          </cell>
          <cell r="I134">
            <v>6.2</v>
          </cell>
          <cell r="K134">
            <v>7</v>
          </cell>
          <cell r="O134">
            <v>0.98000000000000043</v>
          </cell>
          <cell r="P134">
            <v>1.5240553745928338</v>
          </cell>
        </row>
        <row r="135">
          <cell r="C135">
            <v>8.86</v>
          </cell>
          <cell r="E135">
            <v>9.94</v>
          </cell>
          <cell r="I135">
            <v>6.3</v>
          </cell>
          <cell r="K135">
            <v>7</v>
          </cell>
          <cell r="O135">
            <v>1.08</v>
          </cell>
          <cell r="P135">
            <v>1.5240553745928338</v>
          </cell>
        </row>
        <row r="136">
          <cell r="C136">
            <v>8.5399999999999991</v>
          </cell>
          <cell r="E136">
            <v>9.76</v>
          </cell>
          <cell r="I136">
            <v>6.3</v>
          </cell>
          <cell r="K136">
            <v>7</v>
          </cell>
          <cell r="O136">
            <v>1.2200000000000006</v>
          </cell>
          <cell r="P136">
            <v>1.5240553745928338</v>
          </cell>
        </row>
        <row r="137">
          <cell r="C137">
            <v>8.24</v>
          </cell>
          <cell r="E137">
            <v>9.57</v>
          </cell>
          <cell r="I137">
            <v>6.1</v>
          </cell>
          <cell r="K137">
            <v>6.5</v>
          </cell>
          <cell r="O137">
            <v>1.33</v>
          </cell>
          <cell r="P137">
            <v>1.5240553745928338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I138">
            <v>5.7</v>
          </cell>
          <cell r="K138">
            <v>6.5</v>
          </cell>
          <cell r="O138">
            <v>1.2900000000000009</v>
          </cell>
          <cell r="P138">
            <v>1.5240553745928338</v>
          </cell>
        </row>
        <row r="139">
          <cell r="C139">
            <v>8.0299999999999994</v>
          </cell>
          <cell r="E139">
            <v>9.31</v>
          </cell>
          <cell r="I139">
            <v>5.3</v>
          </cell>
          <cell r="K139">
            <v>6</v>
          </cell>
          <cell r="O139">
            <v>1.2800000000000011</v>
          </cell>
          <cell r="P139">
            <v>1.5240553745928338</v>
          </cell>
        </row>
        <row r="140">
          <cell r="C140">
            <v>8.2899999999999991</v>
          </cell>
          <cell r="E140">
            <v>9.39</v>
          </cell>
          <cell r="I140">
            <v>4.9000000000000004</v>
          </cell>
          <cell r="K140">
            <v>6</v>
          </cell>
          <cell r="O140">
            <v>1.1000000000000014</v>
          </cell>
          <cell r="P140">
            <v>1.5240553745928338</v>
          </cell>
        </row>
        <row r="141">
          <cell r="C141">
            <v>8.2100000000000009</v>
          </cell>
          <cell r="E141">
            <v>9.3000000000000007</v>
          </cell>
          <cell r="I141">
            <v>4.9000000000000004</v>
          </cell>
          <cell r="K141">
            <v>5.5</v>
          </cell>
          <cell r="O141">
            <v>1.0899999999999999</v>
          </cell>
          <cell r="P141">
            <v>1.5240553745928338</v>
          </cell>
        </row>
        <row r="142">
          <cell r="C142">
            <v>8.27</v>
          </cell>
          <cell r="E142">
            <v>9.2899999999999991</v>
          </cell>
          <cell r="I142">
            <v>5</v>
          </cell>
          <cell r="K142">
            <v>5.5</v>
          </cell>
          <cell r="O142">
            <v>1.0199999999999996</v>
          </cell>
          <cell r="P142">
            <v>1.5240553745928338</v>
          </cell>
        </row>
        <row r="143">
          <cell r="C143">
            <v>8.4700000000000006</v>
          </cell>
          <cell r="E143">
            <v>9.44</v>
          </cell>
          <cell r="I143">
            <v>4.7</v>
          </cell>
          <cell r="K143">
            <v>5.5</v>
          </cell>
          <cell r="O143">
            <v>0.96999999999999886</v>
          </cell>
          <cell r="P143">
            <v>1.5240553745928338</v>
          </cell>
        </row>
        <row r="144">
          <cell r="C144">
            <v>8.4499999999999993</v>
          </cell>
          <cell r="E144">
            <v>9.4</v>
          </cell>
          <cell r="I144">
            <v>4.4000000000000004</v>
          </cell>
          <cell r="K144">
            <v>5.5</v>
          </cell>
          <cell r="O144">
            <v>0.95000000000000107</v>
          </cell>
          <cell r="P144">
            <v>1.5240553745928338</v>
          </cell>
        </row>
        <row r="145">
          <cell r="C145">
            <v>8.14</v>
          </cell>
          <cell r="E145">
            <v>9.16</v>
          </cell>
          <cell r="I145">
            <v>3.8</v>
          </cell>
          <cell r="K145">
            <v>5.5</v>
          </cell>
          <cell r="O145">
            <v>1.0199999999999996</v>
          </cell>
          <cell r="P145">
            <v>1.5240553745928338</v>
          </cell>
        </row>
        <row r="146">
          <cell r="C146">
            <v>7.95</v>
          </cell>
          <cell r="E146">
            <v>9.0299999999999994</v>
          </cell>
          <cell r="I146">
            <v>3.4</v>
          </cell>
          <cell r="K146">
            <v>5</v>
          </cell>
          <cell r="O146">
            <v>1.0799999999999992</v>
          </cell>
          <cell r="P146">
            <v>1.5240553745928338</v>
          </cell>
        </row>
        <row r="147">
          <cell r="C147">
            <v>7.93</v>
          </cell>
          <cell r="E147">
            <v>8.99</v>
          </cell>
          <cell r="I147">
            <v>2.9</v>
          </cell>
          <cell r="K147">
            <v>5</v>
          </cell>
          <cell r="O147">
            <v>1.0600000000000005</v>
          </cell>
          <cell r="P147">
            <v>1.5240553745928338</v>
          </cell>
        </row>
        <row r="148">
          <cell r="C148">
            <v>7.92</v>
          </cell>
          <cell r="E148">
            <v>8.93</v>
          </cell>
          <cell r="I148">
            <v>3</v>
          </cell>
          <cell r="K148">
            <v>5</v>
          </cell>
          <cell r="O148">
            <v>1.0099999999999998</v>
          </cell>
          <cell r="P148">
            <v>1.5240553745928338</v>
          </cell>
        </row>
        <row r="149">
          <cell r="C149">
            <v>7.7</v>
          </cell>
          <cell r="E149">
            <v>8.76</v>
          </cell>
          <cell r="I149">
            <v>3.1</v>
          </cell>
          <cell r="K149">
            <v>4.5</v>
          </cell>
          <cell r="O149">
            <v>1.0599999999999996</v>
          </cell>
          <cell r="P149">
            <v>1.5240553745928338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I150">
            <v>2.6</v>
          </cell>
          <cell r="K150">
            <v>3.5</v>
          </cell>
          <cell r="O150">
            <v>1.0899999999999999</v>
          </cell>
          <cell r="P150">
            <v>1.5240553745928338</v>
          </cell>
        </row>
        <row r="151">
          <cell r="C151">
            <v>7.85</v>
          </cell>
          <cell r="E151">
            <v>8.77</v>
          </cell>
          <cell r="I151">
            <v>2.8</v>
          </cell>
          <cell r="K151">
            <v>3.5</v>
          </cell>
          <cell r="O151">
            <v>0.91999999999999993</v>
          </cell>
          <cell r="P151">
            <v>1.5240553745928338</v>
          </cell>
        </row>
        <row r="152">
          <cell r="C152">
            <v>7.97</v>
          </cell>
          <cell r="E152">
            <v>8.84</v>
          </cell>
          <cell r="I152">
            <v>3.2</v>
          </cell>
          <cell r="K152">
            <v>3.5</v>
          </cell>
          <cell r="O152">
            <v>0.87000000000000011</v>
          </cell>
          <cell r="P152">
            <v>1.5240553745928338</v>
          </cell>
        </row>
        <row r="153">
          <cell r="C153">
            <v>7.96</v>
          </cell>
          <cell r="E153">
            <v>8.7899999999999991</v>
          </cell>
          <cell r="I153">
            <v>3.2</v>
          </cell>
          <cell r="K153">
            <v>3.5</v>
          </cell>
          <cell r="O153">
            <v>0.82999999999999918</v>
          </cell>
          <cell r="P153">
            <v>1.5240553745928338</v>
          </cell>
        </row>
        <row r="154">
          <cell r="C154">
            <v>7.89</v>
          </cell>
          <cell r="E154">
            <v>8.7200000000000006</v>
          </cell>
          <cell r="I154">
            <v>3</v>
          </cell>
          <cell r="K154">
            <v>3.5</v>
          </cell>
          <cell r="O154">
            <v>0.83000000000000096</v>
          </cell>
          <cell r="P154">
            <v>1.5240553745928338</v>
          </cell>
        </row>
        <row r="155">
          <cell r="C155">
            <v>7.84</v>
          </cell>
          <cell r="E155">
            <v>8.64</v>
          </cell>
          <cell r="I155">
            <v>3.1</v>
          </cell>
          <cell r="K155">
            <v>3.5</v>
          </cell>
          <cell r="O155">
            <v>0.80000000000000071</v>
          </cell>
          <cell r="P155">
            <v>1.5240553745928338</v>
          </cell>
        </row>
        <row r="156">
          <cell r="C156">
            <v>7.6</v>
          </cell>
          <cell r="E156">
            <v>8.4600000000000009</v>
          </cell>
          <cell r="I156">
            <v>3.2</v>
          </cell>
          <cell r="K156">
            <v>3</v>
          </cell>
          <cell r="O156">
            <v>0.86000000000000121</v>
          </cell>
          <cell r="P156">
            <v>1.5240553745928338</v>
          </cell>
        </row>
        <row r="157">
          <cell r="C157">
            <v>7.39</v>
          </cell>
          <cell r="E157">
            <v>8.34</v>
          </cell>
          <cell r="I157">
            <v>3.1</v>
          </cell>
          <cell r="K157">
            <v>3</v>
          </cell>
          <cell r="O157">
            <v>0.95000000000000018</v>
          </cell>
          <cell r="P157">
            <v>1.5240553745928338</v>
          </cell>
        </row>
        <row r="158">
          <cell r="C158">
            <v>7.34</v>
          </cell>
          <cell r="E158">
            <v>8.32</v>
          </cell>
          <cell r="I158">
            <v>3</v>
          </cell>
          <cell r="K158">
            <v>3</v>
          </cell>
          <cell r="O158">
            <v>0.98000000000000043</v>
          </cell>
          <cell r="P158">
            <v>1.5240553745928338</v>
          </cell>
        </row>
        <row r="159">
          <cell r="C159">
            <v>7.53</v>
          </cell>
          <cell r="E159">
            <v>8.44</v>
          </cell>
          <cell r="I159">
            <v>3.2</v>
          </cell>
          <cell r="K159">
            <v>3</v>
          </cell>
          <cell r="O159">
            <v>0.90999999999999925</v>
          </cell>
          <cell r="P159">
            <v>1.5240553745928338</v>
          </cell>
        </row>
        <row r="160">
          <cell r="C160">
            <v>7.61</v>
          </cell>
          <cell r="E160">
            <v>8.5299999999999994</v>
          </cell>
          <cell r="I160">
            <v>3</v>
          </cell>
          <cell r="K160">
            <v>3</v>
          </cell>
          <cell r="O160">
            <v>0.91999999999999904</v>
          </cell>
          <cell r="P160">
            <v>1.5240553745928338</v>
          </cell>
        </row>
        <row r="161">
          <cell r="C161">
            <v>7.44</v>
          </cell>
          <cell r="E161">
            <v>8.36</v>
          </cell>
          <cell r="I161">
            <v>2.9</v>
          </cell>
          <cell r="K161">
            <v>3</v>
          </cell>
          <cell r="O161">
            <v>0.91999999999999904</v>
          </cell>
          <cell r="P161">
            <v>1.5240553745928338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I162">
            <v>3.3</v>
          </cell>
          <cell r="K162">
            <v>3</v>
          </cell>
          <cell r="O162">
            <v>0.89000000000000057</v>
          </cell>
          <cell r="P162">
            <v>1.5240553745928338</v>
          </cell>
        </row>
        <row r="163">
          <cell r="C163">
            <v>7.09</v>
          </cell>
          <cell r="E163">
            <v>8</v>
          </cell>
          <cell r="I163">
            <v>3.2</v>
          </cell>
          <cell r="K163">
            <v>3</v>
          </cell>
          <cell r="O163">
            <v>0.91000000000000014</v>
          </cell>
          <cell r="P163">
            <v>1.5240553745928338</v>
          </cell>
        </row>
        <row r="164">
          <cell r="C164">
            <v>6.82</v>
          </cell>
          <cell r="E164">
            <v>7.85</v>
          </cell>
          <cell r="I164">
            <v>3.1</v>
          </cell>
          <cell r="K164">
            <v>3</v>
          </cell>
          <cell r="O164">
            <v>1.0299999999999994</v>
          </cell>
          <cell r="P164">
            <v>1.5240553745928338</v>
          </cell>
        </row>
        <row r="165">
          <cell r="C165">
            <v>6.85</v>
          </cell>
          <cell r="E165">
            <v>7.76</v>
          </cell>
          <cell r="I165">
            <v>3.2</v>
          </cell>
          <cell r="K165">
            <v>3</v>
          </cell>
          <cell r="O165">
            <v>0.91000000000000014</v>
          </cell>
          <cell r="P165">
            <v>1.5240553745928338</v>
          </cell>
        </row>
        <row r="166">
          <cell r="C166">
            <v>6.92</v>
          </cell>
          <cell r="E166">
            <v>7.78</v>
          </cell>
          <cell r="I166">
            <v>3.2</v>
          </cell>
          <cell r="K166">
            <v>3</v>
          </cell>
          <cell r="O166">
            <v>0.86000000000000032</v>
          </cell>
          <cell r="P166">
            <v>1.5240553745928338</v>
          </cell>
        </row>
        <row r="167">
          <cell r="C167">
            <v>6.81</v>
          </cell>
          <cell r="E167">
            <v>7.68</v>
          </cell>
          <cell r="I167">
            <v>3</v>
          </cell>
          <cell r="K167">
            <v>3</v>
          </cell>
          <cell r="O167">
            <v>0.87000000000000011</v>
          </cell>
          <cell r="P167">
            <v>1.5240553745928338</v>
          </cell>
        </row>
        <row r="168">
          <cell r="C168">
            <v>6.63</v>
          </cell>
          <cell r="E168">
            <v>7.53</v>
          </cell>
          <cell r="I168">
            <v>2.8</v>
          </cell>
          <cell r="K168">
            <v>3</v>
          </cell>
          <cell r="O168">
            <v>0.90000000000000036</v>
          </cell>
          <cell r="P168">
            <v>1.5240553745928338</v>
          </cell>
        </row>
        <row r="169">
          <cell r="C169">
            <v>6.32</v>
          </cell>
          <cell r="E169">
            <v>7.21</v>
          </cell>
          <cell r="I169">
            <v>2.8</v>
          </cell>
          <cell r="K169">
            <v>3</v>
          </cell>
          <cell r="O169">
            <v>0.88999999999999968</v>
          </cell>
          <cell r="P169">
            <v>1.5240553745928338</v>
          </cell>
        </row>
        <row r="170">
          <cell r="C170">
            <v>6</v>
          </cell>
          <cell r="E170">
            <v>7.01</v>
          </cell>
          <cell r="I170">
            <v>2.7</v>
          </cell>
          <cell r="K170">
            <v>3</v>
          </cell>
          <cell r="O170">
            <v>1.0099999999999998</v>
          </cell>
          <cell r="P170">
            <v>1.5240553745928338</v>
          </cell>
        </row>
        <row r="171">
          <cell r="C171">
            <v>5.94</v>
          </cell>
          <cell r="E171">
            <v>6.99</v>
          </cell>
          <cell r="I171">
            <v>2.8</v>
          </cell>
          <cell r="K171">
            <v>3</v>
          </cell>
          <cell r="O171">
            <v>1.0499999999999998</v>
          </cell>
          <cell r="P171">
            <v>1.5240553745928338</v>
          </cell>
        </row>
        <row r="172">
          <cell r="C172">
            <v>6.21</v>
          </cell>
          <cell r="E172">
            <v>7.3</v>
          </cell>
          <cell r="I172">
            <v>2.7</v>
          </cell>
          <cell r="K172">
            <v>3</v>
          </cell>
          <cell r="O172">
            <v>1.0899999999999999</v>
          </cell>
          <cell r="P172">
            <v>1.5240553745928338</v>
          </cell>
        </row>
        <row r="173">
          <cell r="C173">
            <v>6.25</v>
          </cell>
          <cell r="E173">
            <v>7.33</v>
          </cell>
          <cell r="I173">
            <v>2.7</v>
          </cell>
          <cell r="K173">
            <v>3</v>
          </cell>
          <cell r="O173">
            <v>1.08</v>
          </cell>
          <cell r="P173">
            <v>1.5240553745928338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I174">
            <v>2.5</v>
          </cell>
          <cell r="K174">
            <v>3</v>
          </cell>
          <cell r="O174">
            <v>1.0199999999999996</v>
          </cell>
          <cell r="P174">
            <v>1.5240553745928338</v>
          </cell>
        </row>
        <row r="175">
          <cell r="C175">
            <v>6.49</v>
          </cell>
          <cell r="E175">
            <v>7.44</v>
          </cell>
          <cell r="I175">
            <v>2.5</v>
          </cell>
          <cell r="K175">
            <v>3</v>
          </cell>
          <cell r="O175">
            <v>0.95000000000000018</v>
          </cell>
          <cell r="P175">
            <v>1.5240553745928338</v>
          </cell>
        </row>
        <row r="176">
          <cell r="C176">
            <v>6.91</v>
          </cell>
          <cell r="E176">
            <v>7.83</v>
          </cell>
          <cell r="I176">
            <v>2.5</v>
          </cell>
          <cell r="K176">
            <v>3</v>
          </cell>
          <cell r="O176">
            <v>0.91999999999999993</v>
          </cell>
          <cell r="P176">
            <v>1.5240553745928338</v>
          </cell>
        </row>
        <row r="177">
          <cell r="C177">
            <v>7.27</v>
          </cell>
          <cell r="E177">
            <v>8.1999999999999993</v>
          </cell>
          <cell r="I177">
            <v>2.4</v>
          </cell>
          <cell r="K177">
            <v>3</v>
          </cell>
          <cell r="O177">
            <v>0.92999999999999972</v>
          </cell>
          <cell r="P177">
            <v>1.5240553745928338</v>
          </cell>
        </row>
        <row r="178">
          <cell r="C178">
            <v>7.41</v>
          </cell>
          <cell r="E178">
            <v>8.32</v>
          </cell>
          <cell r="I178">
            <v>2.2999999999999998</v>
          </cell>
          <cell r="K178">
            <v>3</v>
          </cell>
          <cell r="O178">
            <v>0.91000000000000014</v>
          </cell>
          <cell r="P178">
            <v>1.5240553745928338</v>
          </cell>
        </row>
        <row r="179">
          <cell r="C179">
            <v>7.4</v>
          </cell>
          <cell r="E179">
            <v>8.31</v>
          </cell>
          <cell r="I179">
            <v>2.5</v>
          </cell>
          <cell r="K179">
            <v>3.5</v>
          </cell>
          <cell r="O179">
            <v>0.91000000000000014</v>
          </cell>
          <cell r="P179">
            <v>1.5240553745928338</v>
          </cell>
        </row>
        <row r="180">
          <cell r="C180">
            <v>7.58</v>
          </cell>
          <cell r="E180">
            <v>8.4700000000000006</v>
          </cell>
          <cell r="I180">
            <v>2.9</v>
          </cell>
          <cell r="K180">
            <v>3.5</v>
          </cell>
          <cell r="O180">
            <v>0.89000000000000057</v>
          </cell>
          <cell r="P180">
            <v>1.5240553745928338</v>
          </cell>
        </row>
        <row r="181">
          <cell r="C181">
            <v>7.49</v>
          </cell>
          <cell r="E181">
            <v>8.41</v>
          </cell>
          <cell r="I181">
            <v>3</v>
          </cell>
          <cell r="K181">
            <v>3.5</v>
          </cell>
          <cell r="O181">
            <v>0.91999999999999993</v>
          </cell>
          <cell r="P181">
            <v>1.5240553745928338</v>
          </cell>
        </row>
        <row r="182">
          <cell r="C182">
            <v>7.71</v>
          </cell>
          <cell r="E182">
            <v>8.65</v>
          </cell>
          <cell r="I182">
            <v>2.6</v>
          </cell>
          <cell r="K182">
            <v>4</v>
          </cell>
          <cell r="O182">
            <v>0.94000000000000039</v>
          </cell>
          <cell r="P182">
            <v>1.5240553745928338</v>
          </cell>
        </row>
        <row r="183">
          <cell r="C183">
            <v>7.94</v>
          </cell>
          <cell r="E183">
            <v>8.8800000000000008</v>
          </cell>
          <cell r="I183">
            <v>2.7</v>
          </cell>
          <cell r="K183">
            <v>4</v>
          </cell>
          <cell r="O183">
            <v>0.94000000000000039</v>
          </cell>
          <cell r="P183">
            <v>1.5240553745928338</v>
          </cell>
        </row>
        <row r="184">
          <cell r="C184">
            <v>8.08</v>
          </cell>
          <cell r="E184">
            <v>9</v>
          </cell>
          <cell r="I184">
            <v>2.7</v>
          </cell>
          <cell r="K184">
            <v>4.75</v>
          </cell>
          <cell r="O184">
            <v>0.91999999999999993</v>
          </cell>
          <cell r="P184">
            <v>1.5240553745928338</v>
          </cell>
        </row>
        <row r="185">
          <cell r="C185">
            <v>7.87</v>
          </cell>
          <cell r="E185">
            <v>8.7899999999999991</v>
          </cell>
          <cell r="I185">
            <v>2.8</v>
          </cell>
          <cell r="K185">
            <v>4.75</v>
          </cell>
          <cell r="O185">
            <v>0.91999999999999904</v>
          </cell>
          <cell r="P185">
            <v>1.5240553745928338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I186">
            <v>2.9</v>
          </cell>
          <cell r="K186">
            <v>4.75</v>
          </cell>
          <cell r="O186">
            <v>0.91999999999999993</v>
          </cell>
          <cell r="P186">
            <v>1.5240553745928338</v>
          </cell>
        </row>
        <row r="187">
          <cell r="C187">
            <v>7.61</v>
          </cell>
          <cell r="E187">
            <v>8.56</v>
          </cell>
          <cell r="I187">
            <v>2.9</v>
          </cell>
          <cell r="K187">
            <v>5.25</v>
          </cell>
          <cell r="O187">
            <v>0.95000000000000018</v>
          </cell>
          <cell r="P187">
            <v>1.5240553745928338</v>
          </cell>
        </row>
        <row r="188">
          <cell r="C188">
            <v>7.45</v>
          </cell>
          <cell r="E188">
            <v>8.41</v>
          </cell>
          <cell r="I188">
            <v>3.1</v>
          </cell>
          <cell r="K188">
            <v>5.25</v>
          </cell>
          <cell r="O188">
            <v>0.96</v>
          </cell>
          <cell r="P188">
            <v>1.5240553745928338</v>
          </cell>
        </row>
        <row r="189">
          <cell r="C189">
            <v>7.36</v>
          </cell>
          <cell r="E189">
            <v>8.3000000000000007</v>
          </cell>
          <cell r="I189">
            <v>2.4</v>
          </cell>
          <cell r="K189">
            <v>5.25</v>
          </cell>
          <cell r="O189">
            <v>0.94000000000000039</v>
          </cell>
          <cell r="P189">
            <v>1.5240553745928338</v>
          </cell>
        </row>
        <row r="190">
          <cell r="C190">
            <v>6.95</v>
          </cell>
          <cell r="E190">
            <v>7.93</v>
          </cell>
          <cell r="I190">
            <v>3.2</v>
          </cell>
          <cell r="K190">
            <v>5.25</v>
          </cell>
          <cell r="O190">
            <v>0.97999999999999954</v>
          </cell>
          <cell r="P190">
            <v>1.5240553745928338</v>
          </cell>
        </row>
        <row r="191">
          <cell r="C191">
            <v>6.57</v>
          </cell>
          <cell r="E191">
            <v>7.62</v>
          </cell>
          <cell r="I191">
            <v>3</v>
          </cell>
          <cell r="K191">
            <v>5.25</v>
          </cell>
          <cell r="O191">
            <v>1.0499999999999998</v>
          </cell>
          <cell r="P191">
            <v>1.5240553745928338</v>
          </cell>
        </row>
        <row r="192">
          <cell r="C192">
            <v>6.72</v>
          </cell>
          <cell r="E192">
            <v>7.73</v>
          </cell>
          <cell r="I192">
            <v>2.8</v>
          </cell>
          <cell r="K192">
            <v>5.25</v>
          </cell>
          <cell r="O192">
            <v>1.0100000000000007</v>
          </cell>
          <cell r="P192">
            <v>1.5240553745928338</v>
          </cell>
        </row>
        <row r="193">
          <cell r="C193">
            <v>6.86</v>
          </cell>
          <cell r="E193">
            <v>7.86</v>
          </cell>
          <cell r="I193">
            <v>2.6</v>
          </cell>
          <cell r="K193">
            <v>5.25</v>
          </cell>
          <cell r="O193">
            <v>1</v>
          </cell>
          <cell r="P193">
            <v>1.5240553745928338</v>
          </cell>
        </row>
        <row r="194">
          <cell r="C194">
            <v>6.55</v>
          </cell>
          <cell r="E194">
            <v>7.62</v>
          </cell>
          <cell r="I194">
            <v>2.5</v>
          </cell>
          <cell r="K194">
            <v>5.25</v>
          </cell>
          <cell r="O194">
            <v>1.0700000000000003</v>
          </cell>
          <cell r="P194">
            <v>1.5240553745928338</v>
          </cell>
        </row>
        <row r="195">
          <cell r="C195">
            <v>6.37</v>
          </cell>
          <cell r="E195">
            <v>7.46</v>
          </cell>
          <cell r="I195">
            <v>2.8</v>
          </cell>
          <cell r="K195">
            <v>5.25</v>
          </cell>
          <cell r="O195">
            <v>1.0899999999999999</v>
          </cell>
          <cell r="P195">
            <v>1.5240553745928338</v>
          </cell>
        </row>
        <row r="196">
          <cell r="C196">
            <v>6.26</v>
          </cell>
          <cell r="E196">
            <v>7.4</v>
          </cell>
          <cell r="I196">
            <v>2.6</v>
          </cell>
          <cell r="K196">
            <v>5.25</v>
          </cell>
          <cell r="O196">
            <v>1.1400000000000006</v>
          </cell>
          <cell r="P196">
            <v>1.5240553745928338</v>
          </cell>
        </row>
        <row r="197">
          <cell r="C197">
            <v>6.06</v>
          </cell>
          <cell r="E197">
            <v>7.21</v>
          </cell>
          <cell r="I197">
            <v>2.5</v>
          </cell>
          <cell r="K197">
            <v>5.25</v>
          </cell>
          <cell r="O197">
            <v>1.1500000000000004</v>
          </cell>
          <cell r="P197">
            <v>1.5240553745928338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I198">
            <v>2.7</v>
          </cell>
          <cell r="K198">
            <v>5.25</v>
          </cell>
          <cell r="O198">
            <v>1.1500000000000004</v>
          </cell>
          <cell r="P198">
            <v>1.5240553745928338</v>
          </cell>
        </row>
        <row r="199">
          <cell r="C199">
            <v>6.24</v>
          </cell>
          <cell r="E199">
            <v>7.37</v>
          </cell>
          <cell r="I199">
            <v>2.7</v>
          </cell>
          <cell r="K199">
            <v>5</v>
          </cell>
          <cell r="O199">
            <v>1.1299999999999999</v>
          </cell>
          <cell r="P199">
            <v>1.5240553745928338</v>
          </cell>
        </row>
        <row r="200">
          <cell r="C200">
            <v>6.6</v>
          </cell>
          <cell r="E200">
            <v>7.72</v>
          </cell>
          <cell r="I200">
            <v>2.8</v>
          </cell>
          <cell r="K200">
            <v>5</v>
          </cell>
          <cell r="O200">
            <v>1.1200000000000001</v>
          </cell>
          <cell r="P200">
            <v>1.5240553745928338</v>
          </cell>
        </row>
        <row r="201">
          <cell r="C201">
            <v>6.79</v>
          </cell>
          <cell r="E201">
            <v>7.88</v>
          </cell>
          <cell r="I201">
            <v>2.9</v>
          </cell>
          <cell r="K201">
            <v>5</v>
          </cell>
          <cell r="O201">
            <v>1.0899999999999999</v>
          </cell>
          <cell r="P201">
            <v>1.5240553745928338</v>
          </cell>
        </row>
        <row r="202">
          <cell r="C202">
            <v>6.93</v>
          </cell>
          <cell r="E202">
            <v>7.99</v>
          </cell>
          <cell r="I202">
            <v>2.9</v>
          </cell>
          <cell r="K202">
            <v>5</v>
          </cell>
          <cell r="O202">
            <v>1.0600000000000005</v>
          </cell>
          <cell r="P202">
            <v>1.5240553745928338</v>
          </cell>
        </row>
        <row r="203">
          <cell r="C203">
            <v>7.06</v>
          </cell>
          <cell r="E203">
            <v>8.07</v>
          </cell>
          <cell r="I203">
            <v>2.8</v>
          </cell>
          <cell r="K203">
            <v>5</v>
          </cell>
          <cell r="O203">
            <v>1.0100000000000007</v>
          </cell>
          <cell r="P203">
            <v>1.5240553745928338</v>
          </cell>
        </row>
        <row r="204">
          <cell r="C204">
            <v>7.03</v>
          </cell>
          <cell r="E204">
            <v>8.02</v>
          </cell>
          <cell r="I204">
            <v>3</v>
          </cell>
          <cell r="K204">
            <v>5</v>
          </cell>
          <cell r="O204">
            <v>0.98999999999999932</v>
          </cell>
          <cell r="P204">
            <v>1.5240553745928338</v>
          </cell>
        </row>
        <row r="205">
          <cell r="C205">
            <v>6.84</v>
          </cell>
          <cell r="E205">
            <v>7.84</v>
          </cell>
          <cell r="I205">
            <v>2.9</v>
          </cell>
          <cell r="K205">
            <v>5</v>
          </cell>
          <cell r="O205">
            <v>1</v>
          </cell>
          <cell r="P205">
            <v>1.5240553745928338</v>
          </cell>
        </row>
        <row r="206">
          <cell r="C206">
            <v>7.03</v>
          </cell>
          <cell r="E206">
            <v>8.01</v>
          </cell>
          <cell r="I206">
            <v>3</v>
          </cell>
          <cell r="K206">
            <v>5</v>
          </cell>
          <cell r="O206">
            <v>0.97999999999999954</v>
          </cell>
          <cell r="P206">
            <v>1.5240553745928338</v>
          </cell>
        </row>
        <row r="207">
          <cell r="C207">
            <v>6.81</v>
          </cell>
          <cell r="E207">
            <v>7.76</v>
          </cell>
          <cell r="I207">
            <v>3</v>
          </cell>
          <cell r="K207">
            <v>5</v>
          </cell>
          <cell r="O207">
            <v>0.95000000000000018</v>
          </cell>
          <cell r="P207">
            <v>1.5240553745928338</v>
          </cell>
        </row>
        <row r="208">
          <cell r="C208">
            <v>6.48</v>
          </cell>
          <cell r="E208">
            <v>7.48</v>
          </cell>
          <cell r="I208">
            <v>3.3</v>
          </cell>
          <cell r="K208">
            <v>5</v>
          </cell>
          <cell r="O208">
            <v>1</v>
          </cell>
          <cell r="P208">
            <v>1.5240553745928338</v>
          </cell>
        </row>
        <row r="209">
          <cell r="C209">
            <v>6.55</v>
          </cell>
          <cell r="E209">
            <v>7.58</v>
          </cell>
          <cell r="I209">
            <v>3.3</v>
          </cell>
          <cell r="K209">
            <v>5</v>
          </cell>
          <cell r="O209">
            <v>1.0300000000000002</v>
          </cell>
          <cell r="P209">
            <v>1.5240553745928338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I210">
            <v>3</v>
          </cell>
          <cell r="K210">
            <v>5</v>
          </cell>
          <cell r="O210">
            <v>0.96</v>
          </cell>
          <cell r="P210">
            <v>1.5240553745928338</v>
          </cell>
        </row>
        <row r="211">
          <cell r="C211">
            <v>6.69</v>
          </cell>
          <cell r="E211">
            <v>7.68</v>
          </cell>
          <cell r="I211">
            <v>3</v>
          </cell>
          <cell r="K211">
            <v>5</v>
          </cell>
          <cell r="O211">
            <v>0.98999999999999932</v>
          </cell>
          <cell r="P211">
            <v>1.5240553745928338</v>
          </cell>
        </row>
        <row r="212">
          <cell r="C212">
            <v>6.93</v>
          </cell>
          <cell r="E212">
            <v>7.92</v>
          </cell>
          <cell r="I212">
            <v>2.8</v>
          </cell>
          <cell r="K212">
            <v>5</v>
          </cell>
          <cell r="O212">
            <v>0.99000000000000021</v>
          </cell>
          <cell r="P212">
            <v>1.5240553745928338</v>
          </cell>
        </row>
        <row r="213">
          <cell r="C213">
            <v>7.09</v>
          </cell>
          <cell r="E213">
            <v>8.08</v>
          </cell>
          <cell r="I213">
            <v>2.5</v>
          </cell>
          <cell r="K213">
            <v>5</v>
          </cell>
          <cell r="O213">
            <v>0.99000000000000021</v>
          </cell>
          <cell r="P213">
            <v>1.5240553745928338</v>
          </cell>
        </row>
        <row r="214">
          <cell r="C214">
            <v>6.94</v>
          </cell>
          <cell r="E214">
            <v>7.94</v>
          </cell>
          <cell r="I214">
            <v>2.2000000000000002</v>
          </cell>
          <cell r="K214">
            <v>5</v>
          </cell>
          <cell r="O214">
            <v>1</v>
          </cell>
          <cell r="P214">
            <v>1.5240553745928338</v>
          </cell>
        </row>
        <row r="215">
          <cell r="C215">
            <v>6.77</v>
          </cell>
          <cell r="E215">
            <v>7.77</v>
          </cell>
          <cell r="I215">
            <v>2.2999999999999998</v>
          </cell>
          <cell r="K215">
            <v>5</v>
          </cell>
          <cell r="O215">
            <v>1</v>
          </cell>
          <cell r="P215">
            <v>1.5240553745928338</v>
          </cell>
        </row>
        <row r="216">
          <cell r="C216">
            <v>6.51</v>
          </cell>
          <cell r="E216">
            <v>7.52</v>
          </cell>
          <cell r="I216">
            <v>2.2000000000000002</v>
          </cell>
          <cell r="K216">
            <v>5</v>
          </cell>
          <cell r="O216">
            <v>1.0099999999999998</v>
          </cell>
          <cell r="P216">
            <v>1.5240553745928338</v>
          </cell>
        </row>
        <row r="217">
          <cell r="C217">
            <v>6.58</v>
          </cell>
          <cell r="E217">
            <v>7.57</v>
          </cell>
          <cell r="I217">
            <v>2.2000000000000002</v>
          </cell>
          <cell r="K217">
            <v>5</v>
          </cell>
          <cell r="O217">
            <v>0.99000000000000021</v>
          </cell>
          <cell r="P217">
            <v>1.5240553745928338</v>
          </cell>
        </row>
        <row r="218">
          <cell r="C218">
            <v>6.5</v>
          </cell>
          <cell r="E218">
            <v>7.5</v>
          </cell>
          <cell r="I218">
            <v>2.2000000000000002</v>
          </cell>
          <cell r="K218">
            <v>5</v>
          </cell>
          <cell r="O218">
            <v>1</v>
          </cell>
          <cell r="P218">
            <v>1.5240553745928338</v>
          </cell>
        </row>
        <row r="219">
          <cell r="C219">
            <v>6.33</v>
          </cell>
          <cell r="E219">
            <v>7.37</v>
          </cell>
          <cell r="I219">
            <v>2.1</v>
          </cell>
          <cell r="K219">
            <v>5</v>
          </cell>
          <cell r="O219">
            <v>1.04</v>
          </cell>
          <cell r="P219">
            <v>1.5240553745928338</v>
          </cell>
        </row>
        <row r="220">
          <cell r="C220">
            <v>6.11</v>
          </cell>
          <cell r="E220">
            <v>7.24</v>
          </cell>
          <cell r="I220">
            <v>1.8</v>
          </cell>
          <cell r="K220">
            <v>5</v>
          </cell>
          <cell r="O220">
            <v>1.1299999999999999</v>
          </cell>
          <cell r="P220">
            <v>1.5240553745928338</v>
          </cell>
        </row>
        <row r="221">
          <cell r="C221">
            <v>5.99</v>
          </cell>
          <cell r="E221">
            <v>7.16</v>
          </cell>
          <cell r="I221">
            <v>1.7</v>
          </cell>
          <cell r="K221">
            <v>5</v>
          </cell>
          <cell r="O221">
            <v>1.17</v>
          </cell>
          <cell r="P221">
            <v>1.5240553745928338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I222">
            <v>1.6</v>
          </cell>
          <cell r="K222">
            <v>5</v>
          </cell>
          <cell r="O222">
            <v>1.2200000000000006</v>
          </cell>
          <cell r="P222">
            <v>1.5240553745928338</v>
          </cell>
        </row>
        <row r="223">
          <cell r="C223">
            <v>5.89</v>
          </cell>
          <cell r="E223">
            <v>7.09</v>
          </cell>
          <cell r="I223">
            <v>1.4</v>
          </cell>
          <cell r="K223">
            <v>5</v>
          </cell>
          <cell r="O223">
            <v>1.2000000000000002</v>
          </cell>
          <cell r="P223">
            <v>1.5240553745928338</v>
          </cell>
        </row>
        <row r="224">
          <cell r="C224">
            <v>5.95</v>
          </cell>
          <cell r="E224">
            <v>7.13</v>
          </cell>
          <cell r="I224">
            <v>1.4</v>
          </cell>
          <cell r="K224">
            <v>5</v>
          </cell>
          <cell r="O224">
            <v>1.1799999999999997</v>
          </cell>
          <cell r="P224">
            <v>1.5240553745928338</v>
          </cell>
        </row>
        <row r="225">
          <cell r="C225">
            <v>5.92</v>
          </cell>
          <cell r="E225">
            <v>7.12</v>
          </cell>
          <cell r="I225">
            <v>1.4</v>
          </cell>
          <cell r="K225">
            <v>5</v>
          </cell>
          <cell r="O225">
            <v>1.2000000000000002</v>
          </cell>
          <cell r="P225">
            <v>1.5240553745928338</v>
          </cell>
        </row>
        <row r="226">
          <cell r="C226">
            <v>5.93</v>
          </cell>
          <cell r="E226">
            <v>7.11</v>
          </cell>
          <cell r="I226">
            <v>1.7</v>
          </cell>
          <cell r="K226">
            <v>5</v>
          </cell>
          <cell r="O226">
            <v>1.1800000000000006</v>
          </cell>
          <cell r="P226">
            <v>1.5240553745928338</v>
          </cell>
        </row>
        <row r="227">
          <cell r="C227">
            <v>5.7</v>
          </cell>
          <cell r="E227">
            <v>6.99</v>
          </cell>
          <cell r="I227">
            <v>1.7</v>
          </cell>
          <cell r="K227">
            <v>5</v>
          </cell>
          <cell r="P227">
            <v>1.5240553745928338</v>
          </cell>
        </row>
        <row r="228">
          <cell r="C228">
            <v>5.68</v>
          </cell>
          <cell r="E228">
            <v>6.99</v>
          </cell>
          <cell r="I228">
            <v>1.7</v>
          </cell>
          <cell r="K228">
            <v>5</v>
          </cell>
          <cell r="P228">
            <v>1.5240553745928338</v>
          </cell>
        </row>
        <row r="229">
          <cell r="C229">
            <v>5.54</v>
          </cell>
          <cell r="E229">
            <v>6.96</v>
          </cell>
          <cell r="P229">
            <v>1.5240553745928338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"/>
      <sheetName val="Capitalization"/>
      <sheetName val="Pfd Stock"/>
      <sheetName val="WCLTD"/>
      <sheetName val="MTN-C"/>
      <sheetName val="MTN-D"/>
      <sheetName val="92 EIRR"/>
      <sheetName val="93 EIRR"/>
      <sheetName val="Mates A"/>
      <sheetName val="Mates B"/>
      <sheetName val="94 EIRR"/>
      <sheetName val="98 EIRR A&amp;B"/>
      <sheetName val="Sheet1"/>
      <sheetName val="TOPrs"/>
      <sheetName val="Annual Exp 2003"/>
      <sheetName val="Int Rate Hedg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Notes"/>
      <sheetName val="Variables"/>
      <sheetName val="Report"/>
      <sheetName val="Operating Lease Adj."/>
      <sheetName val="Captive Finance Adj."/>
      <sheetName val="FAS106 Adj."/>
      <sheetName val="Net Debt Adj."/>
      <sheetName val="Structural Subordination"/>
      <sheetName val="Graphs"/>
      <sheetName val="Import"/>
      <sheetName val="BLR Worksheet"/>
      <sheetName val="TBSheet"/>
      <sheetName val="Main"/>
      <sheetName val="ProForma 2001 1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</row>
        <row r="31">
          <cell r="C31">
            <v>14.22</v>
          </cell>
        </row>
        <row r="32">
          <cell r="C32">
            <v>13.53</v>
          </cell>
        </row>
        <row r="33">
          <cell r="C33">
            <v>13.37</v>
          </cell>
        </row>
        <row r="34">
          <cell r="C34">
            <v>13.24</v>
          </cell>
        </row>
        <row r="35">
          <cell r="C35">
            <v>13.92</v>
          </cell>
        </row>
        <row r="36">
          <cell r="C36">
            <v>13.55</v>
          </cell>
        </row>
        <row r="37">
          <cell r="C37">
            <v>12.77</v>
          </cell>
        </row>
        <row r="38">
          <cell r="C38">
            <v>12.07</v>
          </cell>
        </row>
        <row r="39">
          <cell r="C39">
            <v>11.17</v>
          </cell>
        </row>
        <row r="40">
          <cell r="C40">
            <v>10.54</v>
          </cell>
        </row>
        <row r="41">
          <cell r="C41">
            <v>10.54</v>
          </cell>
        </row>
        <row r="42">
          <cell r="C42">
            <v>10.63</v>
          </cell>
        </row>
        <row r="43">
          <cell r="C43">
            <v>10.88</v>
          </cell>
        </row>
        <row r="44">
          <cell r="C44">
            <v>10.63</v>
          </cell>
        </row>
        <row r="45">
          <cell r="C45">
            <v>10.48</v>
          </cell>
        </row>
        <row r="46">
          <cell r="C46">
            <v>10.53</v>
          </cell>
        </row>
        <row r="47">
          <cell r="C47">
            <v>10.93</v>
          </cell>
        </row>
        <row r="48">
          <cell r="C48">
            <v>11.4</v>
          </cell>
        </row>
        <row r="49">
          <cell r="C49">
            <v>11.82</v>
          </cell>
        </row>
        <row r="50">
          <cell r="C50">
            <v>11.63</v>
          </cell>
        </row>
        <row r="51">
          <cell r="C51">
            <v>11.58</v>
          </cell>
        </row>
        <row r="52">
          <cell r="C52">
            <v>11.75</v>
          </cell>
        </row>
        <row r="53">
          <cell r="C53">
            <v>11.88</v>
          </cell>
        </row>
        <row r="54">
          <cell r="C54">
            <v>11.75</v>
          </cell>
        </row>
        <row r="55">
          <cell r="C55">
            <v>11.95</v>
          </cell>
        </row>
        <row r="56">
          <cell r="C56">
            <v>12.38</v>
          </cell>
        </row>
        <row r="57">
          <cell r="C57">
            <v>12.65</v>
          </cell>
        </row>
        <row r="58">
          <cell r="C58">
            <v>13.43</v>
          </cell>
        </row>
        <row r="59">
          <cell r="C59">
            <v>13.44</v>
          </cell>
        </row>
        <row r="60">
          <cell r="C60">
            <v>13.21</v>
          </cell>
        </row>
        <row r="61">
          <cell r="C61">
            <v>12.54</v>
          </cell>
        </row>
        <row r="62">
          <cell r="C62">
            <v>12.29</v>
          </cell>
        </row>
        <row r="63">
          <cell r="C63">
            <v>11.98</v>
          </cell>
        </row>
        <row r="64">
          <cell r="C64">
            <v>11.56</v>
          </cell>
        </row>
        <row r="65">
          <cell r="C65">
            <v>11.52</v>
          </cell>
        </row>
        <row r="66">
          <cell r="C66">
            <v>11.45</v>
          </cell>
        </row>
        <row r="67">
          <cell r="C67">
            <v>11.47</v>
          </cell>
        </row>
        <row r="68">
          <cell r="C68">
            <v>11.81</v>
          </cell>
        </row>
        <row r="69">
          <cell r="C69">
            <v>11.47</v>
          </cell>
        </row>
        <row r="70">
          <cell r="C70">
            <v>11.05</v>
          </cell>
        </row>
        <row r="71">
          <cell r="C71">
            <v>10.44</v>
          </cell>
        </row>
        <row r="72">
          <cell r="C72">
            <v>10.5</v>
          </cell>
        </row>
        <row r="73">
          <cell r="C73">
            <v>10.56</v>
          </cell>
        </row>
        <row r="74">
          <cell r="C74">
            <v>10.61</v>
          </cell>
        </row>
        <row r="75">
          <cell r="C75">
            <v>10.5</v>
          </cell>
        </row>
        <row r="76">
          <cell r="C76">
            <v>10.06</v>
          </cell>
        </row>
        <row r="77">
          <cell r="C77">
            <v>9.5399999999999991</v>
          </cell>
        </row>
        <row r="78">
          <cell r="C78">
            <v>9.4</v>
          </cell>
        </row>
        <row r="79">
          <cell r="C79">
            <v>8.93</v>
          </cell>
        </row>
        <row r="80">
          <cell r="C80">
            <v>7.96</v>
          </cell>
        </row>
        <row r="81">
          <cell r="C81">
            <v>7.39</v>
          </cell>
        </row>
        <row r="82">
          <cell r="C82">
            <v>7.52</v>
          </cell>
        </row>
        <row r="83">
          <cell r="C83">
            <v>7.57</v>
          </cell>
        </row>
        <row r="84">
          <cell r="C84">
            <v>7.27</v>
          </cell>
        </row>
        <row r="85">
          <cell r="C85">
            <v>7.33</v>
          </cell>
        </row>
        <row r="86">
          <cell r="C86">
            <v>7.62</v>
          </cell>
        </row>
        <row r="87">
          <cell r="C87">
            <v>7.7</v>
          </cell>
        </row>
        <row r="88">
          <cell r="C88">
            <v>7.52</v>
          </cell>
        </row>
        <row r="89">
          <cell r="C89">
            <v>7.37</v>
          </cell>
        </row>
        <row r="90">
          <cell r="C90">
            <v>7.39</v>
          </cell>
        </row>
        <row r="91">
          <cell r="C91">
            <v>7.54</v>
          </cell>
        </row>
        <row r="92">
          <cell r="C92">
            <v>7.55</v>
          </cell>
        </row>
        <row r="93">
          <cell r="C93">
            <v>8.25</v>
          </cell>
        </row>
        <row r="94">
          <cell r="C94">
            <v>8.7799999999999994</v>
          </cell>
        </row>
        <row r="95">
          <cell r="C95">
            <v>8.57</v>
          </cell>
        </row>
        <row r="96">
          <cell r="C96">
            <v>8.64</v>
          </cell>
        </row>
        <row r="97">
          <cell r="C97">
            <v>8.9700000000000006</v>
          </cell>
        </row>
        <row r="98">
          <cell r="C98">
            <v>9.59</v>
          </cell>
        </row>
        <row r="99">
          <cell r="C99">
            <v>9.61</v>
          </cell>
        </row>
        <row r="100">
          <cell r="C100">
            <v>8.9499999999999993</v>
          </cell>
        </row>
        <row r="101">
          <cell r="C101">
            <v>9.1199999999999992</v>
          </cell>
        </row>
        <row r="102">
          <cell r="C102">
            <v>8.83</v>
          </cell>
        </row>
        <row r="103">
          <cell r="C103">
            <v>8.43</v>
          </cell>
        </row>
        <row r="104">
          <cell r="C104">
            <v>8.6300000000000008</v>
          </cell>
        </row>
        <row r="105">
          <cell r="C105">
            <v>8.9499999999999993</v>
          </cell>
        </row>
        <row r="106">
          <cell r="C106">
            <v>9.23</v>
          </cell>
        </row>
        <row r="107">
          <cell r="C107">
            <v>9</v>
          </cell>
        </row>
        <row r="108">
          <cell r="C108">
            <v>9.14</v>
          </cell>
        </row>
        <row r="109">
          <cell r="C109">
            <v>9.32</v>
          </cell>
        </row>
        <row r="110">
          <cell r="C110">
            <v>9.06</v>
          </cell>
        </row>
        <row r="111">
          <cell r="C111">
            <v>8.89</v>
          </cell>
        </row>
        <row r="112">
          <cell r="C112">
            <v>9.02</v>
          </cell>
        </row>
        <row r="113">
          <cell r="C113">
            <v>9.01</v>
          </cell>
        </row>
        <row r="114">
          <cell r="C114">
            <v>8.93</v>
          </cell>
        </row>
        <row r="115">
          <cell r="C115">
            <v>9.01</v>
          </cell>
        </row>
        <row r="116">
          <cell r="C116">
            <v>9.17</v>
          </cell>
        </row>
        <row r="117">
          <cell r="C117">
            <v>9.0299999999999994</v>
          </cell>
        </row>
        <row r="118">
          <cell r="C118">
            <v>8.83</v>
          </cell>
        </row>
        <row r="119">
          <cell r="C119">
            <v>8.27</v>
          </cell>
        </row>
        <row r="120">
          <cell r="C120">
            <v>8.08</v>
          </cell>
        </row>
        <row r="121">
          <cell r="C121">
            <v>8.1199999999999992</v>
          </cell>
        </row>
        <row r="122">
          <cell r="C122">
            <v>8.15</v>
          </cell>
        </row>
        <row r="123">
          <cell r="C123">
            <v>8</v>
          </cell>
        </row>
        <row r="124">
          <cell r="C124">
            <v>7.9</v>
          </cell>
        </row>
        <row r="125">
          <cell r="C125">
            <v>7.9</v>
          </cell>
        </row>
        <row r="126">
          <cell r="C126">
            <v>8.26</v>
          </cell>
        </row>
        <row r="127">
          <cell r="C127">
            <v>8.5</v>
          </cell>
        </row>
        <row r="128">
          <cell r="C128">
            <v>8.56</v>
          </cell>
        </row>
        <row r="129">
          <cell r="C129">
            <v>8.76</v>
          </cell>
        </row>
        <row r="130">
          <cell r="C130">
            <v>8.73</v>
          </cell>
        </row>
        <row r="131">
          <cell r="C131">
            <v>8.4600000000000009</v>
          </cell>
        </row>
        <row r="132">
          <cell r="C132">
            <v>8.5</v>
          </cell>
        </row>
        <row r="133">
          <cell r="C133">
            <v>8.86</v>
          </cell>
        </row>
        <row r="134">
          <cell r="C134">
            <v>9.0299999999999994</v>
          </cell>
        </row>
        <row r="135">
          <cell r="C135">
            <v>8.86</v>
          </cell>
        </row>
        <row r="136">
          <cell r="C136">
            <v>8.5399999999999991</v>
          </cell>
        </row>
        <row r="137">
          <cell r="C137">
            <v>8.24</v>
          </cell>
        </row>
        <row r="138">
          <cell r="C138">
            <v>8.27</v>
          </cell>
        </row>
        <row r="139">
          <cell r="C139">
            <v>8.0299999999999994</v>
          </cell>
        </row>
        <row r="140">
          <cell r="C140">
            <v>8.2899999999999991</v>
          </cell>
        </row>
        <row r="141">
          <cell r="C141">
            <v>8.2100000000000009</v>
          </cell>
        </row>
        <row r="142">
          <cell r="C142">
            <v>8.27</v>
          </cell>
        </row>
        <row r="143">
          <cell r="C143">
            <v>8.4700000000000006</v>
          </cell>
        </row>
        <row r="144">
          <cell r="C144">
            <v>8.4499999999999993</v>
          </cell>
        </row>
        <row r="145">
          <cell r="C145">
            <v>8.14</v>
          </cell>
        </row>
        <row r="146">
          <cell r="C146">
            <v>7.95</v>
          </cell>
        </row>
        <row r="147">
          <cell r="C147">
            <v>7.93</v>
          </cell>
        </row>
        <row r="148">
          <cell r="C148">
            <v>7.92</v>
          </cell>
        </row>
        <row r="149">
          <cell r="C149">
            <v>7.7</v>
          </cell>
        </row>
        <row r="150">
          <cell r="C150">
            <v>7.58</v>
          </cell>
        </row>
        <row r="151">
          <cell r="C151">
            <v>7.85</v>
          </cell>
        </row>
        <row r="152">
          <cell r="C152">
            <v>7.97</v>
          </cell>
        </row>
        <row r="153">
          <cell r="C153">
            <v>7.96</v>
          </cell>
        </row>
        <row r="154">
          <cell r="C154">
            <v>7.89</v>
          </cell>
        </row>
        <row r="155">
          <cell r="C155">
            <v>7.84</v>
          </cell>
        </row>
        <row r="156">
          <cell r="C156">
            <v>7.6</v>
          </cell>
        </row>
        <row r="157">
          <cell r="C157">
            <v>7.39</v>
          </cell>
        </row>
        <row r="158">
          <cell r="C158">
            <v>7.34</v>
          </cell>
        </row>
        <row r="159">
          <cell r="C159">
            <v>7.53</v>
          </cell>
        </row>
        <row r="160">
          <cell r="C160">
            <v>7.61</v>
          </cell>
        </row>
        <row r="161">
          <cell r="C161">
            <v>7.44</v>
          </cell>
        </row>
        <row r="162">
          <cell r="C162">
            <v>7.34</v>
          </cell>
        </row>
        <row r="163">
          <cell r="C163">
            <v>7.09</v>
          </cell>
        </row>
        <row r="164">
          <cell r="C164">
            <v>6.82</v>
          </cell>
        </row>
        <row r="165">
          <cell r="C165">
            <v>6.85</v>
          </cell>
        </row>
        <row r="166">
          <cell r="C166">
            <v>6.92</v>
          </cell>
        </row>
        <row r="167">
          <cell r="C167">
            <v>6.81</v>
          </cell>
        </row>
        <row r="168">
          <cell r="C168">
            <v>6.63</v>
          </cell>
        </row>
        <row r="169">
          <cell r="C169">
            <v>6.32</v>
          </cell>
        </row>
        <row r="170">
          <cell r="C170">
            <v>6</v>
          </cell>
        </row>
        <row r="171">
          <cell r="C171">
            <v>5.94</v>
          </cell>
        </row>
        <row r="172">
          <cell r="C172">
            <v>6.21</v>
          </cell>
        </row>
        <row r="173">
          <cell r="C173">
            <v>6.25</v>
          </cell>
        </row>
        <row r="174">
          <cell r="C174">
            <v>6.29</v>
          </cell>
        </row>
        <row r="175">
          <cell r="C175">
            <v>6.49</v>
          </cell>
        </row>
        <row r="176">
          <cell r="C176">
            <v>6.91</v>
          </cell>
        </row>
        <row r="177">
          <cell r="C177">
            <v>7.27</v>
          </cell>
        </row>
        <row r="178">
          <cell r="C178">
            <v>7.41</v>
          </cell>
        </row>
        <row r="179">
          <cell r="C179">
            <v>7.4</v>
          </cell>
        </row>
        <row r="180">
          <cell r="C180">
            <v>7.58</v>
          </cell>
        </row>
        <row r="181">
          <cell r="C181">
            <v>7.49</v>
          </cell>
        </row>
        <row r="182">
          <cell r="C182">
            <v>7.71</v>
          </cell>
        </row>
        <row r="183">
          <cell r="C183">
            <v>7.94</v>
          </cell>
        </row>
        <row r="184">
          <cell r="C184">
            <v>8.08</v>
          </cell>
        </row>
        <row r="185">
          <cell r="C185">
            <v>7.87</v>
          </cell>
        </row>
        <row r="186">
          <cell r="C186">
            <v>7.85</v>
          </cell>
        </row>
        <row r="187">
          <cell r="C187">
            <v>7.61</v>
          </cell>
        </row>
        <row r="188">
          <cell r="C188">
            <v>7.45</v>
          </cell>
        </row>
        <row r="189">
          <cell r="C189">
            <v>7.36</v>
          </cell>
        </row>
        <row r="190">
          <cell r="C190">
            <v>6.95</v>
          </cell>
        </row>
        <row r="191">
          <cell r="C191">
            <v>6.57</v>
          </cell>
        </row>
        <row r="192">
          <cell r="C192">
            <v>6.72</v>
          </cell>
        </row>
        <row r="193">
          <cell r="C193">
            <v>6.86</v>
          </cell>
        </row>
        <row r="194">
          <cell r="C194">
            <v>6.55</v>
          </cell>
        </row>
        <row r="195">
          <cell r="C195">
            <v>6.37</v>
          </cell>
        </row>
        <row r="196">
          <cell r="C196">
            <v>6.26</v>
          </cell>
        </row>
        <row r="197">
          <cell r="C197">
            <v>6.06</v>
          </cell>
        </row>
        <row r="198">
          <cell r="C198">
            <v>6.05</v>
          </cell>
        </row>
        <row r="199">
          <cell r="C199">
            <v>6.24</v>
          </cell>
        </row>
        <row r="200">
          <cell r="C200">
            <v>6.6</v>
          </cell>
        </row>
        <row r="201">
          <cell r="C201">
            <v>6.79</v>
          </cell>
        </row>
        <row r="202">
          <cell r="C202">
            <v>6.93</v>
          </cell>
        </row>
        <row r="203">
          <cell r="C203">
            <v>7.06</v>
          </cell>
        </row>
        <row r="204">
          <cell r="C204">
            <v>7.03</v>
          </cell>
        </row>
        <row r="205">
          <cell r="C205">
            <v>6.84</v>
          </cell>
        </row>
        <row r="206">
          <cell r="C206">
            <v>7.03</v>
          </cell>
        </row>
        <row r="207">
          <cell r="C207">
            <v>6.81</v>
          </cell>
        </row>
        <row r="208">
          <cell r="C208">
            <v>6.48</v>
          </cell>
        </row>
        <row r="209">
          <cell r="C209">
            <v>6.55</v>
          </cell>
        </row>
        <row r="210">
          <cell r="C210">
            <v>6.83</v>
          </cell>
        </row>
        <row r="211">
          <cell r="C211">
            <v>6.69</v>
          </cell>
        </row>
        <row r="212">
          <cell r="C212">
            <v>6.93</v>
          </cell>
        </row>
        <row r="213">
          <cell r="C213">
            <v>7.09</v>
          </cell>
        </row>
        <row r="214">
          <cell r="C214">
            <v>6.94</v>
          </cell>
        </row>
        <row r="215">
          <cell r="C215">
            <v>6.77</v>
          </cell>
        </row>
        <row r="216">
          <cell r="C216">
            <v>6.51</v>
          </cell>
        </row>
        <row r="217">
          <cell r="C217">
            <v>6.58</v>
          </cell>
        </row>
        <row r="218">
          <cell r="C218">
            <v>6.5</v>
          </cell>
        </row>
        <row r="219">
          <cell r="C219">
            <v>6.33</v>
          </cell>
        </row>
        <row r="220">
          <cell r="C220">
            <v>6.11</v>
          </cell>
        </row>
        <row r="221">
          <cell r="C221">
            <v>5.99</v>
          </cell>
        </row>
        <row r="222">
          <cell r="C222">
            <v>5.81</v>
          </cell>
        </row>
        <row r="223">
          <cell r="C223">
            <v>5.89</v>
          </cell>
        </row>
        <row r="224">
          <cell r="C224">
            <v>5.95</v>
          </cell>
        </row>
        <row r="225">
          <cell r="C225">
            <v>5.92</v>
          </cell>
        </row>
        <row r="226">
          <cell r="C226">
            <v>5.93</v>
          </cell>
        </row>
        <row r="227">
          <cell r="C227">
            <v>5.7</v>
          </cell>
        </row>
        <row r="228">
          <cell r="C228">
            <v>5.68</v>
          </cell>
        </row>
        <row r="229">
          <cell r="C229">
            <v>5.54</v>
          </cell>
        </row>
        <row r="230">
          <cell r="C230">
            <v>5.2</v>
          </cell>
        </row>
        <row r="231">
          <cell r="C231">
            <v>5.01</v>
          </cell>
        </row>
        <row r="232">
          <cell r="C232">
            <v>5.25</v>
          </cell>
        </row>
        <row r="233">
          <cell r="C233">
            <v>5.0599999999999996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Inputs"/>
      <sheetName val="Instructions"/>
      <sheetName val="Log"/>
      <sheetName val="Business Segment Electric"/>
      <sheetName val="Business Segment Gas"/>
      <sheetName val="2_Step_DCF"/>
      <sheetName val="Dividend_Yields_1"/>
      <sheetName val="Dividend_Yields_2"/>
      <sheetName val="Dividend_Data"/>
      <sheetName val="FERC_Policy_Growth"/>
      <sheetName val="Growth_Rate_Forecasts"/>
      <sheetName val="Company_Data"/>
      <sheetName val="GDP Growth"/>
      <sheetName val="CAPM_1"/>
      <sheetName val="CAPM_2"/>
      <sheetName val="S&amp;P_500"/>
      <sheetName val="Expected_Earnings"/>
      <sheetName val="Risk_Premium"/>
      <sheetName val="Risk_Premium_Download"/>
      <sheetName val="Dividend_Download"/>
      <sheetName val="Pricing_Data"/>
      <sheetName val="Pricing_Download"/>
      <sheetName val="S&amp;P_500_Download"/>
      <sheetName val="Credit_Rating"/>
      <sheetName val="Credit_Rating_Download"/>
      <sheetName val="Beta_Download"/>
      <sheetName val="Beta"/>
      <sheetName val="SNL Data"/>
      <sheetName val="Risk_Premium_Price"/>
      <sheetName val="Risk_Premium_Price_Download"/>
      <sheetName val="Scree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57"/>
  <sheetViews>
    <sheetView showGridLines="0" view="pageBreakPreview" zoomScale="85" zoomScaleNormal="50" zoomScaleSheetLayoutView="85" workbookViewId="0">
      <selection activeCell="T14" sqref="T14"/>
    </sheetView>
  </sheetViews>
  <sheetFormatPr defaultColWidth="9" defaultRowHeight="12.75" x14ac:dyDescent="0.2"/>
  <cols>
    <col min="1" max="1" width="5.140625" style="6" customWidth="1"/>
    <col min="2" max="2" width="20.42578125" style="6" bestFit="1" customWidth="1"/>
    <col min="3" max="3" width="14.85546875" style="6" customWidth="1"/>
    <col min="4" max="5" width="15.5703125" style="6" customWidth="1"/>
    <col min="6" max="6" width="15.85546875" style="6" customWidth="1"/>
    <col min="7" max="16384" width="9" style="6"/>
  </cols>
  <sheetData>
    <row r="1" spans="2:6" s="2" customFormat="1" x14ac:dyDescent="0.2">
      <c r="B1" s="1"/>
      <c r="C1" s="1"/>
      <c r="D1" s="1"/>
      <c r="E1" s="1"/>
      <c r="F1" s="1"/>
    </row>
    <row r="2" spans="2:6" s="2" customFormat="1" ht="12.6" customHeight="1" x14ac:dyDescent="0.2">
      <c r="B2" s="289" t="s">
        <v>1275</v>
      </c>
      <c r="C2" s="289"/>
      <c r="D2" s="289"/>
      <c r="E2" s="289"/>
      <c r="F2" s="1"/>
    </row>
    <row r="3" spans="2:6" s="2" customFormat="1" ht="13.5" thickBot="1" x14ac:dyDescent="0.25">
      <c r="B3" s="199"/>
      <c r="C3" s="199"/>
      <c r="D3" s="199"/>
      <c r="E3" s="199"/>
      <c r="F3" s="1"/>
    </row>
    <row r="4" spans="2:6" s="2" customFormat="1" ht="5.0999999999999996" customHeight="1" x14ac:dyDescent="0.2">
      <c r="B4" s="198"/>
      <c r="C4" s="198"/>
      <c r="D4" s="198"/>
      <c r="E4" s="198"/>
      <c r="F4" s="187"/>
    </row>
    <row r="5" spans="2:6" s="4" customFormat="1" ht="15" customHeight="1" x14ac:dyDescent="0.25">
      <c r="B5" s="288" t="s">
        <v>0</v>
      </c>
      <c r="C5" s="288"/>
      <c r="D5" s="288"/>
      <c r="E5" s="288"/>
      <c r="F5" s="3"/>
    </row>
    <row r="6" spans="2:6" s="4" customFormat="1" ht="15" customHeight="1" x14ac:dyDescent="0.25">
      <c r="B6" s="189"/>
      <c r="C6" s="195" t="s">
        <v>1</v>
      </c>
      <c r="D6" s="195" t="s">
        <v>2</v>
      </c>
      <c r="E6" s="195" t="s">
        <v>3</v>
      </c>
    </row>
    <row r="7" spans="2:6" s="4" customFormat="1" ht="15" customHeight="1" x14ac:dyDescent="0.25">
      <c r="B7" s="190" t="s">
        <v>4</v>
      </c>
      <c r="C7" s="191">
        <f>'AEB-17 CGDCF'!K25</f>
        <v>9.0239515272679746E-2</v>
      </c>
      <c r="D7" s="191">
        <f>'AEB-17 CGDCF'!L25</f>
        <v>0.10170606874139479</v>
      </c>
      <c r="E7" s="191">
        <f>'AEB-17 CGDCF'!M25</f>
        <v>0.11146080584416777</v>
      </c>
      <c r="F7" s="5"/>
    </row>
    <row r="8" spans="2:6" s="4" customFormat="1" ht="15" customHeight="1" x14ac:dyDescent="0.25">
      <c r="B8" s="190" t="s">
        <v>5</v>
      </c>
      <c r="C8" s="191">
        <f>'AEB-17 CGDCF'!K65</f>
        <v>8.8603468601640284E-2</v>
      </c>
      <c r="D8" s="191">
        <f>'AEB-17 CGDCF'!L65</f>
        <v>0.10006296830703312</v>
      </c>
      <c r="E8" s="191">
        <f>'AEB-17 CGDCF'!M65</f>
        <v>0.10981100093163076</v>
      </c>
      <c r="F8" s="5"/>
    </row>
    <row r="9" spans="2:6" s="4" customFormat="1" ht="15" customHeight="1" x14ac:dyDescent="0.25">
      <c r="B9" s="190" t="s">
        <v>6</v>
      </c>
      <c r="C9" s="191">
        <f>'AEB-17 CGDCF'!K105</f>
        <v>8.763829851545786E-2</v>
      </c>
      <c r="D9" s="191">
        <f>'AEB-17 CGDCF'!L105</f>
        <v>9.9094053426143594E-2</v>
      </c>
      <c r="E9" s="191">
        <f>'AEB-17 CGDCF'!M105</f>
        <v>0.10883863957988189</v>
      </c>
      <c r="F9" s="5"/>
    </row>
    <row r="10" spans="2:6" s="4" customFormat="1" ht="15" customHeight="1" x14ac:dyDescent="0.25">
      <c r="B10" s="192" t="s">
        <v>105</v>
      </c>
      <c r="C10" s="191">
        <f>AVERAGE(C7:C9)</f>
        <v>8.8827094129925954E-2</v>
      </c>
      <c r="D10" s="191">
        <f>AVERAGE(D7:D9)</f>
        <v>0.10028769682485716</v>
      </c>
      <c r="E10" s="191">
        <f>AVERAGE(E7:E9)</f>
        <v>0.11003681545189348</v>
      </c>
      <c r="F10" s="3"/>
    </row>
    <row r="11" spans="2:6" s="4" customFormat="1" ht="15" customHeight="1" x14ac:dyDescent="0.25">
      <c r="B11" s="192"/>
      <c r="C11" s="191"/>
      <c r="D11" s="191"/>
      <c r="E11" s="191"/>
      <c r="F11" s="3"/>
    </row>
    <row r="12" spans="2:6" s="4" customFormat="1" ht="15" customHeight="1" x14ac:dyDescent="0.25">
      <c r="B12" s="189"/>
      <c r="C12" s="195" t="s">
        <v>7</v>
      </c>
      <c r="D12" s="195" t="s">
        <v>8</v>
      </c>
      <c r="E12" s="195" t="s">
        <v>9</v>
      </c>
    </row>
    <row r="13" spans="2:6" s="4" customFormat="1" x14ac:dyDescent="0.25">
      <c r="B13" s="190" t="s">
        <v>4</v>
      </c>
      <c r="C13" s="191">
        <f>'AEB-17 CGDCF'!K26</f>
        <v>9.4538744331099489E-2</v>
      </c>
      <c r="D13" s="191">
        <f>'AEB-17 CGDCF'!L26</f>
        <v>0.10124220491950835</v>
      </c>
      <c r="E13" s="191">
        <f>'AEB-17 CGDCF'!M26</f>
        <v>0.11224937671512308</v>
      </c>
    </row>
    <row r="14" spans="2:6" s="4" customFormat="1" ht="15" customHeight="1" x14ac:dyDescent="0.25">
      <c r="B14" s="190" t="s">
        <v>5</v>
      </c>
      <c r="C14" s="191">
        <f>'AEB-17 CGDCF'!K66</f>
        <v>9.2658559816354624E-2</v>
      </c>
      <c r="D14" s="191">
        <f>'AEB-17 CGDCF'!L66</f>
        <v>9.953674454860123E-2</v>
      </c>
      <c r="E14" s="191">
        <f>'AEB-17 CGDCF'!M66</f>
        <v>0.11139529651356946</v>
      </c>
    </row>
    <row r="15" spans="2:6" s="4" customFormat="1" ht="15" customHeight="1" x14ac:dyDescent="0.25">
      <c r="B15" s="190" t="s">
        <v>6</v>
      </c>
      <c r="C15" s="191">
        <f>'AEB-17 CGDCF'!K106</f>
        <v>9.1843109781901883E-2</v>
      </c>
      <c r="D15" s="191">
        <f>'AEB-17 CGDCF'!L106</f>
        <v>9.8321770688272803E-2</v>
      </c>
      <c r="E15" s="191">
        <f>'AEB-17 CGDCF'!M106</f>
        <v>0.10996581776665244</v>
      </c>
    </row>
    <row r="16" spans="2:6" s="4" customFormat="1" ht="15" customHeight="1" x14ac:dyDescent="0.25">
      <c r="B16" s="192" t="s">
        <v>105</v>
      </c>
      <c r="C16" s="191">
        <f>AVERAGE(C13:C15)</f>
        <v>9.3013471309785323E-2</v>
      </c>
      <c r="D16" s="191">
        <f>AVERAGE(D13:D15)</f>
        <v>9.9700240052127465E-2</v>
      </c>
      <c r="E16" s="191">
        <f>AVERAGE(E13:E15)</f>
        <v>0.11120349699844832</v>
      </c>
    </row>
    <row r="17" spans="2:6" s="4" customFormat="1" ht="15" customHeight="1" x14ac:dyDescent="0.25">
      <c r="B17" s="192"/>
      <c r="C17" s="191"/>
      <c r="D17" s="191"/>
      <c r="E17" s="191"/>
    </row>
    <row r="18" spans="2:6" s="4" customFormat="1" ht="15" customHeight="1" x14ac:dyDescent="0.25">
      <c r="B18" s="288" t="s">
        <v>1278</v>
      </c>
      <c r="C18" s="288"/>
      <c r="D18" s="288"/>
      <c r="E18" s="288"/>
    </row>
    <row r="19" spans="2:6" s="4" customFormat="1" ht="45" customHeight="1" x14ac:dyDescent="0.25">
      <c r="B19" s="189"/>
      <c r="C19" s="195" t="s">
        <v>11</v>
      </c>
      <c r="D19" s="195" t="s">
        <v>1446</v>
      </c>
      <c r="E19" s="195" t="s">
        <v>1447</v>
      </c>
    </row>
    <row r="20" spans="2:6" s="4" customFormat="1" ht="15" customHeight="1" x14ac:dyDescent="0.25">
      <c r="B20" s="194" t="s">
        <v>1277</v>
      </c>
      <c r="C20" s="190"/>
      <c r="D20" s="190"/>
      <c r="E20" s="190"/>
    </row>
    <row r="21" spans="2:6" s="4" customFormat="1" x14ac:dyDescent="0.25">
      <c r="B21" s="190" t="s">
        <v>12</v>
      </c>
      <c r="C21" s="193">
        <f>'AEB-18 CAPM'!H26</f>
        <v>0.1122739628778809</v>
      </c>
      <c r="D21" s="193">
        <f>'AEB-18 CAPM'!H62</f>
        <v>0.11198598248572406</v>
      </c>
      <c r="E21" s="193">
        <f>'AEB-18 CAPM'!H98</f>
        <v>0.11158362954454755</v>
      </c>
    </row>
    <row r="22" spans="2:6" s="4" customFormat="1" x14ac:dyDescent="0.25">
      <c r="B22" s="190" t="s">
        <v>13</v>
      </c>
      <c r="C22" s="193">
        <f>'AEB-18 CAPM'!H134</f>
        <v>0.1050199968371999</v>
      </c>
      <c r="D22" s="193">
        <f>'AEB-18 CAPM'!H170</f>
        <v>0.10448821744806713</v>
      </c>
      <c r="E22" s="193">
        <f>'AEB-18 CAPM'!H206</f>
        <v>0.10374523977631624</v>
      </c>
    </row>
    <row r="23" spans="2:6" s="4" customFormat="1" x14ac:dyDescent="0.25">
      <c r="B23" s="190" t="s">
        <v>1448</v>
      </c>
      <c r="C23" s="193">
        <f>'AEB-18 CAPM'!H242</f>
        <v>0.10145055155954222</v>
      </c>
      <c r="D23" s="193">
        <f>'AEB-18 CAPM'!H278</f>
        <v>0.10079880646150301</v>
      </c>
      <c r="E23" s="193">
        <f>'AEB-18 CAPM'!H314</f>
        <v>9.9888218226208872E-2</v>
      </c>
    </row>
    <row r="24" spans="2:6" s="4" customFormat="1" x14ac:dyDescent="0.25">
      <c r="B24" s="190"/>
      <c r="C24" s="193"/>
      <c r="D24" s="193"/>
      <c r="E24" s="193"/>
    </row>
    <row r="25" spans="2:6" s="4" customFormat="1" x14ac:dyDescent="0.25">
      <c r="B25" s="194" t="s">
        <v>1276</v>
      </c>
      <c r="C25" s="193"/>
      <c r="D25" s="193"/>
      <c r="E25" s="193"/>
    </row>
    <row r="26" spans="2:6" s="2" customFormat="1" ht="14.25" customHeight="1" x14ac:dyDescent="0.2">
      <c r="B26" s="190" t="s">
        <v>12</v>
      </c>
      <c r="C26" s="193">
        <f>'AEB-18 CAPM'!I26</f>
        <v>0.11441609636796878</v>
      </c>
      <c r="D26" s="193">
        <f>'AEB-18 CAPM'!I62</f>
        <v>0.11420011107385113</v>
      </c>
      <c r="E26" s="193">
        <f>'AEB-18 CAPM'!I98</f>
        <v>0.11389834636796876</v>
      </c>
      <c r="F26" s="4"/>
    </row>
    <row r="27" spans="2:6" x14ac:dyDescent="0.2">
      <c r="B27" s="190" t="s">
        <v>13</v>
      </c>
      <c r="C27" s="193">
        <f>'AEB-18 CAPM'!I134</f>
        <v>0.10897562183745801</v>
      </c>
      <c r="D27" s="193">
        <f>'AEB-18 CAPM'!I170</f>
        <v>0.10857678729560843</v>
      </c>
      <c r="E27" s="193">
        <f>'AEB-18 CAPM'!I206</f>
        <v>0.10801955404179528</v>
      </c>
      <c r="F27" s="4"/>
    </row>
    <row r="28" spans="2:6" ht="12.75" customHeight="1" x14ac:dyDescent="0.2">
      <c r="B28" s="190" t="s">
        <v>1448</v>
      </c>
      <c r="C28" s="193">
        <f>'AEB-18 CAPM'!I242</f>
        <v>0.10629853787921474</v>
      </c>
      <c r="D28" s="193">
        <f>'AEB-18 CAPM'!I278</f>
        <v>0.10580972905568534</v>
      </c>
      <c r="E28" s="193">
        <f>'AEB-18 CAPM'!I314</f>
        <v>0.10512678787921476</v>
      </c>
      <c r="F28" s="4"/>
    </row>
    <row r="29" spans="2:6" ht="12.75" customHeight="1" x14ac:dyDescent="0.2">
      <c r="B29" s="190"/>
      <c r="C29" s="193"/>
      <c r="D29" s="193"/>
      <c r="E29" s="193"/>
      <c r="F29" s="4"/>
    </row>
    <row r="30" spans="2:6" x14ac:dyDescent="0.2">
      <c r="B30" s="194" t="s">
        <v>1279</v>
      </c>
      <c r="C30" s="193">
        <f>'AEB-21 RiskPrem'!L47</f>
        <v>0.10531039040334667</v>
      </c>
      <c r="D30" s="193">
        <f>'AEB-21 RiskPrem'!L48</f>
        <v>0.10418023813700457</v>
      </c>
      <c r="E30" s="193">
        <f>'AEB-21 RiskPrem'!L49</f>
        <v>0.10260124143888105</v>
      </c>
      <c r="F30" s="7"/>
    </row>
    <row r="31" spans="2:6" x14ac:dyDescent="0.2">
      <c r="B31" s="194"/>
      <c r="C31" s="193"/>
      <c r="D31" s="193"/>
      <c r="E31" s="193"/>
      <c r="F31" s="7"/>
    </row>
    <row r="32" spans="2:6" ht="13.5" x14ac:dyDescent="0.2">
      <c r="B32" s="288" t="s">
        <v>1258</v>
      </c>
      <c r="C32" s="288"/>
      <c r="D32" s="288"/>
      <c r="E32" s="288"/>
    </row>
    <row r="33" spans="2:5" x14ac:dyDescent="0.2">
      <c r="B33" s="189"/>
      <c r="C33" s="195" t="s">
        <v>2</v>
      </c>
      <c r="D33" s="195" t="s">
        <v>8</v>
      </c>
    </row>
    <row r="34" spans="2:5" ht="12.75" customHeight="1" x14ac:dyDescent="0.2">
      <c r="B34" s="194" t="s">
        <v>1258</v>
      </c>
      <c r="C34" s="193">
        <f>'AEB-22 ExpEarns'!M25</f>
        <v>0.10759050446106257</v>
      </c>
      <c r="D34" s="193">
        <f>'AEB-22 ExpEarns'!M26</f>
        <v>0.10141984832109921</v>
      </c>
    </row>
    <row r="35" spans="2:5" ht="5.0999999999999996" customHeight="1" thickBot="1" x14ac:dyDescent="0.25">
      <c r="B35" s="197"/>
      <c r="C35" s="197"/>
      <c r="D35" s="197"/>
      <c r="E35" s="197"/>
    </row>
    <row r="36" spans="2:5" ht="12.75" customHeight="1" x14ac:dyDescent="0.2">
      <c r="B36" s="196"/>
      <c r="C36" s="196"/>
      <c r="D36" s="196"/>
      <c r="E36" s="188"/>
    </row>
    <row r="37" spans="2:5" x14ac:dyDescent="0.2">
      <c r="E37" s="2"/>
    </row>
    <row r="42" spans="2:5" ht="12.75" customHeight="1" x14ac:dyDescent="0.2"/>
    <row r="57" spans="3:3" x14ac:dyDescent="0.2">
      <c r="C57" s="8"/>
    </row>
  </sheetData>
  <mergeCells count="4">
    <mergeCell ref="B32:E32"/>
    <mergeCell ref="B2:E2"/>
    <mergeCell ref="B5:E5"/>
    <mergeCell ref="B18:E18"/>
  </mergeCells>
  <printOptions horizontalCentered="1"/>
  <pageMargins left="0.7" right="0.7" top="1.25" bottom="0.75" header="0.3" footer="0.3"/>
  <pageSetup orientation="portrait" useFirstPageNumber="1" r:id="rId1"/>
  <headerFooter>
    <oddHeader xml:space="preserve">&amp;RExhibit AEB-16 
Page &amp;P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2:AG50"/>
  <sheetViews>
    <sheetView tabSelected="1" view="pageBreakPreview" topLeftCell="B1" zoomScale="60" zoomScaleNormal="50" workbookViewId="0">
      <selection activeCell="E8" sqref="E8"/>
    </sheetView>
  </sheetViews>
  <sheetFormatPr defaultColWidth="8.5703125" defaultRowHeight="15" customHeight="1" x14ac:dyDescent="0.25"/>
  <cols>
    <col min="1" max="1" width="8.5703125" style="252"/>
    <col min="2" max="2" width="33" style="252" bestFit="1" customWidth="1"/>
    <col min="3" max="3" width="11.42578125" style="252" customWidth="1"/>
    <col min="4" max="4" width="13" style="252" bestFit="1" customWidth="1"/>
    <col min="5" max="5" width="15.42578125" style="252" bestFit="1" customWidth="1"/>
    <col min="6" max="6" width="21.5703125" style="252" customWidth="1"/>
    <col min="7" max="7" width="16.42578125" style="252" customWidth="1"/>
    <col min="8" max="8" width="3.140625" style="252" customWidth="1"/>
    <col min="9" max="9" width="13.42578125" style="252" customWidth="1"/>
    <col min="10" max="10" width="15.85546875" style="252" customWidth="1"/>
    <col min="11" max="11" width="3.5703125" style="252" customWidth="1"/>
    <col min="12" max="12" width="13.85546875" style="252" bestFit="1" customWidth="1"/>
    <col min="13" max="13" width="3.5703125" style="252" customWidth="1"/>
    <col min="14" max="14" width="15.85546875" style="252" customWidth="1"/>
    <col min="15" max="15" width="2.85546875" style="252" customWidth="1"/>
    <col min="16" max="16" width="18.140625" style="252" customWidth="1"/>
    <col min="17" max="17" width="13" style="252" customWidth="1"/>
    <col min="18" max="18" width="25.42578125" style="252" customWidth="1"/>
    <col min="19" max="19" width="2.42578125" style="252" customWidth="1"/>
    <col min="20" max="20" width="12.5703125" style="252" customWidth="1"/>
    <col min="21" max="21" width="3.42578125" style="252" customWidth="1"/>
    <col min="22" max="22" width="16.140625" style="252" customWidth="1"/>
    <col min="23" max="23" width="16.5703125" style="252" customWidth="1"/>
    <col min="24" max="24" width="2.5703125" style="252" customWidth="1"/>
    <col min="25" max="25" width="19.42578125" style="252" customWidth="1"/>
    <col min="26" max="26" width="19.5703125" style="252" customWidth="1"/>
    <col min="27" max="27" width="3.85546875" style="252" customWidth="1"/>
    <col min="28" max="28" width="18.140625" style="252" customWidth="1"/>
    <col min="29" max="29" width="3.42578125" style="252" customWidth="1"/>
    <col min="30" max="16384" width="8.5703125" style="252"/>
  </cols>
  <sheetData>
    <row r="2" spans="2:33" ht="15" customHeight="1" x14ac:dyDescent="0.25">
      <c r="B2" s="301" t="s">
        <v>1331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</row>
    <row r="4" spans="2:33" ht="15" customHeight="1" thickBot="1" x14ac:dyDescent="0.3">
      <c r="D4" s="253" t="s">
        <v>14</v>
      </c>
      <c r="E4" s="253" t="s">
        <v>15</v>
      </c>
      <c r="F4" s="253" t="s">
        <v>16</v>
      </c>
      <c r="G4" s="253" t="s">
        <v>17</v>
      </c>
      <c r="H4" s="253"/>
      <c r="I4" s="253" t="s">
        <v>18</v>
      </c>
      <c r="J4" s="253" t="s">
        <v>19</v>
      </c>
      <c r="K4" s="253"/>
      <c r="L4" s="253" t="s">
        <v>63</v>
      </c>
      <c r="M4" s="253"/>
      <c r="N4" s="253" t="s">
        <v>64</v>
      </c>
      <c r="P4" s="253" t="s">
        <v>65</v>
      </c>
      <c r="Q4" s="253" t="s">
        <v>66</v>
      </c>
      <c r="R4" s="253" t="s">
        <v>67</v>
      </c>
      <c r="T4" s="253" t="s">
        <v>1332</v>
      </c>
      <c r="V4" s="253" t="s">
        <v>1333</v>
      </c>
      <c r="W4" s="253" t="s">
        <v>1334</v>
      </c>
      <c r="Y4" s="253" t="s">
        <v>1335</v>
      </c>
      <c r="Z4" s="253" t="s">
        <v>1336</v>
      </c>
      <c r="AB4" s="253" t="s">
        <v>1337</v>
      </c>
      <c r="AD4" s="253" t="s">
        <v>1338</v>
      </c>
      <c r="AE4" s="253" t="s">
        <v>1339</v>
      </c>
      <c r="AF4" s="253" t="s">
        <v>1340</v>
      </c>
    </row>
    <row r="5" spans="2:33" ht="15" customHeight="1" x14ac:dyDescent="0.25">
      <c r="B5" s="254"/>
      <c r="C5" s="254"/>
      <c r="D5" s="302" t="s">
        <v>1341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254"/>
      <c r="V5" s="302" t="s">
        <v>1342</v>
      </c>
      <c r="W5" s="302"/>
      <c r="X5" s="254"/>
      <c r="Y5" s="302" t="s">
        <v>1343</v>
      </c>
      <c r="Z5" s="302"/>
      <c r="AA5" s="254"/>
      <c r="AB5" s="302" t="s">
        <v>1344</v>
      </c>
      <c r="AC5" s="254"/>
      <c r="AD5" s="302" t="s">
        <v>1345</v>
      </c>
      <c r="AE5" s="302"/>
      <c r="AF5" s="302"/>
    </row>
    <row r="6" spans="2:33" ht="30" customHeight="1" x14ac:dyDescent="0.2">
      <c r="B6" s="255" t="s">
        <v>20</v>
      </c>
      <c r="C6" s="256"/>
      <c r="D6" s="283" t="s">
        <v>1346</v>
      </c>
      <c r="E6" s="283" t="s">
        <v>1347</v>
      </c>
      <c r="F6" s="284" t="s">
        <v>1348</v>
      </c>
      <c r="G6" s="257" t="s">
        <v>1349</v>
      </c>
      <c r="H6" s="257"/>
      <c r="I6" s="283" t="s">
        <v>1350</v>
      </c>
      <c r="J6" s="258" t="s">
        <v>1351</v>
      </c>
      <c r="K6" s="258"/>
      <c r="L6" s="258" t="s">
        <v>1352</v>
      </c>
      <c r="M6" s="258"/>
      <c r="N6" s="259" t="s">
        <v>1353</v>
      </c>
      <c r="O6" s="260"/>
      <c r="P6" s="281" t="s">
        <v>1354</v>
      </c>
      <c r="Q6" s="281" t="s">
        <v>1355</v>
      </c>
      <c r="R6" s="259" t="s">
        <v>1356</v>
      </c>
      <c r="S6" s="260"/>
      <c r="T6" s="259" t="s">
        <v>1357</v>
      </c>
      <c r="U6" s="260"/>
      <c r="V6" s="281" t="s">
        <v>1358</v>
      </c>
      <c r="W6" s="281" t="s">
        <v>1359</v>
      </c>
      <c r="X6" s="285"/>
      <c r="Y6" s="281" t="s">
        <v>1360</v>
      </c>
      <c r="Z6" s="281" t="s">
        <v>1361</v>
      </c>
      <c r="AA6" s="260"/>
      <c r="AB6" s="303"/>
      <c r="AC6" s="260"/>
      <c r="AD6" s="258" t="s">
        <v>1362</v>
      </c>
      <c r="AE6" s="258" t="s">
        <v>1363</v>
      </c>
      <c r="AF6" s="258" t="s">
        <v>1364</v>
      </c>
    </row>
    <row r="7" spans="2:33" ht="15" customHeight="1" x14ac:dyDescent="0.2">
      <c r="B7" s="261"/>
      <c r="C7" s="261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2:33" ht="15" customHeight="1" x14ac:dyDescent="0.2">
      <c r="B8" s="262" t="s">
        <v>22</v>
      </c>
      <c r="C8" s="263" t="s">
        <v>23</v>
      </c>
      <c r="D8" s="264">
        <v>718000</v>
      </c>
      <c r="E8" s="264">
        <v>716200</v>
      </c>
      <c r="F8" s="264">
        <v>275800</v>
      </c>
      <c r="G8" s="265">
        <f>D8-(E8-F8)</f>
        <v>277600</v>
      </c>
      <c r="H8" s="265"/>
      <c r="I8" s="265">
        <v>0</v>
      </c>
      <c r="J8" s="265">
        <f t="shared" ref="J8:J24" si="0">IF(G8&gt;0,0,IF(AND(G8&lt;0,ABS(G8)&lt;I8),ABS(G8),I8))</f>
        <v>0</v>
      </c>
      <c r="K8" s="265"/>
      <c r="L8" s="266">
        <v>1657500</v>
      </c>
      <c r="M8" s="266"/>
      <c r="N8" s="267">
        <f>F8+J8+L8</f>
        <v>1933300</v>
      </c>
      <c r="P8" s="267">
        <v>1782700</v>
      </c>
      <c r="Q8" s="267">
        <v>1929100</v>
      </c>
      <c r="R8" s="267">
        <f>P8-Q8</f>
        <v>-146400</v>
      </c>
      <c r="T8" s="267">
        <f>N8+R8</f>
        <v>1786900</v>
      </c>
      <c r="V8" s="267">
        <v>0</v>
      </c>
      <c r="W8" s="267">
        <f>V8</f>
        <v>0</v>
      </c>
      <c r="Y8" s="266">
        <v>2691900</v>
      </c>
      <c r="Z8" s="266">
        <v>3687512.75</v>
      </c>
      <c r="AB8" s="267">
        <f>T8+W8+Z8</f>
        <v>5474412.75</v>
      </c>
      <c r="AD8" s="268">
        <f>T8/AB8</f>
        <v>0.32640943998970484</v>
      </c>
      <c r="AE8" s="268">
        <f>W8/AB8</f>
        <v>0</v>
      </c>
      <c r="AF8" s="268">
        <f>Z8/AB8</f>
        <v>0.67359056001029516</v>
      </c>
      <c r="AG8" s="269"/>
    </row>
    <row r="9" spans="2:33" ht="15" customHeight="1" x14ac:dyDescent="0.2">
      <c r="B9" s="262" t="s">
        <v>24</v>
      </c>
      <c r="C9" s="263" t="s">
        <v>25</v>
      </c>
      <c r="D9" s="264">
        <v>1250000</v>
      </c>
      <c r="E9" s="264">
        <v>2363000</v>
      </c>
      <c r="F9" s="264">
        <v>416000</v>
      </c>
      <c r="G9" s="265">
        <f t="shared" ref="G9:G24" si="1">D9-(E9-F9)</f>
        <v>-697000</v>
      </c>
      <c r="H9" s="265"/>
      <c r="I9" s="265">
        <v>642000</v>
      </c>
      <c r="J9" s="265">
        <f t="shared" si="0"/>
        <v>642000</v>
      </c>
      <c r="K9" s="265"/>
      <c r="L9" s="266">
        <v>7812000</v>
      </c>
      <c r="M9" s="266"/>
      <c r="N9" s="267">
        <f t="shared" ref="N9:N24" si="2">F9+J9+L9</f>
        <v>8870000</v>
      </c>
      <c r="P9" s="267">
        <v>7339000</v>
      </c>
      <c r="Q9" s="267">
        <v>8076000</v>
      </c>
      <c r="R9" s="267">
        <f t="shared" ref="R9:R24" si="3">P9-Q9</f>
        <v>-737000</v>
      </c>
      <c r="T9" s="267">
        <f t="shared" ref="T9:T24" si="4">N9+R9</f>
        <v>8133000</v>
      </c>
      <c r="V9" s="267">
        <v>0</v>
      </c>
      <c r="W9" s="267">
        <f t="shared" ref="W9:W24" si="5">V9</f>
        <v>0</v>
      </c>
      <c r="Y9" s="266">
        <v>6276000</v>
      </c>
      <c r="Z9" s="266">
        <v>13858915.234300001</v>
      </c>
      <c r="AB9" s="267">
        <f t="shared" ref="AB9:AB24" si="6">T9+W9+Z9</f>
        <v>21991915.234300002</v>
      </c>
      <c r="AD9" s="268">
        <f t="shared" ref="AD9:AD24" si="7">T9/AB9</f>
        <v>0.36981772225618853</v>
      </c>
      <c r="AE9" s="268">
        <f t="shared" ref="AE9:AE24" si="8">W9/AB9</f>
        <v>0</v>
      </c>
      <c r="AF9" s="268">
        <f t="shared" ref="AF9:AF24" si="9">Z9/AB9</f>
        <v>0.63018227774381141</v>
      </c>
      <c r="AG9" s="269"/>
    </row>
    <row r="10" spans="2:33" ht="15" customHeight="1" x14ac:dyDescent="0.2">
      <c r="B10" s="262" t="s">
        <v>26</v>
      </c>
      <c r="C10" s="263" t="s">
        <v>27</v>
      </c>
      <c r="D10" s="264">
        <v>2668000</v>
      </c>
      <c r="E10" s="264">
        <v>3366000</v>
      </c>
      <c r="F10" s="264">
        <v>340000</v>
      </c>
      <c r="G10" s="265">
        <f t="shared" si="1"/>
        <v>-358000</v>
      </c>
      <c r="H10" s="265"/>
      <c r="I10" s="265">
        <v>1070000</v>
      </c>
      <c r="J10" s="265">
        <f t="shared" si="0"/>
        <v>358000</v>
      </c>
      <c r="K10" s="265"/>
      <c r="L10" s="266">
        <v>13685000</v>
      </c>
      <c r="M10" s="266"/>
      <c r="N10" s="267">
        <f t="shared" si="2"/>
        <v>14383000</v>
      </c>
      <c r="P10" s="267">
        <v>12453000</v>
      </c>
      <c r="Q10" s="267">
        <v>14025000</v>
      </c>
      <c r="R10" s="267">
        <f t="shared" si="3"/>
        <v>-1572000</v>
      </c>
      <c r="T10" s="267">
        <f t="shared" si="4"/>
        <v>12811000</v>
      </c>
      <c r="V10" s="267">
        <v>0</v>
      </c>
      <c r="W10" s="267">
        <f t="shared" si="5"/>
        <v>0</v>
      </c>
      <c r="Y10" s="266">
        <v>10508000</v>
      </c>
      <c r="Z10" s="266">
        <v>22987791.267480001</v>
      </c>
      <c r="AB10" s="267">
        <f t="shared" si="6"/>
        <v>35798791.267480001</v>
      </c>
      <c r="AD10" s="268">
        <f t="shared" si="7"/>
        <v>0.35786124465150998</v>
      </c>
      <c r="AE10" s="268">
        <f t="shared" si="8"/>
        <v>0</v>
      </c>
      <c r="AF10" s="268">
        <f t="shared" si="9"/>
        <v>0.64213875534848996</v>
      </c>
      <c r="AG10" s="269"/>
    </row>
    <row r="11" spans="2:33" ht="15" customHeight="1" x14ac:dyDescent="0.2">
      <c r="B11" s="262" t="s">
        <v>28</v>
      </c>
      <c r="C11" s="263" t="s">
        <v>29</v>
      </c>
      <c r="D11" s="264">
        <v>9418700</v>
      </c>
      <c r="E11" s="264">
        <v>14567400</v>
      </c>
      <c r="F11" s="264">
        <v>2167000</v>
      </c>
      <c r="G11" s="265">
        <f t="shared" si="1"/>
        <v>-2981700</v>
      </c>
      <c r="H11" s="265"/>
      <c r="I11" s="265">
        <v>4112200</v>
      </c>
      <c r="J11" s="265">
        <f t="shared" si="0"/>
        <v>2981700</v>
      </c>
      <c r="K11" s="265"/>
      <c r="L11" s="266">
        <v>34346500</v>
      </c>
      <c r="M11" s="266"/>
      <c r="N11" s="267">
        <f t="shared" si="2"/>
        <v>39495200</v>
      </c>
      <c r="P11" s="267">
        <v>31767100</v>
      </c>
      <c r="Q11" s="267">
        <v>35622600</v>
      </c>
      <c r="R11" s="267">
        <f t="shared" si="3"/>
        <v>-3855500</v>
      </c>
      <c r="T11" s="267">
        <f t="shared" si="4"/>
        <v>35639700</v>
      </c>
      <c r="V11" s="267">
        <v>0</v>
      </c>
      <c r="W11" s="267">
        <f t="shared" si="5"/>
        <v>0</v>
      </c>
      <c r="Y11" s="266">
        <v>23893400</v>
      </c>
      <c r="Z11" s="266">
        <v>48791356.226099998</v>
      </c>
      <c r="AB11" s="267">
        <f t="shared" si="6"/>
        <v>84431056.226099998</v>
      </c>
      <c r="AD11" s="268">
        <f t="shared" si="7"/>
        <v>0.42211600319862841</v>
      </c>
      <c r="AE11" s="268">
        <f t="shared" si="8"/>
        <v>0</v>
      </c>
      <c r="AF11" s="268">
        <f t="shared" si="9"/>
        <v>0.57788399680137159</v>
      </c>
      <c r="AG11" s="269"/>
    </row>
    <row r="12" spans="2:33" ht="15" customHeight="1" x14ac:dyDescent="0.2">
      <c r="B12" s="262" t="s">
        <v>31</v>
      </c>
      <c r="C12" s="263" t="s">
        <v>32</v>
      </c>
      <c r="D12" s="264">
        <v>721802</v>
      </c>
      <c r="E12" s="264">
        <v>964534</v>
      </c>
      <c r="F12" s="264">
        <v>21136</v>
      </c>
      <c r="G12" s="265">
        <f t="shared" si="1"/>
        <v>-221596</v>
      </c>
      <c r="H12" s="265"/>
      <c r="I12" s="265">
        <v>463000</v>
      </c>
      <c r="J12" s="265">
        <f t="shared" si="0"/>
        <v>221596</v>
      </c>
      <c r="K12" s="265"/>
      <c r="L12" s="266">
        <v>2463543</v>
      </c>
      <c r="M12" s="266"/>
      <c r="N12" s="267">
        <f t="shared" si="2"/>
        <v>2706275</v>
      </c>
      <c r="P12" s="267">
        <f>966881+881480+41700+42836</f>
        <v>1932897</v>
      </c>
      <c r="Q12" s="267">
        <f>1113500+1200000+45730+51547</f>
        <v>2410777</v>
      </c>
      <c r="R12" s="267">
        <f t="shared" si="3"/>
        <v>-477880</v>
      </c>
      <c r="T12" s="267">
        <f t="shared" si="4"/>
        <v>2228395</v>
      </c>
      <c r="V12" s="267">
        <v>0</v>
      </c>
      <c r="W12" s="267">
        <f t="shared" si="5"/>
        <v>0</v>
      </c>
      <c r="Y12" s="266">
        <v>2334668</v>
      </c>
      <c r="Z12" s="266">
        <v>3271217.1979999999</v>
      </c>
      <c r="AB12" s="267">
        <f t="shared" si="6"/>
        <v>5499612.1979999999</v>
      </c>
      <c r="AD12" s="268">
        <f t="shared" si="7"/>
        <v>0.40519129709007168</v>
      </c>
      <c r="AE12" s="268">
        <f t="shared" si="8"/>
        <v>0</v>
      </c>
      <c r="AF12" s="268">
        <f t="shared" si="9"/>
        <v>0.59480870290992838</v>
      </c>
      <c r="AG12" s="269"/>
    </row>
    <row r="13" spans="2:33" ht="15" customHeight="1" x14ac:dyDescent="0.2">
      <c r="B13" s="262" t="s">
        <v>33</v>
      </c>
      <c r="C13" s="263" t="s">
        <v>34</v>
      </c>
      <c r="D13" s="264">
        <v>3433000</v>
      </c>
      <c r="E13" s="264">
        <v>2985000</v>
      </c>
      <c r="F13" s="264">
        <v>1103000</v>
      </c>
      <c r="G13" s="265">
        <f t="shared" si="1"/>
        <v>1551000</v>
      </c>
      <c r="H13" s="265"/>
      <c r="I13" s="265">
        <v>20000</v>
      </c>
      <c r="J13" s="265">
        <f t="shared" si="0"/>
        <v>0</v>
      </c>
      <c r="K13" s="265"/>
      <c r="L13" s="266">
        <v>13217000</v>
      </c>
      <c r="M13" s="266"/>
      <c r="N13" s="267">
        <f t="shared" si="2"/>
        <v>14320000</v>
      </c>
      <c r="P13" s="267">
        <f>12384000+7000</f>
        <v>12391000</v>
      </c>
      <c r="Q13" s="267">
        <f>14212000+9000</f>
        <v>14221000</v>
      </c>
      <c r="R13" s="267">
        <f t="shared" si="3"/>
        <v>-1830000</v>
      </c>
      <c r="T13" s="267">
        <f t="shared" si="4"/>
        <v>12490000</v>
      </c>
      <c r="V13" s="267">
        <v>224000</v>
      </c>
      <c r="W13" s="267">
        <f t="shared" si="5"/>
        <v>224000</v>
      </c>
      <c r="Y13" s="266">
        <v>6791000</v>
      </c>
      <c r="Z13" s="266">
        <v>18381633.954659998</v>
      </c>
      <c r="AB13" s="267">
        <f t="shared" si="6"/>
        <v>31095633.954659998</v>
      </c>
      <c r="AD13" s="268">
        <f t="shared" si="7"/>
        <v>0.40166410558509441</v>
      </c>
      <c r="AE13" s="268">
        <f t="shared" si="8"/>
        <v>7.2035836389960882E-3</v>
      </c>
      <c r="AF13" s="268">
        <f t="shared" si="9"/>
        <v>0.59113231077590955</v>
      </c>
      <c r="AG13" s="269"/>
    </row>
    <row r="14" spans="2:33" ht="15" customHeight="1" x14ac:dyDescent="0.2">
      <c r="B14" s="262" t="s">
        <v>36</v>
      </c>
      <c r="C14" s="263" t="s">
        <v>37</v>
      </c>
      <c r="D14" s="264">
        <v>13222000</v>
      </c>
      <c r="E14" s="264">
        <v>18873000</v>
      </c>
      <c r="F14" s="264">
        <v>4333000</v>
      </c>
      <c r="G14" s="265">
        <f t="shared" si="1"/>
        <v>-1318000</v>
      </c>
      <c r="H14" s="265"/>
      <c r="I14" s="265">
        <v>3952000</v>
      </c>
      <c r="J14" s="265">
        <f t="shared" si="0"/>
        <v>1318000</v>
      </c>
      <c r="K14" s="265"/>
      <c r="L14" s="266">
        <v>67937000</v>
      </c>
      <c r="M14" s="266"/>
      <c r="N14" s="267">
        <f t="shared" si="2"/>
        <v>73588000</v>
      </c>
      <c r="P14" s="267">
        <v>63454000</v>
      </c>
      <c r="Q14" s="267">
        <v>71215000</v>
      </c>
      <c r="R14" s="267">
        <f t="shared" si="3"/>
        <v>-7761000</v>
      </c>
      <c r="T14" s="267">
        <f t="shared" si="4"/>
        <v>65827000</v>
      </c>
      <c r="V14" s="267">
        <v>1962000</v>
      </c>
      <c r="W14" s="267">
        <f t="shared" si="5"/>
        <v>1962000</v>
      </c>
      <c r="Y14" s="266">
        <v>47360000</v>
      </c>
      <c r="Z14" s="266">
        <v>79308764.888280004</v>
      </c>
      <c r="AB14" s="267">
        <f t="shared" si="6"/>
        <v>147097764.88828</v>
      </c>
      <c r="AD14" s="268">
        <f t="shared" si="7"/>
        <v>0.4475051000944526</v>
      </c>
      <c r="AE14" s="268">
        <f t="shared" si="8"/>
        <v>1.3338068063033649E-2</v>
      </c>
      <c r="AF14" s="268">
        <f t="shared" si="9"/>
        <v>0.53915683184251373</v>
      </c>
      <c r="AG14" s="269"/>
    </row>
    <row r="15" spans="2:33" ht="15" customHeight="1" x14ac:dyDescent="0.2">
      <c r="B15" s="262" t="s">
        <v>40</v>
      </c>
      <c r="C15" s="263" t="s">
        <v>41</v>
      </c>
      <c r="D15" s="264">
        <v>4095026</v>
      </c>
      <c r="E15" s="264">
        <v>6369447</v>
      </c>
      <c r="F15" s="264">
        <v>2379427</v>
      </c>
      <c r="G15" s="265">
        <f t="shared" si="1"/>
        <v>105006</v>
      </c>
      <c r="H15" s="265"/>
      <c r="I15" s="265">
        <v>827621</v>
      </c>
      <c r="J15" s="265">
        <f t="shared" si="0"/>
        <v>0</v>
      </c>
      <c r="K15" s="265"/>
      <c r="L15" s="266">
        <v>23813273</v>
      </c>
      <c r="M15" s="266"/>
      <c r="N15" s="267">
        <f t="shared" si="2"/>
        <v>26192700</v>
      </c>
      <c r="P15" s="267">
        <v>22573837</v>
      </c>
      <c r="Q15" s="267">
        <v>25932549</v>
      </c>
      <c r="R15" s="267">
        <f t="shared" si="3"/>
        <v>-3358712</v>
      </c>
      <c r="T15" s="267">
        <f t="shared" si="4"/>
        <v>22833988</v>
      </c>
      <c r="V15" s="267">
        <v>0</v>
      </c>
      <c r="W15" s="267">
        <f t="shared" si="5"/>
        <v>0</v>
      </c>
      <c r="Y15" s="266">
        <v>12966985</v>
      </c>
      <c r="Z15" s="266">
        <v>22891911.75</v>
      </c>
      <c r="AB15" s="267">
        <f t="shared" si="6"/>
        <v>45725899.75</v>
      </c>
      <c r="AD15" s="268">
        <f t="shared" si="7"/>
        <v>0.49936661989904313</v>
      </c>
      <c r="AE15" s="268">
        <f t="shared" si="8"/>
        <v>0</v>
      </c>
      <c r="AF15" s="268">
        <f t="shared" si="9"/>
        <v>0.50063338010095693</v>
      </c>
      <c r="AG15" s="269"/>
    </row>
    <row r="16" spans="2:33" ht="15" customHeight="1" x14ac:dyDescent="0.2">
      <c r="B16" s="262" t="s">
        <v>1254</v>
      </c>
      <c r="C16" s="263" t="s">
        <v>42</v>
      </c>
      <c r="D16" s="264">
        <v>1842000</v>
      </c>
      <c r="E16" s="264">
        <v>3493800</v>
      </c>
      <c r="F16" s="264">
        <v>460900</v>
      </c>
      <c r="G16" s="265">
        <f t="shared" si="1"/>
        <v>-1190900</v>
      </c>
      <c r="H16" s="265"/>
      <c r="I16" s="265">
        <v>1691300</v>
      </c>
      <c r="J16" s="265">
        <f t="shared" si="0"/>
        <v>1190900</v>
      </c>
      <c r="K16" s="265"/>
      <c r="L16" s="266">
        <v>10006500</v>
      </c>
      <c r="M16" s="266"/>
      <c r="N16" s="267">
        <f t="shared" si="2"/>
        <v>11658300</v>
      </c>
      <c r="P16" s="286">
        <v>9160000</v>
      </c>
      <c r="Q16" s="286">
        <v>10344800</v>
      </c>
      <c r="R16" s="267">
        <f t="shared" si="3"/>
        <v>-1184800</v>
      </c>
      <c r="T16" s="267">
        <f t="shared" si="4"/>
        <v>10473500</v>
      </c>
      <c r="V16" s="267">
        <v>0</v>
      </c>
      <c r="W16" s="267">
        <f t="shared" si="5"/>
        <v>0</v>
      </c>
      <c r="Y16" s="266">
        <v>9483700</v>
      </c>
      <c r="Z16" s="266">
        <v>22891911.75</v>
      </c>
      <c r="AB16" s="267">
        <f t="shared" si="6"/>
        <v>33365411.75</v>
      </c>
      <c r="AD16" s="268">
        <f t="shared" ref="AD16" si="10">T16/AB16</f>
        <v>0.31390291474523763</v>
      </c>
      <c r="AE16" s="268">
        <f t="shared" ref="AE16" si="11">W16/AB16</f>
        <v>0</v>
      </c>
      <c r="AF16" s="268">
        <f t="shared" ref="AF16" si="12">Z16/AB16</f>
        <v>0.68609708525476232</v>
      </c>
      <c r="AG16" s="269"/>
    </row>
    <row r="17" spans="2:33" ht="15" customHeight="1" x14ac:dyDescent="0.2">
      <c r="B17" s="262" t="s">
        <v>45</v>
      </c>
      <c r="C17" s="263" t="s">
        <v>46</v>
      </c>
      <c r="D17" s="264">
        <v>693653</v>
      </c>
      <c r="E17" s="264">
        <v>548565</v>
      </c>
      <c r="F17" s="264">
        <v>0</v>
      </c>
      <c r="G17" s="265">
        <f t="shared" si="1"/>
        <v>145088</v>
      </c>
      <c r="H17" s="265"/>
      <c r="I17" s="265">
        <v>0</v>
      </c>
      <c r="J17" s="265">
        <f t="shared" si="0"/>
        <v>0</v>
      </c>
      <c r="K17" s="265"/>
      <c r="L17" s="266">
        <v>2194145</v>
      </c>
      <c r="M17" s="266"/>
      <c r="N17" s="267">
        <f t="shared" si="2"/>
        <v>2194145</v>
      </c>
      <c r="P17" s="267">
        <v>1953470</v>
      </c>
      <c r="Q17" s="267">
        <v>2194145</v>
      </c>
      <c r="R17" s="267">
        <f t="shared" si="3"/>
        <v>-240675</v>
      </c>
      <c r="T17" s="267">
        <f t="shared" si="4"/>
        <v>1953470</v>
      </c>
      <c r="V17" s="267">
        <v>0</v>
      </c>
      <c r="W17" s="267">
        <f t="shared" si="5"/>
        <v>0</v>
      </c>
      <c r="Y17" s="266">
        <v>2807239</v>
      </c>
      <c r="Z17" s="266">
        <v>5453100.0520000001</v>
      </c>
      <c r="AB17" s="267">
        <f t="shared" si="6"/>
        <v>7406570.0520000001</v>
      </c>
      <c r="AD17" s="268">
        <f t="shared" si="7"/>
        <v>0.263748264889833</v>
      </c>
      <c r="AE17" s="268">
        <f t="shared" si="8"/>
        <v>0</v>
      </c>
      <c r="AF17" s="268">
        <f t="shared" si="9"/>
        <v>0.73625173511016706</v>
      </c>
      <c r="AG17" s="269"/>
    </row>
    <row r="18" spans="2:33" ht="15" customHeight="1" x14ac:dyDescent="0.2">
      <c r="B18" s="262" t="s">
        <v>47</v>
      </c>
      <c r="C18" s="263" t="s">
        <v>48</v>
      </c>
      <c r="D18" s="264">
        <v>13490000</v>
      </c>
      <c r="E18" s="264">
        <v>26695000</v>
      </c>
      <c r="F18" s="264">
        <v>6633000</v>
      </c>
      <c r="G18" s="265">
        <f t="shared" si="1"/>
        <v>-6572000</v>
      </c>
      <c r="H18" s="265"/>
      <c r="I18" s="265">
        <v>3077000</v>
      </c>
      <c r="J18" s="265">
        <f t="shared" si="0"/>
        <v>3077000</v>
      </c>
      <c r="K18" s="265"/>
      <c r="L18" s="266">
        <v>55631000</v>
      </c>
      <c r="M18" s="266"/>
      <c r="N18" s="267">
        <f t="shared" si="2"/>
        <v>65341000</v>
      </c>
      <c r="P18" s="267">
        <v>57892000</v>
      </c>
      <c r="Q18" s="267">
        <v>61889000</v>
      </c>
      <c r="R18" s="267">
        <f t="shared" si="3"/>
        <v>-3997000</v>
      </c>
      <c r="T18" s="267">
        <f t="shared" si="4"/>
        <v>61344000</v>
      </c>
      <c r="V18" s="267">
        <v>0</v>
      </c>
      <c r="W18" s="267">
        <f t="shared" si="5"/>
        <v>0</v>
      </c>
      <c r="Y18" s="266">
        <v>39229000</v>
      </c>
      <c r="Z18" s="266">
        <v>166126881.30720001</v>
      </c>
      <c r="AB18" s="267">
        <f t="shared" si="6"/>
        <v>227470881.30720001</v>
      </c>
      <c r="AD18" s="268">
        <f t="shared" si="7"/>
        <v>0.2696784733389887</v>
      </c>
      <c r="AE18" s="268">
        <f t="shared" si="8"/>
        <v>0</v>
      </c>
      <c r="AF18" s="268">
        <f t="shared" si="9"/>
        <v>0.73032152666101136</v>
      </c>
      <c r="AG18" s="269"/>
    </row>
    <row r="19" spans="2:33" ht="15" customHeight="1" x14ac:dyDescent="0.2">
      <c r="B19" s="262" t="s">
        <v>50</v>
      </c>
      <c r="C19" s="263" t="s">
        <v>51</v>
      </c>
      <c r="D19" s="264">
        <v>538824</v>
      </c>
      <c r="E19" s="264">
        <v>620845</v>
      </c>
      <c r="F19" s="264">
        <v>147623</v>
      </c>
      <c r="G19" s="265">
        <f t="shared" si="1"/>
        <v>65602</v>
      </c>
      <c r="H19" s="265"/>
      <c r="I19" s="265">
        <v>0</v>
      </c>
      <c r="J19" s="265">
        <f t="shared" si="0"/>
        <v>0</v>
      </c>
      <c r="K19" s="265"/>
      <c r="L19" s="266">
        <v>2483156</v>
      </c>
      <c r="M19" s="266"/>
      <c r="N19" s="267">
        <f t="shared" si="2"/>
        <v>2630779</v>
      </c>
      <c r="P19" s="267">
        <v>2316700</v>
      </c>
      <c r="Q19" s="267">
        <v>2618882</v>
      </c>
      <c r="R19" s="267">
        <f t="shared" si="3"/>
        <v>-302182</v>
      </c>
      <c r="T19" s="267">
        <f t="shared" si="4"/>
        <v>2328597</v>
      </c>
      <c r="V19" s="267">
        <v>0</v>
      </c>
      <c r="W19" s="267">
        <f t="shared" si="5"/>
        <v>0</v>
      </c>
      <c r="Y19" s="266">
        <v>2665183</v>
      </c>
      <c r="Z19" s="266">
        <v>3428590.6100000003</v>
      </c>
      <c r="AB19" s="267">
        <f t="shared" si="6"/>
        <v>5757187.6100000003</v>
      </c>
      <c r="AD19" s="268">
        <f t="shared" si="7"/>
        <v>0.40446779881818024</v>
      </c>
      <c r="AE19" s="268">
        <f t="shared" si="8"/>
        <v>0</v>
      </c>
      <c r="AF19" s="268">
        <f t="shared" si="9"/>
        <v>0.59553220118181982</v>
      </c>
      <c r="AG19" s="269"/>
    </row>
    <row r="20" spans="2:33" ht="15" customHeight="1" x14ac:dyDescent="0.2">
      <c r="B20" s="262" t="s">
        <v>52</v>
      </c>
      <c r="C20" s="263" t="s">
        <v>53</v>
      </c>
      <c r="D20" s="264">
        <v>1340800</v>
      </c>
      <c r="E20" s="264">
        <v>1802200</v>
      </c>
      <c r="F20" s="264">
        <v>1005600</v>
      </c>
      <c r="G20" s="265">
        <f t="shared" si="1"/>
        <v>544200</v>
      </c>
      <c r="H20" s="265"/>
      <c r="I20" s="265">
        <v>0</v>
      </c>
      <c r="J20" s="265">
        <f t="shared" si="0"/>
        <v>0</v>
      </c>
      <c r="K20" s="265"/>
      <c r="L20" s="266">
        <v>3577800</v>
      </c>
      <c r="M20" s="266"/>
      <c r="N20" s="267">
        <f t="shared" si="2"/>
        <v>4583400</v>
      </c>
      <c r="P20" s="267">
        <f>(491.2+50+3477.1+135.4+7.3)*1000</f>
        <v>4161000</v>
      </c>
      <c r="Q20" s="267">
        <f>(499.9+49.8+3854.2+135.4+9.3)*1000</f>
        <v>4548599.9999999991</v>
      </c>
      <c r="R20" s="267">
        <f t="shared" si="3"/>
        <v>-387599.99999999907</v>
      </c>
      <c r="T20" s="267">
        <f t="shared" si="4"/>
        <v>4195800.0000000009</v>
      </c>
      <c r="V20" s="267">
        <v>0</v>
      </c>
      <c r="W20" s="267">
        <f t="shared" si="5"/>
        <v>0</v>
      </c>
      <c r="Y20" s="266">
        <v>4413400</v>
      </c>
      <c r="Z20" s="266">
        <v>7918015.6779999994</v>
      </c>
      <c r="AB20" s="267">
        <f t="shared" si="6"/>
        <v>12113815.677999999</v>
      </c>
      <c r="AD20" s="268">
        <f t="shared" si="7"/>
        <v>0.346364854107862</v>
      </c>
      <c r="AE20" s="268">
        <f t="shared" si="8"/>
        <v>0</v>
      </c>
      <c r="AF20" s="268">
        <f t="shared" si="9"/>
        <v>0.65363514589213811</v>
      </c>
      <c r="AG20" s="269"/>
    </row>
    <row r="21" spans="2:33" ht="15" customHeight="1" x14ac:dyDescent="0.2">
      <c r="B21" s="262" t="s">
        <v>1267</v>
      </c>
      <c r="C21" s="263" t="s">
        <v>824</v>
      </c>
      <c r="D21" s="264">
        <v>1750554</v>
      </c>
      <c r="E21" s="264">
        <v>1762141</v>
      </c>
      <c r="F21" s="264">
        <v>155895</v>
      </c>
      <c r="G21" s="265">
        <f t="shared" si="1"/>
        <v>144308</v>
      </c>
      <c r="H21" s="265"/>
      <c r="I21" s="265">
        <v>340720</v>
      </c>
      <c r="J21" s="265">
        <f t="shared" si="0"/>
        <v>0</v>
      </c>
      <c r="K21" s="265"/>
      <c r="L21" s="266">
        <v>8380533</v>
      </c>
      <c r="M21" s="266"/>
      <c r="N21" s="267">
        <f t="shared" si="2"/>
        <v>8536428</v>
      </c>
      <c r="P21" s="267">
        <f>(341+664+5922)*1000</f>
        <v>6927000</v>
      </c>
      <c r="Q21" s="267">
        <f>(341+664+7180)*1000</f>
        <v>8185000</v>
      </c>
      <c r="R21" s="267">
        <f t="shared" si="3"/>
        <v>-1258000</v>
      </c>
      <c r="T21" s="267">
        <f t="shared" si="4"/>
        <v>7278428</v>
      </c>
      <c r="V21" s="267">
        <v>0</v>
      </c>
      <c r="W21" s="267">
        <f t="shared" si="5"/>
        <v>0</v>
      </c>
      <c r="Y21" s="266">
        <v>6048647</v>
      </c>
      <c r="Z21" s="266">
        <v>8603181.0361200012</v>
      </c>
      <c r="AB21" s="267">
        <f t="shared" si="6"/>
        <v>15881609.036120001</v>
      </c>
      <c r="AD21" s="268">
        <f t="shared" si="7"/>
        <v>0.458292858327293</v>
      </c>
      <c r="AE21" s="268">
        <f t="shared" si="8"/>
        <v>0</v>
      </c>
      <c r="AF21" s="268">
        <f t="shared" si="9"/>
        <v>0.54170714167270695</v>
      </c>
      <c r="AG21" s="269"/>
    </row>
    <row r="22" spans="2:33" ht="15" customHeight="1" x14ac:dyDescent="0.2">
      <c r="B22" s="262" t="s">
        <v>54</v>
      </c>
      <c r="C22" s="263" t="s">
        <v>55</v>
      </c>
      <c r="D22" s="264">
        <v>1210000</v>
      </c>
      <c r="E22" s="264">
        <v>1496000</v>
      </c>
      <c r="F22" s="264">
        <v>280000</v>
      </c>
      <c r="G22" s="265">
        <f t="shared" si="1"/>
        <v>-6000</v>
      </c>
      <c r="H22" s="265"/>
      <c r="I22" s="265">
        <v>0</v>
      </c>
      <c r="J22" s="265">
        <f t="shared" si="0"/>
        <v>0</v>
      </c>
      <c r="K22" s="265"/>
      <c r="L22" s="266">
        <v>3723000</v>
      </c>
      <c r="M22" s="266"/>
      <c r="N22" s="267">
        <f t="shared" si="2"/>
        <v>4003000</v>
      </c>
      <c r="P22" s="267">
        <v>3245000</v>
      </c>
      <c r="Q22" s="267">
        <v>3659000</v>
      </c>
      <c r="R22" s="267">
        <f t="shared" si="3"/>
        <v>-414000</v>
      </c>
      <c r="T22" s="267">
        <f t="shared" si="4"/>
        <v>3589000</v>
      </c>
      <c r="V22" s="267">
        <v>0</v>
      </c>
      <c r="W22" s="267">
        <f t="shared" si="5"/>
        <v>0</v>
      </c>
      <c r="Y22" s="266">
        <v>2779000</v>
      </c>
      <c r="Z22" s="266">
        <v>4374372.2959999992</v>
      </c>
      <c r="AB22" s="267">
        <f t="shared" si="6"/>
        <v>7963372.2959999992</v>
      </c>
      <c r="AD22" s="268">
        <f t="shared" si="7"/>
        <v>0.45068846044065453</v>
      </c>
      <c r="AE22" s="268">
        <f t="shared" si="8"/>
        <v>0</v>
      </c>
      <c r="AF22" s="268">
        <f t="shared" si="9"/>
        <v>0.54931153955934542</v>
      </c>
      <c r="AG22" s="269"/>
    </row>
    <row r="23" spans="2:33" ht="15" customHeight="1" x14ac:dyDescent="0.2">
      <c r="B23" s="262" t="s">
        <v>57</v>
      </c>
      <c r="C23" s="263" t="s">
        <v>58</v>
      </c>
      <c r="D23" s="264">
        <v>10416000</v>
      </c>
      <c r="E23" s="264">
        <v>15724000</v>
      </c>
      <c r="F23" s="264">
        <v>4544000</v>
      </c>
      <c r="G23" s="265">
        <f t="shared" si="1"/>
        <v>-764000</v>
      </c>
      <c r="H23" s="265"/>
      <c r="I23" s="265">
        <v>2609000</v>
      </c>
      <c r="J23" s="265">
        <f t="shared" si="0"/>
        <v>764000</v>
      </c>
      <c r="K23" s="265"/>
      <c r="L23" s="266">
        <v>52284000</v>
      </c>
      <c r="M23" s="266"/>
      <c r="N23" s="267">
        <f t="shared" si="2"/>
        <v>57592000</v>
      </c>
      <c r="P23" s="267">
        <v>48600000</v>
      </c>
      <c r="Q23" s="267">
        <v>54600000</v>
      </c>
      <c r="R23" s="267">
        <f t="shared" si="3"/>
        <v>-6000000</v>
      </c>
      <c r="T23" s="267">
        <f t="shared" si="4"/>
        <v>51592000</v>
      </c>
      <c r="V23" s="267">
        <v>0</v>
      </c>
      <c r="W23" s="267">
        <f t="shared" si="5"/>
        <v>0</v>
      </c>
      <c r="Y23" s="266">
        <v>30408000</v>
      </c>
      <c r="Z23" s="266">
        <v>77670716.647479996</v>
      </c>
      <c r="AB23" s="267">
        <f t="shared" si="6"/>
        <v>129262716.64748</v>
      </c>
      <c r="AD23" s="268">
        <f t="shared" si="7"/>
        <v>0.39912514093835422</v>
      </c>
      <c r="AE23" s="268">
        <f t="shared" si="8"/>
        <v>0</v>
      </c>
      <c r="AF23" s="268">
        <f t="shared" si="9"/>
        <v>0.60087485906164573</v>
      </c>
      <c r="AG23" s="269"/>
    </row>
    <row r="24" spans="2:33" ht="15" customHeight="1" x14ac:dyDescent="0.2">
      <c r="B24" s="256" t="s">
        <v>60</v>
      </c>
      <c r="C24" s="270" t="s">
        <v>61</v>
      </c>
      <c r="D24" s="271">
        <v>5144000</v>
      </c>
      <c r="E24" s="271">
        <v>6078000</v>
      </c>
      <c r="F24" s="271">
        <v>1370000</v>
      </c>
      <c r="G24" s="272">
        <f t="shared" si="1"/>
        <v>436000</v>
      </c>
      <c r="H24" s="272"/>
      <c r="I24" s="272">
        <v>813000</v>
      </c>
      <c r="J24" s="272">
        <f t="shared" si="0"/>
        <v>0</v>
      </c>
      <c r="K24" s="272"/>
      <c r="L24" s="273">
        <v>23915000</v>
      </c>
      <c r="M24" s="273"/>
      <c r="N24" s="274">
        <f t="shared" si="2"/>
        <v>25285000</v>
      </c>
      <c r="O24" s="260"/>
      <c r="P24" s="274">
        <v>20897000</v>
      </c>
      <c r="Q24" s="274">
        <v>23964000</v>
      </c>
      <c r="R24" s="274">
        <f t="shared" si="3"/>
        <v>-3067000</v>
      </c>
      <c r="S24" s="260"/>
      <c r="T24" s="274">
        <f t="shared" si="4"/>
        <v>22218000</v>
      </c>
      <c r="U24" s="260"/>
      <c r="V24" s="274">
        <v>0</v>
      </c>
      <c r="W24" s="274">
        <f t="shared" si="5"/>
        <v>0</v>
      </c>
      <c r="X24" s="260"/>
      <c r="Y24" s="273">
        <v>16675000</v>
      </c>
      <c r="Z24" s="273">
        <v>38367592.054560006</v>
      </c>
      <c r="AA24" s="260"/>
      <c r="AB24" s="274">
        <f t="shared" si="6"/>
        <v>60585592.054560006</v>
      </c>
      <c r="AC24" s="260"/>
      <c r="AD24" s="275">
        <f t="shared" si="7"/>
        <v>0.36672085303700108</v>
      </c>
      <c r="AE24" s="275">
        <f t="shared" si="8"/>
        <v>0</v>
      </c>
      <c r="AF24" s="275">
        <f t="shared" si="9"/>
        <v>0.63327914696299892</v>
      </c>
      <c r="AG24" s="269"/>
    </row>
    <row r="25" spans="2:33" ht="15" customHeight="1" x14ac:dyDescent="0.25">
      <c r="B25" s="276" t="s">
        <v>1365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7">
        <f>AVERAGE(AD8:AD24)</f>
        <v>0.38252477361224102</v>
      </c>
      <c r="AE25" s="277">
        <f t="shared" ref="AE25" si="13">AVERAGE(AE8:AE24)</f>
        <v>1.2083324530605729E-3</v>
      </c>
      <c r="AF25" s="277">
        <f>AVERAGE(AF8:AF24)</f>
        <v>0.61626689393469836</v>
      </c>
    </row>
    <row r="27" spans="2:33" ht="15" customHeight="1" x14ac:dyDescent="0.2">
      <c r="B27" s="278" t="s">
        <v>62</v>
      </c>
    </row>
    <row r="28" spans="2:33" ht="15" customHeight="1" x14ac:dyDescent="0.2">
      <c r="B28" s="279" t="s">
        <v>1381</v>
      </c>
    </row>
    <row r="29" spans="2:33" ht="15" customHeight="1" x14ac:dyDescent="0.2">
      <c r="B29" s="279" t="s">
        <v>1382</v>
      </c>
    </row>
    <row r="30" spans="2:33" ht="15" customHeight="1" x14ac:dyDescent="0.2">
      <c r="B30" s="279" t="s">
        <v>1383</v>
      </c>
      <c r="F30" s="24"/>
    </row>
    <row r="31" spans="2:33" ht="15" customHeight="1" x14ac:dyDescent="0.2">
      <c r="B31" s="279" t="s">
        <v>1366</v>
      </c>
      <c r="F31" s="24"/>
    </row>
    <row r="32" spans="2:33" ht="15" customHeight="1" x14ac:dyDescent="0.2">
      <c r="B32" s="279" t="s">
        <v>1384</v>
      </c>
      <c r="F32" s="24"/>
    </row>
    <row r="33" spans="2:6" ht="15" customHeight="1" x14ac:dyDescent="0.2">
      <c r="B33" s="252" t="s">
        <v>1367</v>
      </c>
      <c r="F33" s="24"/>
    </row>
    <row r="34" spans="2:6" ht="15" customHeight="1" x14ac:dyDescent="0.2">
      <c r="B34" s="280" t="s">
        <v>1368</v>
      </c>
      <c r="F34" s="24"/>
    </row>
    <row r="35" spans="2:6" ht="15" customHeight="1" x14ac:dyDescent="0.2">
      <c r="B35" s="280" t="s">
        <v>1369</v>
      </c>
      <c r="F35" s="24"/>
    </row>
    <row r="36" spans="2:6" ht="15" customHeight="1" x14ac:dyDescent="0.2">
      <c r="B36" s="280" t="s">
        <v>1370</v>
      </c>
      <c r="F36" s="24"/>
    </row>
    <row r="37" spans="2:6" ht="15" customHeight="1" x14ac:dyDescent="0.2">
      <c r="B37" s="252" t="s">
        <v>1385</v>
      </c>
      <c r="F37" s="24"/>
    </row>
    <row r="38" spans="2:6" ht="15" customHeight="1" x14ac:dyDescent="0.2">
      <c r="B38" s="252" t="s">
        <v>1371</v>
      </c>
      <c r="F38" s="24"/>
    </row>
    <row r="39" spans="2:6" ht="15" customHeight="1" x14ac:dyDescent="0.2">
      <c r="B39" s="252" t="s">
        <v>1372</v>
      </c>
      <c r="F39" s="24"/>
    </row>
    <row r="40" spans="2:6" ht="15" customHeight="1" x14ac:dyDescent="0.2">
      <c r="B40" s="252" t="s">
        <v>1373</v>
      </c>
      <c r="F40" s="24"/>
    </row>
    <row r="41" spans="2:6" ht="15" customHeight="1" x14ac:dyDescent="0.2">
      <c r="B41" s="252" t="s">
        <v>1374</v>
      </c>
      <c r="F41" s="24"/>
    </row>
    <row r="42" spans="2:6" ht="15" customHeight="1" x14ac:dyDescent="0.2">
      <c r="B42" s="252" t="s">
        <v>1375</v>
      </c>
      <c r="F42" s="24"/>
    </row>
    <row r="43" spans="2:6" ht="15" customHeight="1" x14ac:dyDescent="0.2">
      <c r="B43" s="252" t="s">
        <v>1386</v>
      </c>
      <c r="F43" s="24"/>
    </row>
    <row r="44" spans="2:6" ht="15" customHeight="1" x14ac:dyDescent="0.2">
      <c r="B44" s="252" t="s">
        <v>1376</v>
      </c>
      <c r="F44" s="24"/>
    </row>
    <row r="45" spans="2:6" ht="15" customHeight="1" x14ac:dyDescent="0.2">
      <c r="B45" s="252" t="s">
        <v>1387</v>
      </c>
      <c r="F45" s="24"/>
    </row>
    <row r="46" spans="2:6" ht="15" customHeight="1" x14ac:dyDescent="0.2">
      <c r="B46" s="252" t="s">
        <v>1388</v>
      </c>
      <c r="F46" s="24"/>
    </row>
    <row r="47" spans="2:6" ht="15" customHeight="1" x14ac:dyDescent="0.25">
      <c r="B47" s="252" t="s">
        <v>1377</v>
      </c>
    </row>
    <row r="48" spans="2:6" ht="15" customHeight="1" x14ac:dyDescent="0.25">
      <c r="B48" s="252" t="s">
        <v>1378</v>
      </c>
    </row>
    <row r="49" spans="2:2" ht="15" customHeight="1" x14ac:dyDescent="0.25">
      <c r="B49" s="252" t="s">
        <v>1379</v>
      </c>
    </row>
    <row r="50" spans="2:2" ht="15" customHeight="1" x14ac:dyDescent="0.25">
      <c r="B50" s="252" t="s">
        <v>1380</v>
      </c>
    </row>
  </sheetData>
  <mergeCells count="6">
    <mergeCell ref="B2:AF2"/>
    <mergeCell ref="D5:T5"/>
    <mergeCell ref="V5:W5"/>
    <mergeCell ref="Y5:Z5"/>
    <mergeCell ref="AB5:AB6"/>
    <mergeCell ref="AD5:AF5"/>
  </mergeCells>
  <printOptions horizontalCentered="1"/>
  <pageMargins left="0.7" right="0.7" top="0.75" bottom="0.75" header="0.3" footer="0.3"/>
  <pageSetup scale="62" orientation="landscape" useFirstPageNumber="1" horizontalDpi="1200" verticalDpi="1200" r:id="rId1"/>
  <headerFooter scaleWithDoc="0">
    <oddHeader>&amp;CCAPITAL STRUCTURE - MARKET VALUE</oddHeader>
  </headerFooter>
  <colBreaks count="2" manualBreakCount="2">
    <brk id="14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1"/>
  <sheetViews>
    <sheetView view="pageBreakPreview" topLeftCell="C14" zoomScaleNormal="50" zoomScaleSheetLayoutView="100" workbookViewId="0">
      <selection activeCell="T14" sqref="T14"/>
    </sheetView>
  </sheetViews>
  <sheetFormatPr defaultColWidth="11.5703125" defaultRowHeight="12.75" x14ac:dyDescent="0.2"/>
  <cols>
    <col min="1" max="1" width="42.5703125" style="17" customWidth="1"/>
    <col min="2" max="2" width="11.5703125" style="17" bestFit="1" customWidth="1"/>
    <col min="3" max="4" width="11.5703125" style="16" bestFit="1" customWidth="1"/>
    <col min="5" max="9" width="11.5703125" style="16" customWidth="1"/>
    <col min="10" max="10" width="11.5703125" style="16" bestFit="1" customWidth="1"/>
    <col min="11" max="11" width="11.140625" style="16" customWidth="1"/>
    <col min="12" max="13" width="12.140625" style="16" customWidth="1"/>
    <col min="14" max="16384" width="11.5703125" style="17"/>
  </cols>
  <sheetData>
    <row r="1" spans="1:15" x14ac:dyDescent="0.2">
      <c r="A1" s="14"/>
      <c r="B1" s="14"/>
      <c r="C1" s="15"/>
    </row>
    <row r="2" spans="1:15" x14ac:dyDescent="0.2">
      <c r="A2" s="290" t="s">
        <v>1259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4" spans="1:15" ht="13.5" thickBot="1" x14ac:dyDescent="0.25">
      <c r="C4" s="16" t="s">
        <v>14</v>
      </c>
      <c r="D4" s="16" t="s">
        <v>15</v>
      </c>
      <c r="E4" s="18" t="s">
        <v>16</v>
      </c>
      <c r="F4" s="18" t="s">
        <v>17</v>
      </c>
      <c r="G4" s="16" t="s">
        <v>18</v>
      </c>
      <c r="H4" s="16" t="s">
        <v>19</v>
      </c>
      <c r="I4" s="16" t="s">
        <v>63</v>
      </c>
      <c r="J4" s="16" t="s">
        <v>64</v>
      </c>
      <c r="K4" s="16" t="s">
        <v>65</v>
      </c>
      <c r="L4" s="16" t="s">
        <v>66</v>
      </c>
      <c r="M4" s="16" t="s">
        <v>67</v>
      </c>
    </row>
    <row r="5" spans="1:15" ht="42.95" customHeight="1" x14ac:dyDescent="0.2">
      <c r="A5" s="19" t="s">
        <v>20</v>
      </c>
      <c r="B5" s="20" t="s">
        <v>21</v>
      </c>
      <c r="C5" s="21" t="s">
        <v>68</v>
      </c>
      <c r="D5" s="21" t="s">
        <v>69</v>
      </c>
      <c r="E5" s="22" t="s">
        <v>70</v>
      </c>
      <c r="F5" s="22" t="s">
        <v>71</v>
      </c>
      <c r="G5" s="21" t="s">
        <v>72</v>
      </c>
      <c r="H5" s="21" t="s">
        <v>73</v>
      </c>
      <c r="I5" s="21" t="s">
        <v>74</v>
      </c>
      <c r="J5" s="21" t="s">
        <v>75</v>
      </c>
      <c r="K5" s="23" t="s">
        <v>76</v>
      </c>
      <c r="L5" s="22" t="s">
        <v>77</v>
      </c>
      <c r="M5" s="23" t="s">
        <v>78</v>
      </c>
    </row>
    <row r="6" spans="1:15" x14ac:dyDescent="0.2">
      <c r="A6" s="24"/>
      <c r="B6" s="24"/>
      <c r="E6" s="25"/>
      <c r="F6" s="25"/>
    </row>
    <row r="7" spans="1:15" x14ac:dyDescent="0.2">
      <c r="A7" s="24" t="s">
        <v>22</v>
      </c>
      <c r="B7" s="26" t="s">
        <v>23</v>
      </c>
      <c r="C7" s="27">
        <v>2.71</v>
      </c>
      <c r="D7" s="27">
        <v>55.230333333333334</v>
      </c>
      <c r="E7" s="28">
        <f t="shared" ref="E7:E23" si="0">C7/D7</f>
        <v>4.9067239620739812E-2</v>
      </c>
      <c r="F7" s="28">
        <f t="shared" ref="F7:F23" si="1">IFERROR(E7*(1+0.5*J7),"")</f>
        <v>5.0882727486707184E-2</v>
      </c>
      <c r="G7" s="29">
        <v>0.06</v>
      </c>
      <c r="H7" s="29">
        <v>8.1000000000000003E-2</v>
      </c>
      <c r="I7" s="29">
        <v>8.1000000000000003E-2</v>
      </c>
      <c r="J7" s="30">
        <f t="shared" ref="J7:J23" si="2">AVERAGE(G7:I7)</f>
        <v>7.400000000000001E-2</v>
      </c>
      <c r="K7" s="31">
        <f t="shared" ref="K7:K23" si="3">$E7*(1+0.5*MIN($G7:$I7))+MIN($G7:$I7)</f>
        <v>0.110539256809362</v>
      </c>
      <c r="L7" s="28">
        <f t="shared" ref="L7:L23" si="4">F7+J7</f>
        <v>0.1248827274867072</v>
      </c>
      <c r="M7" s="12">
        <f t="shared" ref="M7:M23" si="5">$E7*(1+0.5*MAX($G7:$I7))+MAX($G7:$I7)</f>
        <v>0.13205446282537978</v>
      </c>
      <c r="O7" s="32"/>
    </row>
    <row r="8" spans="1:15" x14ac:dyDescent="0.2">
      <c r="A8" s="24" t="s">
        <v>24</v>
      </c>
      <c r="B8" s="26" t="s">
        <v>25</v>
      </c>
      <c r="C8" s="27">
        <v>1.81</v>
      </c>
      <c r="D8" s="27">
        <v>50.54366666666666</v>
      </c>
      <c r="E8" s="28">
        <f t="shared" si="0"/>
        <v>3.5810619200559259E-2</v>
      </c>
      <c r="F8" s="28">
        <f t="shared" si="1"/>
        <v>3.6992369634177714E-2</v>
      </c>
      <c r="G8" s="29">
        <v>6.5000000000000002E-2</v>
      </c>
      <c r="H8" s="29">
        <v>6.8000000000000005E-2</v>
      </c>
      <c r="I8" s="29">
        <v>6.5000000000000002E-2</v>
      </c>
      <c r="J8" s="30">
        <f t="shared" si="2"/>
        <v>6.6000000000000003E-2</v>
      </c>
      <c r="K8" s="31">
        <f t="shared" si="3"/>
        <v>0.10197446432457744</v>
      </c>
      <c r="L8" s="28">
        <f t="shared" si="4"/>
        <v>0.10299236963417771</v>
      </c>
      <c r="M8" s="12">
        <f t="shared" si="5"/>
        <v>0.10502818025337829</v>
      </c>
      <c r="O8" s="32"/>
    </row>
    <row r="9" spans="1:15" x14ac:dyDescent="0.2">
      <c r="A9" s="24" t="s">
        <v>26</v>
      </c>
      <c r="B9" s="26" t="s">
        <v>27</v>
      </c>
      <c r="C9" s="27">
        <v>2.52</v>
      </c>
      <c r="D9" s="27">
        <v>78.899453333333355</v>
      </c>
      <c r="E9" s="28">
        <f t="shared" si="0"/>
        <v>3.1939384793371606E-2</v>
      </c>
      <c r="F9" s="28">
        <f t="shared" si="1"/>
        <v>3.2940152183563921E-2</v>
      </c>
      <c r="G9" s="29">
        <v>6.5000000000000002E-2</v>
      </c>
      <c r="H9" s="29">
        <v>5.9000000000000004E-2</v>
      </c>
      <c r="I9" s="29">
        <v>6.4000000000000001E-2</v>
      </c>
      <c r="J9" s="30">
        <f t="shared" si="2"/>
        <v>6.2666666666666662E-2</v>
      </c>
      <c r="K9" s="31">
        <f t="shared" si="3"/>
        <v>9.1881596644776076E-2</v>
      </c>
      <c r="L9" s="28">
        <f t="shared" si="4"/>
        <v>9.560681885023059E-2</v>
      </c>
      <c r="M9" s="12">
        <f t="shared" si="5"/>
        <v>9.7977414799156184E-2</v>
      </c>
      <c r="O9" s="32"/>
    </row>
    <row r="10" spans="1:15" x14ac:dyDescent="0.2">
      <c r="A10" s="24" t="s">
        <v>28</v>
      </c>
      <c r="B10" s="26" t="s">
        <v>29</v>
      </c>
      <c r="C10" s="27">
        <v>3.32</v>
      </c>
      <c r="D10" s="27">
        <v>78.38633333333334</v>
      </c>
      <c r="E10" s="28">
        <f t="shared" si="0"/>
        <v>4.2354321969390915E-2</v>
      </c>
      <c r="F10" s="28">
        <f t="shared" si="1"/>
        <v>4.3575538252841682E-2</v>
      </c>
      <c r="G10" s="29">
        <v>6.5000000000000002E-2</v>
      </c>
      <c r="H10" s="29">
        <v>5.2000000000000005E-2</v>
      </c>
      <c r="I10" s="29">
        <v>5.5999999999999994E-2</v>
      </c>
      <c r="J10" s="30">
        <f t="shared" si="2"/>
        <v>5.7666666666666665E-2</v>
      </c>
      <c r="K10" s="31">
        <f t="shared" si="3"/>
        <v>9.5455534340595088E-2</v>
      </c>
      <c r="L10" s="28">
        <f t="shared" si="4"/>
        <v>0.10124220491950835</v>
      </c>
      <c r="M10" s="12">
        <f t="shared" si="5"/>
        <v>0.10873083743339612</v>
      </c>
      <c r="O10" s="32"/>
    </row>
    <row r="11" spans="1:15" x14ac:dyDescent="0.2">
      <c r="A11" s="24" t="s">
        <v>31</v>
      </c>
      <c r="B11" s="26" t="s">
        <v>32</v>
      </c>
      <c r="C11" s="27">
        <v>1.84</v>
      </c>
      <c r="D11" s="27">
        <v>33.481000000000002</v>
      </c>
      <c r="E11" s="28">
        <f t="shared" si="0"/>
        <v>5.4956542516651233E-2</v>
      </c>
      <c r="F11" s="28">
        <f t="shared" si="1"/>
        <v>5.6705992453431296E-2</v>
      </c>
      <c r="G11" s="29">
        <v>6.5000000000000002E-2</v>
      </c>
      <c r="H11" s="29">
        <v>6.3E-2</v>
      </c>
      <c r="I11" s="29">
        <v>6.3E-2</v>
      </c>
      <c r="J11" s="30">
        <f t="shared" si="2"/>
        <v>6.3666666666666663E-2</v>
      </c>
      <c r="K11" s="31">
        <f t="shared" si="3"/>
        <v>0.11968767360592575</v>
      </c>
      <c r="L11" s="28">
        <f t="shared" si="4"/>
        <v>0.12037265912009795</v>
      </c>
      <c r="M11" s="12">
        <f t="shared" si="5"/>
        <v>0.1217426301484424</v>
      </c>
      <c r="O11" s="32"/>
    </row>
    <row r="12" spans="1:15" x14ac:dyDescent="0.2">
      <c r="A12" s="24" t="s">
        <v>33</v>
      </c>
      <c r="B12" s="26" t="s">
        <v>34</v>
      </c>
      <c r="C12" s="27">
        <v>1.95</v>
      </c>
      <c r="D12" s="27">
        <v>56.007333333333342</v>
      </c>
      <c r="E12" s="28">
        <f t="shared" si="0"/>
        <v>3.4816869219506962E-2</v>
      </c>
      <c r="F12" s="28">
        <f t="shared" si="1"/>
        <v>3.5987296306436052E-2</v>
      </c>
      <c r="G12" s="29">
        <v>6.5000000000000002E-2</v>
      </c>
      <c r="H12" s="29">
        <v>5.8700000000000002E-2</v>
      </c>
      <c r="I12" s="29">
        <v>7.8E-2</v>
      </c>
      <c r="J12" s="30">
        <f t="shared" si="2"/>
        <v>6.7233333333333326E-2</v>
      </c>
      <c r="K12" s="31">
        <f t="shared" si="3"/>
        <v>9.4538744331099489E-2</v>
      </c>
      <c r="L12" s="28">
        <f t="shared" si="4"/>
        <v>0.10322062963976938</v>
      </c>
      <c r="M12" s="12">
        <f t="shared" si="5"/>
        <v>0.11417472711906773</v>
      </c>
      <c r="O12" s="32"/>
    </row>
    <row r="13" spans="1:15" x14ac:dyDescent="0.2">
      <c r="A13" s="24" t="s">
        <v>36</v>
      </c>
      <c r="B13" s="26" t="s">
        <v>37</v>
      </c>
      <c r="C13" s="27">
        <v>4.0999999999999996</v>
      </c>
      <c r="D13" s="27">
        <v>91.088666666666683</v>
      </c>
      <c r="E13" s="28">
        <f t="shared" si="0"/>
        <v>4.5011088097311767E-2</v>
      </c>
      <c r="F13" s="28">
        <f t="shared" si="1"/>
        <v>4.6327662424158138E-2</v>
      </c>
      <c r="G13" s="29">
        <v>0.05</v>
      </c>
      <c r="H13" s="29">
        <v>6.4500000000000002E-2</v>
      </c>
      <c r="I13" s="29">
        <v>6.0999999999999999E-2</v>
      </c>
      <c r="J13" s="30">
        <f t="shared" si="2"/>
        <v>5.8499999999999996E-2</v>
      </c>
      <c r="K13" s="31">
        <f t="shared" si="3"/>
        <v>9.6136365299744564E-2</v>
      </c>
      <c r="L13" s="28">
        <f t="shared" si="4"/>
        <v>0.10482766242415814</v>
      </c>
      <c r="M13" s="12">
        <f t="shared" si="5"/>
        <v>0.11096269568845007</v>
      </c>
      <c r="O13" s="32"/>
    </row>
    <row r="14" spans="1:15" x14ac:dyDescent="0.2">
      <c r="A14" s="24" t="s">
        <v>40</v>
      </c>
      <c r="B14" s="26" t="s">
        <v>41</v>
      </c>
      <c r="C14" s="27">
        <v>4.28</v>
      </c>
      <c r="D14" s="27">
        <v>95.595666666666659</v>
      </c>
      <c r="E14" s="28">
        <f t="shared" si="0"/>
        <v>4.4771903886856805E-2</v>
      </c>
      <c r="F14" s="28">
        <f t="shared" si="1"/>
        <v>4.5727037836443087E-2</v>
      </c>
      <c r="G14" s="29">
        <v>5.0000000000000001E-3</v>
      </c>
      <c r="H14" s="29">
        <v>6.6000000000000003E-2</v>
      </c>
      <c r="I14" s="29">
        <v>5.7000000000000002E-2</v>
      </c>
      <c r="J14" s="30">
        <f t="shared" si="2"/>
        <v>4.2666666666666665E-2</v>
      </c>
      <c r="K14" s="31">
        <f t="shared" si="3"/>
        <v>4.9883833646573943E-2</v>
      </c>
      <c r="L14" s="28">
        <f t="shared" si="4"/>
        <v>8.8393704503109752E-2</v>
      </c>
      <c r="M14" s="12">
        <f t="shared" si="5"/>
        <v>0.11224937671512308</v>
      </c>
      <c r="O14" s="32"/>
    </row>
    <row r="15" spans="1:15" x14ac:dyDescent="0.2">
      <c r="A15" s="24" t="s">
        <v>1254</v>
      </c>
      <c r="B15" s="26" t="s">
        <v>42</v>
      </c>
      <c r="C15" s="27">
        <v>2.4500000000000002</v>
      </c>
      <c r="D15" s="27">
        <v>54.169333333333348</v>
      </c>
      <c r="E15" s="28">
        <f t="shared" si="0"/>
        <v>4.5228542594826095E-2</v>
      </c>
      <c r="F15" s="28">
        <f t="shared" si="1"/>
        <v>4.6387147094296886E-2</v>
      </c>
      <c r="G15" s="29">
        <v>7.4999999999999997E-2</v>
      </c>
      <c r="H15" s="29">
        <v>2.6699999999999998E-2</v>
      </c>
      <c r="I15" s="29">
        <v>5.2000000000000005E-2</v>
      </c>
      <c r="J15" s="30">
        <f t="shared" ref="J15" si="6">AVERAGE(G15:I15)</f>
        <v>5.1233333333333332E-2</v>
      </c>
      <c r="K15" s="31">
        <f t="shared" si="3"/>
        <v>7.2532343638467014E-2</v>
      </c>
      <c r="L15" s="28">
        <f t="shared" ref="L15" si="7">F15+J15</f>
        <v>9.7620480427630218E-2</v>
      </c>
      <c r="M15" s="12">
        <f t="shared" si="5"/>
        <v>0.12192461294213208</v>
      </c>
      <c r="O15" s="32"/>
    </row>
    <row r="16" spans="1:15" x14ac:dyDescent="0.2">
      <c r="A16" s="24" t="s">
        <v>45</v>
      </c>
      <c r="B16" s="26" t="s">
        <v>46</v>
      </c>
      <c r="C16" s="27">
        <v>3.16</v>
      </c>
      <c r="D16" s="27">
        <v>95.824666666666658</v>
      </c>
      <c r="E16" s="28">
        <f t="shared" si="0"/>
        <v>3.2976895301836E-2</v>
      </c>
      <c r="F16" s="28">
        <f t="shared" si="1"/>
        <v>3.365841780474061E-2</v>
      </c>
      <c r="G16" s="29">
        <v>0.05</v>
      </c>
      <c r="H16" s="29">
        <v>3.7000000000000005E-2</v>
      </c>
      <c r="I16" s="29">
        <v>3.7000000000000005E-2</v>
      </c>
      <c r="J16" s="30">
        <f t="shared" si="2"/>
        <v>4.133333333333334E-2</v>
      </c>
      <c r="K16" s="31">
        <f t="shared" si="3"/>
        <v>7.0586967864919969E-2</v>
      </c>
      <c r="L16" s="28">
        <f t="shared" si="4"/>
        <v>7.499175113807395E-2</v>
      </c>
      <c r="M16" s="12">
        <f t="shared" si="5"/>
        <v>8.3801317684381899E-2</v>
      </c>
      <c r="O16" s="32"/>
    </row>
    <row r="17" spans="1:15" x14ac:dyDescent="0.2">
      <c r="A17" s="24" t="s">
        <v>47</v>
      </c>
      <c r="B17" s="26" t="s">
        <v>48</v>
      </c>
      <c r="C17" s="27">
        <v>1.87</v>
      </c>
      <c r="D17" s="27">
        <v>66.334850000000003</v>
      </c>
      <c r="E17" s="28">
        <f t="shared" si="0"/>
        <v>2.8190310221550212E-2</v>
      </c>
      <c r="F17" s="28">
        <f t="shared" si="1"/>
        <v>2.9444779026409195E-2</v>
      </c>
      <c r="G17" s="29">
        <v>9.5000000000000001E-2</v>
      </c>
      <c r="H17" s="29">
        <v>8.8000000000000009E-2</v>
      </c>
      <c r="I17" s="29">
        <v>8.4000000000000005E-2</v>
      </c>
      <c r="J17" s="30">
        <f t="shared" si="2"/>
        <v>8.900000000000001E-2</v>
      </c>
      <c r="K17" s="31">
        <f t="shared" si="3"/>
        <v>0.11337430325085533</v>
      </c>
      <c r="L17" s="28">
        <f t="shared" si="4"/>
        <v>0.11844477902640921</v>
      </c>
      <c r="M17" s="12">
        <f t="shared" si="5"/>
        <v>0.12452934995707385</v>
      </c>
      <c r="O17" s="32"/>
    </row>
    <row r="18" spans="1:15" x14ac:dyDescent="0.2">
      <c r="A18" s="24" t="s">
        <v>50</v>
      </c>
      <c r="B18" s="26" t="s">
        <v>51</v>
      </c>
      <c r="C18" s="27">
        <v>2.56</v>
      </c>
      <c r="D18" s="27">
        <v>50.311466666666661</v>
      </c>
      <c r="E18" s="28">
        <f t="shared" si="0"/>
        <v>5.0883032628744683E-2</v>
      </c>
      <c r="F18" s="28">
        <f t="shared" si="1"/>
        <v>5.1931223100896824E-2</v>
      </c>
      <c r="G18" s="29">
        <v>3.5000000000000003E-2</v>
      </c>
      <c r="H18" s="29">
        <v>3.6600000000000001E-2</v>
      </c>
      <c r="I18" s="29">
        <v>5.2000000000000005E-2</v>
      </c>
      <c r="J18" s="30">
        <f t="shared" si="2"/>
        <v>4.1200000000000001E-2</v>
      </c>
      <c r="K18" s="31">
        <f t="shared" si="3"/>
        <v>8.6773485699747716E-2</v>
      </c>
      <c r="L18" s="28">
        <f t="shared" si="4"/>
        <v>9.3131223100896832E-2</v>
      </c>
      <c r="M18" s="12">
        <f t="shared" si="5"/>
        <v>0.10420599147709206</v>
      </c>
      <c r="O18" s="32"/>
    </row>
    <row r="19" spans="1:15" x14ac:dyDescent="0.2">
      <c r="A19" s="24" t="s">
        <v>52</v>
      </c>
      <c r="B19" s="26" t="s">
        <v>53</v>
      </c>
      <c r="C19" s="27">
        <v>1.6564000000000001</v>
      </c>
      <c r="D19" s="27">
        <v>34.451999999999991</v>
      </c>
      <c r="E19" s="28">
        <f t="shared" si="0"/>
        <v>4.8078486009520506E-2</v>
      </c>
      <c r="F19" s="28">
        <f t="shared" si="1"/>
        <v>4.9304487402763282E-2</v>
      </c>
      <c r="G19" s="29">
        <v>6.5000000000000002E-2</v>
      </c>
      <c r="H19" s="29" t="s">
        <v>1262</v>
      </c>
      <c r="I19" s="29">
        <v>3.7000000000000005E-2</v>
      </c>
      <c r="J19" s="30">
        <f t="shared" si="2"/>
        <v>5.1000000000000004E-2</v>
      </c>
      <c r="K19" s="31">
        <f t="shared" si="3"/>
        <v>8.5967938000696631E-2</v>
      </c>
      <c r="L19" s="28">
        <f t="shared" si="4"/>
        <v>0.10030448740276329</v>
      </c>
      <c r="M19" s="12">
        <f t="shared" si="5"/>
        <v>0.11464103680482993</v>
      </c>
      <c r="O19" s="32"/>
    </row>
    <row r="20" spans="1:15" x14ac:dyDescent="0.2">
      <c r="A20" s="24" t="s">
        <v>1267</v>
      </c>
      <c r="B20" s="26" t="s">
        <v>824</v>
      </c>
      <c r="C20" s="27">
        <v>3.46</v>
      </c>
      <c r="D20" s="27">
        <v>77.25033333333333</v>
      </c>
      <c r="E20" s="28">
        <f t="shared" si="0"/>
        <v>4.4789450746706594E-2</v>
      </c>
      <c r="F20" s="28">
        <f t="shared" si="1"/>
        <v>4.602116064224103E-2</v>
      </c>
      <c r="G20" s="29">
        <v>2.5000000000000001E-2</v>
      </c>
      <c r="H20" s="29">
        <v>7.4999999999999997E-2</v>
      </c>
      <c r="I20" s="29">
        <v>6.5000000000000002E-2</v>
      </c>
      <c r="J20" s="30">
        <f t="shared" si="2"/>
        <v>5.5E-2</v>
      </c>
      <c r="K20" s="31">
        <f t="shared" si="3"/>
        <v>7.0349318881040429E-2</v>
      </c>
      <c r="L20" s="28">
        <f t="shared" si="4"/>
        <v>0.10102116064224104</v>
      </c>
      <c r="M20" s="12">
        <f t="shared" si="5"/>
        <v>0.1214690551497081</v>
      </c>
      <c r="O20" s="32"/>
    </row>
    <row r="21" spans="1:15" x14ac:dyDescent="0.2">
      <c r="A21" s="24" t="s">
        <v>54</v>
      </c>
      <c r="B21" s="26" t="s">
        <v>55</v>
      </c>
      <c r="C21" s="27">
        <v>1.9</v>
      </c>
      <c r="D21" s="27">
        <v>43.053009999999993</v>
      </c>
      <c r="E21" s="28">
        <f t="shared" si="0"/>
        <v>4.4131641434594242E-2</v>
      </c>
      <c r="F21" s="28">
        <f t="shared" si="1"/>
        <v>4.537468266833531E-2</v>
      </c>
      <c r="G21" s="29">
        <v>0.05</v>
      </c>
      <c r="H21" s="29">
        <v>5.9000000000000004E-2</v>
      </c>
      <c r="I21" s="29">
        <v>0.06</v>
      </c>
      <c r="J21" s="30">
        <f t="shared" si="2"/>
        <v>5.6333333333333339E-2</v>
      </c>
      <c r="K21" s="31">
        <f t="shared" si="3"/>
        <v>9.5234932470459097E-2</v>
      </c>
      <c r="L21" s="28">
        <f t="shared" si="4"/>
        <v>0.10170801600166865</v>
      </c>
      <c r="M21" s="12">
        <f t="shared" si="5"/>
        <v>0.10545559067763208</v>
      </c>
      <c r="O21" s="32"/>
    </row>
    <row r="22" spans="1:15" x14ac:dyDescent="0.2">
      <c r="A22" s="24" t="s">
        <v>57</v>
      </c>
      <c r="B22" s="26" t="s">
        <v>58</v>
      </c>
      <c r="C22" s="27">
        <v>2.8</v>
      </c>
      <c r="D22" s="27">
        <v>68.231999999999985</v>
      </c>
      <c r="E22" s="28">
        <f t="shared" si="0"/>
        <v>4.1036463829288314E-2</v>
      </c>
      <c r="F22" s="28">
        <f t="shared" si="1"/>
        <v>4.2253878922890536E-2</v>
      </c>
      <c r="G22" s="29">
        <v>6.5000000000000002E-2</v>
      </c>
      <c r="H22" s="29">
        <v>7.2999999999999995E-2</v>
      </c>
      <c r="I22" s="29">
        <v>0.04</v>
      </c>
      <c r="J22" s="30">
        <f t="shared" si="2"/>
        <v>5.9333333333333342E-2</v>
      </c>
      <c r="K22" s="31">
        <f t="shared" si="3"/>
        <v>8.1857193105874082E-2</v>
      </c>
      <c r="L22" s="28">
        <f t="shared" si="4"/>
        <v>0.10158721225622389</v>
      </c>
      <c r="M22" s="12">
        <f t="shared" si="5"/>
        <v>0.11553429475905733</v>
      </c>
      <c r="O22" s="32"/>
    </row>
    <row r="23" spans="1:15" x14ac:dyDescent="0.2">
      <c r="A23" s="24" t="s">
        <v>60</v>
      </c>
      <c r="B23" s="26" t="s">
        <v>61</v>
      </c>
      <c r="C23" s="27">
        <v>2.08</v>
      </c>
      <c r="D23" s="27">
        <v>57.440373333333326</v>
      </c>
      <c r="E23" s="28">
        <f t="shared" si="0"/>
        <v>3.6211463806641933E-2</v>
      </c>
      <c r="F23" s="28">
        <f t="shared" si="1"/>
        <v>3.7321948696712286E-2</v>
      </c>
      <c r="G23" s="29">
        <v>0.06</v>
      </c>
      <c r="H23" s="29">
        <v>6.3E-2</v>
      </c>
      <c r="I23" s="29">
        <v>6.0999999999999999E-2</v>
      </c>
      <c r="J23" s="30">
        <f t="shared" si="2"/>
        <v>6.133333333333333E-2</v>
      </c>
      <c r="K23" s="31">
        <f t="shared" si="3"/>
        <v>9.7297807720841192E-2</v>
      </c>
      <c r="L23" s="28">
        <f t="shared" si="4"/>
        <v>9.8655282030045616E-2</v>
      </c>
      <c r="M23" s="12">
        <f t="shared" si="5"/>
        <v>0.10035212491655116</v>
      </c>
      <c r="O23" s="32"/>
    </row>
    <row r="24" spans="1:15" x14ac:dyDescent="0.2">
      <c r="A24" s="24"/>
      <c r="B24" s="26"/>
      <c r="C24" s="33"/>
      <c r="D24" s="33"/>
      <c r="E24" s="33"/>
      <c r="F24" s="33"/>
      <c r="G24" s="34"/>
      <c r="H24" s="34"/>
      <c r="I24" s="34"/>
      <c r="J24" s="35"/>
      <c r="K24" s="36"/>
      <c r="L24" s="36"/>
      <c r="M24" s="36"/>
    </row>
    <row r="25" spans="1:15" x14ac:dyDescent="0.2">
      <c r="A25" s="37" t="s">
        <v>2</v>
      </c>
      <c r="B25" s="38"/>
      <c r="C25" s="39"/>
      <c r="D25" s="39"/>
      <c r="E25" s="40">
        <f t="shared" ref="E25:M25" si="8">AVERAGE(E7:E23)</f>
        <v>4.177966211047629E-2</v>
      </c>
      <c r="F25" s="40">
        <f t="shared" si="8"/>
        <v>4.2990382466885003E-2</v>
      </c>
      <c r="G25" s="40">
        <f t="shared" si="8"/>
        <v>5.6470588235294127E-2</v>
      </c>
      <c r="H25" s="40">
        <f t="shared" si="8"/>
        <v>6.0656249999999995E-2</v>
      </c>
      <c r="I25" s="40">
        <f t="shared" si="8"/>
        <v>5.9588235294117657E-2</v>
      </c>
      <c r="J25" s="40">
        <f t="shared" si="8"/>
        <v>5.8715686274509807E-2</v>
      </c>
      <c r="K25" s="40">
        <f t="shared" si="8"/>
        <v>9.0239515272679746E-2</v>
      </c>
      <c r="L25" s="40">
        <f t="shared" si="8"/>
        <v>0.10170606874139479</v>
      </c>
      <c r="M25" s="40">
        <f t="shared" si="8"/>
        <v>0.11146080584416777</v>
      </c>
    </row>
    <row r="26" spans="1:15" x14ac:dyDescent="0.2">
      <c r="A26" s="24" t="s">
        <v>8</v>
      </c>
      <c r="E26" s="41">
        <f t="shared" ref="E26:M26" si="9">MEDIAN(E7:E23)</f>
        <v>4.4131641434594242E-2</v>
      </c>
      <c r="F26" s="41">
        <f t="shared" si="9"/>
        <v>4.537468266833531E-2</v>
      </c>
      <c r="G26" s="41">
        <f t="shared" si="9"/>
        <v>6.5000000000000002E-2</v>
      </c>
      <c r="H26" s="41">
        <f t="shared" si="9"/>
        <v>6.3E-2</v>
      </c>
      <c r="I26" s="41">
        <f t="shared" si="9"/>
        <v>6.0999999999999999E-2</v>
      </c>
      <c r="J26" s="41">
        <f t="shared" si="9"/>
        <v>5.8499999999999996E-2</v>
      </c>
      <c r="K26" s="41">
        <f t="shared" si="9"/>
        <v>9.4538744331099489E-2</v>
      </c>
      <c r="L26" s="41">
        <f t="shared" si="9"/>
        <v>0.10124220491950835</v>
      </c>
      <c r="M26" s="41">
        <f t="shared" si="9"/>
        <v>0.11224937671512308</v>
      </c>
    </row>
    <row r="28" spans="1:15" x14ac:dyDescent="0.2">
      <c r="A28" s="42" t="s">
        <v>62</v>
      </c>
    </row>
    <row r="29" spans="1:15" x14ac:dyDescent="0.2">
      <c r="A29" s="43" t="s">
        <v>1389</v>
      </c>
    </row>
    <row r="30" spans="1:15" x14ac:dyDescent="0.2">
      <c r="A30" s="43" t="s">
        <v>1403</v>
      </c>
    </row>
    <row r="31" spans="1:15" x14ac:dyDescent="0.2">
      <c r="A31" s="25" t="s">
        <v>79</v>
      </c>
      <c r="K31" s="44"/>
    </row>
    <row r="32" spans="1:15" x14ac:dyDescent="0.2">
      <c r="A32" s="25" t="s">
        <v>80</v>
      </c>
      <c r="K32" s="44"/>
    </row>
    <row r="33" spans="1:15" x14ac:dyDescent="0.2">
      <c r="A33" s="25" t="s">
        <v>1390</v>
      </c>
    </row>
    <row r="34" spans="1:15" x14ac:dyDescent="0.2">
      <c r="A34" s="25" t="s">
        <v>1391</v>
      </c>
    </row>
    <row r="35" spans="1:15" x14ac:dyDescent="0.2">
      <c r="A35" s="25" t="s">
        <v>1392</v>
      </c>
    </row>
    <row r="36" spans="1:15" x14ac:dyDescent="0.2">
      <c r="A36" s="45" t="s">
        <v>81</v>
      </c>
    </row>
    <row r="37" spans="1:15" x14ac:dyDescent="0.2">
      <c r="A37" s="45" t="s">
        <v>82</v>
      </c>
    </row>
    <row r="38" spans="1:15" x14ac:dyDescent="0.2">
      <c r="A38" s="46" t="s">
        <v>83</v>
      </c>
    </row>
    <row r="39" spans="1:15" x14ac:dyDescent="0.2">
      <c r="A39" s="45" t="s">
        <v>84</v>
      </c>
    </row>
    <row r="40" spans="1:15" x14ac:dyDescent="0.2">
      <c r="A40" s="43"/>
    </row>
    <row r="41" spans="1:15" x14ac:dyDescent="0.2">
      <c r="A41" s="43"/>
    </row>
    <row r="42" spans="1:15" x14ac:dyDescent="0.2">
      <c r="A42" s="290" t="s">
        <v>1260</v>
      </c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</row>
    <row r="44" spans="1:15" ht="13.5" thickBot="1" x14ac:dyDescent="0.25">
      <c r="C44" s="16" t="s">
        <v>14</v>
      </c>
      <c r="D44" s="16" t="s">
        <v>15</v>
      </c>
      <c r="E44" s="18" t="s">
        <v>16</v>
      </c>
      <c r="F44" s="18" t="s">
        <v>17</v>
      </c>
      <c r="G44" s="16" t="s">
        <v>18</v>
      </c>
      <c r="H44" s="16" t="s">
        <v>19</v>
      </c>
      <c r="I44" s="16" t="s">
        <v>63</v>
      </c>
      <c r="J44" s="16" t="s">
        <v>64</v>
      </c>
      <c r="K44" s="16" t="s">
        <v>65</v>
      </c>
      <c r="L44" s="16" t="s">
        <v>66</v>
      </c>
      <c r="M44" s="16" t="s">
        <v>67</v>
      </c>
    </row>
    <row r="45" spans="1:15" ht="42.95" customHeight="1" x14ac:dyDescent="0.2">
      <c r="A45" s="19" t="s">
        <v>20</v>
      </c>
      <c r="B45" s="20" t="s">
        <v>21</v>
      </c>
      <c r="C45" s="21" t="s">
        <v>68</v>
      </c>
      <c r="D45" s="21" t="s">
        <v>69</v>
      </c>
      <c r="E45" s="22" t="s">
        <v>70</v>
      </c>
      <c r="F45" s="22" t="s">
        <v>71</v>
      </c>
      <c r="G45" s="21" t="s">
        <v>72</v>
      </c>
      <c r="H45" s="21" t="s">
        <v>73</v>
      </c>
      <c r="I45" s="21" t="s">
        <v>74</v>
      </c>
      <c r="J45" s="21" t="s">
        <v>75</v>
      </c>
      <c r="K45" s="23" t="s">
        <v>76</v>
      </c>
      <c r="L45" s="22" t="s">
        <v>77</v>
      </c>
      <c r="M45" s="23" t="s">
        <v>78</v>
      </c>
    </row>
    <row r="46" spans="1:15" x14ac:dyDescent="0.2">
      <c r="A46" s="24"/>
      <c r="B46" s="24"/>
    </row>
    <row r="47" spans="1:15" x14ac:dyDescent="0.2">
      <c r="A47" s="24" t="str">
        <f t="shared" ref="A47:C63" si="10">A7</f>
        <v>ALLETE, Inc.</v>
      </c>
      <c r="B47" s="26" t="str">
        <f t="shared" si="10"/>
        <v>ALE</v>
      </c>
      <c r="C47" s="27">
        <f t="shared" si="10"/>
        <v>2.71</v>
      </c>
      <c r="D47" s="27">
        <v>56.960495555555553</v>
      </c>
      <c r="E47" s="28">
        <f>C47/D47</f>
        <v>4.7576833269591952E-2</v>
      </c>
      <c r="F47" s="28">
        <f>IFERROR(E47*(1+0.5*J47),"")</f>
        <v>4.933717610056685E-2</v>
      </c>
      <c r="G47" s="29">
        <f t="shared" ref="G47:I63" si="11">G7</f>
        <v>0.06</v>
      </c>
      <c r="H47" s="29">
        <f t="shared" si="11"/>
        <v>8.1000000000000003E-2</v>
      </c>
      <c r="I47" s="29">
        <f t="shared" si="11"/>
        <v>8.1000000000000003E-2</v>
      </c>
      <c r="J47" s="30">
        <f>AVERAGE(G47:I47)</f>
        <v>7.400000000000001E-2</v>
      </c>
      <c r="K47" s="31">
        <f>$E47*(1+0.5*MIN($G47:$I47))+MIN($G47:$I47)</f>
        <v>0.10900413826767971</v>
      </c>
      <c r="L47" s="28">
        <f t="shared" ref="L47:L63" si="12">F47+J47</f>
        <v>0.12333717610056685</v>
      </c>
      <c r="M47" s="12">
        <f>$E47*(1+0.5*MAX($G47:$I47))+MAX($G47:$I47)</f>
        <v>0.13050369501701042</v>
      </c>
      <c r="O47" s="32"/>
    </row>
    <row r="48" spans="1:15" x14ac:dyDescent="0.2">
      <c r="A48" s="24" t="str">
        <f t="shared" si="10"/>
        <v>Alliant Energy Corporation</v>
      </c>
      <c r="B48" s="26" t="str">
        <f t="shared" si="10"/>
        <v>LNT</v>
      </c>
      <c r="C48" s="27">
        <f t="shared" si="10"/>
        <v>1.81</v>
      </c>
      <c r="D48" s="27">
        <v>51.794788888888895</v>
      </c>
      <c r="E48" s="28">
        <f t="shared" ref="E48:E63" si="13">C48/D48</f>
        <v>3.4945600490482627E-2</v>
      </c>
      <c r="F48" s="28">
        <f t="shared" ref="F48:F63" si="14">IFERROR(E48*(1+0.5*J48),"")</f>
        <v>3.6098805306668549E-2</v>
      </c>
      <c r="G48" s="29">
        <f t="shared" si="11"/>
        <v>6.5000000000000002E-2</v>
      </c>
      <c r="H48" s="29">
        <f t="shared" si="11"/>
        <v>6.8000000000000005E-2</v>
      </c>
      <c r="I48" s="29">
        <f t="shared" si="11"/>
        <v>6.5000000000000002E-2</v>
      </c>
      <c r="J48" s="30">
        <f t="shared" ref="J48:J63" si="15">AVERAGE(G48:I48)</f>
        <v>6.6000000000000003E-2</v>
      </c>
      <c r="K48" s="31">
        <f t="shared" ref="K48:K63" si="16">$E48*(1+0.5*MIN($G48:$I48))+MIN($G48:$I48)</f>
        <v>0.10108133250642332</v>
      </c>
      <c r="L48" s="28">
        <f t="shared" si="12"/>
        <v>0.10209880530666855</v>
      </c>
      <c r="M48" s="12">
        <f t="shared" ref="M48:M63" si="17">$E48*(1+0.5*MAX($G48:$I48))+MAX($G48:$I48)</f>
        <v>0.10413375090715904</v>
      </c>
      <c r="O48" s="32"/>
    </row>
    <row r="49" spans="1:15" x14ac:dyDescent="0.2">
      <c r="A49" s="24" t="str">
        <f t="shared" si="10"/>
        <v>Ameren Corporation</v>
      </c>
      <c r="B49" s="26" t="str">
        <f t="shared" si="10"/>
        <v>AEE</v>
      </c>
      <c r="C49" s="27">
        <f t="shared" si="10"/>
        <v>2.52</v>
      </c>
      <c r="D49" s="27">
        <v>81.066314444444473</v>
      </c>
      <c r="E49" s="28">
        <f t="shared" si="13"/>
        <v>3.108566137821623E-2</v>
      </c>
      <c r="F49" s="28">
        <f t="shared" si="14"/>
        <v>3.2059678768067007E-2</v>
      </c>
      <c r="G49" s="29">
        <f t="shared" si="11"/>
        <v>6.5000000000000002E-2</v>
      </c>
      <c r="H49" s="29">
        <f t="shared" si="11"/>
        <v>5.9000000000000004E-2</v>
      </c>
      <c r="I49" s="29">
        <f t="shared" si="11"/>
        <v>6.4000000000000001E-2</v>
      </c>
      <c r="J49" s="30">
        <f t="shared" si="15"/>
        <v>6.2666666666666662E-2</v>
      </c>
      <c r="K49" s="31">
        <f t="shared" si="16"/>
        <v>9.1002688388873612E-2</v>
      </c>
      <c r="L49" s="28">
        <f t="shared" si="12"/>
        <v>9.4726345434733669E-2</v>
      </c>
      <c r="M49" s="12">
        <f t="shared" si="17"/>
        <v>9.7095945373008252E-2</v>
      </c>
      <c r="O49" s="32"/>
    </row>
    <row r="50" spans="1:15" x14ac:dyDescent="0.2">
      <c r="A50" s="24" t="str">
        <f t="shared" si="10"/>
        <v>American Electric Power Company, Inc.</v>
      </c>
      <c r="B50" s="26" t="str">
        <f t="shared" si="10"/>
        <v>AEP</v>
      </c>
      <c r="C50" s="27">
        <f t="shared" si="10"/>
        <v>3.32</v>
      </c>
      <c r="D50" s="27">
        <v>81.579181111111097</v>
      </c>
      <c r="E50" s="28">
        <f t="shared" si="13"/>
        <v>4.0696657588143101E-2</v>
      </c>
      <c r="F50" s="28">
        <f t="shared" si="14"/>
        <v>4.1870077881934559E-2</v>
      </c>
      <c r="G50" s="29">
        <f t="shared" si="11"/>
        <v>6.5000000000000002E-2</v>
      </c>
      <c r="H50" s="29">
        <f t="shared" si="11"/>
        <v>5.2000000000000005E-2</v>
      </c>
      <c r="I50" s="29">
        <f t="shared" si="11"/>
        <v>5.5999999999999994E-2</v>
      </c>
      <c r="J50" s="30">
        <f t="shared" si="15"/>
        <v>5.7666666666666665E-2</v>
      </c>
      <c r="K50" s="31">
        <f t="shared" si="16"/>
        <v>9.3754770685434835E-2</v>
      </c>
      <c r="L50" s="28">
        <f t="shared" si="12"/>
        <v>9.953674454860123E-2</v>
      </c>
      <c r="M50" s="12">
        <f t="shared" si="17"/>
        <v>0.10701929895975776</v>
      </c>
      <c r="O50" s="32"/>
    </row>
    <row r="51" spans="1:15" x14ac:dyDescent="0.2">
      <c r="A51" s="24" t="str">
        <f t="shared" si="10"/>
        <v>Avista Corporation</v>
      </c>
      <c r="B51" s="26" t="str">
        <f t="shared" si="10"/>
        <v>AVA</v>
      </c>
      <c r="C51" s="27">
        <f t="shared" si="10"/>
        <v>1.84</v>
      </c>
      <c r="D51" s="27">
        <v>36.838127777777771</v>
      </c>
      <c r="E51" s="28">
        <f t="shared" si="13"/>
        <v>4.9948249571737505E-2</v>
      </c>
      <c r="F51" s="28">
        <f t="shared" si="14"/>
        <v>5.1538268849771147E-2</v>
      </c>
      <c r="G51" s="29">
        <f t="shared" si="11"/>
        <v>6.5000000000000002E-2</v>
      </c>
      <c r="H51" s="29">
        <f t="shared" si="11"/>
        <v>6.3E-2</v>
      </c>
      <c r="I51" s="29">
        <f t="shared" si="11"/>
        <v>6.3E-2</v>
      </c>
      <c r="J51" s="30">
        <f t="shared" si="15"/>
        <v>6.3666666666666663E-2</v>
      </c>
      <c r="K51" s="31">
        <f t="shared" si="16"/>
        <v>0.11452161943324723</v>
      </c>
      <c r="L51" s="28">
        <f t="shared" si="12"/>
        <v>0.11520493551643782</v>
      </c>
      <c r="M51" s="12">
        <f t="shared" si="17"/>
        <v>0.11657156768281898</v>
      </c>
      <c r="O51" s="32"/>
    </row>
    <row r="52" spans="1:15" x14ac:dyDescent="0.2">
      <c r="A52" s="24" t="str">
        <f t="shared" si="10"/>
        <v>CMS Energy Corporation</v>
      </c>
      <c r="B52" s="26" t="str">
        <f t="shared" si="10"/>
        <v>CMS</v>
      </c>
      <c r="C52" s="27">
        <f t="shared" si="10"/>
        <v>1.95</v>
      </c>
      <c r="D52" s="27">
        <v>58.032597777777774</v>
      </c>
      <c r="E52" s="28">
        <f t="shared" si="13"/>
        <v>3.3601804411152986E-2</v>
      </c>
      <c r="F52" s="28">
        <f t="shared" si="14"/>
        <v>3.4731385069441241E-2</v>
      </c>
      <c r="G52" s="29">
        <f t="shared" si="11"/>
        <v>6.5000000000000002E-2</v>
      </c>
      <c r="H52" s="29">
        <f t="shared" si="11"/>
        <v>5.8700000000000002E-2</v>
      </c>
      <c r="I52" s="29">
        <f t="shared" si="11"/>
        <v>7.8E-2</v>
      </c>
      <c r="J52" s="30">
        <f t="shared" si="15"/>
        <v>6.7233333333333326E-2</v>
      </c>
      <c r="K52" s="31">
        <f t="shared" si="16"/>
        <v>9.3288017370620327E-2</v>
      </c>
      <c r="L52" s="28">
        <f t="shared" si="12"/>
        <v>0.10196471840277457</v>
      </c>
      <c r="M52" s="12">
        <f t="shared" si="17"/>
        <v>0.11291227478318795</v>
      </c>
      <c r="O52" s="32"/>
    </row>
    <row r="53" spans="1:15" x14ac:dyDescent="0.2">
      <c r="A53" s="24" t="str">
        <f t="shared" si="10"/>
        <v>Duke Energy Corporation</v>
      </c>
      <c r="B53" s="26" t="str">
        <f t="shared" si="10"/>
        <v>DUK</v>
      </c>
      <c r="C53" s="27">
        <f t="shared" si="10"/>
        <v>4.0999999999999996</v>
      </c>
      <c r="D53" s="27">
        <v>90.593741111111115</v>
      </c>
      <c r="E53" s="28">
        <f t="shared" si="13"/>
        <v>4.5256989607830027E-2</v>
      </c>
      <c r="F53" s="28">
        <f t="shared" si="14"/>
        <v>4.6580756553859057E-2</v>
      </c>
      <c r="G53" s="29">
        <f t="shared" si="11"/>
        <v>0.05</v>
      </c>
      <c r="H53" s="29">
        <f t="shared" si="11"/>
        <v>6.4500000000000002E-2</v>
      </c>
      <c r="I53" s="29">
        <f t="shared" si="11"/>
        <v>6.0999999999999999E-2</v>
      </c>
      <c r="J53" s="30">
        <f t="shared" si="15"/>
        <v>5.8499999999999996E-2</v>
      </c>
      <c r="K53" s="31">
        <f t="shared" si="16"/>
        <v>9.638841434802578E-2</v>
      </c>
      <c r="L53" s="28">
        <f t="shared" si="12"/>
        <v>0.10508075655385905</v>
      </c>
      <c r="M53" s="12">
        <f t="shared" si="17"/>
        <v>0.11121652752268255</v>
      </c>
      <c r="O53" s="32"/>
    </row>
    <row r="54" spans="1:15" x14ac:dyDescent="0.2">
      <c r="A54" s="24" t="str">
        <f t="shared" si="10"/>
        <v>Entergy Corporation</v>
      </c>
      <c r="B54" s="26" t="str">
        <f t="shared" si="10"/>
        <v>ETR</v>
      </c>
      <c r="C54" s="27">
        <f t="shared" si="10"/>
        <v>4.28</v>
      </c>
      <c r="D54" s="27">
        <v>97.394231111111111</v>
      </c>
      <c r="E54" s="28">
        <f t="shared" si="13"/>
        <v>4.39451079511805E-2</v>
      </c>
      <c r="F54" s="28">
        <f t="shared" si="14"/>
        <v>4.4882603587472356E-2</v>
      </c>
      <c r="G54" s="29">
        <f t="shared" si="11"/>
        <v>5.0000000000000001E-3</v>
      </c>
      <c r="H54" s="29">
        <f t="shared" si="11"/>
        <v>6.6000000000000003E-2</v>
      </c>
      <c r="I54" s="29">
        <f t="shared" si="11"/>
        <v>5.7000000000000002E-2</v>
      </c>
      <c r="J54" s="30">
        <f t="shared" si="15"/>
        <v>4.2666666666666665E-2</v>
      </c>
      <c r="K54" s="31">
        <f t="shared" si="16"/>
        <v>4.9054970721058445E-2</v>
      </c>
      <c r="L54" s="28">
        <f t="shared" si="12"/>
        <v>8.7549270254139028E-2</v>
      </c>
      <c r="M54" s="12">
        <f t="shared" si="17"/>
        <v>0.11139529651356946</v>
      </c>
      <c r="O54" s="32"/>
    </row>
    <row r="55" spans="1:15" x14ac:dyDescent="0.2">
      <c r="A55" s="24" t="str">
        <f t="shared" si="10"/>
        <v>Evergy, Inc.</v>
      </c>
      <c r="B55" s="26" t="str">
        <f t="shared" si="10"/>
        <v>EVRG</v>
      </c>
      <c r="C55" s="27">
        <f t="shared" si="10"/>
        <v>2.4500000000000002</v>
      </c>
      <c r="D55" s="27">
        <v>56.855072222222276</v>
      </c>
      <c r="E55" s="28">
        <f t="shared" ref="E55" si="18">C55/D55</f>
        <v>4.3092021595258788E-2</v>
      </c>
      <c r="F55" s="28">
        <f t="shared" ref="F55" si="19">IFERROR(E55*(1+0.5*J55),"")</f>
        <v>4.4195895548457334E-2</v>
      </c>
      <c r="G55" s="29">
        <f t="shared" si="11"/>
        <v>7.4999999999999997E-2</v>
      </c>
      <c r="H55" s="29">
        <f t="shared" si="11"/>
        <v>2.6699999999999998E-2</v>
      </c>
      <c r="I55" s="29">
        <f t="shared" si="11"/>
        <v>5.2000000000000005E-2</v>
      </c>
      <c r="J55" s="30">
        <f t="shared" ref="J55" si="20">AVERAGE(G55:I55)</f>
        <v>5.1233333333333332E-2</v>
      </c>
      <c r="K55" s="31">
        <f t="shared" si="16"/>
        <v>7.036730008355549E-2</v>
      </c>
      <c r="L55" s="28">
        <f t="shared" ref="L55" si="21">F55+J55</f>
        <v>9.5429228881790673E-2</v>
      </c>
      <c r="M55" s="12">
        <f t="shared" si="17"/>
        <v>0.11970797240508099</v>
      </c>
      <c r="O55" s="32"/>
    </row>
    <row r="56" spans="1:15" x14ac:dyDescent="0.2">
      <c r="A56" s="24" t="str">
        <f t="shared" si="10"/>
        <v>IDACORP, Inc.</v>
      </c>
      <c r="B56" s="26" t="str">
        <f t="shared" si="10"/>
        <v>IDA</v>
      </c>
      <c r="C56" s="27">
        <f t="shared" si="10"/>
        <v>3.16</v>
      </c>
      <c r="D56" s="27">
        <v>99.953750000000014</v>
      </c>
      <c r="E56" s="28">
        <f t="shared" si="13"/>
        <v>3.161462176256518E-2</v>
      </c>
      <c r="F56" s="28">
        <f t="shared" si="14"/>
        <v>3.2267990612324861E-2</v>
      </c>
      <c r="G56" s="29">
        <f t="shared" si="11"/>
        <v>0.05</v>
      </c>
      <c r="H56" s="29">
        <f t="shared" si="11"/>
        <v>3.7000000000000005E-2</v>
      </c>
      <c r="I56" s="29">
        <f t="shared" si="11"/>
        <v>3.7000000000000005E-2</v>
      </c>
      <c r="J56" s="30">
        <f t="shared" si="15"/>
        <v>4.133333333333334E-2</v>
      </c>
      <c r="K56" s="31">
        <f t="shared" si="16"/>
        <v>6.9199492265172635E-2</v>
      </c>
      <c r="L56" s="28">
        <f t="shared" si="12"/>
        <v>7.3601323945658201E-2</v>
      </c>
      <c r="M56" s="12">
        <f t="shared" si="17"/>
        <v>8.2404987306629318E-2</v>
      </c>
      <c r="O56" s="32"/>
    </row>
    <row r="57" spans="1:15" x14ac:dyDescent="0.2">
      <c r="A57" s="24" t="str">
        <f t="shared" si="10"/>
        <v>NextEra Energy, Inc.</v>
      </c>
      <c r="B57" s="26" t="str">
        <f t="shared" si="10"/>
        <v>NEE</v>
      </c>
      <c r="C57" s="27">
        <f t="shared" si="10"/>
        <v>1.87</v>
      </c>
      <c r="D57" s="27">
        <v>70.284531111111093</v>
      </c>
      <c r="E57" s="28">
        <f t="shared" si="13"/>
        <v>2.6606138938933276E-2</v>
      </c>
      <c r="F57" s="28">
        <f t="shared" si="14"/>
        <v>2.7790112121715806E-2</v>
      </c>
      <c r="G57" s="29">
        <f t="shared" si="11"/>
        <v>9.5000000000000001E-2</v>
      </c>
      <c r="H57" s="29">
        <f t="shared" si="11"/>
        <v>8.8000000000000009E-2</v>
      </c>
      <c r="I57" s="29">
        <f t="shared" si="11"/>
        <v>8.4000000000000005E-2</v>
      </c>
      <c r="J57" s="30">
        <f t="shared" si="15"/>
        <v>8.900000000000001E-2</v>
      </c>
      <c r="K57" s="31">
        <f t="shared" si="16"/>
        <v>0.11172359677436848</v>
      </c>
      <c r="L57" s="28">
        <f t="shared" si="12"/>
        <v>0.11679011212171582</v>
      </c>
      <c r="M57" s="12">
        <f t="shared" si="17"/>
        <v>0.12286993053853261</v>
      </c>
      <c r="O57" s="32"/>
    </row>
    <row r="58" spans="1:15" x14ac:dyDescent="0.2">
      <c r="A58" s="24" t="str">
        <f t="shared" si="10"/>
        <v>NorthWestern Corporation</v>
      </c>
      <c r="B58" s="26" t="str">
        <f t="shared" si="10"/>
        <v>NWE</v>
      </c>
      <c r="C58" s="27">
        <f t="shared" si="10"/>
        <v>2.56</v>
      </c>
      <c r="D58" s="27">
        <v>53.899562222222215</v>
      </c>
      <c r="E58" s="28">
        <f t="shared" si="13"/>
        <v>4.7495747543280405E-2</v>
      </c>
      <c r="F58" s="28">
        <f t="shared" si="14"/>
        <v>4.8474159942671978E-2</v>
      </c>
      <c r="G58" s="29">
        <f t="shared" si="11"/>
        <v>3.5000000000000003E-2</v>
      </c>
      <c r="H58" s="29">
        <f t="shared" si="11"/>
        <v>3.6600000000000001E-2</v>
      </c>
      <c r="I58" s="29">
        <f t="shared" si="11"/>
        <v>5.2000000000000005E-2</v>
      </c>
      <c r="J58" s="30">
        <f t="shared" si="15"/>
        <v>4.1200000000000001E-2</v>
      </c>
      <c r="K58" s="31">
        <f t="shared" si="16"/>
        <v>8.3326923125287819E-2</v>
      </c>
      <c r="L58" s="28">
        <f t="shared" si="12"/>
        <v>8.9674159942671972E-2</v>
      </c>
      <c r="M58" s="12">
        <f t="shared" si="17"/>
        <v>0.10073063697940571</v>
      </c>
      <c r="O58" s="32"/>
    </row>
    <row r="59" spans="1:15" x14ac:dyDescent="0.2">
      <c r="A59" s="24" t="str">
        <f t="shared" si="10"/>
        <v>OGE Energy Corporation</v>
      </c>
      <c r="B59" s="26" t="str">
        <f t="shared" si="10"/>
        <v>OGE</v>
      </c>
      <c r="C59" s="27">
        <f t="shared" si="10"/>
        <v>1.6564000000000001</v>
      </c>
      <c r="D59" s="27">
        <v>35.158134444444464</v>
      </c>
      <c r="E59" s="28">
        <f t="shared" si="13"/>
        <v>4.7112852435824769E-2</v>
      </c>
      <c r="F59" s="28">
        <f t="shared" si="14"/>
        <v>4.8314230172938302E-2</v>
      </c>
      <c r="G59" s="29">
        <f t="shared" si="11"/>
        <v>6.5000000000000002E-2</v>
      </c>
      <c r="H59" s="29" t="str">
        <f t="shared" si="11"/>
        <v>negative</v>
      </c>
      <c r="I59" s="29">
        <f t="shared" si="11"/>
        <v>3.7000000000000005E-2</v>
      </c>
      <c r="J59" s="30">
        <f t="shared" si="15"/>
        <v>5.1000000000000004E-2</v>
      </c>
      <c r="K59" s="31">
        <f t="shared" si="16"/>
        <v>8.4984440205887524E-2</v>
      </c>
      <c r="L59" s="28">
        <f t="shared" si="12"/>
        <v>9.9314230172938306E-2</v>
      </c>
      <c r="M59" s="12">
        <f t="shared" si="17"/>
        <v>0.11364402013998907</v>
      </c>
      <c r="O59" s="32"/>
    </row>
    <row r="60" spans="1:15" x14ac:dyDescent="0.2">
      <c r="A60" s="24" t="str">
        <f t="shared" si="10"/>
        <v>Pinnacle West Capital Corporation</v>
      </c>
      <c r="B60" s="26" t="str">
        <f t="shared" si="10"/>
        <v>PNW</v>
      </c>
      <c r="C60" s="27">
        <f t="shared" si="10"/>
        <v>3.46</v>
      </c>
      <c r="D60" s="27">
        <v>79.15243555555557</v>
      </c>
      <c r="E60" s="28">
        <f t="shared" si="13"/>
        <v>4.3713121089893593E-2</v>
      </c>
      <c r="F60" s="28">
        <f t="shared" si="14"/>
        <v>4.491523191986567E-2</v>
      </c>
      <c r="G60" s="29">
        <f t="shared" si="11"/>
        <v>2.5000000000000001E-2</v>
      </c>
      <c r="H60" s="29">
        <f t="shared" si="11"/>
        <v>7.4999999999999997E-2</v>
      </c>
      <c r="I60" s="29">
        <f t="shared" si="11"/>
        <v>6.5000000000000002E-2</v>
      </c>
      <c r="J60" s="30">
        <f t="shared" si="15"/>
        <v>5.5E-2</v>
      </c>
      <c r="K60" s="31">
        <f t="shared" si="16"/>
        <v>6.9259535103517261E-2</v>
      </c>
      <c r="L60" s="28">
        <f t="shared" si="12"/>
        <v>9.9915231919865677E-2</v>
      </c>
      <c r="M60" s="12">
        <f t="shared" si="17"/>
        <v>0.12035236313076461</v>
      </c>
      <c r="O60" s="32"/>
    </row>
    <row r="61" spans="1:15" x14ac:dyDescent="0.2">
      <c r="A61" s="24" t="str">
        <f t="shared" si="10"/>
        <v>Portland General Electric Company</v>
      </c>
      <c r="B61" s="26" t="str">
        <f t="shared" si="10"/>
        <v>POR</v>
      </c>
      <c r="C61" s="27">
        <f t="shared" si="10"/>
        <v>1.9</v>
      </c>
      <c r="D61" s="27">
        <v>45.653205555555552</v>
      </c>
      <c r="E61" s="28">
        <f t="shared" si="13"/>
        <v>4.1618107137906951E-2</v>
      </c>
      <c r="F61" s="28">
        <f t="shared" si="14"/>
        <v>4.2790350488957997E-2</v>
      </c>
      <c r="G61" s="29">
        <f t="shared" si="11"/>
        <v>0.05</v>
      </c>
      <c r="H61" s="29">
        <f t="shared" si="11"/>
        <v>5.9000000000000004E-2</v>
      </c>
      <c r="I61" s="29">
        <f t="shared" si="11"/>
        <v>0.06</v>
      </c>
      <c r="J61" s="30">
        <f t="shared" si="15"/>
        <v>5.6333333333333339E-2</v>
      </c>
      <c r="K61" s="31">
        <f t="shared" si="16"/>
        <v>9.2658559816354624E-2</v>
      </c>
      <c r="L61" s="28">
        <f t="shared" si="12"/>
        <v>9.9123683822291336E-2</v>
      </c>
      <c r="M61" s="12">
        <f t="shared" si="17"/>
        <v>0.10286665035204416</v>
      </c>
      <c r="O61" s="32"/>
    </row>
    <row r="62" spans="1:15" x14ac:dyDescent="0.2">
      <c r="A62" s="24" t="str">
        <f t="shared" si="10"/>
        <v>Southern Company</v>
      </c>
      <c r="B62" s="26" t="str">
        <f t="shared" si="10"/>
        <v>SO</v>
      </c>
      <c r="C62" s="27">
        <f t="shared" si="10"/>
        <v>2.8</v>
      </c>
      <c r="D62" s="27">
        <v>69.224024444444467</v>
      </c>
      <c r="E62" s="28">
        <f t="shared" si="13"/>
        <v>4.0448385115880274E-2</v>
      </c>
      <c r="F62" s="28">
        <f t="shared" si="14"/>
        <v>4.1648353874318061E-2</v>
      </c>
      <c r="G62" s="29">
        <f t="shared" si="11"/>
        <v>6.5000000000000002E-2</v>
      </c>
      <c r="H62" s="29">
        <f t="shared" si="11"/>
        <v>7.2999999999999995E-2</v>
      </c>
      <c r="I62" s="29">
        <f t="shared" si="11"/>
        <v>0.04</v>
      </c>
      <c r="J62" s="30">
        <f t="shared" si="15"/>
        <v>5.9333333333333342E-2</v>
      </c>
      <c r="K62" s="31">
        <f t="shared" si="16"/>
        <v>8.1257352818197875E-2</v>
      </c>
      <c r="L62" s="28">
        <f t="shared" si="12"/>
        <v>0.10098168720765141</v>
      </c>
      <c r="M62" s="12">
        <f t="shared" si="17"/>
        <v>0.11492475117260989</v>
      </c>
      <c r="O62" s="32"/>
    </row>
    <row r="63" spans="1:15" x14ac:dyDescent="0.2">
      <c r="A63" s="24" t="str">
        <f t="shared" si="10"/>
        <v>Xcel Energy Inc.</v>
      </c>
      <c r="B63" s="26" t="str">
        <f t="shared" si="10"/>
        <v>XEL</v>
      </c>
      <c r="C63" s="27">
        <f t="shared" si="10"/>
        <v>2.08</v>
      </c>
      <c r="D63" s="27">
        <v>60.544035555555524</v>
      </c>
      <c r="E63" s="28">
        <f t="shared" si="13"/>
        <v>3.4355159528330105E-2</v>
      </c>
      <c r="F63" s="28">
        <f t="shared" si="14"/>
        <v>3.540871775386556E-2</v>
      </c>
      <c r="G63" s="29">
        <f t="shared" si="11"/>
        <v>0.06</v>
      </c>
      <c r="H63" s="29">
        <f t="shared" si="11"/>
        <v>6.3E-2</v>
      </c>
      <c r="I63" s="29">
        <f t="shared" si="11"/>
        <v>6.0999999999999999E-2</v>
      </c>
      <c r="J63" s="30">
        <f t="shared" si="15"/>
        <v>6.133333333333333E-2</v>
      </c>
      <c r="K63" s="31">
        <f t="shared" si="16"/>
        <v>9.5385814314180001E-2</v>
      </c>
      <c r="L63" s="28">
        <f t="shared" si="12"/>
        <v>9.6742051087198883E-2</v>
      </c>
      <c r="M63" s="12">
        <f t="shared" si="17"/>
        <v>9.8437347053472513E-2</v>
      </c>
      <c r="O63" s="32"/>
    </row>
    <row r="64" spans="1:15" x14ac:dyDescent="0.2">
      <c r="A64" s="47"/>
      <c r="B64" s="48"/>
      <c r="C64" s="33"/>
      <c r="D64" s="33"/>
      <c r="E64" s="33"/>
      <c r="F64" s="33"/>
      <c r="G64" s="49"/>
      <c r="H64" s="49"/>
      <c r="I64" s="49"/>
      <c r="J64" s="35"/>
      <c r="K64" s="36"/>
      <c r="L64" s="36"/>
      <c r="M64" s="36"/>
    </row>
    <row r="65" spans="1:13" x14ac:dyDescent="0.2">
      <c r="A65" s="37" t="s">
        <v>2</v>
      </c>
      <c r="B65" s="38"/>
      <c r="C65" s="39"/>
      <c r="D65" s="39"/>
      <c r="E65" s="40">
        <f t="shared" ref="E65:M65" si="22">AVERAGE(E47:E63)</f>
        <v>4.0183121142129893E-2</v>
      </c>
      <c r="F65" s="40">
        <f t="shared" si="22"/>
        <v>4.134728203252331E-2</v>
      </c>
      <c r="G65" s="40">
        <f t="shared" si="22"/>
        <v>5.6470588235294127E-2</v>
      </c>
      <c r="H65" s="40">
        <f t="shared" si="22"/>
        <v>6.0656249999999995E-2</v>
      </c>
      <c r="I65" s="40">
        <f t="shared" si="22"/>
        <v>5.9588235294117657E-2</v>
      </c>
      <c r="J65" s="40">
        <f t="shared" si="22"/>
        <v>5.8715686274509807E-2</v>
      </c>
      <c r="K65" s="40">
        <f t="shared" si="22"/>
        <v>8.8603468601640284E-2</v>
      </c>
      <c r="L65" s="40">
        <f t="shared" si="22"/>
        <v>0.10006296830703312</v>
      </c>
      <c r="M65" s="40">
        <f t="shared" si="22"/>
        <v>0.10981100093163076</v>
      </c>
    </row>
    <row r="66" spans="1:13" x14ac:dyDescent="0.2">
      <c r="A66" s="24" t="s">
        <v>8</v>
      </c>
      <c r="E66" s="41">
        <f t="shared" ref="E66:M66" si="23">MEDIAN(E47:E63)</f>
        <v>4.1618107137906951E-2</v>
      </c>
      <c r="F66" s="41">
        <f t="shared" si="23"/>
        <v>4.2790350488957997E-2</v>
      </c>
      <c r="G66" s="41">
        <f t="shared" si="23"/>
        <v>6.5000000000000002E-2</v>
      </c>
      <c r="H66" s="41">
        <f t="shared" si="23"/>
        <v>6.3E-2</v>
      </c>
      <c r="I66" s="41">
        <f t="shared" si="23"/>
        <v>6.0999999999999999E-2</v>
      </c>
      <c r="J66" s="41">
        <f t="shared" si="23"/>
        <v>5.8499999999999996E-2</v>
      </c>
      <c r="K66" s="41">
        <f t="shared" si="23"/>
        <v>9.2658559816354624E-2</v>
      </c>
      <c r="L66" s="41">
        <f t="shared" si="23"/>
        <v>9.953674454860123E-2</v>
      </c>
      <c r="M66" s="41">
        <f t="shared" si="23"/>
        <v>0.11139529651356946</v>
      </c>
    </row>
    <row r="67" spans="1:13" x14ac:dyDescent="0.2">
      <c r="A67" s="24"/>
      <c r="K67" s="41"/>
      <c r="L67" s="41"/>
      <c r="M67" s="41"/>
    </row>
    <row r="68" spans="1:13" x14ac:dyDescent="0.2">
      <c r="A68" s="42" t="s">
        <v>62</v>
      </c>
      <c r="K68" s="41"/>
      <c r="L68" s="41"/>
      <c r="M68" s="41"/>
    </row>
    <row r="69" spans="1:13" x14ac:dyDescent="0.2">
      <c r="A69" s="43" t="s">
        <v>1389</v>
      </c>
      <c r="K69" s="41"/>
      <c r="L69" s="41"/>
      <c r="M69" s="41"/>
    </row>
    <row r="70" spans="1:13" x14ac:dyDescent="0.2">
      <c r="A70" s="43" t="s">
        <v>1404</v>
      </c>
      <c r="K70" s="41"/>
      <c r="L70" s="41"/>
      <c r="M70" s="41"/>
    </row>
    <row r="71" spans="1:13" x14ac:dyDescent="0.2">
      <c r="A71" s="25" t="s">
        <v>79</v>
      </c>
      <c r="K71" s="41"/>
      <c r="L71" s="41"/>
      <c r="M71" s="41"/>
    </row>
    <row r="72" spans="1:13" x14ac:dyDescent="0.2">
      <c r="A72" s="25" t="s">
        <v>80</v>
      </c>
      <c r="K72" s="41"/>
      <c r="L72" s="41"/>
      <c r="M72" s="41"/>
    </row>
    <row r="73" spans="1:13" x14ac:dyDescent="0.2">
      <c r="A73" s="25" t="s">
        <v>1390</v>
      </c>
      <c r="K73" s="41"/>
      <c r="L73" s="41"/>
      <c r="M73" s="41"/>
    </row>
    <row r="74" spans="1:13" x14ac:dyDescent="0.2">
      <c r="A74" s="25" t="s">
        <v>1391</v>
      </c>
      <c r="K74" s="41"/>
      <c r="L74" s="41"/>
      <c r="M74" s="41"/>
    </row>
    <row r="75" spans="1:13" x14ac:dyDescent="0.2">
      <c r="A75" s="25" t="s">
        <v>1392</v>
      </c>
    </row>
    <row r="76" spans="1:13" x14ac:dyDescent="0.2">
      <c r="A76" s="45" t="s">
        <v>81</v>
      </c>
    </row>
    <row r="77" spans="1:13" x14ac:dyDescent="0.2">
      <c r="A77" s="45" t="s">
        <v>82</v>
      </c>
    </row>
    <row r="78" spans="1:13" x14ac:dyDescent="0.2">
      <c r="A78" s="46" t="s">
        <v>83</v>
      </c>
    </row>
    <row r="79" spans="1:13" x14ac:dyDescent="0.2">
      <c r="A79" s="45" t="s">
        <v>84</v>
      </c>
    </row>
    <row r="80" spans="1:13" x14ac:dyDescent="0.2">
      <c r="A80" s="43"/>
    </row>
    <row r="82" spans="1:15" x14ac:dyDescent="0.2">
      <c r="A82" s="290" t="s">
        <v>1261</v>
      </c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</row>
    <row r="84" spans="1:15" ht="13.5" thickBot="1" x14ac:dyDescent="0.25">
      <c r="C84" s="16" t="s">
        <v>14</v>
      </c>
      <c r="D84" s="16" t="s">
        <v>15</v>
      </c>
      <c r="E84" s="18" t="s">
        <v>16</v>
      </c>
      <c r="F84" s="18" t="s">
        <v>17</v>
      </c>
      <c r="G84" s="16" t="s">
        <v>18</v>
      </c>
      <c r="H84" s="16" t="s">
        <v>19</v>
      </c>
      <c r="I84" s="16" t="s">
        <v>63</v>
      </c>
      <c r="J84" s="16" t="s">
        <v>64</v>
      </c>
      <c r="K84" s="16" t="s">
        <v>65</v>
      </c>
      <c r="L84" s="16" t="s">
        <v>66</v>
      </c>
      <c r="M84" s="16" t="s">
        <v>67</v>
      </c>
    </row>
    <row r="85" spans="1:15" ht="38.25" x14ac:dyDescent="0.2">
      <c r="A85" s="19" t="s">
        <v>20</v>
      </c>
      <c r="B85" s="20" t="s">
        <v>21</v>
      </c>
      <c r="C85" s="21" t="s">
        <v>68</v>
      </c>
      <c r="D85" s="21" t="s">
        <v>69</v>
      </c>
      <c r="E85" s="22" t="s">
        <v>70</v>
      </c>
      <c r="F85" s="22" t="s">
        <v>71</v>
      </c>
      <c r="G85" s="21" t="s">
        <v>72</v>
      </c>
      <c r="H85" s="21" t="s">
        <v>73</v>
      </c>
      <c r="I85" s="21" t="s">
        <v>74</v>
      </c>
      <c r="J85" s="21" t="s">
        <v>75</v>
      </c>
      <c r="K85" s="23" t="s">
        <v>76</v>
      </c>
      <c r="L85" s="22" t="s">
        <v>77</v>
      </c>
      <c r="M85" s="23" t="s">
        <v>78</v>
      </c>
    </row>
    <row r="86" spans="1:15" x14ac:dyDescent="0.2">
      <c r="A86" s="37"/>
      <c r="B86" s="37"/>
    </row>
    <row r="87" spans="1:15" x14ac:dyDescent="0.2">
      <c r="A87" s="24" t="str">
        <f t="shared" ref="A87:C103" si="24">A47</f>
        <v>ALLETE, Inc.</v>
      </c>
      <c r="B87" s="26" t="str">
        <f t="shared" si="24"/>
        <v>ALE</v>
      </c>
      <c r="C87" s="27">
        <f t="shared" si="24"/>
        <v>2.71</v>
      </c>
      <c r="D87" s="27">
        <v>59.004636111111097</v>
      </c>
      <c r="E87" s="28">
        <f>C87/D87</f>
        <v>4.5928594405646762E-2</v>
      </c>
      <c r="F87" s="28">
        <f>IFERROR(E87*(1+0.5*J87),"")</f>
        <v>4.7627952398655686E-2</v>
      </c>
      <c r="G87" s="29">
        <f t="shared" ref="G87:I103" si="25">G47</f>
        <v>0.06</v>
      </c>
      <c r="H87" s="29">
        <f t="shared" si="25"/>
        <v>8.1000000000000003E-2</v>
      </c>
      <c r="I87" s="29">
        <f t="shared" si="25"/>
        <v>8.1000000000000003E-2</v>
      </c>
      <c r="J87" s="30">
        <f>AVERAGE(G87:I87)</f>
        <v>7.400000000000001E-2</v>
      </c>
      <c r="K87" s="31">
        <f>$E87*(1+0.5*MIN($G87:$I87))+MIN($G87:$I87)</f>
        <v>0.10730645223781617</v>
      </c>
      <c r="L87" s="28">
        <f t="shared" ref="L87" si="26">F87+J87</f>
        <v>0.1216279523986557</v>
      </c>
      <c r="M87" s="12">
        <f>$E87*(1+0.5*MAX($G87:$I87))+MAX($G87:$I87)</f>
        <v>0.12878870247907545</v>
      </c>
      <c r="O87" s="32"/>
    </row>
    <row r="88" spans="1:15" x14ac:dyDescent="0.2">
      <c r="A88" s="24" t="str">
        <f t="shared" si="24"/>
        <v>Alliant Energy Corporation</v>
      </c>
      <c r="B88" s="26" t="str">
        <f t="shared" si="24"/>
        <v>LNT</v>
      </c>
      <c r="C88" s="27">
        <f t="shared" si="24"/>
        <v>1.81</v>
      </c>
      <c r="D88" s="27">
        <v>52.236602222222203</v>
      </c>
      <c r="E88" s="28">
        <f t="shared" ref="E88:E103" si="27">C88/D88</f>
        <v>3.4650033175971005E-2</v>
      </c>
      <c r="F88" s="28">
        <f t="shared" ref="F88:F103" si="28">IFERROR(E88*(1+0.5*J88),"")</f>
        <v>3.5793484270778046E-2</v>
      </c>
      <c r="G88" s="29">
        <f t="shared" si="25"/>
        <v>6.5000000000000002E-2</v>
      </c>
      <c r="H88" s="29">
        <f t="shared" si="25"/>
        <v>6.8000000000000005E-2</v>
      </c>
      <c r="I88" s="29">
        <f t="shared" si="25"/>
        <v>6.5000000000000002E-2</v>
      </c>
      <c r="J88" s="30">
        <f t="shared" ref="J88:J103" si="29">AVERAGE(G88:I88)</f>
        <v>6.6000000000000003E-2</v>
      </c>
      <c r="K88" s="31">
        <f t="shared" ref="K88:K103" si="30">$E88*(1+0.5*MIN($G88:$I88))+MIN($G88:$I88)</f>
        <v>0.10077615925419006</v>
      </c>
      <c r="L88" s="28">
        <f t="shared" ref="L88:L103" si="31">F88+J88</f>
        <v>0.10179348427077806</v>
      </c>
      <c r="M88" s="12">
        <f t="shared" ref="M88:M103" si="32">$E88*(1+0.5*MAX($G88:$I88))+MAX($G88:$I88)</f>
        <v>0.10382813430395402</v>
      </c>
      <c r="O88" s="32"/>
    </row>
    <row r="89" spans="1:15" x14ac:dyDescent="0.2">
      <c r="A89" s="24" t="str">
        <f t="shared" si="24"/>
        <v>Ameren Corporation</v>
      </c>
      <c r="B89" s="26" t="str">
        <f t="shared" si="24"/>
        <v>AEE</v>
      </c>
      <c r="C89" s="27">
        <f t="shared" si="24"/>
        <v>2.52</v>
      </c>
      <c r="D89" s="27">
        <v>82.936023888888926</v>
      </c>
      <c r="E89" s="28">
        <f t="shared" si="27"/>
        <v>3.0384866332344256E-2</v>
      </c>
      <c r="F89" s="28">
        <f t="shared" si="28"/>
        <v>3.1336925477424379E-2</v>
      </c>
      <c r="G89" s="29">
        <f t="shared" si="25"/>
        <v>6.5000000000000002E-2</v>
      </c>
      <c r="H89" s="29">
        <f t="shared" si="25"/>
        <v>5.9000000000000004E-2</v>
      </c>
      <c r="I89" s="29">
        <f t="shared" si="25"/>
        <v>6.4000000000000001E-2</v>
      </c>
      <c r="J89" s="30">
        <f t="shared" si="29"/>
        <v>6.2666666666666662E-2</v>
      </c>
      <c r="K89" s="31">
        <f t="shared" si="30"/>
        <v>9.0281219889148417E-2</v>
      </c>
      <c r="L89" s="28">
        <f t="shared" si="31"/>
        <v>9.4003592144091042E-2</v>
      </c>
      <c r="M89" s="12">
        <f t="shared" si="32"/>
        <v>9.6372374488145451E-2</v>
      </c>
      <c r="O89" s="32"/>
    </row>
    <row r="90" spans="1:15" x14ac:dyDescent="0.2">
      <c r="A90" s="24" t="str">
        <f t="shared" si="24"/>
        <v>American Electric Power Company, Inc.</v>
      </c>
      <c r="B90" s="26" t="str">
        <f t="shared" si="24"/>
        <v>AEP</v>
      </c>
      <c r="C90" s="27">
        <f t="shared" si="24"/>
        <v>3.32</v>
      </c>
      <c r="D90" s="27">
        <v>85.493326666666675</v>
      </c>
      <c r="E90" s="28">
        <f t="shared" si="27"/>
        <v>3.8833440333237698E-2</v>
      </c>
      <c r="F90" s="28">
        <f t="shared" si="28"/>
        <v>3.9953137862846051E-2</v>
      </c>
      <c r="G90" s="29">
        <f t="shared" si="25"/>
        <v>6.5000000000000002E-2</v>
      </c>
      <c r="H90" s="29">
        <f t="shared" si="25"/>
        <v>5.2000000000000005E-2</v>
      </c>
      <c r="I90" s="29">
        <f t="shared" si="25"/>
        <v>5.5999999999999994E-2</v>
      </c>
      <c r="J90" s="30">
        <f t="shared" si="29"/>
        <v>5.7666666666666665E-2</v>
      </c>
      <c r="K90" s="31">
        <f t="shared" si="30"/>
        <v>9.1843109781901883E-2</v>
      </c>
      <c r="L90" s="28">
        <f t="shared" si="31"/>
        <v>9.7619804529512716E-2</v>
      </c>
      <c r="M90" s="12">
        <f t="shared" si="32"/>
        <v>0.10509552714406792</v>
      </c>
      <c r="O90" s="32"/>
    </row>
    <row r="91" spans="1:15" x14ac:dyDescent="0.2">
      <c r="A91" s="24" t="str">
        <f t="shared" si="24"/>
        <v>Avista Corporation</v>
      </c>
      <c r="B91" s="26" t="str">
        <f t="shared" si="24"/>
        <v>AVA</v>
      </c>
      <c r="C91" s="27">
        <f t="shared" si="24"/>
        <v>1.84</v>
      </c>
      <c r="D91" s="27">
        <v>38.925912777777782</v>
      </c>
      <c r="E91" s="28">
        <f t="shared" si="27"/>
        <v>4.7269283330728426E-2</v>
      </c>
      <c r="F91" s="28">
        <f t="shared" si="28"/>
        <v>4.8774022183423284E-2</v>
      </c>
      <c r="G91" s="29">
        <f t="shared" si="25"/>
        <v>6.5000000000000002E-2</v>
      </c>
      <c r="H91" s="29">
        <f t="shared" si="25"/>
        <v>6.3E-2</v>
      </c>
      <c r="I91" s="29">
        <f t="shared" si="25"/>
        <v>6.3E-2</v>
      </c>
      <c r="J91" s="30">
        <f t="shared" si="29"/>
        <v>6.3666666666666663E-2</v>
      </c>
      <c r="K91" s="31">
        <f t="shared" si="30"/>
        <v>0.11175826575564637</v>
      </c>
      <c r="L91" s="28">
        <f t="shared" si="31"/>
        <v>0.11244068885008995</v>
      </c>
      <c r="M91" s="12">
        <f t="shared" si="32"/>
        <v>0.1138055350389771</v>
      </c>
      <c r="O91" s="32"/>
    </row>
    <row r="92" spans="1:15" x14ac:dyDescent="0.2">
      <c r="A92" s="24" t="str">
        <f t="shared" si="24"/>
        <v>CMS Energy Corporation</v>
      </c>
      <c r="B92" s="26" t="str">
        <f t="shared" si="24"/>
        <v>CMS</v>
      </c>
      <c r="C92" s="27">
        <f t="shared" si="24"/>
        <v>1.95</v>
      </c>
      <c r="D92" s="27">
        <v>59.072511666666699</v>
      </c>
      <c r="E92" s="28">
        <f t="shared" si="27"/>
        <v>3.3010277453639089E-2</v>
      </c>
      <c r="F92" s="28">
        <f t="shared" si="28"/>
        <v>3.4119972947372255E-2</v>
      </c>
      <c r="G92" s="29">
        <f t="shared" si="25"/>
        <v>6.5000000000000002E-2</v>
      </c>
      <c r="H92" s="29">
        <f t="shared" si="25"/>
        <v>5.8700000000000002E-2</v>
      </c>
      <c r="I92" s="29">
        <f t="shared" si="25"/>
        <v>7.8E-2</v>
      </c>
      <c r="J92" s="30">
        <f t="shared" si="29"/>
        <v>6.7233333333333326E-2</v>
      </c>
      <c r="K92" s="31">
        <f t="shared" si="30"/>
        <v>9.2679129096903401E-2</v>
      </c>
      <c r="L92" s="28">
        <f t="shared" si="31"/>
        <v>0.10135330628070557</v>
      </c>
      <c r="M92" s="12">
        <f t="shared" si="32"/>
        <v>0.11229767827433101</v>
      </c>
      <c r="O92" s="32"/>
    </row>
    <row r="93" spans="1:15" x14ac:dyDescent="0.2">
      <c r="A93" s="24" t="str">
        <f t="shared" si="24"/>
        <v>Duke Energy Corporation</v>
      </c>
      <c r="B93" s="26" t="str">
        <f t="shared" si="24"/>
        <v>DUK</v>
      </c>
      <c r="C93" s="27">
        <f t="shared" si="24"/>
        <v>4.0999999999999996</v>
      </c>
      <c r="D93" s="27">
        <v>93.085865555555571</v>
      </c>
      <c r="E93" s="28">
        <f t="shared" si="27"/>
        <v>4.4045355065781007E-2</v>
      </c>
      <c r="F93" s="28">
        <f t="shared" si="28"/>
        <v>4.5333681701455103E-2</v>
      </c>
      <c r="G93" s="29">
        <f t="shared" si="25"/>
        <v>0.05</v>
      </c>
      <c r="H93" s="29">
        <f t="shared" si="25"/>
        <v>6.4500000000000002E-2</v>
      </c>
      <c r="I93" s="29">
        <f t="shared" si="25"/>
        <v>6.0999999999999999E-2</v>
      </c>
      <c r="J93" s="30">
        <f t="shared" si="29"/>
        <v>5.8499999999999996E-2</v>
      </c>
      <c r="K93" s="31">
        <f t="shared" si="30"/>
        <v>9.5146488942425528E-2</v>
      </c>
      <c r="L93" s="28">
        <f t="shared" si="31"/>
        <v>0.1038336817014551</v>
      </c>
      <c r="M93" s="12">
        <f t="shared" si="32"/>
        <v>0.10996581776665244</v>
      </c>
      <c r="O93" s="32"/>
    </row>
    <row r="94" spans="1:15" x14ac:dyDescent="0.2">
      <c r="A94" s="24" t="str">
        <f t="shared" si="24"/>
        <v>Entergy Corporation</v>
      </c>
      <c r="B94" s="26" t="str">
        <f t="shared" si="24"/>
        <v>ETR</v>
      </c>
      <c r="C94" s="27">
        <f t="shared" si="24"/>
        <v>4.28</v>
      </c>
      <c r="D94" s="27">
        <v>100.7174644444444</v>
      </c>
      <c r="E94" s="28">
        <f t="shared" si="27"/>
        <v>4.2495112675923666E-2</v>
      </c>
      <c r="F94" s="28">
        <f t="shared" si="28"/>
        <v>4.340167507967671E-2</v>
      </c>
      <c r="G94" s="29">
        <f t="shared" si="25"/>
        <v>5.0000000000000001E-3</v>
      </c>
      <c r="H94" s="29">
        <f t="shared" si="25"/>
        <v>6.6000000000000003E-2</v>
      </c>
      <c r="I94" s="29">
        <f t="shared" si="25"/>
        <v>5.7000000000000002E-2</v>
      </c>
      <c r="J94" s="30">
        <f t="shared" si="29"/>
        <v>4.2666666666666665E-2</v>
      </c>
      <c r="K94" s="31">
        <f t="shared" si="30"/>
        <v>4.7601350457613469E-2</v>
      </c>
      <c r="L94" s="28">
        <f t="shared" si="31"/>
        <v>8.6068341746343369E-2</v>
      </c>
      <c r="M94" s="12">
        <f t="shared" si="32"/>
        <v>0.10989745139422916</v>
      </c>
      <c r="O94" s="32"/>
    </row>
    <row r="95" spans="1:15" x14ac:dyDescent="0.2">
      <c r="A95" s="24" t="str">
        <f t="shared" si="24"/>
        <v>Evergy, Inc.</v>
      </c>
      <c r="B95" s="26" t="str">
        <f t="shared" si="24"/>
        <v>EVRG</v>
      </c>
      <c r="C95" s="27">
        <f t="shared" si="24"/>
        <v>2.4500000000000002</v>
      </c>
      <c r="D95" s="27">
        <v>58.172496666666696</v>
      </c>
      <c r="E95" s="28">
        <f t="shared" ref="E95" si="33">C95/D95</f>
        <v>4.2116122573158693E-2</v>
      </c>
      <c r="F95" s="28">
        <f t="shared" ref="F95" si="34">IFERROR(E95*(1+0.5*J95),"")</f>
        <v>4.3194997246407775E-2</v>
      </c>
      <c r="G95" s="29">
        <f t="shared" si="25"/>
        <v>7.4999999999999997E-2</v>
      </c>
      <c r="H95" s="29">
        <f t="shared" si="25"/>
        <v>2.6699999999999998E-2</v>
      </c>
      <c r="I95" s="29">
        <f t="shared" si="25"/>
        <v>5.2000000000000005E-2</v>
      </c>
      <c r="J95" s="30">
        <f t="shared" ref="J95" si="35">AVERAGE(G95:I95)</f>
        <v>5.1233333333333332E-2</v>
      </c>
      <c r="K95" s="31">
        <f t="shared" si="30"/>
        <v>6.9378372809510355E-2</v>
      </c>
      <c r="L95" s="28">
        <f t="shared" ref="L95" si="36">F95+J95</f>
        <v>9.4428330579741107E-2</v>
      </c>
      <c r="M95" s="12">
        <f t="shared" si="32"/>
        <v>0.11869547716965215</v>
      </c>
      <c r="O95" s="32"/>
    </row>
    <row r="96" spans="1:15" x14ac:dyDescent="0.2">
      <c r="A96" s="24" t="str">
        <f t="shared" si="24"/>
        <v>IDACORP, Inc.</v>
      </c>
      <c r="B96" s="26" t="str">
        <f t="shared" si="24"/>
        <v>IDA</v>
      </c>
      <c r="C96" s="27">
        <f t="shared" si="24"/>
        <v>3.16</v>
      </c>
      <c r="D96" s="27">
        <v>102.5656527777778</v>
      </c>
      <c r="E96" s="28">
        <f t="shared" si="27"/>
        <v>3.0809534326725951E-2</v>
      </c>
      <c r="F96" s="28">
        <f t="shared" si="28"/>
        <v>3.1446264702811616E-2</v>
      </c>
      <c r="G96" s="29">
        <f t="shared" si="25"/>
        <v>0.05</v>
      </c>
      <c r="H96" s="29">
        <f t="shared" si="25"/>
        <v>3.7000000000000005E-2</v>
      </c>
      <c r="I96" s="29">
        <f t="shared" si="25"/>
        <v>3.7000000000000005E-2</v>
      </c>
      <c r="J96" s="30">
        <f t="shared" si="29"/>
        <v>4.133333333333334E-2</v>
      </c>
      <c r="K96" s="31">
        <f t="shared" si="30"/>
        <v>6.8379510711770383E-2</v>
      </c>
      <c r="L96" s="28">
        <f t="shared" si="31"/>
        <v>7.2779598036144949E-2</v>
      </c>
      <c r="M96" s="12">
        <f t="shared" si="32"/>
        <v>8.1579772684894108E-2</v>
      </c>
      <c r="O96" s="32"/>
    </row>
    <row r="97" spans="1:15" x14ac:dyDescent="0.2">
      <c r="A97" s="24" t="str">
        <f t="shared" si="24"/>
        <v>NextEra Energy, Inc.</v>
      </c>
      <c r="B97" s="26" t="str">
        <f t="shared" si="24"/>
        <v>NEE</v>
      </c>
      <c r="C97" s="27">
        <f t="shared" si="24"/>
        <v>1.87</v>
      </c>
      <c r="D97" s="27">
        <v>72.749349999999993</v>
      </c>
      <c r="E97" s="28">
        <f t="shared" si="27"/>
        <v>2.5704697017911504E-2</v>
      </c>
      <c r="F97" s="28">
        <f t="shared" si="28"/>
        <v>2.6848556035208564E-2</v>
      </c>
      <c r="G97" s="29">
        <f t="shared" si="25"/>
        <v>9.5000000000000001E-2</v>
      </c>
      <c r="H97" s="29">
        <f t="shared" si="25"/>
        <v>8.8000000000000009E-2</v>
      </c>
      <c r="I97" s="29">
        <f t="shared" si="25"/>
        <v>8.4000000000000005E-2</v>
      </c>
      <c r="J97" s="30">
        <f t="shared" si="29"/>
        <v>8.900000000000001E-2</v>
      </c>
      <c r="K97" s="31">
        <f t="shared" si="30"/>
        <v>0.11078429429266379</v>
      </c>
      <c r="L97" s="28">
        <f t="shared" si="31"/>
        <v>0.11584855603520858</v>
      </c>
      <c r="M97" s="12">
        <f t="shared" si="32"/>
        <v>0.12192567012626231</v>
      </c>
      <c r="O97" s="32"/>
    </row>
    <row r="98" spans="1:15" x14ac:dyDescent="0.2">
      <c r="A98" s="24" t="str">
        <f t="shared" si="24"/>
        <v>NorthWestern Corporation</v>
      </c>
      <c r="B98" s="26" t="str">
        <f t="shared" si="24"/>
        <v>NWE</v>
      </c>
      <c r="C98" s="27">
        <f t="shared" si="24"/>
        <v>2.56</v>
      </c>
      <c r="D98" s="27">
        <v>55.007789999999993</v>
      </c>
      <c r="E98" s="28">
        <f t="shared" si="27"/>
        <v>4.6538862950138524E-2</v>
      </c>
      <c r="F98" s="28">
        <f t="shared" si="28"/>
        <v>4.7497563526911375E-2</v>
      </c>
      <c r="G98" s="29">
        <f t="shared" si="25"/>
        <v>3.5000000000000003E-2</v>
      </c>
      <c r="H98" s="29">
        <f t="shared" si="25"/>
        <v>3.6600000000000001E-2</v>
      </c>
      <c r="I98" s="29">
        <f t="shared" si="25"/>
        <v>5.2000000000000005E-2</v>
      </c>
      <c r="J98" s="30">
        <f t="shared" si="29"/>
        <v>4.1200000000000001E-2</v>
      </c>
      <c r="K98" s="31">
        <f t="shared" si="30"/>
        <v>8.2353293051765947E-2</v>
      </c>
      <c r="L98" s="28">
        <f t="shared" si="31"/>
        <v>8.8697563526911383E-2</v>
      </c>
      <c r="M98" s="12">
        <f t="shared" si="32"/>
        <v>9.974887338684213E-2</v>
      </c>
      <c r="O98" s="32"/>
    </row>
    <row r="99" spans="1:15" x14ac:dyDescent="0.2">
      <c r="A99" s="24" t="str">
        <f t="shared" si="24"/>
        <v>OGE Energy Corporation</v>
      </c>
      <c r="B99" s="26" t="str">
        <f t="shared" si="24"/>
        <v>OGE</v>
      </c>
      <c r="C99" s="27">
        <f t="shared" si="24"/>
        <v>1.6564000000000001</v>
      </c>
      <c r="D99" s="27">
        <v>35.955157222222212</v>
      </c>
      <c r="E99" s="28">
        <f t="shared" si="27"/>
        <v>4.6068495536330356E-2</v>
      </c>
      <c r="F99" s="28">
        <f t="shared" si="28"/>
        <v>4.7243242172506784E-2</v>
      </c>
      <c r="G99" s="29">
        <f t="shared" si="25"/>
        <v>6.5000000000000002E-2</v>
      </c>
      <c r="H99" s="29" t="str">
        <f t="shared" si="25"/>
        <v>negative</v>
      </c>
      <c r="I99" s="29">
        <f t="shared" si="25"/>
        <v>3.7000000000000005E-2</v>
      </c>
      <c r="J99" s="30">
        <f t="shared" si="29"/>
        <v>5.1000000000000004E-2</v>
      </c>
      <c r="K99" s="31">
        <f t="shared" si="30"/>
        <v>8.3920762703752469E-2</v>
      </c>
      <c r="L99" s="28">
        <f t="shared" si="31"/>
        <v>9.8243242172506795E-2</v>
      </c>
      <c r="M99" s="12">
        <f t="shared" si="32"/>
        <v>0.11256572164126109</v>
      </c>
      <c r="O99" s="32"/>
    </row>
    <row r="100" spans="1:15" x14ac:dyDescent="0.2">
      <c r="A100" s="24" t="str">
        <f t="shared" si="24"/>
        <v>Pinnacle West Capital Corporation</v>
      </c>
      <c r="B100" s="26" t="str">
        <f t="shared" si="24"/>
        <v>PNW</v>
      </c>
      <c r="C100" s="27">
        <f t="shared" si="24"/>
        <v>3.46</v>
      </c>
      <c r="D100" s="27">
        <v>77.306815555555602</v>
      </c>
      <c r="E100" s="28">
        <f t="shared" si="27"/>
        <v>4.4756726494748877E-2</v>
      </c>
      <c r="F100" s="28">
        <f t="shared" si="28"/>
        <v>4.5987536473354476E-2</v>
      </c>
      <c r="G100" s="29">
        <f t="shared" si="25"/>
        <v>2.5000000000000001E-2</v>
      </c>
      <c r="H100" s="29">
        <f t="shared" si="25"/>
        <v>7.4999999999999997E-2</v>
      </c>
      <c r="I100" s="29">
        <f t="shared" si="25"/>
        <v>6.5000000000000002E-2</v>
      </c>
      <c r="J100" s="30">
        <f t="shared" si="29"/>
        <v>5.5E-2</v>
      </c>
      <c r="K100" s="31">
        <f t="shared" si="30"/>
        <v>7.0316185575933235E-2</v>
      </c>
      <c r="L100" s="28">
        <f t="shared" si="31"/>
        <v>0.10098753647335448</v>
      </c>
      <c r="M100" s="12">
        <f t="shared" si="32"/>
        <v>0.12143510373830196</v>
      </c>
      <c r="O100" s="32"/>
    </row>
    <row r="101" spans="1:15" x14ac:dyDescent="0.2">
      <c r="A101" s="24" t="str">
        <f t="shared" si="24"/>
        <v>Portland General Electric Company</v>
      </c>
      <c r="B101" s="26" t="str">
        <f t="shared" si="24"/>
        <v>POR</v>
      </c>
      <c r="C101" s="27">
        <f t="shared" si="24"/>
        <v>1.9</v>
      </c>
      <c r="D101" s="27">
        <v>46.52510999999997</v>
      </c>
      <c r="E101" s="28">
        <f t="shared" si="27"/>
        <v>4.0838162446042603E-2</v>
      </c>
      <c r="F101" s="28">
        <f t="shared" si="28"/>
        <v>4.198843735493947E-2</v>
      </c>
      <c r="G101" s="29">
        <f t="shared" si="25"/>
        <v>0.05</v>
      </c>
      <c r="H101" s="29">
        <f t="shared" si="25"/>
        <v>5.9000000000000004E-2</v>
      </c>
      <c r="I101" s="29">
        <f t="shared" si="25"/>
        <v>0.06</v>
      </c>
      <c r="J101" s="30">
        <f t="shared" si="29"/>
        <v>5.6333333333333339E-2</v>
      </c>
      <c r="K101" s="31">
        <f t="shared" si="30"/>
        <v>9.1859116507193667E-2</v>
      </c>
      <c r="L101" s="28">
        <f t="shared" si="31"/>
        <v>9.8321770688272803E-2</v>
      </c>
      <c r="M101" s="12">
        <f t="shared" si="32"/>
        <v>0.10206330731942388</v>
      </c>
      <c r="O101" s="32"/>
    </row>
    <row r="102" spans="1:15" x14ac:dyDescent="0.2">
      <c r="A102" s="24" t="str">
        <f t="shared" si="24"/>
        <v>Southern Company</v>
      </c>
      <c r="B102" s="26" t="str">
        <f t="shared" si="24"/>
        <v>SO</v>
      </c>
      <c r="C102" s="27">
        <f t="shared" si="24"/>
        <v>2.8</v>
      </c>
      <c r="D102" s="27">
        <v>68.41925333333333</v>
      </c>
      <c r="E102" s="28">
        <f t="shared" si="27"/>
        <v>4.092415312337034E-2</v>
      </c>
      <c r="F102" s="28">
        <f t="shared" si="28"/>
        <v>4.2138236332696997E-2</v>
      </c>
      <c r="G102" s="29">
        <f t="shared" si="25"/>
        <v>6.5000000000000002E-2</v>
      </c>
      <c r="H102" s="29">
        <f t="shared" si="25"/>
        <v>7.2999999999999995E-2</v>
      </c>
      <c r="I102" s="29">
        <f t="shared" si="25"/>
        <v>0.04</v>
      </c>
      <c r="J102" s="30">
        <f t="shared" si="29"/>
        <v>5.9333333333333342E-2</v>
      </c>
      <c r="K102" s="31">
        <f t="shared" si="30"/>
        <v>8.1742636185837741E-2</v>
      </c>
      <c r="L102" s="28">
        <f t="shared" si="31"/>
        <v>0.10147156966603034</v>
      </c>
      <c r="M102" s="12">
        <f t="shared" si="32"/>
        <v>0.11541788471237335</v>
      </c>
      <c r="O102" s="32"/>
    </row>
    <row r="103" spans="1:15" x14ac:dyDescent="0.2">
      <c r="A103" s="24" t="str">
        <f t="shared" si="24"/>
        <v>Xcel Energy Inc.</v>
      </c>
      <c r="B103" s="26" t="str">
        <f t="shared" si="24"/>
        <v>XEL</v>
      </c>
      <c r="C103" s="27">
        <f t="shared" si="24"/>
        <v>2.08</v>
      </c>
      <c r="D103" s="27">
        <v>63.526087777777796</v>
      </c>
      <c r="E103" s="28">
        <f t="shared" si="27"/>
        <v>3.2742453891952239E-2</v>
      </c>
      <c r="F103" s="28">
        <f t="shared" si="28"/>
        <v>3.3746555811305437E-2</v>
      </c>
      <c r="G103" s="29">
        <f t="shared" si="25"/>
        <v>0.06</v>
      </c>
      <c r="H103" s="29">
        <f t="shared" si="25"/>
        <v>6.3E-2</v>
      </c>
      <c r="I103" s="29">
        <f t="shared" si="25"/>
        <v>6.0999999999999999E-2</v>
      </c>
      <c r="J103" s="30">
        <f t="shared" si="29"/>
        <v>6.133333333333333E-2</v>
      </c>
      <c r="K103" s="31">
        <f t="shared" si="30"/>
        <v>9.3724727508710803E-2</v>
      </c>
      <c r="L103" s="28">
        <f t="shared" si="31"/>
        <v>9.5079889144638774E-2</v>
      </c>
      <c r="M103" s="12">
        <f t="shared" si="32"/>
        <v>9.6773841189548737E-2</v>
      </c>
      <c r="O103" s="32"/>
    </row>
    <row r="104" spans="1:15" x14ac:dyDescent="0.2">
      <c r="A104" s="47"/>
      <c r="B104" s="48"/>
      <c r="C104" s="33"/>
      <c r="D104" s="33"/>
      <c r="E104" s="33"/>
      <c r="F104" s="33"/>
      <c r="G104" s="49"/>
      <c r="H104" s="49"/>
      <c r="I104" s="49"/>
      <c r="J104" s="35"/>
      <c r="K104" s="36"/>
      <c r="L104" s="36"/>
      <c r="M104" s="36"/>
    </row>
    <row r="105" spans="1:15" x14ac:dyDescent="0.2">
      <c r="A105" s="37" t="s">
        <v>2</v>
      </c>
      <c r="B105" s="38"/>
      <c r="C105" s="39"/>
      <c r="D105" s="39"/>
      <c r="E105" s="40">
        <f t="shared" ref="E105:M105" si="37">AVERAGE(E87:E103)</f>
        <v>3.9242127713744183E-2</v>
      </c>
      <c r="F105" s="40">
        <f t="shared" si="37"/>
        <v>4.0378367151633773E-2</v>
      </c>
      <c r="G105" s="40">
        <f t="shared" si="37"/>
        <v>5.6470588235294127E-2</v>
      </c>
      <c r="H105" s="40">
        <f t="shared" si="37"/>
        <v>6.0656249999999995E-2</v>
      </c>
      <c r="I105" s="40">
        <f t="shared" si="37"/>
        <v>5.9588235294117657E-2</v>
      </c>
      <c r="J105" s="40">
        <f t="shared" si="37"/>
        <v>5.8715686274509807E-2</v>
      </c>
      <c r="K105" s="40">
        <f t="shared" si="37"/>
        <v>8.763829851545786E-2</v>
      </c>
      <c r="L105" s="40">
        <f t="shared" si="37"/>
        <v>9.9094053426143594E-2</v>
      </c>
      <c r="M105" s="40">
        <f t="shared" si="37"/>
        <v>0.10883863957988189</v>
      </c>
    </row>
    <row r="106" spans="1:15" x14ac:dyDescent="0.2">
      <c r="A106" s="24" t="s">
        <v>8</v>
      </c>
      <c r="E106" s="41">
        <f t="shared" ref="E106:M106" si="38">MEDIAN(E87:E103)</f>
        <v>4.092415312337034E-2</v>
      </c>
      <c r="F106" s="41">
        <f t="shared" si="38"/>
        <v>4.2138236332696997E-2</v>
      </c>
      <c r="G106" s="41">
        <f t="shared" si="38"/>
        <v>6.5000000000000002E-2</v>
      </c>
      <c r="H106" s="41">
        <f t="shared" si="38"/>
        <v>6.3E-2</v>
      </c>
      <c r="I106" s="41">
        <f t="shared" si="38"/>
        <v>6.0999999999999999E-2</v>
      </c>
      <c r="J106" s="41">
        <f t="shared" si="38"/>
        <v>5.8499999999999996E-2</v>
      </c>
      <c r="K106" s="41">
        <f t="shared" si="38"/>
        <v>9.1843109781901883E-2</v>
      </c>
      <c r="L106" s="41">
        <f t="shared" si="38"/>
        <v>9.8321770688272803E-2</v>
      </c>
      <c r="M106" s="41">
        <f t="shared" si="38"/>
        <v>0.10996581776665244</v>
      </c>
    </row>
    <row r="108" spans="1:15" x14ac:dyDescent="0.2">
      <c r="A108" s="42" t="s">
        <v>62</v>
      </c>
    </row>
    <row r="109" spans="1:15" x14ac:dyDescent="0.2">
      <c r="A109" s="43" t="s">
        <v>1389</v>
      </c>
    </row>
    <row r="110" spans="1:15" x14ac:dyDescent="0.2">
      <c r="A110" s="43" t="s">
        <v>1405</v>
      </c>
    </row>
    <row r="111" spans="1:15" x14ac:dyDescent="0.2">
      <c r="A111" s="25" t="s">
        <v>79</v>
      </c>
    </row>
    <row r="112" spans="1:15" x14ac:dyDescent="0.2">
      <c r="A112" s="25" t="s">
        <v>80</v>
      </c>
    </row>
    <row r="113" spans="1:1" x14ac:dyDescent="0.2">
      <c r="A113" s="25" t="s">
        <v>1390</v>
      </c>
    </row>
    <row r="114" spans="1:1" x14ac:dyDescent="0.2">
      <c r="A114" s="25" t="s">
        <v>1391</v>
      </c>
    </row>
    <row r="115" spans="1:1" x14ac:dyDescent="0.2">
      <c r="A115" s="25" t="s">
        <v>1392</v>
      </c>
    </row>
    <row r="116" spans="1:1" x14ac:dyDescent="0.2">
      <c r="A116" s="45" t="s">
        <v>81</v>
      </c>
    </row>
    <row r="117" spans="1:1" x14ac:dyDescent="0.2">
      <c r="A117" s="45" t="s">
        <v>82</v>
      </c>
    </row>
    <row r="118" spans="1:1" x14ac:dyDescent="0.2">
      <c r="A118" s="46" t="s">
        <v>83</v>
      </c>
    </row>
    <row r="119" spans="1:1" x14ac:dyDescent="0.2">
      <c r="A119" s="45" t="s">
        <v>84</v>
      </c>
    </row>
    <row r="120" spans="1:1" x14ac:dyDescent="0.2">
      <c r="A120" s="43"/>
    </row>
    <row r="121" spans="1:1" x14ac:dyDescent="0.2">
      <c r="A121" s="43"/>
    </row>
  </sheetData>
  <mergeCells count="3">
    <mergeCell ref="A2:M2"/>
    <mergeCell ref="A42:M42"/>
    <mergeCell ref="A82:M82"/>
  </mergeCells>
  <pageMargins left="0.7" right="0.7" top="0.75" bottom="0.75" header="0.3" footer="0.3"/>
  <pageSetup scale="66" fitToHeight="3" orientation="landscape" useFirstPageNumber="1" horizontalDpi="300" verticalDpi="300" r:id="rId1"/>
  <rowBreaks count="2" manualBreakCount="2">
    <brk id="40" max="12" man="1"/>
    <brk id="8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323"/>
  <sheetViews>
    <sheetView view="pageBreakPreview" topLeftCell="C1" zoomScaleNormal="50" zoomScaleSheetLayoutView="100" zoomScalePageLayoutView="90" workbookViewId="0">
      <selection activeCell="H3" sqref="H3"/>
    </sheetView>
  </sheetViews>
  <sheetFormatPr defaultColWidth="9.140625" defaultRowHeight="12.75" x14ac:dyDescent="0.2"/>
  <cols>
    <col min="1" max="1" width="5.5703125" style="50" customWidth="1"/>
    <col min="2" max="2" width="36" style="50" customWidth="1"/>
    <col min="3" max="3" width="9.140625" style="50"/>
    <col min="4" max="4" width="20.42578125" style="50" customWidth="1"/>
    <col min="5" max="5" width="9.42578125" style="50" bestFit="1" customWidth="1"/>
    <col min="6" max="6" width="9.140625" style="50"/>
    <col min="7" max="7" width="9.42578125" style="50" customWidth="1"/>
    <col min="8" max="11" width="9.140625" style="50"/>
    <col min="12" max="12" width="15.85546875" style="50" customWidth="1"/>
    <col min="13" max="16384" width="9.140625" style="50"/>
  </cols>
  <sheetData>
    <row r="2" spans="2:12" ht="13.35" customHeight="1" x14ac:dyDescent="0.2">
      <c r="B2" s="291" t="s">
        <v>85</v>
      </c>
      <c r="C2" s="291"/>
      <c r="D2" s="291"/>
      <c r="E2" s="291"/>
      <c r="F2" s="291"/>
      <c r="G2" s="291"/>
      <c r="H2" s="291"/>
      <c r="I2" s="291"/>
    </row>
    <row r="4" spans="2:12" x14ac:dyDescent="0.2">
      <c r="B4" s="291" t="s">
        <v>86</v>
      </c>
      <c r="C4" s="291"/>
      <c r="D4" s="291"/>
      <c r="E4" s="291"/>
      <c r="F4" s="291"/>
      <c r="G4" s="291"/>
      <c r="H4" s="291"/>
      <c r="I4" s="291"/>
    </row>
    <row r="5" spans="2:12" x14ac:dyDescent="0.2">
      <c r="B5" s="291" t="s">
        <v>87</v>
      </c>
      <c r="C5" s="291"/>
      <c r="D5" s="291"/>
      <c r="E5" s="291"/>
      <c r="F5" s="291"/>
      <c r="G5" s="291"/>
      <c r="H5" s="291"/>
      <c r="I5" s="291"/>
    </row>
    <row r="7" spans="2:12" ht="13.5" thickBot="1" x14ac:dyDescent="0.25">
      <c r="D7" s="51" t="s">
        <v>14</v>
      </c>
      <c r="E7" s="51" t="s">
        <v>15</v>
      </c>
      <c r="F7" s="51" t="s">
        <v>16</v>
      </c>
      <c r="G7" s="51" t="s">
        <v>17</v>
      </c>
      <c r="H7" s="51" t="s">
        <v>18</v>
      </c>
      <c r="I7" s="51" t="s">
        <v>19</v>
      </c>
    </row>
    <row r="8" spans="2:12" ht="63.75" customHeight="1" x14ac:dyDescent="0.2">
      <c r="B8" s="9" t="s">
        <v>20</v>
      </c>
      <c r="C8" s="9" t="s">
        <v>21</v>
      </c>
      <c r="D8" s="10" t="s">
        <v>88</v>
      </c>
      <c r="E8" s="10" t="s">
        <v>89</v>
      </c>
      <c r="F8" s="10" t="s">
        <v>90</v>
      </c>
      <c r="G8" s="10" t="s">
        <v>91</v>
      </c>
      <c r="H8" s="52" t="s">
        <v>92</v>
      </c>
      <c r="I8" s="52" t="s">
        <v>93</v>
      </c>
    </row>
    <row r="9" spans="2:12" x14ac:dyDescent="0.2">
      <c r="B9" s="50" t="str">
        <f>'AEB-17 CGDCF'!A7</f>
        <v>ALLETE, Inc.</v>
      </c>
      <c r="C9" s="50" t="str">
        <f>'AEB-17 CGDCF'!B7</f>
        <v>ALE</v>
      </c>
      <c r="D9" s="53">
        <v>4.4176666666666663E-2</v>
      </c>
      <c r="E9" s="54">
        <v>0.9</v>
      </c>
      <c r="F9" s="13">
        <f>'AEB-20 MktRet'!B8</f>
        <v>0.12084249683823237</v>
      </c>
      <c r="G9" s="55">
        <f>F9-D9</f>
        <v>7.6665830171565696E-2</v>
      </c>
      <c r="H9" s="55">
        <f>IFERROR(G9*E9+D9, "")</f>
        <v>0.11317591382107578</v>
      </c>
      <c r="I9" s="55">
        <f>IFERROR((0.25*G9)+(0.75*E9*G9)+D9, "")</f>
        <v>0.11509255957536493</v>
      </c>
      <c r="L9" s="32"/>
    </row>
    <row r="10" spans="2:12" x14ac:dyDescent="0.2">
      <c r="B10" s="50" t="str">
        <f>'AEB-17 CGDCF'!A8</f>
        <v>Alliant Energy Corporation</v>
      </c>
      <c r="C10" s="50" t="str">
        <f>'AEB-17 CGDCF'!B8</f>
        <v>LNT</v>
      </c>
      <c r="D10" s="55">
        <f>D9</f>
        <v>4.4176666666666663E-2</v>
      </c>
      <c r="E10" s="56">
        <v>0.85</v>
      </c>
      <c r="F10" s="13">
        <f>F9</f>
        <v>0.12084249683823237</v>
      </c>
      <c r="G10" s="55">
        <f t="shared" ref="G10:G14" si="0">F10-D10</f>
        <v>7.6665830171565696E-2</v>
      </c>
      <c r="H10" s="55">
        <f t="shared" ref="H10:H14" si="1">IFERROR(G10*E10+D10, "")</f>
        <v>0.1093426223124975</v>
      </c>
      <c r="I10" s="55">
        <f t="shared" ref="I10:I14" si="2">IFERROR((0.25*G10)+(0.75*E10*G10)+D10, "")</f>
        <v>0.11221759094393122</v>
      </c>
      <c r="L10" s="32"/>
    </row>
    <row r="11" spans="2:12" x14ac:dyDescent="0.2">
      <c r="B11" s="50" t="str">
        <f>'AEB-17 CGDCF'!A9</f>
        <v>Ameren Corporation</v>
      </c>
      <c r="C11" s="50" t="str">
        <f>'AEB-17 CGDCF'!B9</f>
        <v>AEE</v>
      </c>
      <c r="D11" s="55">
        <f t="shared" ref="D11:D25" si="3">D10</f>
        <v>4.4176666666666663E-2</v>
      </c>
      <c r="E11" s="56">
        <v>0.85</v>
      </c>
      <c r="F11" s="13">
        <f t="shared" ref="F11:F25" si="4">F10</f>
        <v>0.12084249683823237</v>
      </c>
      <c r="G11" s="55">
        <f t="shared" si="0"/>
        <v>7.6665830171565696E-2</v>
      </c>
      <c r="H11" s="55">
        <f t="shared" si="1"/>
        <v>0.1093426223124975</v>
      </c>
      <c r="I11" s="55">
        <f t="shared" si="2"/>
        <v>0.11221759094393122</v>
      </c>
      <c r="L11" s="32"/>
    </row>
    <row r="12" spans="2:12" x14ac:dyDescent="0.2">
      <c r="B12" s="50" t="str">
        <f>'AEB-17 CGDCF'!A10</f>
        <v>American Electric Power Company, Inc.</v>
      </c>
      <c r="C12" s="50" t="str">
        <f>'AEB-17 CGDCF'!B10</f>
        <v>AEP</v>
      </c>
      <c r="D12" s="55">
        <f t="shared" si="3"/>
        <v>4.4176666666666663E-2</v>
      </c>
      <c r="E12" s="56">
        <v>0.8</v>
      </c>
      <c r="F12" s="13">
        <f t="shared" si="4"/>
        <v>0.12084249683823237</v>
      </c>
      <c r="G12" s="55">
        <f t="shared" si="0"/>
        <v>7.6665830171565696E-2</v>
      </c>
      <c r="H12" s="55">
        <f t="shared" si="1"/>
        <v>0.10550933080391922</v>
      </c>
      <c r="I12" s="55">
        <f t="shared" si="2"/>
        <v>0.10934262231249753</v>
      </c>
      <c r="L12" s="32"/>
    </row>
    <row r="13" spans="2:12" x14ac:dyDescent="0.2">
      <c r="B13" s="50" t="str">
        <f>'AEB-17 CGDCF'!A11</f>
        <v>Avista Corporation</v>
      </c>
      <c r="C13" s="50" t="str">
        <f>'AEB-17 CGDCF'!B11</f>
        <v>AVA</v>
      </c>
      <c r="D13" s="55">
        <f t="shared" si="3"/>
        <v>4.4176666666666663E-2</v>
      </c>
      <c r="E13" s="56">
        <v>0.9</v>
      </c>
      <c r="F13" s="13">
        <f t="shared" si="4"/>
        <v>0.12084249683823237</v>
      </c>
      <c r="G13" s="55">
        <f t="shared" si="0"/>
        <v>7.6665830171565696E-2</v>
      </c>
      <c r="H13" s="55">
        <f t="shared" si="1"/>
        <v>0.11317591382107578</v>
      </c>
      <c r="I13" s="55">
        <f t="shared" si="2"/>
        <v>0.11509255957536493</v>
      </c>
      <c r="L13" s="32"/>
    </row>
    <row r="14" spans="2:12" x14ac:dyDescent="0.2">
      <c r="B14" s="50" t="str">
        <f>'AEB-17 CGDCF'!A12</f>
        <v>CMS Energy Corporation</v>
      </c>
      <c r="C14" s="50" t="str">
        <f>'AEB-17 CGDCF'!B12</f>
        <v>CMS</v>
      </c>
      <c r="D14" s="55">
        <f t="shared" si="3"/>
        <v>4.4176666666666663E-2</v>
      </c>
      <c r="E14" s="56">
        <v>0.8</v>
      </c>
      <c r="F14" s="13">
        <f t="shared" si="4"/>
        <v>0.12084249683823237</v>
      </c>
      <c r="G14" s="55">
        <f t="shared" si="0"/>
        <v>7.6665830171565696E-2</v>
      </c>
      <c r="H14" s="55">
        <f t="shared" si="1"/>
        <v>0.10550933080391922</v>
      </c>
      <c r="I14" s="55">
        <f t="shared" si="2"/>
        <v>0.10934262231249753</v>
      </c>
      <c r="L14" s="32"/>
    </row>
    <row r="15" spans="2:12" x14ac:dyDescent="0.2">
      <c r="B15" s="50" t="str">
        <f>'AEB-17 CGDCF'!A13</f>
        <v>Duke Energy Corporation</v>
      </c>
      <c r="C15" s="50" t="str">
        <f>'AEB-17 CGDCF'!B13</f>
        <v>DUK</v>
      </c>
      <c r="D15" s="55">
        <f t="shared" si="3"/>
        <v>4.4176666666666663E-2</v>
      </c>
      <c r="E15" s="56">
        <v>0.85</v>
      </c>
      <c r="F15" s="13">
        <f t="shared" si="4"/>
        <v>0.12084249683823237</v>
      </c>
      <c r="G15" s="55">
        <f t="shared" ref="G15:G25" si="5">F15-D15</f>
        <v>7.6665830171565696E-2</v>
      </c>
      <c r="H15" s="55">
        <f t="shared" ref="H15:H25" si="6">IFERROR(G15*E15+D15, "")</f>
        <v>0.1093426223124975</v>
      </c>
      <c r="I15" s="55">
        <f t="shared" ref="I15:I25" si="7">IFERROR((0.25*G15)+(0.75*E15*G15)+D15, "")</f>
        <v>0.11221759094393122</v>
      </c>
      <c r="L15" s="32"/>
    </row>
    <row r="16" spans="2:12" x14ac:dyDescent="0.2">
      <c r="B16" s="50" t="str">
        <f>'AEB-17 CGDCF'!A14</f>
        <v>Entergy Corporation</v>
      </c>
      <c r="C16" s="50" t="str">
        <f>'AEB-17 CGDCF'!B14</f>
        <v>ETR</v>
      </c>
      <c r="D16" s="55">
        <f t="shared" si="3"/>
        <v>4.4176666666666663E-2</v>
      </c>
      <c r="E16" s="56">
        <v>0.95</v>
      </c>
      <c r="F16" s="13">
        <f t="shared" si="4"/>
        <v>0.12084249683823237</v>
      </c>
      <c r="G16" s="55">
        <f t="shared" si="5"/>
        <v>7.6665830171565696E-2</v>
      </c>
      <c r="H16" s="55">
        <f t="shared" si="6"/>
        <v>0.11700920532965406</v>
      </c>
      <c r="I16" s="55">
        <f t="shared" si="7"/>
        <v>0.11796752820679865</v>
      </c>
      <c r="L16" s="32"/>
    </row>
    <row r="17" spans="2:12" x14ac:dyDescent="0.2">
      <c r="B17" s="50" t="str">
        <f>'AEB-17 CGDCF'!A15</f>
        <v>Evergy, Inc.</v>
      </c>
      <c r="C17" s="50" t="str">
        <f>'AEB-17 CGDCF'!B15</f>
        <v>EVRG</v>
      </c>
      <c r="D17" s="55">
        <f t="shared" si="3"/>
        <v>4.4176666666666663E-2</v>
      </c>
      <c r="E17" s="56">
        <v>0.9</v>
      </c>
      <c r="F17" s="13">
        <f t="shared" si="4"/>
        <v>0.12084249683823237</v>
      </c>
      <c r="G17" s="55">
        <f t="shared" si="5"/>
        <v>7.6665830171565696E-2</v>
      </c>
      <c r="H17" s="55">
        <f t="shared" si="6"/>
        <v>0.11317591382107578</v>
      </c>
      <c r="I17" s="55">
        <f t="shared" si="7"/>
        <v>0.11509255957536493</v>
      </c>
      <c r="L17" s="32"/>
    </row>
    <row r="18" spans="2:12" x14ac:dyDescent="0.2">
      <c r="B18" s="50" t="str">
        <f>'AEB-17 CGDCF'!A16</f>
        <v>IDACORP, Inc.</v>
      </c>
      <c r="C18" s="50" t="str">
        <f>'AEB-17 CGDCF'!B16</f>
        <v>IDA</v>
      </c>
      <c r="D18" s="55">
        <f t="shared" si="3"/>
        <v>4.4176666666666663E-2</v>
      </c>
      <c r="E18" s="56">
        <v>0.8</v>
      </c>
      <c r="F18" s="13">
        <f t="shared" si="4"/>
        <v>0.12084249683823237</v>
      </c>
      <c r="G18" s="55">
        <f t="shared" si="5"/>
        <v>7.6665830171565696E-2</v>
      </c>
      <c r="H18" s="55">
        <f t="shared" si="6"/>
        <v>0.10550933080391922</v>
      </c>
      <c r="I18" s="55">
        <f t="shared" si="7"/>
        <v>0.10934262231249753</v>
      </c>
      <c r="L18" s="32"/>
    </row>
    <row r="19" spans="2:12" x14ac:dyDescent="0.2">
      <c r="B19" s="50" t="str">
        <f>'AEB-17 CGDCF'!A17</f>
        <v>NextEra Energy, Inc.</v>
      </c>
      <c r="C19" s="50" t="str">
        <f>'AEB-17 CGDCF'!B17</f>
        <v>NEE</v>
      </c>
      <c r="D19" s="55">
        <f t="shared" si="3"/>
        <v>4.4176666666666663E-2</v>
      </c>
      <c r="E19" s="56">
        <v>0.95</v>
      </c>
      <c r="F19" s="13">
        <f t="shared" si="4"/>
        <v>0.12084249683823237</v>
      </c>
      <c r="G19" s="55">
        <f t="shared" si="5"/>
        <v>7.6665830171565696E-2</v>
      </c>
      <c r="H19" s="55">
        <f t="shared" si="6"/>
        <v>0.11700920532965406</v>
      </c>
      <c r="I19" s="55">
        <f t="shared" si="7"/>
        <v>0.11796752820679865</v>
      </c>
      <c r="L19" s="32"/>
    </row>
    <row r="20" spans="2:12" x14ac:dyDescent="0.2">
      <c r="B20" s="50" t="str">
        <f>'AEB-17 CGDCF'!A18</f>
        <v>NorthWestern Corporation</v>
      </c>
      <c r="C20" s="50" t="str">
        <f>'AEB-17 CGDCF'!B18</f>
        <v>NWE</v>
      </c>
      <c r="D20" s="55">
        <f t="shared" si="3"/>
        <v>4.4176666666666663E-2</v>
      </c>
      <c r="E20" s="56">
        <v>0.95</v>
      </c>
      <c r="F20" s="13">
        <f t="shared" si="4"/>
        <v>0.12084249683823237</v>
      </c>
      <c r="G20" s="55">
        <f t="shared" si="5"/>
        <v>7.6665830171565696E-2</v>
      </c>
      <c r="H20" s="55">
        <f t="shared" si="6"/>
        <v>0.11700920532965406</v>
      </c>
      <c r="I20" s="55">
        <f t="shared" si="7"/>
        <v>0.11796752820679865</v>
      </c>
      <c r="L20" s="32"/>
    </row>
    <row r="21" spans="2:12" x14ac:dyDescent="0.2">
      <c r="B21" s="50" t="str">
        <f>'AEB-17 CGDCF'!A19</f>
        <v>OGE Energy Corporation</v>
      </c>
      <c r="C21" s="50" t="str">
        <f>'AEB-17 CGDCF'!B19</f>
        <v>OGE</v>
      </c>
      <c r="D21" s="55">
        <f t="shared" si="3"/>
        <v>4.4176666666666663E-2</v>
      </c>
      <c r="E21" s="56">
        <v>1.05</v>
      </c>
      <c r="F21" s="13">
        <f t="shared" si="4"/>
        <v>0.12084249683823237</v>
      </c>
      <c r="G21" s="55">
        <f t="shared" si="5"/>
        <v>7.6665830171565696E-2</v>
      </c>
      <c r="H21" s="55">
        <f t="shared" si="6"/>
        <v>0.12467578834681065</v>
      </c>
      <c r="I21" s="55">
        <f t="shared" si="7"/>
        <v>0.12371746546966608</v>
      </c>
      <c r="L21" s="32"/>
    </row>
    <row r="22" spans="2:12" x14ac:dyDescent="0.2">
      <c r="B22" s="50" t="str">
        <f>'AEB-17 CGDCF'!A20</f>
        <v>Pinnacle West Capital Corporation</v>
      </c>
      <c r="C22" s="50" t="str">
        <f>'AEB-17 CGDCF'!B20</f>
        <v>PNW</v>
      </c>
      <c r="D22" s="55">
        <f t="shared" si="3"/>
        <v>4.4176666666666663E-2</v>
      </c>
      <c r="E22" s="56">
        <v>0.9</v>
      </c>
      <c r="F22" s="13">
        <f t="shared" si="4"/>
        <v>0.12084249683823237</v>
      </c>
      <c r="G22" s="55">
        <f t="shared" si="5"/>
        <v>7.6665830171565696E-2</v>
      </c>
      <c r="H22" s="55">
        <f t="shared" si="6"/>
        <v>0.11317591382107578</v>
      </c>
      <c r="I22" s="55">
        <f t="shared" si="7"/>
        <v>0.11509255957536493</v>
      </c>
      <c r="L22" s="32"/>
    </row>
    <row r="23" spans="2:12" x14ac:dyDescent="0.2">
      <c r="B23" s="50" t="str">
        <f>'AEB-17 CGDCF'!A21</f>
        <v>Portland General Electric Company</v>
      </c>
      <c r="C23" s="50" t="str">
        <f>'AEB-17 CGDCF'!B21</f>
        <v>POR</v>
      </c>
      <c r="D23" s="55">
        <f t="shared" si="3"/>
        <v>4.4176666666666663E-2</v>
      </c>
      <c r="E23" s="56">
        <v>0.9</v>
      </c>
      <c r="F23" s="13">
        <f t="shared" si="4"/>
        <v>0.12084249683823237</v>
      </c>
      <c r="G23" s="55">
        <f t="shared" si="5"/>
        <v>7.6665830171565696E-2</v>
      </c>
      <c r="H23" s="55">
        <f t="shared" si="6"/>
        <v>0.11317591382107578</v>
      </c>
      <c r="I23" s="55">
        <f t="shared" si="7"/>
        <v>0.11509255957536493</v>
      </c>
      <c r="L23" s="32"/>
    </row>
    <row r="24" spans="2:12" x14ac:dyDescent="0.2">
      <c r="B24" s="50" t="str">
        <f>'AEB-17 CGDCF'!A22</f>
        <v>Southern Company</v>
      </c>
      <c r="C24" s="50" t="str">
        <f>'AEB-17 CGDCF'!B22</f>
        <v>SO</v>
      </c>
      <c r="D24" s="55">
        <f t="shared" si="3"/>
        <v>4.4176666666666663E-2</v>
      </c>
      <c r="E24" s="56">
        <v>0.9</v>
      </c>
      <c r="F24" s="13">
        <f t="shared" si="4"/>
        <v>0.12084249683823237</v>
      </c>
      <c r="G24" s="55">
        <f t="shared" si="5"/>
        <v>7.6665830171565696E-2</v>
      </c>
      <c r="H24" s="55">
        <f t="shared" si="6"/>
        <v>0.11317591382107578</v>
      </c>
      <c r="I24" s="55">
        <f t="shared" si="7"/>
        <v>0.11509255957536493</v>
      </c>
      <c r="L24" s="32"/>
    </row>
    <row r="25" spans="2:12" x14ac:dyDescent="0.2">
      <c r="B25" s="50" t="str">
        <f>'AEB-17 CGDCF'!A23</f>
        <v>Xcel Energy Inc.</v>
      </c>
      <c r="C25" s="50" t="str">
        <f>'AEB-17 CGDCF'!B23</f>
        <v>XEL</v>
      </c>
      <c r="D25" s="55">
        <f t="shared" si="3"/>
        <v>4.4176666666666663E-2</v>
      </c>
      <c r="E25" s="56">
        <v>0.85</v>
      </c>
      <c r="F25" s="13">
        <f t="shared" si="4"/>
        <v>0.12084249683823237</v>
      </c>
      <c r="G25" s="55">
        <f t="shared" si="5"/>
        <v>7.6665830171565696E-2</v>
      </c>
      <c r="H25" s="55">
        <f t="shared" si="6"/>
        <v>0.1093426223124975</v>
      </c>
      <c r="I25" s="55">
        <f t="shared" si="7"/>
        <v>0.11221759094393122</v>
      </c>
      <c r="L25" s="32"/>
    </row>
    <row r="26" spans="2:12" x14ac:dyDescent="0.2">
      <c r="B26" s="58" t="s">
        <v>2</v>
      </c>
      <c r="C26" s="58"/>
      <c r="D26" s="58"/>
      <c r="E26" s="54"/>
      <c r="F26" s="58"/>
      <c r="G26" s="58"/>
      <c r="H26" s="59">
        <f>AVERAGE(H9:H25)</f>
        <v>0.1122739628778809</v>
      </c>
      <c r="I26" s="59">
        <f>AVERAGE(I9:I25)</f>
        <v>0.11441609636796878</v>
      </c>
    </row>
    <row r="27" spans="2:12" ht="13.5" thickBot="1" x14ac:dyDescent="0.25">
      <c r="B27" s="60" t="s">
        <v>8</v>
      </c>
      <c r="C27" s="60"/>
      <c r="D27" s="60"/>
      <c r="E27" s="61"/>
      <c r="F27" s="60"/>
      <c r="G27" s="60"/>
      <c r="H27" s="62">
        <f>MEDIAN(H9:H25)</f>
        <v>0.11317591382107578</v>
      </c>
      <c r="I27" s="62">
        <f>MEDIAN(I9:I25)</f>
        <v>0.11509255957536493</v>
      </c>
    </row>
    <row r="29" spans="2:12" x14ac:dyDescent="0.2">
      <c r="B29" s="63" t="s">
        <v>62</v>
      </c>
    </row>
    <row r="30" spans="2:12" x14ac:dyDescent="0.2">
      <c r="B30" s="50" t="s">
        <v>1440</v>
      </c>
    </row>
    <row r="31" spans="2:12" x14ac:dyDescent="0.2">
      <c r="B31" s="50" t="s">
        <v>1393</v>
      </c>
    </row>
    <row r="32" spans="2:12" x14ac:dyDescent="0.2">
      <c r="B32" s="50" t="s">
        <v>1394</v>
      </c>
    </row>
    <row r="33" spans="2:9" x14ac:dyDescent="0.2">
      <c r="B33" s="50" t="s">
        <v>94</v>
      </c>
    </row>
    <row r="34" spans="2:9" x14ac:dyDescent="0.2">
      <c r="B34" s="50" t="s">
        <v>95</v>
      </c>
    </row>
    <row r="35" spans="2:9" x14ac:dyDescent="0.2">
      <c r="B35" s="50" t="s">
        <v>96</v>
      </c>
    </row>
    <row r="38" spans="2:9" ht="13.35" customHeight="1" x14ac:dyDescent="0.2">
      <c r="B38" s="291" t="s">
        <v>97</v>
      </c>
      <c r="C38" s="291"/>
      <c r="D38" s="291"/>
      <c r="E38" s="291"/>
      <c r="F38" s="291"/>
      <c r="G38" s="291"/>
      <c r="H38" s="291"/>
      <c r="I38" s="291"/>
    </row>
    <row r="40" spans="2:9" x14ac:dyDescent="0.2">
      <c r="B40" s="291" t="s">
        <v>86</v>
      </c>
      <c r="C40" s="291"/>
      <c r="D40" s="291"/>
      <c r="E40" s="291"/>
      <c r="F40" s="291"/>
      <c r="G40" s="291"/>
      <c r="H40" s="291"/>
      <c r="I40" s="291"/>
    </row>
    <row r="41" spans="2:9" x14ac:dyDescent="0.2">
      <c r="B41" s="291" t="s">
        <v>87</v>
      </c>
      <c r="C41" s="291"/>
      <c r="D41" s="291"/>
      <c r="E41" s="291"/>
      <c r="F41" s="291"/>
      <c r="G41" s="291"/>
      <c r="H41" s="291"/>
      <c r="I41" s="291"/>
    </row>
    <row r="43" spans="2:9" ht="13.5" thickBot="1" x14ac:dyDescent="0.25">
      <c r="D43" s="51" t="s">
        <v>14</v>
      </c>
      <c r="E43" s="51" t="s">
        <v>15</v>
      </c>
      <c r="F43" s="51" t="s">
        <v>16</v>
      </c>
      <c r="G43" s="51" t="s">
        <v>17</v>
      </c>
      <c r="H43" s="51" t="s">
        <v>18</v>
      </c>
      <c r="I43" s="51" t="s">
        <v>19</v>
      </c>
    </row>
    <row r="44" spans="2:9" ht="51" x14ac:dyDescent="0.2">
      <c r="B44" s="9" t="s">
        <v>20</v>
      </c>
      <c r="C44" s="9" t="s">
        <v>21</v>
      </c>
      <c r="D44" s="10" t="s">
        <v>1266</v>
      </c>
      <c r="E44" s="10" t="s">
        <v>89</v>
      </c>
      <c r="F44" s="10" t="s">
        <v>90</v>
      </c>
      <c r="G44" s="10" t="s">
        <v>91</v>
      </c>
      <c r="H44" s="52" t="s">
        <v>92</v>
      </c>
      <c r="I44" s="52" t="s">
        <v>93</v>
      </c>
    </row>
    <row r="45" spans="2:9" x14ac:dyDescent="0.2">
      <c r="B45" s="50" t="str">
        <f t="shared" ref="B45:C61" si="8">B9</f>
        <v>ALLETE, Inc.</v>
      </c>
      <c r="C45" s="50" t="str">
        <f t="shared" si="8"/>
        <v>ALE</v>
      </c>
      <c r="D45" s="55">
        <v>4.1599999999999998E-2</v>
      </c>
      <c r="E45" s="54">
        <f t="shared" ref="E45:F61" si="9">E9</f>
        <v>0.9</v>
      </c>
      <c r="F45" s="55">
        <f t="shared" si="9"/>
        <v>0.12084249683823237</v>
      </c>
      <c r="G45" s="55">
        <f>F45-D45</f>
        <v>7.9242496838232368E-2</v>
      </c>
      <c r="H45" s="59">
        <f>IFERROR(G45*E45+D45,"")</f>
        <v>0.11291824715440914</v>
      </c>
      <c r="I45" s="59">
        <f>IFERROR((0.25*G45)+(0.75*E45*G45)+D45,"")</f>
        <v>0.11489930957536494</v>
      </c>
    </row>
    <row r="46" spans="2:9" x14ac:dyDescent="0.2">
      <c r="B46" s="50" t="str">
        <f t="shared" si="8"/>
        <v>Alliant Energy Corporation</v>
      </c>
      <c r="C46" s="50" t="str">
        <f t="shared" si="8"/>
        <v>LNT</v>
      </c>
      <c r="D46" s="55">
        <f>D45</f>
        <v>4.1599999999999998E-2</v>
      </c>
      <c r="E46" s="56">
        <f t="shared" si="9"/>
        <v>0.85</v>
      </c>
      <c r="F46" s="55">
        <f t="shared" si="9"/>
        <v>0.12084249683823237</v>
      </c>
      <c r="G46" s="55">
        <f t="shared" ref="G46:G61" si="10">F46-D46</f>
        <v>7.9242496838232368E-2</v>
      </c>
      <c r="H46" s="55">
        <f t="shared" ref="H46:H61" si="11">IFERROR(G46*E46+D46,"")</f>
        <v>0.1089561223124975</v>
      </c>
      <c r="I46" s="55">
        <f t="shared" ref="I46:I61" si="12">IFERROR((0.25*G46)+(0.75*E46*G46)+D46,"")</f>
        <v>0.11192771594393122</v>
      </c>
    </row>
    <row r="47" spans="2:9" x14ac:dyDescent="0.2">
      <c r="B47" s="50" t="str">
        <f t="shared" si="8"/>
        <v>Ameren Corporation</v>
      </c>
      <c r="C47" s="50" t="str">
        <f t="shared" si="8"/>
        <v>AEE</v>
      </c>
      <c r="D47" s="55">
        <f>D46</f>
        <v>4.1599999999999998E-2</v>
      </c>
      <c r="E47" s="56">
        <f t="shared" si="9"/>
        <v>0.85</v>
      </c>
      <c r="F47" s="55">
        <f t="shared" si="9"/>
        <v>0.12084249683823237</v>
      </c>
      <c r="G47" s="55">
        <f t="shared" si="10"/>
        <v>7.9242496838232368E-2</v>
      </c>
      <c r="H47" s="55">
        <f t="shared" si="11"/>
        <v>0.1089561223124975</v>
      </c>
      <c r="I47" s="55">
        <f t="shared" si="12"/>
        <v>0.11192771594393122</v>
      </c>
    </row>
    <row r="48" spans="2:9" x14ac:dyDescent="0.2">
      <c r="B48" s="50" t="str">
        <f t="shared" si="8"/>
        <v>American Electric Power Company, Inc.</v>
      </c>
      <c r="C48" s="50" t="str">
        <f t="shared" si="8"/>
        <v>AEP</v>
      </c>
      <c r="D48" s="55">
        <f t="shared" ref="D48:D61" si="13">D47</f>
        <v>4.1599999999999998E-2</v>
      </c>
      <c r="E48" s="56">
        <f t="shared" si="9"/>
        <v>0.8</v>
      </c>
      <c r="F48" s="55">
        <f t="shared" si="9"/>
        <v>0.12084249683823237</v>
      </c>
      <c r="G48" s="55">
        <f t="shared" si="10"/>
        <v>7.9242496838232368E-2</v>
      </c>
      <c r="H48" s="55">
        <f t="shared" si="11"/>
        <v>0.1049939974705859</v>
      </c>
      <c r="I48" s="55">
        <f t="shared" si="12"/>
        <v>0.10895612231249752</v>
      </c>
    </row>
    <row r="49" spans="2:9" x14ac:dyDescent="0.2">
      <c r="B49" s="50" t="str">
        <f t="shared" si="8"/>
        <v>Avista Corporation</v>
      </c>
      <c r="C49" s="50" t="str">
        <f t="shared" si="8"/>
        <v>AVA</v>
      </c>
      <c r="D49" s="55">
        <f t="shared" si="13"/>
        <v>4.1599999999999998E-2</v>
      </c>
      <c r="E49" s="56">
        <f t="shared" si="9"/>
        <v>0.9</v>
      </c>
      <c r="F49" s="55">
        <f t="shared" si="9"/>
        <v>0.12084249683823237</v>
      </c>
      <c r="G49" s="55">
        <f t="shared" si="10"/>
        <v>7.9242496838232368E-2</v>
      </c>
      <c r="H49" s="55">
        <f t="shared" si="11"/>
        <v>0.11291824715440914</v>
      </c>
      <c r="I49" s="55">
        <f t="shared" si="12"/>
        <v>0.11489930957536494</v>
      </c>
    </row>
    <row r="50" spans="2:9" x14ac:dyDescent="0.2">
      <c r="B50" s="50" t="str">
        <f t="shared" si="8"/>
        <v>CMS Energy Corporation</v>
      </c>
      <c r="C50" s="50" t="str">
        <f t="shared" si="8"/>
        <v>CMS</v>
      </c>
      <c r="D50" s="55">
        <f t="shared" si="13"/>
        <v>4.1599999999999998E-2</v>
      </c>
      <c r="E50" s="56">
        <f t="shared" si="9"/>
        <v>0.8</v>
      </c>
      <c r="F50" s="55">
        <f t="shared" si="9"/>
        <v>0.12084249683823237</v>
      </c>
      <c r="G50" s="55">
        <f t="shared" si="10"/>
        <v>7.9242496838232368E-2</v>
      </c>
      <c r="H50" s="55">
        <f t="shared" si="11"/>
        <v>0.1049939974705859</v>
      </c>
      <c r="I50" s="55">
        <f t="shared" si="12"/>
        <v>0.10895612231249752</v>
      </c>
    </row>
    <row r="51" spans="2:9" x14ac:dyDescent="0.2">
      <c r="B51" s="50" t="str">
        <f t="shared" si="8"/>
        <v>Duke Energy Corporation</v>
      </c>
      <c r="C51" s="50" t="str">
        <f t="shared" si="8"/>
        <v>DUK</v>
      </c>
      <c r="D51" s="55">
        <f t="shared" si="13"/>
        <v>4.1599999999999998E-2</v>
      </c>
      <c r="E51" s="56">
        <f t="shared" si="9"/>
        <v>0.85</v>
      </c>
      <c r="F51" s="55">
        <f t="shared" si="9"/>
        <v>0.12084249683823237</v>
      </c>
      <c r="G51" s="55">
        <f t="shared" si="10"/>
        <v>7.9242496838232368E-2</v>
      </c>
      <c r="H51" s="55">
        <f t="shared" si="11"/>
        <v>0.1089561223124975</v>
      </c>
      <c r="I51" s="55">
        <f t="shared" si="12"/>
        <v>0.11192771594393122</v>
      </c>
    </row>
    <row r="52" spans="2:9" x14ac:dyDescent="0.2">
      <c r="B52" s="50" t="str">
        <f t="shared" si="8"/>
        <v>Entergy Corporation</v>
      </c>
      <c r="C52" s="50" t="str">
        <f t="shared" si="8"/>
        <v>ETR</v>
      </c>
      <c r="D52" s="55">
        <f t="shared" si="13"/>
        <v>4.1599999999999998E-2</v>
      </c>
      <c r="E52" s="56">
        <f t="shared" si="9"/>
        <v>0.95</v>
      </c>
      <c r="F52" s="55">
        <f t="shared" si="9"/>
        <v>0.12084249683823237</v>
      </c>
      <c r="G52" s="55">
        <f t="shared" si="10"/>
        <v>7.9242496838232368E-2</v>
      </c>
      <c r="H52" s="55">
        <f t="shared" si="11"/>
        <v>0.11688037199632074</v>
      </c>
      <c r="I52" s="55">
        <f t="shared" si="12"/>
        <v>0.11787090320679865</v>
      </c>
    </row>
    <row r="53" spans="2:9" x14ac:dyDescent="0.2">
      <c r="B53" s="50" t="str">
        <f t="shared" si="8"/>
        <v>Evergy, Inc.</v>
      </c>
      <c r="C53" s="50" t="str">
        <f t="shared" si="8"/>
        <v>EVRG</v>
      </c>
      <c r="D53" s="55">
        <f t="shared" si="13"/>
        <v>4.1599999999999998E-2</v>
      </c>
      <c r="E53" s="56">
        <f t="shared" si="9"/>
        <v>0.9</v>
      </c>
      <c r="F53" s="55">
        <f t="shared" si="9"/>
        <v>0.12084249683823237</v>
      </c>
      <c r="G53" s="55">
        <f t="shared" ref="G53" si="14">F53-D53</f>
        <v>7.9242496838232368E-2</v>
      </c>
      <c r="H53" s="55">
        <f t="shared" ref="H53" si="15">IFERROR(G53*E53+D53,"")</f>
        <v>0.11291824715440914</v>
      </c>
      <c r="I53" s="55">
        <f t="shared" ref="I53" si="16">IFERROR((0.25*G53)+(0.75*E53*G53)+D53,"")</f>
        <v>0.11489930957536494</v>
      </c>
    </row>
    <row r="54" spans="2:9" x14ac:dyDescent="0.2">
      <c r="B54" s="50" t="str">
        <f t="shared" si="8"/>
        <v>IDACORP, Inc.</v>
      </c>
      <c r="C54" s="50" t="str">
        <f t="shared" si="8"/>
        <v>IDA</v>
      </c>
      <c r="D54" s="55">
        <f t="shared" si="13"/>
        <v>4.1599999999999998E-2</v>
      </c>
      <c r="E54" s="56">
        <f t="shared" si="9"/>
        <v>0.8</v>
      </c>
      <c r="F54" s="55">
        <f t="shared" si="9"/>
        <v>0.12084249683823237</v>
      </c>
      <c r="G54" s="55">
        <f t="shared" si="10"/>
        <v>7.9242496838232368E-2</v>
      </c>
      <c r="H54" s="55">
        <f t="shared" si="11"/>
        <v>0.1049939974705859</v>
      </c>
      <c r="I54" s="55">
        <f t="shared" si="12"/>
        <v>0.10895612231249752</v>
      </c>
    </row>
    <row r="55" spans="2:9" x14ac:dyDescent="0.2">
      <c r="B55" s="50" t="str">
        <f t="shared" si="8"/>
        <v>NextEra Energy, Inc.</v>
      </c>
      <c r="C55" s="50" t="str">
        <f t="shared" si="8"/>
        <v>NEE</v>
      </c>
      <c r="D55" s="55">
        <f t="shared" si="13"/>
        <v>4.1599999999999998E-2</v>
      </c>
      <c r="E55" s="56">
        <f t="shared" si="9"/>
        <v>0.95</v>
      </c>
      <c r="F55" s="55">
        <f t="shared" si="9"/>
        <v>0.12084249683823237</v>
      </c>
      <c r="G55" s="55">
        <f t="shared" si="10"/>
        <v>7.9242496838232368E-2</v>
      </c>
      <c r="H55" s="55">
        <f t="shared" si="11"/>
        <v>0.11688037199632074</v>
      </c>
      <c r="I55" s="55">
        <f t="shared" si="12"/>
        <v>0.11787090320679865</v>
      </c>
    </row>
    <row r="56" spans="2:9" x14ac:dyDescent="0.2">
      <c r="B56" s="50" t="str">
        <f t="shared" si="8"/>
        <v>NorthWestern Corporation</v>
      </c>
      <c r="C56" s="50" t="str">
        <f t="shared" si="8"/>
        <v>NWE</v>
      </c>
      <c r="D56" s="55">
        <f t="shared" si="13"/>
        <v>4.1599999999999998E-2</v>
      </c>
      <c r="E56" s="56">
        <f t="shared" si="9"/>
        <v>0.95</v>
      </c>
      <c r="F56" s="55">
        <f t="shared" si="9"/>
        <v>0.12084249683823237</v>
      </c>
      <c r="G56" s="55">
        <f t="shared" si="10"/>
        <v>7.9242496838232368E-2</v>
      </c>
      <c r="H56" s="55">
        <f t="shared" si="11"/>
        <v>0.11688037199632074</v>
      </c>
      <c r="I56" s="55">
        <f t="shared" si="12"/>
        <v>0.11787090320679865</v>
      </c>
    </row>
    <row r="57" spans="2:9" x14ac:dyDescent="0.2">
      <c r="B57" s="50" t="str">
        <f t="shared" si="8"/>
        <v>OGE Energy Corporation</v>
      </c>
      <c r="C57" s="50" t="str">
        <f t="shared" si="8"/>
        <v>OGE</v>
      </c>
      <c r="D57" s="55">
        <f t="shared" si="13"/>
        <v>4.1599999999999998E-2</v>
      </c>
      <c r="E57" s="56">
        <f t="shared" si="9"/>
        <v>1.05</v>
      </c>
      <c r="F57" s="55">
        <f t="shared" si="9"/>
        <v>0.12084249683823237</v>
      </c>
      <c r="G57" s="55">
        <f t="shared" si="10"/>
        <v>7.9242496838232368E-2</v>
      </c>
      <c r="H57" s="55">
        <f t="shared" si="11"/>
        <v>0.12480462168014399</v>
      </c>
      <c r="I57" s="55">
        <f t="shared" si="12"/>
        <v>0.12381409046966609</v>
      </c>
    </row>
    <row r="58" spans="2:9" x14ac:dyDescent="0.2">
      <c r="B58" s="50" t="str">
        <f t="shared" si="8"/>
        <v>Pinnacle West Capital Corporation</v>
      </c>
      <c r="C58" s="50" t="str">
        <f t="shared" si="8"/>
        <v>PNW</v>
      </c>
      <c r="D58" s="55">
        <f t="shared" si="13"/>
        <v>4.1599999999999998E-2</v>
      </c>
      <c r="E58" s="56">
        <f t="shared" si="9"/>
        <v>0.9</v>
      </c>
      <c r="F58" s="55">
        <f t="shared" si="9"/>
        <v>0.12084249683823237</v>
      </c>
      <c r="G58" s="55">
        <f t="shared" si="10"/>
        <v>7.9242496838232368E-2</v>
      </c>
      <c r="H58" s="55">
        <f t="shared" si="11"/>
        <v>0.11291824715440914</v>
      </c>
      <c r="I58" s="55">
        <f t="shared" si="12"/>
        <v>0.11489930957536494</v>
      </c>
    </row>
    <row r="59" spans="2:9" x14ac:dyDescent="0.2">
      <c r="B59" s="50" t="str">
        <f t="shared" si="8"/>
        <v>Portland General Electric Company</v>
      </c>
      <c r="C59" s="50" t="str">
        <f t="shared" si="8"/>
        <v>POR</v>
      </c>
      <c r="D59" s="55">
        <f t="shared" si="13"/>
        <v>4.1599999999999998E-2</v>
      </c>
      <c r="E59" s="56">
        <f t="shared" si="9"/>
        <v>0.9</v>
      </c>
      <c r="F59" s="55">
        <f t="shared" si="9"/>
        <v>0.12084249683823237</v>
      </c>
      <c r="G59" s="55">
        <f t="shared" si="10"/>
        <v>7.9242496838232368E-2</v>
      </c>
      <c r="H59" s="55">
        <f t="shared" si="11"/>
        <v>0.11291824715440914</v>
      </c>
      <c r="I59" s="55">
        <f t="shared" si="12"/>
        <v>0.11489930957536494</v>
      </c>
    </row>
    <row r="60" spans="2:9" x14ac:dyDescent="0.2">
      <c r="B60" s="50" t="str">
        <f t="shared" si="8"/>
        <v>Southern Company</v>
      </c>
      <c r="C60" s="50" t="str">
        <f t="shared" si="8"/>
        <v>SO</v>
      </c>
      <c r="D60" s="55">
        <f t="shared" si="13"/>
        <v>4.1599999999999998E-2</v>
      </c>
      <c r="E60" s="56">
        <f t="shared" si="9"/>
        <v>0.9</v>
      </c>
      <c r="F60" s="55">
        <f t="shared" si="9"/>
        <v>0.12084249683823237</v>
      </c>
      <c r="G60" s="55">
        <f t="shared" si="10"/>
        <v>7.9242496838232368E-2</v>
      </c>
      <c r="H60" s="55">
        <f t="shared" si="11"/>
        <v>0.11291824715440914</v>
      </c>
      <c r="I60" s="55">
        <f t="shared" si="12"/>
        <v>0.11489930957536494</v>
      </c>
    </row>
    <row r="61" spans="2:9" x14ac:dyDescent="0.2">
      <c r="B61" s="50" t="str">
        <f t="shared" si="8"/>
        <v>Xcel Energy Inc.</v>
      </c>
      <c r="C61" s="50" t="str">
        <f t="shared" si="8"/>
        <v>XEL</v>
      </c>
      <c r="D61" s="55">
        <f t="shared" si="13"/>
        <v>4.1599999999999998E-2</v>
      </c>
      <c r="E61" s="56">
        <f t="shared" si="9"/>
        <v>0.85</v>
      </c>
      <c r="F61" s="55">
        <f t="shared" si="9"/>
        <v>0.12084249683823237</v>
      </c>
      <c r="G61" s="55">
        <f t="shared" si="10"/>
        <v>7.9242496838232368E-2</v>
      </c>
      <c r="H61" s="55">
        <f t="shared" si="11"/>
        <v>0.1089561223124975</v>
      </c>
      <c r="I61" s="55">
        <f t="shared" si="12"/>
        <v>0.11192771594393122</v>
      </c>
    </row>
    <row r="62" spans="2:9" x14ac:dyDescent="0.2">
      <c r="B62" s="58" t="s">
        <v>2</v>
      </c>
      <c r="C62" s="58"/>
      <c r="D62" s="58"/>
      <c r="E62" s="54"/>
      <c r="F62" s="58"/>
      <c r="G62" s="58"/>
      <c r="H62" s="59">
        <f>AVERAGE(H45:H61)</f>
        <v>0.11198598248572406</v>
      </c>
      <c r="I62" s="59">
        <f>AVERAGE(I45:I61)</f>
        <v>0.11420011107385113</v>
      </c>
    </row>
    <row r="63" spans="2:9" ht="13.5" thickBot="1" x14ac:dyDescent="0.25">
      <c r="B63" s="60" t="s">
        <v>8</v>
      </c>
      <c r="C63" s="60"/>
      <c r="D63" s="60"/>
      <c r="E63" s="61"/>
      <c r="F63" s="60"/>
      <c r="G63" s="60"/>
      <c r="H63" s="62">
        <f>MEDIAN(H45:H61)</f>
        <v>0.11291824715440914</v>
      </c>
      <c r="I63" s="62">
        <f>MEDIAN(I45:I61)</f>
        <v>0.11489930957536494</v>
      </c>
    </row>
    <row r="65" spans="2:9" x14ac:dyDescent="0.2">
      <c r="B65" s="63" t="s">
        <v>62</v>
      </c>
    </row>
    <row r="66" spans="2:9" x14ac:dyDescent="0.2">
      <c r="B66" s="50" t="s">
        <v>1441</v>
      </c>
    </row>
    <row r="67" spans="2:9" x14ac:dyDescent="0.2">
      <c r="B67" s="50" t="s">
        <v>1393</v>
      </c>
    </row>
    <row r="68" spans="2:9" x14ac:dyDescent="0.2">
      <c r="B68" s="50" t="str">
        <f>$B$32</f>
        <v>[3] Market Return</v>
      </c>
    </row>
    <row r="69" spans="2:9" x14ac:dyDescent="0.2">
      <c r="B69" s="50" t="s">
        <v>94</v>
      </c>
    </row>
    <row r="70" spans="2:9" x14ac:dyDescent="0.2">
      <c r="B70" s="50" t="s">
        <v>95</v>
      </c>
    </row>
    <row r="71" spans="2:9" x14ac:dyDescent="0.2">
      <c r="B71" s="50" t="s">
        <v>96</v>
      </c>
    </row>
    <row r="74" spans="2:9" ht="13.35" customHeight="1" x14ac:dyDescent="0.2">
      <c r="B74" s="291" t="s">
        <v>98</v>
      </c>
      <c r="C74" s="291"/>
      <c r="D74" s="291"/>
      <c r="E74" s="291"/>
      <c r="F74" s="291"/>
      <c r="G74" s="291"/>
      <c r="H74" s="291"/>
      <c r="I74" s="291"/>
    </row>
    <row r="76" spans="2:9" x14ac:dyDescent="0.2">
      <c r="B76" s="291" t="s">
        <v>86</v>
      </c>
      <c r="C76" s="291"/>
      <c r="D76" s="291"/>
      <c r="E76" s="291"/>
      <c r="F76" s="291"/>
      <c r="G76" s="291"/>
      <c r="H76" s="291"/>
      <c r="I76" s="291"/>
    </row>
    <row r="77" spans="2:9" x14ac:dyDescent="0.2">
      <c r="B77" s="291" t="s">
        <v>87</v>
      </c>
      <c r="C77" s="291"/>
      <c r="D77" s="291"/>
      <c r="E77" s="291"/>
      <c r="F77" s="291"/>
      <c r="G77" s="291"/>
      <c r="H77" s="291"/>
      <c r="I77" s="291"/>
    </row>
    <row r="79" spans="2:9" ht="13.5" thickBot="1" x14ac:dyDescent="0.25">
      <c r="D79" s="51" t="s">
        <v>14</v>
      </c>
      <c r="E79" s="51" t="s">
        <v>15</v>
      </c>
      <c r="F79" s="51" t="s">
        <v>16</v>
      </c>
      <c r="G79" s="51" t="s">
        <v>17</v>
      </c>
      <c r="H79" s="51" t="s">
        <v>18</v>
      </c>
      <c r="I79" s="51" t="s">
        <v>19</v>
      </c>
    </row>
    <row r="80" spans="2:9" ht="51" x14ac:dyDescent="0.2">
      <c r="B80" s="9" t="s">
        <v>20</v>
      </c>
      <c r="C80" s="9" t="s">
        <v>21</v>
      </c>
      <c r="D80" s="10" t="s">
        <v>1265</v>
      </c>
      <c r="E80" s="10" t="s">
        <v>89</v>
      </c>
      <c r="F80" s="10" t="s">
        <v>90</v>
      </c>
      <c r="G80" s="10" t="s">
        <v>91</v>
      </c>
      <c r="H80" s="52" t="s">
        <v>92</v>
      </c>
      <c r="I80" s="52" t="s">
        <v>93</v>
      </c>
    </row>
    <row r="81" spans="2:9" x14ac:dyDescent="0.2">
      <c r="B81" s="58" t="str">
        <f t="shared" ref="B81:C88" si="17">B9</f>
        <v>ALLETE, Inc.</v>
      </c>
      <c r="C81" s="58" t="str">
        <f t="shared" si="17"/>
        <v>ALE</v>
      </c>
      <c r="D81" s="55">
        <v>3.7999999999999999E-2</v>
      </c>
      <c r="E81" s="54">
        <f t="shared" ref="E81:E86" si="18">E45</f>
        <v>0.9</v>
      </c>
      <c r="F81" s="55">
        <f t="shared" ref="F81:F86" si="19">F9</f>
        <v>0.12084249683823237</v>
      </c>
      <c r="G81" s="55">
        <f>F81-D81</f>
        <v>8.284249683823236E-2</v>
      </c>
      <c r="H81" s="55">
        <f>IFERROR(G81*E81+D81,"")</f>
        <v>0.11255824715440912</v>
      </c>
      <c r="I81" s="59">
        <f>IFERROR((0.25*G81)+(0.75*E81*G81)+D81,"")</f>
        <v>0.11462930957536493</v>
      </c>
    </row>
    <row r="82" spans="2:9" x14ac:dyDescent="0.2">
      <c r="B82" s="50" t="str">
        <f t="shared" si="17"/>
        <v>Alliant Energy Corporation</v>
      </c>
      <c r="C82" s="50" t="str">
        <f t="shared" si="17"/>
        <v>LNT</v>
      </c>
      <c r="D82" s="55">
        <f>D81</f>
        <v>3.7999999999999999E-2</v>
      </c>
      <c r="E82" s="56">
        <f t="shared" si="18"/>
        <v>0.85</v>
      </c>
      <c r="F82" s="55">
        <f t="shared" si="19"/>
        <v>0.12084249683823237</v>
      </c>
      <c r="G82" s="55">
        <f t="shared" ref="G82:G86" si="20">F82-D82</f>
        <v>8.284249683823236E-2</v>
      </c>
      <c r="H82" s="55">
        <f t="shared" ref="H82:H86" si="21">IFERROR(G82*E82+D82,"")</f>
        <v>0.1084161223124975</v>
      </c>
      <c r="I82" s="55">
        <f t="shared" ref="I82:I86" si="22">IFERROR((0.25*G82)+(0.75*E82*G82)+D82,"")</f>
        <v>0.11152271594393121</v>
      </c>
    </row>
    <row r="83" spans="2:9" x14ac:dyDescent="0.2">
      <c r="B83" s="50" t="str">
        <f t="shared" si="17"/>
        <v>Ameren Corporation</v>
      </c>
      <c r="C83" s="50" t="str">
        <f t="shared" si="17"/>
        <v>AEE</v>
      </c>
      <c r="D83" s="55">
        <f t="shared" ref="D83:D97" si="23">D82</f>
        <v>3.7999999999999999E-2</v>
      </c>
      <c r="E83" s="56">
        <f t="shared" si="18"/>
        <v>0.85</v>
      </c>
      <c r="F83" s="55">
        <f t="shared" si="19"/>
        <v>0.12084249683823237</v>
      </c>
      <c r="G83" s="55">
        <f t="shared" si="20"/>
        <v>8.284249683823236E-2</v>
      </c>
      <c r="H83" s="55">
        <f t="shared" si="21"/>
        <v>0.1084161223124975</v>
      </c>
      <c r="I83" s="55">
        <f t="shared" si="22"/>
        <v>0.11152271594393121</v>
      </c>
    </row>
    <row r="84" spans="2:9" x14ac:dyDescent="0.2">
      <c r="B84" s="50" t="str">
        <f t="shared" si="17"/>
        <v>American Electric Power Company, Inc.</v>
      </c>
      <c r="C84" s="50" t="str">
        <f t="shared" si="17"/>
        <v>AEP</v>
      </c>
      <c r="D84" s="55">
        <f t="shared" si="23"/>
        <v>3.7999999999999999E-2</v>
      </c>
      <c r="E84" s="56">
        <f t="shared" si="18"/>
        <v>0.8</v>
      </c>
      <c r="F84" s="55">
        <f t="shared" si="19"/>
        <v>0.12084249683823237</v>
      </c>
      <c r="G84" s="55">
        <f t="shared" si="20"/>
        <v>8.284249683823236E-2</v>
      </c>
      <c r="H84" s="55">
        <f t="shared" si="21"/>
        <v>0.10427399747058588</v>
      </c>
      <c r="I84" s="55">
        <f t="shared" si="22"/>
        <v>0.1084161223124975</v>
      </c>
    </row>
    <row r="85" spans="2:9" x14ac:dyDescent="0.2">
      <c r="B85" s="50" t="str">
        <f t="shared" si="17"/>
        <v>Avista Corporation</v>
      </c>
      <c r="C85" s="50" t="str">
        <f t="shared" si="17"/>
        <v>AVA</v>
      </c>
      <c r="D85" s="55">
        <f t="shared" si="23"/>
        <v>3.7999999999999999E-2</v>
      </c>
      <c r="E85" s="56">
        <f t="shared" si="18"/>
        <v>0.9</v>
      </c>
      <c r="F85" s="55">
        <f t="shared" si="19"/>
        <v>0.12084249683823237</v>
      </c>
      <c r="G85" s="55">
        <f t="shared" si="20"/>
        <v>8.284249683823236E-2</v>
      </c>
      <c r="H85" s="55">
        <f t="shared" si="21"/>
        <v>0.11255824715440912</v>
      </c>
      <c r="I85" s="55">
        <f t="shared" si="22"/>
        <v>0.11462930957536493</v>
      </c>
    </row>
    <row r="86" spans="2:9" x14ac:dyDescent="0.2">
      <c r="B86" s="50" t="str">
        <f t="shared" si="17"/>
        <v>CMS Energy Corporation</v>
      </c>
      <c r="C86" s="50" t="str">
        <f t="shared" si="17"/>
        <v>CMS</v>
      </c>
      <c r="D86" s="55">
        <f t="shared" si="23"/>
        <v>3.7999999999999999E-2</v>
      </c>
      <c r="E86" s="56">
        <f t="shared" si="18"/>
        <v>0.8</v>
      </c>
      <c r="F86" s="55">
        <f t="shared" si="19"/>
        <v>0.12084249683823237</v>
      </c>
      <c r="G86" s="55">
        <f t="shared" si="20"/>
        <v>8.284249683823236E-2</v>
      </c>
      <c r="H86" s="55">
        <f t="shared" si="21"/>
        <v>0.10427399747058588</v>
      </c>
      <c r="I86" s="55">
        <f t="shared" si="22"/>
        <v>0.1084161223124975</v>
      </c>
    </row>
    <row r="87" spans="2:9" x14ac:dyDescent="0.2">
      <c r="B87" s="50" t="str">
        <f t="shared" si="17"/>
        <v>Duke Energy Corporation</v>
      </c>
      <c r="C87" s="50" t="str">
        <f t="shared" si="17"/>
        <v>DUK</v>
      </c>
      <c r="D87" s="55">
        <f t="shared" si="23"/>
        <v>3.7999999999999999E-2</v>
      </c>
      <c r="E87" s="56">
        <f t="shared" ref="E87:E97" si="24">E51</f>
        <v>0.85</v>
      </c>
      <c r="F87" s="55">
        <f t="shared" ref="F87:F97" si="25">F15</f>
        <v>0.12084249683823237</v>
      </c>
      <c r="G87" s="55">
        <f t="shared" ref="G87:G97" si="26">F87-D87</f>
        <v>8.284249683823236E-2</v>
      </c>
      <c r="H87" s="55">
        <f t="shared" ref="H87:H97" si="27">IFERROR(G87*E87+D87,"")</f>
        <v>0.1084161223124975</v>
      </c>
      <c r="I87" s="55">
        <f t="shared" ref="I87:I97" si="28">IFERROR((0.25*G87)+(0.75*E87*G87)+D87,"")</f>
        <v>0.11152271594393121</v>
      </c>
    </row>
    <row r="88" spans="2:9" x14ac:dyDescent="0.2">
      <c r="B88" s="50" t="str">
        <f t="shared" si="17"/>
        <v>Entergy Corporation</v>
      </c>
      <c r="C88" s="50" t="str">
        <f t="shared" si="17"/>
        <v>ETR</v>
      </c>
      <c r="D88" s="55">
        <f t="shared" si="23"/>
        <v>3.7999999999999999E-2</v>
      </c>
      <c r="E88" s="56">
        <f t="shared" si="24"/>
        <v>0.95</v>
      </c>
      <c r="F88" s="55">
        <f t="shared" si="25"/>
        <v>0.12084249683823237</v>
      </c>
      <c r="G88" s="55">
        <f t="shared" si="26"/>
        <v>8.284249683823236E-2</v>
      </c>
      <c r="H88" s="55">
        <f t="shared" si="27"/>
        <v>0.11670037199632075</v>
      </c>
      <c r="I88" s="55">
        <f t="shared" si="28"/>
        <v>0.11773590320679864</v>
      </c>
    </row>
    <row r="89" spans="2:9" x14ac:dyDescent="0.2">
      <c r="B89" s="50" t="str">
        <f t="shared" ref="B89:C89" si="29">B17</f>
        <v>Evergy, Inc.</v>
      </c>
      <c r="C89" s="50" t="str">
        <f t="shared" si="29"/>
        <v>EVRG</v>
      </c>
      <c r="D89" s="55">
        <f t="shared" si="23"/>
        <v>3.7999999999999999E-2</v>
      </c>
      <c r="E89" s="56">
        <f t="shared" si="24"/>
        <v>0.9</v>
      </c>
      <c r="F89" s="55">
        <f t="shared" si="25"/>
        <v>0.12084249683823237</v>
      </c>
      <c r="G89" s="55">
        <f t="shared" si="26"/>
        <v>8.284249683823236E-2</v>
      </c>
      <c r="H89" s="55">
        <f t="shared" si="27"/>
        <v>0.11255824715440912</v>
      </c>
      <c r="I89" s="55">
        <f t="shared" si="28"/>
        <v>0.11462930957536493</v>
      </c>
    </row>
    <row r="90" spans="2:9" x14ac:dyDescent="0.2">
      <c r="B90" s="50" t="str">
        <f t="shared" ref="B90:C90" si="30">B18</f>
        <v>IDACORP, Inc.</v>
      </c>
      <c r="C90" s="50" t="str">
        <f t="shared" si="30"/>
        <v>IDA</v>
      </c>
      <c r="D90" s="55">
        <f t="shared" si="23"/>
        <v>3.7999999999999999E-2</v>
      </c>
      <c r="E90" s="56">
        <f t="shared" si="24"/>
        <v>0.8</v>
      </c>
      <c r="F90" s="55">
        <f t="shared" si="25"/>
        <v>0.12084249683823237</v>
      </c>
      <c r="G90" s="55">
        <f t="shared" si="26"/>
        <v>8.284249683823236E-2</v>
      </c>
      <c r="H90" s="55">
        <f t="shared" si="27"/>
        <v>0.10427399747058588</v>
      </c>
      <c r="I90" s="55">
        <f t="shared" si="28"/>
        <v>0.1084161223124975</v>
      </c>
    </row>
    <row r="91" spans="2:9" x14ac:dyDescent="0.2">
      <c r="B91" s="50" t="str">
        <f t="shared" ref="B91:C91" si="31">B19</f>
        <v>NextEra Energy, Inc.</v>
      </c>
      <c r="C91" s="50" t="str">
        <f t="shared" si="31"/>
        <v>NEE</v>
      </c>
      <c r="D91" s="55">
        <f t="shared" si="23"/>
        <v>3.7999999999999999E-2</v>
      </c>
      <c r="E91" s="56">
        <f t="shared" si="24"/>
        <v>0.95</v>
      </c>
      <c r="F91" s="55">
        <f t="shared" si="25"/>
        <v>0.12084249683823237</v>
      </c>
      <c r="G91" s="55">
        <f t="shared" si="26"/>
        <v>8.284249683823236E-2</v>
      </c>
      <c r="H91" s="55">
        <f t="shared" si="27"/>
        <v>0.11670037199632075</v>
      </c>
      <c r="I91" s="55">
        <f t="shared" si="28"/>
        <v>0.11773590320679864</v>
      </c>
    </row>
    <row r="92" spans="2:9" x14ac:dyDescent="0.2">
      <c r="B92" s="50" t="str">
        <f t="shared" ref="B92:C92" si="32">B20</f>
        <v>NorthWestern Corporation</v>
      </c>
      <c r="C92" s="50" t="str">
        <f t="shared" si="32"/>
        <v>NWE</v>
      </c>
      <c r="D92" s="55">
        <f t="shared" si="23"/>
        <v>3.7999999999999999E-2</v>
      </c>
      <c r="E92" s="56">
        <f t="shared" si="24"/>
        <v>0.95</v>
      </c>
      <c r="F92" s="55">
        <f t="shared" si="25"/>
        <v>0.12084249683823237</v>
      </c>
      <c r="G92" s="55">
        <f t="shared" si="26"/>
        <v>8.284249683823236E-2</v>
      </c>
      <c r="H92" s="55">
        <f t="shared" si="27"/>
        <v>0.11670037199632075</v>
      </c>
      <c r="I92" s="55">
        <f t="shared" si="28"/>
        <v>0.11773590320679864</v>
      </c>
    </row>
    <row r="93" spans="2:9" x14ac:dyDescent="0.2">
      <c r="B93" s="50" t="str">
        <f t="shared" ref="B93:C93" si="33">B21</f>
        <v>OGE Energy Corporation</v>
      </c>
      <c r="C93" s="50" t="str">
        <f t="shared" si="33"/>
        <v>OGE</v>
      </c>
      <c r="D93" s="55">
        <f t="shared" si="23"/>
        <v>3.7999999999999999E-2</v>
      </c>
      <c r="E93" s="56">
        <f t="shared" si="24"/>
        <v>1.05</v>
      </c>
      <c r="F93" s="55">
        <f t="shared" si="25"/>
        <v>0.12084249683823237</v>
      </c>
      <c r="G93" s="55">
        <f t="shared" si="26"/>
        <v>8.284249683823236E-2</v>
      </c>
      <c r="H93" s="55">
        <f t="shared" si="27"/>
        <v>0.12498462168014399</v>
      </c>
      <c r="I93" s="55">
        <f t="shared" si="28"/>
        <v>0.12394909046966607</v>
      </c>
    </row>
    <row r="94" spans="2:9" x14ac:dyDescent="0.2">
      <c r="B94" s="50" t="str">
        <f t="shared" ref="B94:C94" si="34">B22</f>
        <v>Pinnacle West Capital Corporation</v>
      </c>
      <c r="C94" s="50" t="str">
        <f t="shared" si="34"/>
        <v>PNW</v>
      </c>
      <c r="D94" s="55">
        <f t="shared" si="23"/>
        <v>3.7999999999999999E-2</v>
      </c>
      <c r="E94" s="56">
        <f t="shared" si="24"/>
        <v>0.9</v>
      </c>
      <c r="F94" s="55">
        <f t="shared" si="25"/>
        <v>0.12084249683823237</v>
      </c>
      <c r="G94" s="55">
        <f t="shared" si="26"/>
        <v>8.284249683823236E-2</v>
      </c>
      <c r="H94" s="55">
        <f t="shared" si="27"/>
        <v>0.11255824715440912</v>
      </c>
      <c r="I94" s="55">
        <f t="shared" si="28"/>
        <v>0.11462930957536493</v>
      </c>
    </row>
    <row r="95" spans="2:9" x14ac:dyDescent="0.2">
      <c r="B95" s="50" t="str">
        <f t="shared" ref="B95:C95" si="35">B23</f>
        <v>Portland General Electric Company</v>
      </c>
      <c r="C95" s="50" t="str">
        <f t="shared" si="35"/>
        <v>POR</v>
      </c>
      <c r="D95" s="55">
        <f t="shared" si="23"/>
        <v>3.7999999999999999E-2</v>
      </c>
      <c r="E95" s="56">
        <f t="shared" si="24"/>
        <v>0.9</v>
      </c>
      <c r="F95" s="55">
        <f t="shared" si="25"/>
        <v>0.12084249683823237</v>
      </c>
      <c r="G95" s="55">
        <f t="shared" si="26"/>
        <v>8.284249683823236E-2</v>
      </c>
      <c r="H95" s="55">
        <f t="shared" si="27"/>
        <v>0.11255824715440912</v>
      </c>
      <c r="I95" s="55">
        <f t="shared" si="28"/>
        <v>0.11462930957536493</v>
      </c>
    </row>
    <row r="96" spans="2:9" x14ac:dyDescent="0.2">
      <c r="B96" s="50" t="str">
        <f t="shared" ref="B96:C96" si="36">B24</f>
        <v>Southern Company</v>
      </c>
      <c r="C96" s="50" t="str">
        <f t="shared" si="36"/>
        <v>SO</v>
      </c>
      <c r="D96" s="55">
        <f t="shared" si="23"/>
        <v>3.7999999999999999E-2</v>
      </c>
      <c r="E96" s="56">
        <f t="shared" si="24"/>
        <v>0.9</v>
      </c>
      <c r="F96" s="55">
        <f t="shared" si="25"/>
        <v>0.12084249683823237</v>
      </c>
      <c r="G96" s="55">
        <f t="shared" si="26"/>
        <v>8.284249683823236E-2</v>
      </c>
      <c r="H96" s="55">
        <f t="shared" si="27"/>
        <v>0.11255824715440912</v>
      </c>
      <c r="I96" s="55">
        <f t="shared" si="28"/>
        <v>0.11462930957536493</v>
      </c>
    </row>
    <row r="97" spans="2:9" x14ac:dyDescent="0.2">
      <c r="B97" s="50" t="str">
        <f t="shared" ref="B97:C97" si="37">B25</f>
        <v>Xcel Energy Inc.</v>
      </c>
      <c r="C97" s="50" t="str">
        <f t="shared" si="37"/>
        <v>XEL</v>
      </c>
      <c r="D97" s="55">
        <f t="shared" si="23"/>
        <v>3.7999999999999999E-2</v>
      </c>
      <c r="E97" s="56">
        <f t="shared" si="24"/>
        <v>0.85</v>
      </c>
      <c r="F97" s="55">
        <f t="shared" si="25"/>
        <v>0.12084249683823237</v>
      </c>
      <c r="G97" s="55">
        <f t="shared" si="26"/>
        <v>8.284249683823236E-2</v>
      </c>
      <c r="H97" s="55">
        <f t="shared" si="27"/>
        <v>0.1084161223124975</v>
      </c>
      <c r="I97" s="55">
        <f t="shared" si="28"/>
        <v>0.11152271594393121</v>
      </c>
    </row>
    <row r="98" spans="2:9" x14ac:dyDescent="0.2">
      <c r="B98" s="58" t="s">
        <v>2</v>
      </c>
      <c r="C98" s="58"/>
      <c r="D98" s="58"/>
      <c r="E98" s="54"/>
      <c r="F98" s="58"/>
      <c r="G98" s="58"/>
      <c r="H98" s="59">
        <f>AVERAGE(H81:H97)</f>
        <v>0.11158362954454755</v>
      </c>
      <c r="I98" s="59">
        <f>AVERAGE(I81:I97)</f>
        <v>0.11389834636796876</v>
      </c>
    </row>
    <row r="99" spans="2:9" ht="13.5" thickBot="1" x14ac:dyDescent="0.25">
      <c r="B99" s="60" t="s">
        <v>8</v>
      </c>
      <c r="C99" s="60"/>
      <c r="D99" s="60"/>
      <c r="E99" s="61"/>
      <c r="F99" s="60"/>
      <c r="G99" s="60"/>
      <c r="H99" s="62">
        <f>MEDIAN(H81:H97)</f>
        <v>0.11255824715440912</v>
      </c>
      <c r="I99" s="62">
        <f>MEDIAN(I81:I97)</f>
        <v>0.11462930957536493</v>
      </c>
    </row>
    <row r="101" spans="2:9" x14ac:dyDescent="0.2">
      <c r="B101" s="63" t="s">
        <v>62</v>
      </c>
    </row>
    <row r="102" spans="2:9" x14ac:dyDescent="0.2">
      <c r="B102" s="50" t="s">
        <v>1395</v>
      </c>
    </row>
    <row r="103" spans="2:9" x14ac:dyDescent="0.2">
      <c r="B103" s="50" t="s">
        <v>1393</v>
      </c>
    </row>
    <row r="104" spans="2:9" x14ac:dyDescent="0.2">
      <c r="B104" s="50" t="str">
        <f>$B$32</f>
        <v>[3] Market Return</v>
      </c>
    </row>
    <row r="105" spans="2:9" x14ac:dyDescent="0.2">
      <c r="B105" s="50" t="s">
        <v>94</v>
      </c>
    </row>
    <row r="106" spans="2:9" x14ac:dyDescent="0.2">
      <c r="B106" s="50" t="s">
        <v>95</v>
      </c>
    </row>
    <row r="107" spans="2:9" x14ac:dyDescent="0.2">
      <c r="B107" s="50" t="s">
        <v>96</v>
      </c>
    </row>
    <row r="110" spans="2:9" ht="13.35" customHeight="1" x14ac:dyDescent="0.2">
      <c r="B110" s="291" t="s">
        <v>99</v>
      </c>
      <c r="C110" s="291"/>
      <c r="D110" s="291"/>
      <c r="E110" s="291"/>
      <c r="F110" s="291"/>
      <c r="G110" s="291"/>
      <c r="H110" s="291"/>
      <c r="I110" s="291"/>
    </row>
    <row r="112" spans="2:9" x14ac:dyDescent="0.2">
      <c r="B112" s="291" t="s">
        <v>86</v>
      </c>
      <c r="C112" s="291"/>
      <c r="D112" s="291"/>
      <c r="E112" s="291"/>
      <c r="F112" s="291"/>
      <c r="G112" s="291"/>
      <c r="H112" s="291"/>
      <c r="I112" s="291"/>
    </row>
    <row r="113" spans="2:9" x14ac:dyDescent="0.2">
      <c r="B113" s="291" t="s">
        <v>87</v>
      </c>
      <c r="C113" s="291"/>
      <c r="D113" s="291"/>
      <c r="E113" s="291"/>
      <c r="F113" s="291"/>
      <c r="G113" s="291"/>
      <c r="H113" s="291"/>
      <c r="I113" s="291"/>
    </row>
    <row r="115" spans="2:9" ht="13.5" thickBot="1" x14ac:dyDescent="0.25">
      <c r="D115" s="51" t="s">
        <v>14</v>
      </c>
      <c r="E115" s="51" t="s">
        <v>15</v>
      </c>
      <c r="F115" s="51" t="s">
        <v>16</v>
      </c>
      <c r="G115" s="51" t="s">
        <v>17</v>
      </c>
      <c r="H115" s="51" t="s">
        <v>18</v>
      </c>
      <c r="I115" s="51" t="s">
        <v>19</v>
      </c>
    </row>
    <row r="116" spans="2:9" ht="51" x14ac:dyDescent="0.2">
      <c r="B116" s="9" t="s">
        <v>20</v>
      </c>
      <c r="C116" s="9" t="s">
        <v>21</v>
      </c>
      <c r="D116" s="10" t="str">
        <f t="shared" ref="D116:D133" si="38">D8</f>
        <v>Current 30-day average of 30-year U.S. Treasury bond yield</v>
      </c>
      <c r="E116" s="10" t="s">
        <v>89</v>
      </c>
      <c r="F116" s="10" t="s">
        <v>90</v>
      </c>
      <c r="G116" s="10" t="s">
        <v>91</v>
      </c>
      <c r="H116" s="52" t="s">
        <v>92</v>
      </c>
      <c r="I116" s="52" t="s">
        <v>93</v>
      </c>
    </row>
    <row r="117" spans="2:9" x14ac:dyDescent="0.2">
      <c r="B117" s="50" t="str">
        <f>B81</f>
        <v>ALLETE, Inc.</v>
      </c>
      <c r="C117" s="64" t="str">
        <f>C81</f>
        <v>ALE</v>
      </c>
      <c r="D117" s="59">
        <f t="shared" si="38"/>
        <v>4.4176666666666663E-2</v>
      </c>
      <c r="E117" s="54">
        <v>0.82299549700026775</v>
      </c>
      <c r="F117" s="55">
        <f t="shared" ref="F117:F133" si="39">F9</f>
        <v>0.12084249683823237</v>
      </c>
      <c r="G117" s="59">
        <f>F117-D117</f>
        <v>7.6665830171565696E-2</v>
      </c>
      <c r="H117" s="59">
        <f>IFERROR(G117*E117+D117,"")</f>
        <v>0.1072722996716525</v>
      </c>
      <c r="I117" s="59">
        <f>IFERROR((0.25*G117)+(0.75*E117*G117)+D117,"")</f>
        <v>0.11066484896329745</v>
      </c>
    </row>
    <row r="118" spans="2:9" x14ac:dyDescent="0.2">
      <c r="B118" s="50" t="str">
        <f t="shared" ref="B118:C118" si="40">B82</f>
        <v>Alliant Energy Corporation</v>
      </c>
      <c r="C118" s="64" t="str">
        <f t="shared" si="40"/>
        <v>LNT</v>
      </c>
      <c r="D118" s="55">
        <f t="shared" si="38"/>
        <v>4.4176666666666663E-2</v>
      </c>
      <c r="E118" s="56">
        <v>0.79118947761831993</v>
      </c>
      <c r="F118" s="55">
        <f t="shared" si="39"/>
        <v>0.12084249683823237</v>
      </c>
      <c r="G118" s="55">
        <f t="shared" ref="G118:G133" si="41">F118-D118</f>
        <v>7.6665830171565696E-2</v>
      </c>
      <c r="H118" s="55">
        <f t="shared" ref="H118:H133" si="42">IFERROR(G118*E118+D118,"")</f>
        <v>0.10483386479128257</v>
      </c>
      <c r="I118" s="55">
        <f t="shared" ref="I118:I133" si="43">IFERROR((0.25*G118)+(0.75*E118*G118)+D118,"")</f>
        <v>0.10883602280302002</v>
      </c>
    </row>
    <row r="119" spans="2:9" x14ac:dyDescent="0.2">
      <c r="B119" s="50" t="str">
        <f t="shared" ref="B119:C119" si="44">B83</f>
        <v>Ameren Corporation</v>
      </c>
      <c r="C119" s="64" t="str">
        <f t="shared" si="44"/>
        <v>AEE</v>
      </c>
      <c r="D119" s="55">
        <f t="shared" si="38"/>
        <v>4.4176666666666663E-2</v>
      </c>
      <c r="E119" s="56">
        <v>0.75108569144723902</v>
      </c>
      <c r="F119" s="55">
        <f t="shared" si="39"/>
        <v>0.12084249683823237</v>
      </c>
      <c r="G119" s="55">
        <f t="shared" si="41"/>
        <v>7.6665830171565696E-2</v>
      </c>
      <c r="H119" s="55">
        <f t="shared" si="42"/>
        <v>0.10175927473145369</v>
      </c>
      <c r="I119" s="55">
        <f t="shared" si="43"/>
        <v>0.10653008025814836</v>
      </c>
    </row>
    <row r="120" spans="2:9" x14ac:dyDescent="0.2">
      <c r="B120" s="50" t="str">
        <f t="shared" ref="B120:C120" si="45">B84</f>
        <v>American Electric Power Company, Inc.</v>
      </c>
      <c r="C120" s="64" t="str">
        <f t="shared" si="45"/>
        <v>AEP</v>
      </c>
      <c r="D120" s="55">
        <f t="shared" si="38"/>
        <v>4.4176666666666663E-2</v>
      </c>
      <c r="E120" s="56">
        <v>0.75816748355683483</v>
      </c>
      <c r="F120" s="55">
        <f t="shared" si="39"/>
        <v>0.12084249683823237</v>
      </c>
      <c r="G120" s="55">
        <f t="shared" si="41"/>
        <v>7.6665830171565696E-2</v>
      </c>
      <c r="H120" s="55">
        <f t="shared" si="42"/>
        <v>0.10230220620263829</v>
      </c>
      <c r="I120" s="55">
        <f t="shared" si="43"/>
        <v>0.10693727886153681</v>
      </c>
    </row>
    <row r="121" spans="2:9" x14ac:dyDescent="0.2">
      <c r="B121" s="50" t="str">
        <f t="shared" ref="B121:C121" si="46">B85</f>
        <v>Avista Corporation</v>
      </c>
      <c r="C121" s="64" t="str">
        <f t="shared" si="46"/>
        <v>AVA</v>
      </c>
      <c r="D121" s="55">
        <f t="shared" si="38"/>
        <v>4.4176666666666663E-2</v>
      </c>
      <c r="E121" s="56">
        <v>0.75220014098929633</v>
      </c>
      <c r="F121" s="55">
        <f t="shared" si="39"/>
        <v>0.12084249683823237</v>
      </c>
      <c r="G121" s="55">
        <f t="shared" si="41"/>
        <v>7.6665830171565696E-2</v>
      </c>
      <c r="H121" s="55">
        <f t="shared" si="42"/>
        <v>0.10184471493077983</v>
      </c>
      <c r="I121" s="55">
        <f t="shared" si="43"/>
        <v>0.10659416040764297</v>
      </c>
    </row>
    <row r="122" spans="2:9" x14ac:dyDescent="0.2">
      <c r="B122" s="50" t="str">
        <f t="shared" ref="B122:C122" si="47">B86</f>
        <v>CMS Energy Corporation</v>
      </c>
      <c r="C122" s="64" t="str">
        <f t="shared" si="47"/>
        <v>CMS</v>
      </c>
      <c r="D122" s="55">
        <f t="shared" si="38"/>
        <v>4.4176666666666663E-2</v>
      </c>
      <c r="E122" s="56">
        <v>0.74874547762199861</v>
      </c>
      <c r="F122" s="55">
        <f t="shared" si="39"/>
        <v>0.12084249683823237</v>
      </c>
      <c r="G122" s="55">
        <f t="shared" si="41"/>
        <v>7.6665830171565696E-2</v>
      </c>
      <c r="H122" s="55">
        <f t="shared" si="42"/>
        <v>0.10157986029576266</v>
      </c>
      <c r="I122" s="55">
        <f t="shared" si="43"/>
        <v>0.10639551943138009</v>
      </c>
    </row>
    <row r="123" spans="2:9" x14ac:dyDescent="0.2">
      <c r="B123" s="50" t="str">
        <f t="shared" ref="B123:C123" si="48">B87</f>
        <v>Duke Energy Corporation</v>
      </c>
      <c r="C123" s="64" t="str">
        <f t="shared" si="48"/>
        <v>DUK</v>
      </c>
      <c r="D123" s="55">
        <f t="shared" si="38"/>
        <v>4.4176666666666663E-2</v>
      </c>
      <c r="E123" s="56">
        <v>0.71746374782803224</v>
      </c>
      <c r="F123" s="55">
        <f t="shared" si="39"/>
        <v>0.12084249683823237</v>
      </c>
      <c r="G123" s="55">
        <f t="shared" si="41"/>
        <v>7.6665830171565696E-2</v>
      </c>
      <c r="H123" s="55">
        <f t="shared" si="42"/>
        <v>9.9181620511905627E-2</v>
      </c>
      <c r="I123" s="55">
        <f t="shared" si="43"/>
        <v>0.10459683959348731</v>
      </c>
    </row>
    <row r="124" spans="2:9" x14ac:dyDescent="0.2">
      <c r="B124" s="50" t="str">
        <f t="shared" ref="B124:C124" si="49">B88</f>
        <v>Entergy Corporation</v>
      </c>
      <c r="C124" s="64" t="str">
        <f t="shared" si="49"/>
        <v>ETR</v>
      </c>
      <c r="D124" s="55">
        <f t="shared" si="38"/>
        <v>4.4176666666666663E-2</v>
      </c>
      <c r="E124" s="56">
        <v>0.85561094636638613</v>
      </c>
      <c r="F124" s="55">
        <f t="shared" si="39"/>
        <v>0.12084249683823237</v>
      </c>
      <c r="G124" s="55">
        <f t="shared" si="41"/>
        <v>7.6665830171565696E-2</v>
      </c>
      <c r="H124" s="55">
        <f t="shared" si="42"/>
        <v>0.10977279017372463</v>
      </c>
      <c r="I124" s="55">
        <f t="shared" si="43"/>
        <v>0.11254021683985158</v>
      </c>
    </row>
    <row r="125" spans="2:9" x14ac:dyDescent="0.2">
      <c r="B125" s="50" t="str">
        <f t="shared" ref="B125:C125" si="50">B89</f>
        <v>Evergy, Inc.</v>
      </c>
      <c r="C125" s="64" t="str">
        <f t="shared" si="50"/>
        <v>EVRG</v>
      </c>
      <c r="D125" s="55">
        <f t="shared" si="38"/>
        <v>4.4176666666666663E-2</v>
      </c>
      <c r="E125" s="56">
        <v>0.77915342244721142</v>
      </c>
      <c r="F125" s="55">
        <f t="shared" si="39"/>
        <v>0.12084249683823237</v>
      </c>
      <c r="G125" s="55">
        <f t="shared" ref="G125" si="51">F125-D125</f>
        <v>7.6665830171565696E-2</v>
      </c>
      <c r="H125" s="55">
        <f t="shared" ref="H125" si="52">IFERROR(G125*E125+D125,"")</f>
        <v>0.10391111062959876</v>
      </c>
      <c r="I125" s="55">
        <f t="shared" ref="I125" si="53">IFERROR((0.25*G125)+(0.75*E125*G125)+D125,"")</f>
        <v>0.10814395718175715</v>
      </c>
    </row>
    <row r="126" spans="2:9" x14ac:dyDescent="0.2">
      <c r="B126" s="50" t="str">
        <f t="shared" ref="B126:C126" si="54">B90</f>
        <v>IDACORP, Inc.</v>
      </c>
      <c r="C126" s="64" t="str">
        <f t="shared" si="54"/>
        <v>IDA</v>
      </c>
      <c r="D126" s="55">
        <f t="shared" si="38"/>
        <v>4.4176666666666663E-2</v>
      </c>
      <c r="E126" s="56">
        <v>0.7950670657342328</v>
      </c>
      <c r="F126" s="55">
        <f t="shared" si="39"/>
        <v>0.12084249683823237</v>
      </c>
      <c r="G126" s="55">
        <f t="shared" si="41"/>
        <v>7.6665830171565696E-2</v>
      </c>
      <c r="H126" s="55">
        <f t="shared" si="42"/>
        <v>0.10513114330325241</v>
      </c>
      <c r="I126" s="55">
        <f t="shared" si="43"/>
        <v>0.1090589816869974</v>
      </c>
    </row>
    <row r="127" spans="2:9" x14ac:dyDescent="0.2">
      <c r="B127" s="50" t="str">
        <f t="shared" ref="B127:C127" si="55">B91</f>
        <v>NextEra Energy, Inc.</v>
      </c>
      <c r="C127" s="64" t="str">
        <f t="shared" si="55"/>
        <v>NEE</v>
      </c>
      <c r="D127" s="55">
        <f t="shared" si="38"/>
        <v>4.4176666666666663E-2</v>
      </c>
      <c r="E127" s="56">
        <v>0.81815896266792643</v>
      </c>
      <c r="F127" s="55">
        <f t="shared" si="39"/>
        <v>0.12084249683823237</v>
      </c>
      <c r="G127" s="55">
        <f t="shared" si="41"/>
        <v>7.6665830171565696E-2</v>
      </c>
      <c r="H127" s="55">
        <f t="shared" si="42"/>
        <v>0.10690150275191027</v>
      </c>
      <c r="I127" s="55">
        <f t="shared" si="43"/>
        <v>0.11038675127349079</v>
      </c>
    </row>
    <row r="128" spans="2:9" x14ac:dyDescent="0.2">
      <c r="B128" s="50" t="str">
        <f t="shared" ref="B128:C128" si="56">B92</f>
        <v>NorthWestern Corporation</v>
      </c>
      <c r="C128" s="64" t="str">
        <f t="shared" si="56"/>
        <v>NWE</v>
      </c>
      <c r="D128" s="55">
        <f t="shared" si="38"/>
        <v>4.4176666666666663E-2</v>
      </c>
      <c r="E128" s="56">
        <v>0.85732324992955444</v>
      </c>
      <c r="F128" s="55">
        <f t="shared" si="39"/>
        <v>0.12084249683823237</v>
      </c>
      <c r="G128" s="55">
        <f t="shared" si="41"/>
        <v>7.6665830171565696E-2</v>
      </c>
      <c r="H128" s="55">
        <f t="shared" si="42"/>
        <v>0.10990406534790065</v>
      </c>
      <c r="I128" s="55">
        <f t="shared" si="43"/>
        <v>0.1126386732204836</v>
      </c>
    </row>
    <row r="129" spans="2:9" x14ac:dyDescent="0.2">
      <c r="B129" s="50" t="str">
        <f t="shared" ref="B129:C129" si="57">B93</f>
        <v>OGE Energy Corporation</v>
      </c>
      <c r="C129" s="64" t="str">
        <f t="shared" si="57"/>
        <v>OGE</v>
      </c>
      <c r="D129" s="55">
        <f t="shared" si="38"/>
        <v>4.4176666666666663E-2</v>
      </c>
      <c r="E129" s="56">
        <v>0.92031292203345882</v>
      </c>
      <c r="F129" s="55">
        <f t="shared" si="39"/>
        <v>0.12084249683823237</v>
      </c>
      <c r="G129" s="55">
        <f t="shared" si="41"/>
        <v>7.6665830171565696E-2</v>
      </c>
      <c r="H129" s="55">
        <f t="shared" si="42"/>
        <v>0.1147332208519812</v>
      </c>
      <c r="I129" s="55">
        <f t="shared" si="43"/>
        <v>0.11626053984854398</v>
      </c>
    </row>
    <row r="130" spans="2:9" x14ac:dyDescent="0.2">
      <c r="B130" s="50" t="str">
        <f t="shared" ref="B130:C130" si="58">B94</f>
        <v>Pinnacle West Capital Corporation</v>
      </c>
      <c r="C130" s="64" t="str">
        <f t="shared" si="58"/>
        <v>PNW</v>
      </c>
      <c r="D130" s="55">
        <f t="shared" si="38"/>
        <v>4.4176666666666663E-2</v>
      </c>
      <c r="E130" s="56">
        <v>0.82431065895702105</v>
      </c>
      <c r="F130" s="55">
        <f t="shared" si="39"/>
        <v>0.12084249683823237</v>
      </c>
      <c r="G130" s="55">
        <f t="shared" si="41"/>
        <v>7.6665830171565696E-2</v>
      </c>
      <c r="H130" s="55">
        <f t="shared" si="42"/>
        <v>0.10737312765487705</v>
      </c>
      <c r="I130" s="55">
        <f t="shared" si="43"/>
        <v>0.11074046995071588</v>
      </c>
    </row>
    <row r="131" spans="2:9" x14ac:dyDescent="0.2">
      <c r="B131" s="50" t="str">
        <f t="shared" ref="B131:C131" si="59">B95</f>
        <v>Portland General Electric Company</v>
      </c>
      <c r="C131" s="64" t="str">
        <f t="shared" si="59"/>
        <v>POR</v>
      </c>
      <c r="D131" s="55">
        <f t="shared" si="38"/>
        <v>4.4176666666666663E-2</v>
      </c>
      <c r="E131" s="56">
        <v>0.78595861782699394</v>
      </c>
      <c r="F131" s="55">
        <f t="shared" si="39"/>
        <v>0.12084249683823237</v>
      </c>
      <c r="G131" s="55">
        <f t="shared" si="41"/>
        <v>7.6665830171565696E-2</v>
      </c>
      <c r="H131" s="55">
        <f t="shared" si="42"/>
        <v>0.10443283658286949</v>
      </c>
      <c r="I131" s="55">
        <f t="shared" si="43"/>
        <v>0.10853525164671021</v>
      </c>
    </row>
    <row r="132" spans="2:9" x14ac:dyDescent="0.2">
      <c r="B132" s="50" t="str">
        <f t="shared" ref="B132:C132" si="60">B96</f>
        <v>Southern Company</v>
      </c>
      <c r="C132" s="64" t="str">
        <f t="shared" si="60"/>
        <v>SO</v>
      </c>
      <c r="D132" s="55">
        <f t="shared" si="38"/>
        <v>4.4176666666666663E-2</v>
      </c>
      <c r="E132" s="56">
        <v>0.77587057033952689</v>
      </c>
      <c r="F132" s="55">
        <f t="shared" si="39"/>
        <v>0.12084249683823237</v>
      </c>
      <c r="G132" s="55">
        <f t="shared" si="41"/>
        <v>7.6665830171565696E-2</v>
      </c>
      <c r="H132" s="55">
        <f t="shared" si="42"/>
        <v>0.10365942804743264</v>
      </c>
      <c r="I132" s="55">
        <f t="shared" si="43"/>
        <v>0.10795519524513258</v>
      </c>
    </row>
    <row r="133" spans="2:9" x14ac:dyDescent="0.2">
      <c r="B133" s="50" t="str">
        <f t="shared" ref="B133:C133" si="61">B97</f>
        <v>Xcel Energy Inc.</v>
      </c>
      <c r="C133" s="64" t="str">
        <f t="shared" si="61"/>
        <v>XEL</v>
      </c>
      <c r="D133" s="55">
        <f t="shared" si="38"/>
        <v>4.4176666666666663E-2</v>
      </c>
      <c r="E133" s="56">
        <v>0.73788039547885176</v>
      </c>
      <c r="F133" s="55">
        <f t="shared" si="39"/>
        <v>0.12084249683823237</v>
      </c>
      <c r="G133" s="55">
        <f t="shared" si="41"/>
        <v>7.6665830171565696E-2</v>
      </c>
      <c r="H133" s="55">
        <f t="shared" si="42"/>
        <v>0.10074687975337604</v>
      </c>
      <c r="I133" s="55">
        <f t="shared" si="43"/>
        <v>0.10577078402459011</v>
      </c>
    </row>
    <row r="134" spans="2:9" x14ac:dyDescent="0.2">
      <c r="B134" s="58" t="s">
        <v>2</v>
      </c>
      <c r="C134" s="58"/>
      <c r="D134" s="58"/>
      <c r="E134" s="54"/>
      <c r="F134" s="58"/>
      <c r="G134" s="58"/>
      <c r="H134" s="59">
        <f>AVERAGE(H117:H133)</f>
        <v>0.1050199968371999</v>
      </c>
      <c r="I134" s="59">
        <f>AVERAGE(I117:I133)</f>
        <v>0.10897562183745801</v>
      </c>
    </row>
    <row r="135" spans="2:9" ht="13.5" thickBot="1" x14ac:dyDescent="0.25">
      <c r="B135" s="60" t="s">
        <v>8</v>
      </c>
      <c r="C135" s="60"/>
      <c r="D135" s="60"/>
      <c r="E135" s="61"/>
      <c r="F135" s="60"/>
      <c r="G135" s="60"/>
      <c r="H135" s="62">
        <f>MEDIAN(H117:H133)</f>
        <v>0.10443283658286949</v>
      </c>
      <c r="I135" s="62">
        <f>MEDIAN(I117:I133)</f>
        <v>0.10853525164671021</v>
      </c>
    </row>
    <row r="137" spans="2:9" x14ac:dyDescent="0.2">
      <c r="B137" s="63" t="s">
        <v>62</v>
      </c>
    </row>
    <row r="138" spans="2:9" x14ac:dyDescent="0.2">
      <c r="B138" s="50" t="str">
        <f>B30</f>
        <v>[1] Bloomberg Professional, as of September 30, 2023</v>
      </c>
    </row>
    <row r="139" spans="2:9" x14ac:dyDescent="0.2">
      <c r="B139" s="50" t="s">
        <v>1396</v>
      </c>
    </row>
    <row r="140" spans="2:9" x14ac:dyDescent="0.2">
      <c r="B140" s="50" t="str">
        <f>$B$32</f>
        <v>[3] Market Return</v>
      </c>
    </row>
    <row r="141" spans="2:9" x14ac:dyDescent="0.2">
      <c r="B141" s="50" t="s">
        <v>94</v>
      </c>
    </row>
    <row r="142" spans="2:9" x14ac:dyDescent="0.2">
      <c r="B142" s="50" t="s">
        <v>95</v>
      </c>
    </row>
    <row r="143" spans="2:9" x14ac:dyDescent="0.2">
      <c r="B143" s="50" t="s">
        <v>96</v>
      </c>
    </row>
    <row r="146" spans="2:9" ht="13.35" customHeight="1" x14ac:dyDescent="0.2">
      <c r="B146" s="291" t="s">
        <v>100</v>
      </c>
      <c r="C146" s="291"/>
      <c r="D146" s="291"/>
      <c r="E146" s="291"/>
      <c r="F146" s="291"/>
      <c r="G146" s="291"/>
      <c r="H146" s="291"/>
      <c r="I146" s="291"/>
    </row>
    <row r="148" spans="2:9" x14ac:dyDescent="0.2">
      <c r="B148" s="291" t="s">
        <v>86</v>
      </c>
      <c r="C148" s="291"/>
      <c r="D148" s="291"/>
      <c r="E148" s="291"/>
      <c r="F148" s="291"/>
      <c r="G148" s="291"/>
      <c r="H148" s="291"/>
      <c r="I148" s="291"/>
    </row>
    <row r="149" spans="2:9" x14ac:dyDescent="0.2">
      <c r="B149" s="291" t="s">
        <v>87</v>
      </c>
      <c r="C149" s="291"/>
      <c r="D149" s="291"/>
      <c r="E149" s="291"/>
      <c r="F149" s="291"/>
      <c r="G149" s="291"/>
      <c r="H149" s="291"/>
      <c r="I149" s="291"/>
    </row>
    <row r="151" spans="2:9" ht="13.5" thickBot="1" x14ac:dyDescent="0.25">
      <c r="D151" s="51" t="s">
        <v>14</v>
      </c>
      <c r="E151" s="51" t="s">
        <v>15</v>
      </c>
      <c r="F151" s="51" t="s">
        <v>16</v>
      </c>
      <c r="G151" s="51" t="s">
        <v>17</v>
      </c>
      <c r="H151" s="51" t="s">
        <v>18</v>
      </c>
      <c r="I151" s="51" t="s">
        <v>19</v>
      </c>
    </row>
    <row r="152" spans="2:9" ht="51" x14ac:dyDescent="0.2">
      <c r="B152" s="9" t="s">
        <v>20</v>
      </c>
      <c r="C152" s="9" t="s">
        <v>21</v>
      </c>
      <c r="D152" s="10" t="str">
        <f t="shared" ref="D152:D160" si="62">D44</f>
        <v>Near-term projected 30-year U.S. Treasury bond yield 
(Q4 2023 - Q4 2024)</v>
      </c>
      <c r="E152" s="10" t="s">
        <v>89</v>
      </c>
      <c r="F152" s="10" t="s">
        <v>90</v>
      </c>
      <c r="G152" s="10" t="s">
        <v>91</v>
      </c>
      <c r="H152" s="52" t="s">
        <v>92</v>
      </c>
      <c r="I152" s="52" t="s">
        <v>93</v>
      </c>
    </row>
    <row r="153" spans="2:9" x14ac:dyDescent="0.2">
      <c r="B153" s="50" t="str">
        <f>B117</f>
        <v>ALLETE, Inc.</v>
      </c>
      <c r="C153" s="64" t="str">
        <f>C117</f>
        <v>ALE</v>
      </c>
      <c r="D153" s="55">
        <f t="shared" si="62"/>
        <v>4.1599999999999998E-2</v>
      </c>
      <c r="E153" s="56">
        <f t="shared" ref="E153:E169" si="63">E117</f>
        <v>0.82299549700026775</v>
      </c>
      <c r="F153" s="59">
        <f t="shared" ref="F153:F169" si="64">F9</f>
        <v>0.12084249683823237</v>
      </c>
      <c r="G153" s="59">
        <f>F153-D153</f>
        <v>7.9242496838232368E-2</v>
      </c>
      <c r="H153" s="59">
        <f>IFERROR(G153*E153+D153,"")</f>
        <v>0.10681621806892319</v>
      </c>
      <c r="I153" s="59">
        <f>IFERROR((0.25*G153)+(0.75*E153*G153)+D153,"")</f>
        <v>0.11032278776125048</v>
      </c>
    </row>
    <row r="154" spans="2:9" x14ac:dyDescent="0.2">
      <c r="B154" s="50" t="str">
        <f t="shared" ref="B154:C154" si="65">B118</f>
        <v>Alliant Energy Corporation</v>
      </c>
      <c r="C154" s="64" t="str">
        <f t="shared" si="65"/>
        <v>LNT</v>
      </c>
      <c r="D154" s="55">
        <f t="shared" si="62"/>
        <v>4.1599999999999998E-2</v>
      </c>
      <c r="E154" s="56">
        <f t="shared" si="63"/>
        <v>0.79118947761831993</v>
      </c>
      <c r="F154" s="55">
        <f t="shared" si="64"/>
        <v>0.12084249683823237</v>
      </c>
      <c r="G154" s="55">
        <f t="shared" ref="G154:G169" si="66">F154-D154</f>
        <v>7.9242496838232368E-2</v>
      </c>
      <c r="H154" s="55">
        <f t="shared" ref="H154:H169" si="67">IFERROR(G154*E154+D154,"")</f>
        <v>0.10429582967861244</v>
      </c>
      <c r="I154" s="55">
        <f t="shared" ref="I154:I169" si="68">IFERROR((0.25*G154)+(0.75*E154*G154)+D154,"")</f>
        <v>0.10843249646851741</v>
      </c>
    </row>
    <row r="155" spans="2:9" x14ac:dyDescent="0.2">
      <c r="B155" s="50" t="str">
        <f t="shared" ref="B155:C155" si="69">B119</f>
        <v>Ameren Corporation</v>
      </c>
      <c r="C155" s="64" t="str">
        <f t="shared" si="69"/>
        <v>AEE</v>
      </c>
      <c r="D155" s="55">
        <f t="shared" si="62"/>
        <v>4.1599999999999998E-2</v>
      </c>
      <c r="E155" s="56">
        <f t="shared" si="63"/>
        <v>0.75108569144723902</v>
      </c>
      <c r="F155" s="55">
        <f t="shared" si="64"/>
        <v>0.12084249683823237</v>
      </c>
      <c r="G155" s="55">
        <f t="shared" si="66"/>
        <v>7.9242496838232368E-2</v>
      </c>
      <c r="H155" s="55">
        <f t="shared" si="67"/>
        <v>0.10111790552974941</v>
      </c>
      <c r="I155" s="55">
        <f t="shared" si="68"/>
        <v>0.10604905335687015</v>
      </c>
    </row>
    <row r="156" spans="2:9" x14ac:dyDescent="0.2">
      <c r="B156" s="50" t="str">
        <f t="shared" ref="B156:C156" si="70">B120</f>
        <v>American Electric Power Company, Inc.</v>
      </c>
      <c r="C156" s="64" t="str">
        <f t="shared" si="70"/>
        <v>AEP</v>
      </c>
      <c r="D156" s="55">
        <f t="shared" si="62"/>
        <v>4.1599999999999998E-2</v>
      </c>
      <c r="E156" s="56">
        <f t="shared" si="63"/>
        <v>0.75816748355683483</v>
      </c>
      <c r="F156" s="55">
        <f t="shared" si="64"/>
        <v>0.12084249683823237</v>
      </c>
      <c r="G156" s="55">
        <f t="shared" si="66"/>
        <v>7.9242496838232368E-2</v>
      </c>
      <c r="H156" s="55">
        <f t="shared" si="67"/>
        <v>0.10167908441860307</v>
      </c>
      <c r="I156" s="55">
        <f t="shared" si="68"/>
        <v>0.10646993752351039</v>
      </c>
    </row>
    <row r="157" spans="2:9" x14ac:dyDescent="0.2">
      <c r="B157" s="50" t="str">
        <f t="shared" ref="B157:C157" si="71">B121</f>
        <v>Avista Corporation</v>
      </c>
      <c r="C157" s="64" t="str">
        <f t="shared" si="71"/>
        <v>AVA</v>
      </c>
      <c r="D157" s="55">
        <f t="shared" si="62"/>
        <v>4.1599999999999998E-2</v>
      </c>
      <c r="E157" s="56">
        <f t="shared" si="63"/>
        <v>0.75220014098929633</v>
      </c>
      <c r="F157" s="55">
        <f t="shared" si="64"/>
        <v>0.12084249683823237</v>
      </c>
      <c r="G157" s="55">
        <f t="shared" si="66"/>
        <v>7.9242496838232368E-2</v>
      </c>
      <c r="H157" s="55">
        <f t="shared" si="67"/>
        <v>0.10120621729406226</v>
      </c>
      <c r="I157" s="55">
        <f t="shared" si="68"/>
        <v>0.10611528718010478</v>
      </c>
    </row>
    <row r="158" spans="2:9" x14ac:dyDescent="0.2">
      <c r="B158" s="50" t="str">
        <f t="shared" ref="B158:C158" si="72">B122</f>
        <v>CMS Energy Corporation</v>
      </c>
      <c r="C158" s="64" t="str">
        <f t="shared" si="72"/>
        <v>CMS</v>
      </c>
      <c r="D158" s="55">
        <f t="shared" si="62"/>
        <v>4.1599999999999998E-2</v>
      </c>
      <c r="E158" s="56">
        <f t="shared" si="63"/>
        <v>0.74874547762199861</v>
      </c>
      <c r="F158" s="55">
        <f t="shared" si="64"/>
        <v>0.12084249683823237</v>
      </c>
      <c r="G158" s="55">
        <f t="shared" si="66"/>
        <v>7.9242496838232368E-2</v>
      </c>
      <c r="H158" s="55">
        <f t="shared" si="67"/>
        <v>0.100932461143102</v>
      </c>
      <c r="I158" s="55">
        <f t="shared" si="68"/>
        <v>0.1059099700668846</v>
      </c>
    </row>
    <row r="159" spans="2:9" x14ac:dyDescent="0.2">
      <c r="B159" s="50" t="str">
        <f t="shared" ref="B159:C159" si="73">B123</f>
        <v>Duke Energy Corporation</v>
      </c>
      <c r="C159" s="64" t="str">
        <f t="shared" si="73"/>
        <v>DUK</v>
      </c>
      <c r="D159" s="55">
        <f t="shared" si="62"/>
        <v>4.1599999999999998E-2</v>
      </c>
      <c r="E159" s="56">
        <f t="shared" si="63"/>
        <v>0.71746374782803224</v>
      </c>
      <c r="F159" s="55">
        <f t="shared" si="64"/>
        <v>0.12084249683823237</v>
      </c>
      <c r="G159" s="55">
        <f t="shared" si="66"/>
        <v>7.9242496838232368E-2</v>
      </c>
      <c r="H159" s="55">
        <f t="shared" si="67"/>
        <v>9.845361876880919E-2</v>
      </c>
      <c r="I159" s="55">
        <f t="shared" si="68"/>
        <v>0.10405083828616499</v>
      </c>
    </row>
    <row r="160" spans="2:9" x14ac:dyDescent="0.2">
      <c r="B160" s="50" t="str">
        <f t="shared" ref="B160:C160" si="74">B124</f>
        <v>Entergy Corporation</v>
      </c>
      <c r="C160" s="64" t="str">
        <f t="shared" si="74"/>
        <v>ETR</v>
      </c>
      <c r="D160" s="55">
        <f t="shared" si="62"/>
        <v>4.1599999999999998E-2</v>
      </c>
      <c r="E160" s="56">
        <f t="shared" si="63"/>
        <v>0.85561094636638613</v>
      </c>
      <c r="F160" s="55">
        <f t="shared" si="64"/>
        <v>0.12084249683823237</v>
      </c>
      <c r="G160" s="55">
        <f t="shared" si="66"/>
        <v>7.9242496838232368E-2</v>
      </c>
      <c r="H160" s="55">
        <f t="shared" si="67"/>
        <v>0.10940074771219535</v>
      </c>
      <c r="I160" s="55">
        <f t="shared" si="68"/>
        <v>0.1122611849937046</v>
      </c>
    </row>
    <row r="161" spans="2:9" x14ac:dyDescent="0.2">
      <c r="B161" s="50" t="str">
        <f t="shared" ref="B161:C161" si="75">B125</f>
        <v>Evergy, Inc.</v>
      </c>
      <c r="C161" s="64" t="str">
        <f t="shared" si="75"/>
        <v>EVRG</v>
      </c>
      <c r="D161" s="55">
        <f>D160</f>
        <v>4.1599999999999998E-2</v>
      </c>
      <c r="E161" s="56">
        <f t="shared" si="63"/>
        <v>0.77915342244721142</v>
      </c>
      <c r="F161" s="55">
        <f t="shared" si="64"/>
        <v>0.12084249683823237</v>
      </c>
      <c r="G161" s="55">
        <f t="shared" ref="G161" si="76">F161-D161</f>
        <v>7.9242496838232368E-2</v>
      </c>
      <c r="H161" s="55">
        <f t="shared" ref="H161" si="77">IFERROR(G161*E161+D161,"")</f>
        <v>0.10334206261477108</v>
      </c>
      <c r="I161" s="55">
        <f t="shared" ref="I161" si="78">IFERROR((0.25*G161)+(0.75*E161*G161)+D161,"")</f>
        <v>0.10771717117063639</v>
      </c>
    </row>
    <row r="162" spans="2:9" x14ac:dyDescent="0.2">
      <c r="B162" s="50" t="str">
        <f t="shared" ref="B162:C162" si="79">B126</f>
        <v>IDACORP, Inc.</v>
      </c>
      <c r="C162" s="64" t="str">
        <f t="shared" si="79"/>
        <v>IDA</v>
      </c>
      <c r="D162" s="55">
        <f t="shared" ref="D162:D169" si="80">D54</f>
        <v>4.1599999999999998E-2</v>
      </c>
      <c r="E162" s="56">
        <f t="shared" si="63"/>
        <v>0.7950670657342328</v>
      </c>
      <c r="F162" s="55">
        <f t="shared" si="64"/>
        <v>0.12084249683823237</v>
      </c>
      <c r="G162" s="55">
        <f t="shared" si="66"/>
        <v>7.9242496838232368E-2</v>
      </c>
      <c r="H162" s="55">
        <f t="shared" si="67"/>
        <v>0.10460309944262763</v>
      </c>
      <c r="I162" s="55">
        <f t="shared" si="68"/>
        <v>0.10866294879152882</v>
      </c>
    </row>
    <row r="163" spans="2:9" x14ac:dyDescent="0.2">
      <c r="B163" s="50" t="str">
        <f t="shared" ref="B163:C163" si="81">B127</f>
        <v>NextEra Energy, Inc.</v>
      </c>
      <c r="C163" s="64" t="str">
        <f t="shared" si="81"/>
        <v>NEE</v>
      </c>
      <c r="D163" s="55">
        <f t="shared" si="80"/>
        <v>4.1599999999999998E-2</v>
      </c>
      <c r="E163" s="56">
        <f t="shared" si="63"/>
        <v>0.81815896266792643</v>
      </c>
      <c r="F163" s="55">
        <f t="shared" si="64"/>
        <v>0.12084249683823237</v>
      </c>
      <c r="G163" s="55">
        <f t="shared" si="66"/>
        <v>7.9242496838232368E-2</v>
      </c>
      <c r="H163" s="55">
        <f t="shared" si="67"/>
        <v>0.10643295901238463</v>
      </c>
      <c r="I163" s="55">
        <f t="shared" si="68"/>
        <v>0.11003534346884657</v>
      </c>
    </row>
    <row r="164" spans="2:9" x14ac:dyDescent="0.2">
      <c r="B164" s="50" t="str">
        <f t="shared" ref="B164:C164" si="82">B128</f>
        <v>NorthWestern Corporation</v>
      </c>
      <c r="C164" s="64" t="str">
        <f t="shared" si="82"/>
        <v>NWE</v>
      </c>
      <c r="D164" s="55">
        <f t="shared" si="80"/>
        <v>4.1599999999999998E-2</v>
      </c>
      <c r="E164" s="56">
        <f t="shared" si="63"/>
        <v>0.85732324992955444</v>
      </c>
      <c r="F164" s="55">
        <f t="shared" si="64"/>
        <v>0.12084249683823237</v>
      </c>
      <c r="G164" s="55">
        <f t="shared" si="66"/>
        <v>7.9242496838232368E-2</v>
      </c>
      <c r="H164" s="55">
        <f t="shared" si="67"/>
        <v>0.10953643492188582</v>
      </c>
      <c r="I164" s="55">
        <f t="shared" si="68"/>
        <v>0.11236295040097245</v>
      </c>
    </row>
    <row r="165" spans="2:9" x14ac:dyDescent="0.2">
      <c r="B165" s="50" t="str">
        <f t="shared" ref="B165:C165" si="83">B129</f>
        <v>OGE Energy Corporation</v>
      </c>
      <c r="C165" s="64" t="str">
        <f t="shared" si="83"/>
        <v>OGE</v>
      </c>
      <c r="D165" s="55">
        <f t="shared" si="80"/>
        <v>4.1599999999999998E-2</v>
      </c>
      <c r="E165" s="56">
        <f t="shared" si="63"/>
        <v>0.92031292203345882</v>
      </c>
      <c r="F165" s="55">
        <f t="shared" si="64"/>
        <v>0.12084249683823237</v>
      </c>
      <c r="G165" s="55">
        <f t="shared" si="66"/>
        <v>7.9242496838232368E-2</v>
      </c>
      <c r="H165" s="55">
        <f t="shared" si="67"/>
        <v>0.11452789381442074</v>
      </c>
      <c r="I165" s="55">
        <f t="shared" si="68"/>
        <v>0.11610654457037364</v>
      </c>
    </row>
    <row r="166" spans="2:9" x14ac:dyDescent="0.2">
      <c r="B166" s="50" t="str">
        <f t="shared" ref="B166:C166" si="84">B130</f>
        <v>Pinnacle West Capital Corporation</v>
      </c>
      <c r="C166" s="64" t="str">
        <f t="shared" si="84"/>
        <v>PNW</v>
      </c>
      <c r="D166" s="55">
        <f t="shared" si="80"/>
        <v>4.1599999999999998E-2</v>
      </c>
      <c r="E166" s="56">
        <f t="shared" si="63"/>
        <v>0.82431065895702105</v>
      </c>
      <c r="F166" s="55">
        <f t="shared" si="64"/>
        <v>0.12084249683823237</v>
      </c>
      <c r="G166" s="55">
        <f t="shared" si="66"/>
        <v>7.9242496838232368E-2</v>
      </c>
      <c r="H166" s="55">
        <f t="shared" si="67"/>
        <v>0.10692043478612298</v>
      </c>
      <c r="I166" s="55">
        <f t="shared" si="68"/>
        <v>0.11040095029915033</v>
      </c>
    </row>
    <row r="167" spans="2:9" x14ac:dyDescent="0.2">
      <c r="B167" s="50" t="str">
        <f t="shared" ref="B167:C167" si="85">B131</f>
        <v>Portland General Electric Company</v>
      </c>
      <c r="C167" s="64" t="str">
        <f t="shared" si="85"/>
        <v>POR</v>
      </c>
      <c r="D167" s="55">
        <f t="shared" si="80"/>
        <v>4.1599999999999998E-2</v>
      </c>
      <c r="E167" s="56">
        <f t="shared" si="63"/>
        <v>0.78595861782699394</v>
      </c>
      <c r="F167" s="55">
        <f t="shared" si="64"/>
        <v>0.12084249683823237</v>
      </c>
      <c r="G167" s="55">
        <f t="shared" si="66"/>
        <v>7.9242496838232368E-2</v>
      </c>
      <c r="H167" s="55">
        <f t="shared" si="67"/>
        <v>0.10388132328813704</v>
      </c>
      <c r="I167" s="55">
        <f t="shared" si="68"/>
        <v>0.10812161667566088</v>
      </c>
    </row>
    <row r="168" spans="2:9" x14ac:dyDescent="0.2">
      <c r="B168" s="50" t="str">
        <f t="shared" ref="B168:C168" si="86">B132</f>
        <v>Southern Company</v>
      </c>
      <c r="C168" s="64" t="str">
        <f t="shared" si="86"/>
        <v>SO</v>
      </c>
      <c r="D168" s="55">
        <f t="shared" si="80"/>
        <v>4.1599999999999998E-2</v>
      </c>
      <c r="E168" s="56">
        <f t="shared" si="63"/>
        <v>0.77587057033952689</v>
      </c>
      <c r="F168" s="55">
        <f t="shared" si="64"/>
        <v>0.12084249683823237</v>
      </c>
      <c r="G168" s="55">
        <f t="shared" si="66"/>
        <v>7.9242496838232368E-2</v>
      </c>
      <c r="H168" s="55">
        <f t="shared" si="67"/>
        <v>0.1030819212170075</v>
      </c>
      <c r="I168" s="55">
        <f t="shared" si="68"/>
        <v>0.10752206512231371</v>
      </c>
    </row>
    <row r="169" spans="2:9" x14ac:dyDescent="0.2">
      <c r="B169" s="50" t="str">
        <f t="shared" ref="B169:C169" si="87">B133</f>
        <v>Xcel Energy Inc.</v>
      </c>
      <c r="C169" s="64" t="str">
        <f t="shared" si="87"/>
        <v>XEL</v>
      </c>
      <c r="D169" s="55">
        <f t="shared" si="80"/>
        <v>4.1599999999999998E-2</v>
      </c>
      <c r="E169" s="56">
        <f t="shared" si="63"/>
        <v>0.73788039547885176</v>
      </c>
      <c r="F169" s="55">
        <f t="shared" si="64"/>
        <v>0.12084249683823237</v>
      </c>
      <c r="G169" s="55">
        <f t="shared" si="66"/>
        <v>7.9242496838232368E-2</v>
      </c>
      <c r="H169" s="55">
        <f t="shared" si="67"/>
        <v>0.10007148490572657</v>
      </c>
      <c r="I169" s="55">
        <f t="shared" si="68"/>
        <v>0.105264237888853</v>
      </c>
    </row>
    <row r="170" spans="2:9" x14ac:dyDescent="0.2">
      <c r="B170" s="58" t="s">
        <v>2</v>
      </c>
      <c r="C170" s="58"/>
      <c r="D170" s="58"/>
      <c r="E170" s="54"/>
      <c r="F170" s="58"/>
      <c r="G170" s="58"/>
      <c r="H170" s="59">
        <f>AVERAGE(H153:H169)</f>
        <v>0.10448821744806713</v>
      </c>
      <c r="I170" s="59">
        <f>AVERAGE(I153:I169)</f>
        <v>0.10857678729560843</v>
      </c>
    </row>
    <row r="171" spans="2:9" ht="13.5" thickBot="1" x14ac:dyDescent="0.25">
      <c r="B171" s="60" t="s">
        <v>8</v>
      </c>
      <c r="C171" s="60"/>
      <c r="D171" s="60"/>
      <c r="E171" s="61"/>
      <c r="F171" s="60"/>
      <c r="G171" s="60"/>
      <c r="H171" s="62">
        <f>MEDIAN(H153:H169)</f>
        <v>0.10388132328813704</v>
      </c>
      <c r="I171" s="62">
        <f>MEDIAN(I153:I169)</f>
        <v>0.10812161667566088</v>
      </c>
    </row>
    <row r="173" spans="2:9" x14ac:dyDescent="0.2">
      <c r="B173" s="63" t="s">
        <v>62</v>
      </c>
    </row>
    <row r="174" spans="2:9" x14ac:dyDescent="0.2">
      <c r="B174" s="50" t="str">
        <f>B66</f>
        <v>[1] Blue Chip Financial Forecasts, Vol. 42, No. 10, October 1, 2023, at 2</v>
      </c>
    </row>
    <row r="175" spans="2:9" x14ac:dyDescent="0.2">
      <c r="B175" s="50" t="str">
        <f>B139</f>
        <v>[2] Bloomberg Professional, based on 10-year weekly returns</v>
      </c>
    </row>
    <row r="176" spans="2:9" x14ac:dyDescent="0.2">
      <c r="B176" s="50" t="str">
        <f>$B$32</f>
        <v>[3] Market Return</v>
      </c>
    </row>
    <row r="177" spans="2:9" x14ac:dyDescent="0.2">
      <c r="B177" s="50" t="s">
        <v>94</v>
      </c>
    </row>
    <row r="178" spans="2:9" x14ac:dyDescent="0.2">
      <c r="B178" s="50" t="s">
        <v>95</v>
      </c>
    </row>
    <row r="179" spans="2:9" x14ac:dyDescent="0.2">
      <c r="B179" s="50" t="s">
        <v>96</v>
      </c>
    </row>
    <row r="182" spans="2:9" ht="13.35" customHeight="1" x14ac:dyDescent="0.2">
      <c r="B182" s="291" t="s">
        <v>101</v>
      </c>
      <c r="C182" s="291"/>
      <c r="D182" s="291"/>
      <c r="E182" s="291"/>
      <c r="F182" s="291"/>
      <c r="G182" s="291"/>
      <c r="H182" s="291"/>
      <c r="I182" s="291"/>
    </row>
    <row r="184" spans="2:9" x14ac:dyDescent="0.2">
      <c r="B184" s="291" t="s">
        <v>86</v>
      </c>
      <c r="C184" s="291"/>
      <c r="D184" s="291"/>
      <c r="E184" s="291"/>
      <c r="F184" s="291"/>
      <c r="G184" s="291"/>
      <c r="H184" s="291"/>
      <c r="I184" s="291"/>
    </row>
    <row r="185" spans="2:9" x14ac:dyDescent="0.2">
      <c r="B185" s="291" t="s">
        <v>87</v>
      </c>
      <c r="C185" s="291"/>
      <c r="D185" s="291"/>
      <c r="E185" s="291"/>
      <c r="F185" s="291"/>
      <c r="G185" s="291"/>
      <c r="H185" s="291"/>
      <c r="I185" s="291"/>
    </row>
    <row r="187" spans="2:9" ht="13.5" thickBot="1" x14ac:dyDescent="0.25">
      <c r="D187" s="51" t="s">
        <v>14</v>
      </c>
      <c r="E187" s="51" t="s">
        <v>15</v>
      </c>
      <c r="F187" s="51" t="s">
        <v>16</v>
      </c>
      <c r="G187" s="51" t="s">
        <v>17</v>
      </c>
      <c r="H187" s="51" t="s">
        <v>18</v>
      </c>
      <c r="I187" s="51" t="s">
        <v>19</v>
      </c>
    </row>
    <row r="188" spans="2:9" ht="51" x14ac:dyDescent="0.2">
      <c r="B188" s="9" t="s">
        <v>20</v>
      </c>
      <c r="C188" s="9" t="s">
        <v>21</v>
      </c>
      <c r="D188" s="10" t="str">
        <f t="shared" ref="D188:D205" si="88">D80</f>
        <v>Projected 30-year U.S. Treasury bond yield 
(2025 - 2029)</v>
      </c>
      <c r="E188" s="10" t="s">
        <v>89</v>
      </c>
      <c r="F188" s="10" t="s">
        <v>90</v>
      </c>
      <c r="G188" s="10" t="s">
        <v>91</v>
      </c>
      <c r="H188" s="52" t="s">
        <v>92</v>
      </c>
      <c r="I188" s="52" t="s">
        <v>93</v>
      </c>
    </row>
    <row r="189" spans="2:9" x14ac:dyDescent="0.2">
      <c r="B189" s="50" t="str">
        <f>B153</f>
        <v>ALLETE, Inc.</v>
      </c>
      <c r="C189" s="64" t="str">
        <f>C153</f>
        <v>ALE</v>
      </c>
      <c r="D189" s="55">
        <f t="shared" si="88"/>
        <v>3.7999999999999999E-2</v>
      </c>
      <c r="E189" s="56">
        <f t="shared" ref="E189:E205" si="89">E153</f>
        <v>0.82299549700026775</v>
      </c>
      <c r="F189" s="55">
        <f t="shared" ref="F189:F205" si="90">F9</f>
        <v>0.12084249683823237</v>
      </c>
      <c r="G189" s="55">
        <f>F189-D189</f>
        <v>8.284249683823236E-2</v>
      </c>
      <c r="H189" s="55">
        <f>IFERROR(G189*E189+D189,"")</f>
        <v>0.10617900185812415</v>
      </c>
      <c r="I189" s="55">
        <f>IFERROR((0.25*G189)+(0.75*E189*G189)+D189,"")</f>
        <v>0.1098448756031512</v>
      </c>
    </row>
    <row r="190" spans="2:9" x14ac:dyDescent="0.2">
      <c r="B190" s="50" t="str">
        <f t="shared" ref="B190:C190" si="91">B154</f>
        <v>Alliant Energy Corporation</v>
      </c>
      <c r="C190" s="64" t="str">
        <f t="shared" si="91"/>
        <v>LNT</v>
      </c>
      <c r="D190" s="55">
        <f t="shared" si="88"/>
        <v>3.7999999999999999E-2</v>
      </c>
      <c r="E190" s="56">
        <f t="shared" si="89"/>
        <v>0.79118947761831993</v>
      </c>
      <c r="F190" s="55">
        <f t="shared" si="90"/>
        <v>0.12084249683823237</v>
      </c>
      <c r="G190" s="55">
        <f t="shared" ref="G190:G205" si="92">F190-D190</f>
        <v>8.284249683823236E-2</v>
      </c>
      <c r="H190" s="55">
        <f t="shared" ref="H190:H205" si="93">IFERROR(G190*E190+D190,"")</f>
        <v>0.10354411179803838</v>
      </c>
      <c r="I190" s="55">
        <f t="shared" ref="I190:I205" si="94">IFERROR((0.25*G190)+(0.75*E190*G190)+D190,"")</f>
        <v>0.10786870805808688</v>
      </c>
    </row>
    <row r="191" spans="2:9" x14ac:dyDescent="0.2">
      <c r="B191" s="50" t="str">
        <f t="shared" ref="B191:C191" si="95">B155</f>
        <v>Ameren Corporation</v>
      </c>
      <c r="C191" s="64" t="str">
        <f t="shared" si="95"/>
        <v>AEE</v>
      </c>
      <c r="D191" s="55">
        <f t="shared" si="88"/>
        <v>3.7999999999999999E-2</v>
      </c>
      <c r="E191" s="56">
        <f t="shared" si="89"/>
        <v>0.75108569144723902</v>
      </c>
      <c r="F191" s="55">
        <f t="shared" si="90"/>
        <v>0.12084249683823237</v>
      </c>
      <c r="G191" s="55">
        <f t="shared" si="92"/>
        <v>8.284249683823236E-2</v>
      </c>
      <c r="H191" s="55">
        <f t="shared" si="93"/>
        <v>0.10022181401895947</v>
      </c>
      <c r="I191" s="55">
        <f t="shared" si="94"/>
        <v>0.10537698472377768</v>
      </c>
    </row>
    <row r="192" spans="2:9" x14ac:dyDescent="0.2">
      <c r="B192" s="50" t="str">
        <f t="shared" ref="B192:C192" si="96">B156</f>
        <v>American Electric Power Company, Inc.</v>
      </c>
      <c r="C192" s="64" t="str">
        <f t="shared" si="96"/>
        <v>AEP</v>
      </c>
      <c r="D192" s="55">
        <f t="shared" si="88"/>
        <v>3.7999999999999999E-2</v>
      </c>
      <c r="E192" s="56">
        <f t="shared" si="89"/>
        <v>0.75816748355683483</v>
      </c>
      <c r="F192" s="55">
        <f t="shared" si="90"/>
        <v>0.12084249683823237</v>
      </c>
      <c r="G192" s="55">
        <f t="shared" si="92"/>
        <v>8.284249683823236E-2</v>
      </c>
      <c r="H192" s="55">
        <f t="shared" si="93"/>
        <v>0.10080848735940767</v>
      </c>
      <c r="I192" s="55">
        <f t="shared" si="94"/>
        <v>0.10581698972911385</v>
      </c>
    </row>
    <row r="193" spans="2:9" x14ac:dyDescent="0.2">
      <c r="B193" s="50" t="str">
        <f t="shared" ref="B193:C193" si="97">B157</f>
        <v>Avista Corporation</v>
      </c>
      <c r="C193" s="64" t="str">
        <f t="shared" si="97"/>
        <v>AVA</v>
      </c>
      <c r="D193" s="55">
        <f t="shared" si="88"/>
        <v>3.7999999999999999E-2</v>
      </c>
      <c r="E193" s="56">
        <f t="shared" si="89"/>
        <v>0.75220014098929633</v>
      </c>
      <c r="F193" s="55">
        <f t="shared" si="90"/>
        <v>0.12084249683823237</v>
      </c>
      <c r="G193" s="55">
        <f t="shared" si="92"/>
        <v>8.284249683823236E-2</v>
      </c>
      <c r="H193" s="55">
        <f t="shared" si="93"/>
        <v>0.10031413780162371</v>
      </c>
      <c r="I193" s="55">
        <f t="shared" si="94"/>
        <v>0.10544622756077587</v>
      </c>
    </row>
    <row r="194" spans="2:9" x14ac:dyDescent="0.2">
      <c r="B194" s="50" t="str">
        <f t="shared" ref="B194:C194" si="98">B158</f>
        <v>CMS Energy Corporation</v>
      </c>
      <c r="C194" s="64" t="str">
        <f t="shared" si="98"/>
        <v>CMS</v>
      </c>
      <c r="D194" s="55">
        <f t="shared" si="88"/>
        <v>3.7999999999999999E-2</v>
      </c>
      <c r="E194" s="56">
        <f t="shared" si="89"/>
        <v>0.74874547762199861</v>
      </c>
      <c r="F194" s="55">
        <f t="shared" si="90"/>
        <v>0.12084249683823237</v>
      </c>
      <c r="G194" s="55">
        <f t="shared" si="92"/>
        <v>8.284249683823236E-2</v>
      </c>
      <c r="H194" s="55">
        <f t="shared" si="93"/>
        <v>0.1000279448625412</v>
      </c>
      <c r="I194" s="55">
        <f t="shared" si="94"/>
        <v>0.105231582856464</v>
      </c>
    </row>
    <row r="195" spans="2:9" x14ac:dyDescent="0.2">
      <c r="B195" s="50" t="str">
        <f t="shared" ref="B195:C195" si="99">B159</f>
        <v>Duke Energy Corporation</v>
      </c>
      <c r="C195" s="64" t="str">
        <f t="shared" si="99"/>
        <v>DUK</v>
      </c>
      <c r="D195" s="55">
        <f t="shared" si="88"/>
        <v>3.7999999999999999E-2</v>
      </c>
      <c r="E195" s="56">
        <f t="shared" si="89"/>
        <v>0.71746374782803224</v>
      </c>
      <c r="F195" s="55">
        <f t="shared" si="90"/>
        <v>0.12084249683823237</v>
      </c>
      <c r="G195" s="55">
        <f t="shared" si="92"/>
        <v>8.284249683823236E-2</v>
      </c>
      <c r="H195" s="55">
        <f t="shared" si="93"/>
        <v>9.7436488260990106E-2</v>
      </c>
      <c r="I195" s="55">
        <f t="shared" si="94"/>
        <v>0.10328799040530068</v>
      </c>
    </row>
    <row r="196" spans="2:9" x14ac:dyDescent="0.2">
      <c r="B196" s="50" t="str">
        <f t="shared" ref="B196:C196" si="100">B160</f>
        <v>Entergy Corporation</v>
      </c>
      <c r="C196" s="64" t="str">
        <f t="shared" si="100"/>
        <v>ETR</v>
      </c>
      <c r="D196" s="55">
        <f t="shared" si="88"/>
        <v>3.7999999999999999E-2</v>
      </c>
      <c r="E196" s="56">
        <f t="shared" si="89"/>
        <v>0.85561094636638613</v>
      </c>
      <c r="F196" s="55">
        <f t="shared" si="90"/>
        <v>0.12084249683823237</v>
      </c>
      <c r="G196" s="55">
        <f t="shared" si="92"/>
        <v>8.284249683823236E-2</v>
      </c>
      <c r="H196" s="55">
        <f t="shared" si="93"/>
        <v>0.10888094711911434</v>
      </c>
      <c r="I196" s="55">
        <f t="shared" si="94"/>
        <v>0.11187133454889384</v>
      </c>
    </row>
    <row r="197" spans="2:9" x14ac:dyDescent="0.2">
      <c r="B197" s="50" t="str">
        <f t="shared" ref="B197:C197" si="101">B161</f>
        <v>Evergy, Inc.</v>
      </c>
      <c r="C197" s="64" t="str">
        <f t="shared" si="101"/>
        <v>EVRG</v>
      </c>
      <c r="D197" s="55">
        <f t="shared" si="88"/>
        <v>3.7999999999999999E-2</v>
      </c>
      <c r="E197" s="56">
        <f t="shared" si="89"/>
        <v>0.77915342244721142</v>
      </c>
      <c r="F197" s="55">
        <f t="shared" si="90"/>
        <v>0.12084249683823237</v>
      </c>
      <c r="G197" s="55">
        <f t="shared" ref="G197" si="102">F197-D197</f>
        <v>8.284249683823236E-2</v>
      </c>
      <c r="H197" s="55">
        <f t="shared" ref="H197" si="103">IFERROR(G197*E197+D197,"")</f>
        <v>0.10254701493558102</v>
      </c>
      <c r="I197" s="55">
        <f t="shared" ref="I197" si="104">IFERROR((0.25*G197)+(0.75*E197*G197)+D197,"")</f>
        <v>0.10712088541124387</v>
      </c>
    </row>
    <row r="198" spans="2:9" x14ac:dyDescent="0.2">
      <c r="B198" s="50" t="str">
        <f t="shared" ref="B198:C198" si="105">B162</f>
        <v>IDACORP, Inc.</v>
      </c>
      <c r="C198" s="64" t="str">
        <f t="shared" si="105"/>
        <v>IDA</v>
      </c>
      <c r="D198" s="55">
        <f t="shared" si="88"/>
        <v>3.7999999999999999E-2</v>
      </c>
      <c r="E198" s="56">
        <f t="shared" si="89"/>
        <v>0.7950670657342328</v>
      </c>
      <c r="F198" s="55">
        <f t="shared" si="90"/>
        <v>0.12084249683823237</v>
      </c>
      <c r="G198" s="55">
        <f t="shared" si="92"/>
        <v>8.284249683823236E-2</v>
      </c>
      <c r="H198" s="55">
        <f t="shared" si="93"/>
        <v>0.10386534087927085</v>
      </c>
      <c r="I198" s="55">
        <f t="shared" si="94"/>
        <v>0.10810962986901124</v>
      </c>
    </row>
    <row r="199" spans="2:9" x14ac:dyDescent="0.2">
      <c r="B199" s="50" t="str">
        <f t="shared" ref="B199:C199" si="106">B163</f>
        <v>NextEra Energy, Inc.</v>
      </c>
      <c r="C199" s="64" t="str">
        <f t="shared" si="106"/>
        <v>NEE</v>
      </c>
      <c r="D199" s="55">
        <f t="shared" si="88"/>
        <v>3.7999999999999999E-2</v>
      </c>
      <c r="E199" s="56">
        <f t="shared" si="89"/>
        <v>0.81815896266792643</v>
      </c>
      <c r="F199" s="55">
        <f t="shared" si="90"/>
        <v>0.12084249683823237</v>
      </c>
      <c r="G199" s="55">
        <f t="shared" si="92"/>
        <v>8.284249683823236E-2</v>
      </c>
      <c r="H199" s="55">
        <f t="shared" si="93"/>
        <v>0.10577833127798916</v>
      </c>
      <c r="I199" s="55">
        <f t="shared" si="94"/>
        <v>0.10954437266804998</v>
      </c>
    </row>
    <row r="200" spans="2:9" x14ac:dyDescent="0.2">
      <c r="B200" s="50" t="str">
        <f t="shared" ref="B200:C200" si="107">B164</f>
        <v>NorthWestern Corporation</v>
      </c>
      <c r="C200" s="64" t="str">
        <f t="shared" si="107"/>
        <v>NWE</v>
      </c>
      <c r="D200" s="55">
        <f t="shared" si="88"/>
        <v>3.7999999999999999E-2</v>
      </c>
      <c r="E200" s="56">
        <f t="shared" si="89"/>
        <v>0.85732324992955444</v>
      </c>
      <c r="F200" s="55">
        <f t="shared" si="90"/>
        <v>0.12084249683823237</v>
      </c>
      <c r="G200" s="55">
        <f t="shared" si="92"/>
        <v>8.284249683823236E-2</v>
      </c>
      <c r="H200" s="55">
        <f t="shared" si="93"/>
        <v>0.10902279862163219</v>
      </c>
      <c r="I200" s="55">
        <f t="shared" si="94"/>
        <v>0.11197772317578225</v>
      </c>
    </row>
    <row r="201" spans="2:9" x14ac:dyDescent="0.2">
      <c r="B201" s="50" t="str">
        <f t="shared" ref="B201:C201" si="108">B165</f>
        <v>OGE Energy Corporation</v>
      </c>
      <c r="C201" s="64" t="str">
        <f t="shared" si="108"/>
        <v>OGE</v>
      </c>
      <c r="D201" s="55">
        <f t="shared" si="88"/>
        <v>3.7999999999999999E-2</v>
      </c>
      <c r="E201" s="56">
        <f t="shared" si="89"/>
        <v>0.92031292203345882</v>
      </c>
      <c r="F201" s="55">
        <f t="shared" si="90"/>
        <v>0.12084249683823237</v>
      </c>
      <c r="G201" s="55">
        <f t="shared" si="92"/>
        <v>8.284249683823236E-2</v>
      </c>
      <c r="H201" s="55">
        <f t="shared" si="93"/>
        <v>0.1142410203337412</v>
      </c>
      <c r="I201" s="55">
        <f t="shared" si="94"/>
        <v>0.11589138945986399</v>
      </c>
    </row>
    <row r="202" spans="2:9" x14ac:dyDescent="0.2">
      <c r="B202" s="50" t="str">
        <f t="shared" ref="B202:C202" si="109">B166</f>
        <v>Pinnacle West Capital Corporation</v>
      </c>
      <c r="C202" s="64" t="str">
        <f t="shared" si="109"/>
        <v>PNW</v>
      </c>
      <c r="D202" s="55">
        <f t="shared" si="88"/>
        <v>3.7999999999999999E-2</v>
      </c>
      <c r="E202" s="56">
        <f t="shared" si="89"/>
        <v>0.82431065895702105</v>
      </c>
      <c r="F202" s="55">
        <f t="shared" si="90"/>
        <v>0.12084249683823237</v>
      </c>
      <c r="G202" s="55">
        <f t="shared" si="92"/>
        <v>8.284249683823236E-2</v>
      </c>
      <c r="H202" s="55">
        <f t="shared" si="93"/>
        <v>0.10628795315836825</v>
      </c>
      <c r="I202" s="55">
        <f t="shared" si="94"/>
        <v>0.10992658907833427</v>
      </c>
    </row>
    <row r="203" spans="2:9" x14ac:dyDescent="0.2">
      <c r="B203" s="50" t="str">
        <f t="shared" ref="B203:C203" si="110">B167</f>
        <v>Portland General Electric Company</v>
      </c>
      <c r="C203" s="64" t="str">
        <f t="shared" si="110"/>
        <v>POR</v>
      </c>
      <c r="D203" s="55">
        <f t="shared" si="88"/>
        <v>3.7999999999999999E-2</v>
      </c>
      <c r="E203" s="56">
        <f t="shared" si="89"/>
        <v>0.78595861782699394</v>
      </c>
      <c r="F203" s="55">
        <f t="shared" si="90"/>
        <v>0.12084249683823237</v>
      </c>
      <c r="G203" s="55">
        <f t="shared" si="92"/>
        <v>8.284249683823236E-2</v>
      </c>
      <c r="H203" s="55">
        <f t="shared" si="93"/>
        <v>0.10311077431231422</v>
      </c>
      <c r="I203" s="55">
        <f t="shared" si="94"/>
        <v>0.10754370494379376</v>
      </c>
    </row>
    <row r="204" spans="2:9" x14ac:dyDescent="0.2">
      <c r="B204" s="50" t="str">
        <f t="shared" ref="B204:C204" si="111">B168</f>
        <v>Southern Company</v>
      </c>
      <c r="C204" s="64" t="str">
        <f t="shared" si="111"/>
        <v>SO</v>
      </c>
      <c r="D204" s="55">
        <f t="shared" si="88"/>
        <v>3.7999999999999999E-2</v>
      </c>
      <c r="E204" s="56">
        <f t="shared" si="89"/>
        <v>0.77587057033952689</v>
      </c>
      <c r="F204" s="55">
        <f t="shared" si="90"/>
        <v>0.12084249683823237</v>
      </c>
      <c r="G204" s="55">
        <f t="shared" si="92"/>
        <v>8.284249683823236E-2</v>
      </c>
      <c r="H204" s="55">
        <f t="shared" si="93"/>
        <v>0.10227505527022979</v>
      </c>
      <c r="I204" s="55">
        <f t="shared" si="94"/>
        <v>0.10691691566223044</v>
      </c>
    </row>
    <row r="205" spans="2:9" x14ac:dyDescent="0.2">
      <c r="B205" s="50" t="str">
        <f t="shared" ref="B205:C205" si="112">B169</f>
        <v>Xcel Energy Inc.</v>
      </c>
      <c r="C205" s="64" t="str">
        <f t="shared" si="112"/>
        <v>XEL</v>
      </c>
      <c r="D205" s="55">
        <f t="shared" si="88"/>
        <v>3.7999999999999999E-2</v>
      </c>
      <c r="E205" s="56">
        <f t="shared" si="89"/>
        <v>0.73788039547885176</v>
      </c>
      <c r="F205" s="55">
        <f t="shared" si="90"/>
        <v>0.12084249683823237</v>
      </c>
      <c r="G205" s="55">
        <f t="shared" si="92"/>
        <v>8.284249683823236E-2</v>
      </c>
      <c r="H205" s="55">
        <f t="shared" si="93"/>
        <v>9.9127854329450427E-2</v>
      </c>
      <c r="I205" s="55">
        <f t="shared" si="94"/>
        <v>0.10455651495664589</v>
      </c>
    </row>
    <row r="206" spans="2:9" x14ac:dyDescent="0.2">
      <c r="B206" s="58" t="s">
        <v>2</v>
      </c>
      <c r="C206" s="58"/>
      <c r="D206" s="58"/>
      <c r="E206" s="54"/>
      <c r="F206" s="58"/>
      <c r="G206" s="58"/>
      <c r="H206" s="59">
        <f>AVERAGE(H189:H205)</f>
        <v>0.10374523977631624</v>
      </c>
      <c r="I206" s="59">
        <f>AVERAGE(I189:I205)</f>
        <v>0.10801955404179528</v>
      </c>
    </row>
    <row r="207" spans="2:9" ht="13.5" thickBot="1" x14ac:dyDescent="0.25">
      <c r="B207" s="60" t="s">
        <v>8</v>
      </c>
      <c r="C207" s="60"/>
      <c r="D207" s="60"/>
      <c r="E207" s="61"/>
      <c r="F207" s="60"/>
      <c r="G207" s="60"/>
      <c r="H207" s="62">
        <f>MEDIAN(H189:H205)</f>
        <v>0.10311077431231422</v>
      </c>
      <c r="I207" s="62">
        <f>MEDIAN(I189:I205)</f>
        <v>0.10754370494379376</v>
      </c>
    </row>
    <row r="209" spans="2:9" x14ac:dyDescent="0.2">
      <c r="B209" s="63" t="s">
        <v>62</v>
      </c>
    </row>
    <row r="210" spans="2:9" x14ac:dyDescent="0.2">
      <c r="B210" s="50" t="str">
        <f>B102</f>
        <v>[1] Blue Chip Financial Forecasts, Vol. 42, No. 6, June 1, 2023, at 14</v>
      </c>
    </row>
    <row r="211" spans="2:9" x14ac:dyDescent="0.2">
      <c r="B211" s="50" t="str">
        <f>B139</f>
        <v>[2] Bloomberg Professional, based on 10-year weekly returns</v>
      </c>
    </row>
    <row r="212" spans="2:9" x14ac:dyDescent="0.2">
      <c r="B212" s="50" t="str">
        <f>$B$32</f>
        <v>[3] Market Return</v>
      </c>
    </row>
    <row r="213" spans="2:9" x14ac:dyDescent="0.2">
      <c r="B213" s="50" t="s">
        <v>94</v>
      </c>
    </row>
    <row r="214" spans="2:9" x14ac:dyDescent="0.2">
      <c r="B214" s="50" t="s">
        <v>95</v>
      </c>
    </row>
    <row r="215" spans="2:9" x14ac:dyDescent="0.2">
      <c r="B215" s="50" t="s">
        <v>96</v>
      </c>
    </row>
    <row r="218" spans="2:9" ht="13.35" customHeight="1" x14ac:dyDescent="0.2">
      <c r="B218" s="291" t="s">
        <v>102</v>
      </c>
      <c r="C218" s="291"/>
      <c r="D218" s="291"/>
      <c r="E218" s="291"/>
      <c r="F218" s="291"/>
      <c r="G218" s="291"/>
      <c r="H218" s="291"/>
      <c r="I218" s="291"/>
    </row>
    <row r="220" spans="2:9" x14ac:dyDescent="0.2">
      <c r="B220" s="291" t="s">
        <v>86</v>
      </c>
      <c r="C220" s="291"/>
      <c r="D220" s="291"/>
      <c r="E220" s="291"/>
      <c r="F220" s="291"/>
      <c r="G220" s="291"/>
      <c r="H220" s="291"/>
      <c r="I220" s="291"/>
    </row>
    <row r="221" spans="2:9" x14ac:dyDescent="0.2">
      <c r="B221" s="291" t="s">
        <v>87</v>
      </c>
      <c r="C221" s="291"/>
      <c r="D221" s="291"/>
      <c r="E221" s="291"/>
      <c r="F221" s="291"/>
      <c r="G221" s="291"/>
      <c r="H221" s="291"/>
      <c r="I221" s="291"/>
    </row>
    <row r="223" spans="2:9" ht="13.5" thickBot="1" x14ac:dyDescent="0.25">
      <c r="D223" s="51" t="s">
        <v>14</v>
      </c>
      <c r="E223" s="51" t="s">
        <v>15</v>
      </c>
      <c r="F223" s="51" t="s">
        <v>16</v>
      </c>
      <c r="G223" s="51" t="s">
        <v>17</v>
      </c>
      <c r="H223" s="51" t="s">
        <v>18</v>
      </c>
      <c r="I223" s="51" t="s">
        <v>19</v>
      </c>
    </row>
    <row r="224" spans="2:9" ht="51" x14ac:dyDescent="0.2">
      <c r="B224" s="9" t="s">
        <v>20</v>
      </c>
      <c r="C224" s="9" t="s">
        <v>21</v>
      </c>
      <c r="D224" s="10" t="str">
        <f t="shared" ref="D224:D241" si="113">D116</f>
        <v>Current 30-day average of 30-year U.S. Treasury bond yield</v>
      </c>
      <c r="E224" s="186" t="s">
        <v>89</v>
      </c>
      <c r="F224" s="10" t="s">
        <v>90</v>
      </c>
      <c r="G224" s="10" t="s">
        <v>91</v>
      </c>
      <c r="H224" s="52" t="s">
        <v>92</v>
      </c>
      <c r="I224" s="52" t="s">
        <v>93</v>
      </c>
    </row>
    <row r="225" spans="2:9" x14ac:dyDescent="0.2">
      <c r="B225" s="50" t="str">
        <f>B189</f>
        <v>ALLETE, Inc.</v>
      </c>
      <c r="C225" s="64" t="str">
        <f>C189</f>
        <v>ALE</v>
      </c>
      <c r="D225" s="55">
        <f t="shared" si="113"/>
        <v>4.4176666666666663E-2</v>
      </c>
      <c r="E225" s="109">
        <f>'AEB-19 LT Beta'!M6</f>
        <v>0.78500000000000014</v>
      </c>
      <c r="F225" s="55">
        <f t="shared" ref="F225:F241" si="114">F117</f>
        <v>0.12084249683823237</v>
      </c>
      <c r="G225" s="55">
        <f>F225-D225</f>
        <v>7.6665830171565696E-2</v>
      </c>
      <c r="H225" s="55">
        <f>IFERROR(G225*E225+D225,"")</f>
        <v>0.10435934335134575</v>
      </c>
      <c r="I225" s="55">
        <f>IFERROR((0.25*G225)+(0.75*E225*G225)+D225,"")</f>
        <v>0.10848013172306739</v>
      </c>
    </row>
    <row r="226" spans="2:9" x14ac:dyDescent="0.2">
      <c r="B226" s="50" t="str">
        <f t="shared" ref="B226:C226" si="115">B190</f>
        <v>Alliant Energy Corporation</v>
      </c>
      <c r="C226" s="64" t="str">
        <f t="shared" si="115"/>
        <v>LNT</v>
      </c>
      <c r="D226" s="55">
        <f t="shared" si="113"/>
        <v>4.4176666666666663E-2</v>
      </c>
      <c r="E226" s="110">
        <f>'AEB-19 LT Beta'!M7</f>
        <v>0.74999999999999978</v>
      </c>
      <c r="F226" s="55">
        <f t="shared" si="114"/>
        <v>0.12084249683823237</v>
      </c>
      <c r="G226" s="55">
        <f t="shared" ref="G226:G241" si="116">F226-D226</f>
        <v>7.6665830171565696E-2</v>
      </c>
      <c r="H226" s="55">
        <f t="shared" ref="H226:H241" si="117">IFERROR(G226*E226+D226,"")</f>
        <v>0.10167603929534091</v>
      </c>
      <c r="I226" s="55">
        <f t="shared" ref="I226:I241" si="118">IFERROR((0.25*G226)+(0.75*E226*G226)+D226,"")</f>
        <v>0.10646765368106378</v>
      </c>
    </row>
    <row r="227" spans="2:9" x14ac:dyDescent="0.2">
      <c r="B227" s="50" t="str">
        <f t="shared" ref="B227:C227" si="119">B191</f>
        <v>Ameren Corporation</v>
      </c>
      <c r="C227" s="64" t="str">
        <f t="shared" si="119"/>
        <v>AEE</v>
      </c>
      <c r="D227" s="55">
        <f t="shared" si="113"/>
        <v>4.4176666666666663E-2</v>
      </c>
      <c r="E227" s="110">
        <f>'AEB-19 LT Beta'!M8</f>
        <v>0.72499999999999987</v>
      </c>
      <c r="F227" s="55">
        <f t="shared" si="114"/>
        <v>0.12084249683823237</v>
      </c>
      <c r="G227" s="55">
        <f t="shared" si="116"/>
        <v>7.6665830171565696E-2</v>
      </c>
      <c r="H227" s="55">
        <f t="shared" si="117"/>
        <v>9.9759393541051788E-2</v>
      </c>
      <c r="I227" s="55">
        <f t="shared" si="118"/>
        <v>0.10503016936534693</v>
      </c>
    </row>
    <row r="228" spans="2:9" x14ac:dyDescent="0.2">
      <c r="B228" s="50" t="str">
        <f t="shared" ref="B228:C228" si="120">B192</f>
        <v>American Electric Power Company, Inc.</v>
      </c>
      <c r="C228" s="64" t="str">
        <f t="shared" si="120"/>
        <v>AEP</v>
      </c>
      <c r="D228" s="55">
        <f t="shared" si="113"/>
        <v>4.4176666666666663E-2</v>
      </c>
      <c r="E228" s="110">
        <f>'AEB-19 LT Beta'!M9</f>
        <v>0.67499999999999993</v>
      </c>
      <c r="F228" s="55">
        <f t="shared" si="114"/>
        <v>0.12084249683823237</v>
      </c>
      <c r="G228" s="55">
        <f t="shared" si="116"/>
        <v>7.6665830171565696E-2</v>
      </c>
      <c r="H228" s="55">
        <f t="shared" si="117"/>
        <v>9.5926102032473509E-2</v>
      </c>
      <c r="I228" s="55">
        <f t="shared" si="118"/>
        <v>0.10215520073391321</v>
      </c>
    </row>
    <row r="229" spans="2:9" x14ac:dyDescent="0.2">
      <c r="B229" s="50" t="str">
        <f t="shared" ref="B229:C229" si="121">B193</f>
        <v>Avista Corporation</v>
      </c>
      <c r="C229" s="64" t="str">
        <f t="shared" si="121"/>
        <v>AVA</v>
      </c>
      <c r="D229" s="55">
        <f t="shared" si="113"/>
        <v>4.4176666666666663E-2</v>
      </c>
      <c r="E229" s="110">
        <f>'AEB-19 LT Beta'!M10</f>
        <v>0.78500000000000003</v>
      </c>
      <c r="F229" s="55">
        <f t="shared" si="114"/>
        <v>0.12084249683823237</v>
      </c>
      <c r="G229" s="55">
        <f t="shared" si="116"/>
        <v>7.6665830171565696E-2</v>
      </c>
      <c r="H229" s="55">
        <f t="shared" si="117"/>
        <v>0.10435934335134574</v>
      </c>
      <c r="I229" s="55">
        <f t="shared" si="118"/>
        <v>0.10848013172306739</v>
      </c>
    </row>
    <row r="230" spans="2:9" x14ac:dyDescent="0.2">
      <c r="B230" s="50" t="str">
        <f t="shared" ref="B230:C230" si="122">B194</f>
        <v>CMS Energy Corporation</v>
      </c>
      <c r="C230" s="64" t="str">
        <f t="shared" si="122"/>
        <v>CMS</v>
      </c>
      <c r="D230" s="55">
        <f t="shared" si="113"/>
        <v>4.4176666666666663E-2</v>
      </c>
      <c r="E230" s="110">
        <f>'AEB-19 LT Beta'!M11</f>
        <v>0.69</v>
      </c>
      <c r="F230" s="55">
        <f t="shared" si="114"/>
        <v>0.12084249683823237</v>
      </c>
      <c r="G230" s="55">
        <f t="shared" si="116"/>
        <v>7.6665830171565696E-2</v>
      </c>
      <c r="H230" s="55">
        <f t="shared" si="117"/>
        <v>9.7076089485046979E-2</v>
      </c>
      <c r="I230" s="55">
        <f t="shared" si="118"/>
        <v>0.10301769132334333</v>
      </c>
    </row>
    <row r="231" spans="2:9" x14ac:dyDescent="0.2">
      <c r="B231" s="50" t="str">
        <f t="shared" ref="B231:C231" si="123">B195</f>
        <v>Duke Energy Corporation</v>
      </c>
      <c r="C231" s="64" t="str">
        <f t="shared" si="123"/>
        <v>DUK</v>
      </c>
      <c r="D231" s="55">
        <f t="shared" si="113"/>
        <v>4.4176666666666663E-2</v>
      </c>
      <c r="E231" s="110">
        <f>'AEB-19 LT Beta'!M12</f>
        <v>0.66499999999999981</v>
      </c>
      <c r="F231" s="55">
        <f t="shared" si="114"/>
        <v>0.12084249683823237</v>
      </c>
      <c r="G231" s="55">
        <f t="shared" si="116"/>
        <v>7.6665830171565696E-2</v>
      </c>
      <c r="H231" s="55">
        <f t="shared" si="117"/>
        <v>9.5159443730757839E-2</v>
      </c>
      <c r="I231" s="55">
        <f t="shared" si="118"/>
        <v>0.10158020700762646</v>
      </c>
    </row>
    <row r="232" spans="2:9" x14ac:dyDescent="0.2">
      <c r="B232" s="50" t="str">
        <f t="shared" ref="B232:C232" si="124">B196</f>
        <v>Entergy Corporation</v>
      </c>
      <c r="C232" s="64" t="str">
        <f t="shared" si="124"/>
        <v>ETR</v>
      </c>
      <c r="D232" s="55">
        <f t="shared" si="113"/>
        <v>4.4176666666666663E-2</v>
      </c>
      <c r="E232" s="110">
        <f>'AEB-19 LT Beta'!M13</f>
        <v>0.745</v>
      </c>
      <c r="F232" s="55">
        <f t="shared" si="114"/>
        <v>0.12084249683823237</v>
      </c>
      <c r="G232" s="55">
        <f t="shared" si="116"/>
        <v>7.6665830171565696E-2</v>
      </c>
      <c r="H232" s="55">
        <f t="shared" si="117"/>
        <v>0.1012927101444831</v>
      </c>
      <c r="I232" s="55">
        <f t="shared" si="118"/>
        <v>0.10618015681792042</v>
      </c>
    </row>
    <row r="233" spans="2:9" x14ac:dyDescent="0.2">
      <c r="B233" s="50" t="str">
        <f t="shared" ref="B233:C233" si="125">B197</f>
        <v>Evergy, Inc.</v>
      </c>
      <c r="C233" s="64" t="str">
        <f t="shared" si="125"/>
        <v>EVRG</v>
      </c>
      <c r="D233" s="55">
        <f t="shared" si="113"/>
        <v>4.4176666666666663E-2</v>
      </c>
      <c r="E233" s="110">
        <f>'AEB-19 LT Beta'!M14</f>
        <v>0.95000000000000007</v>
      </c>
      <c r="F233" s="55">
        <f t="shared" si="114"/>
        <v>0.12084249683823237</v>
      </c>
      <c r="G233" s="55">
        <f t="shared" ref="G233" si="126">F233-D233</f>
        <v>7.6665830171565696E-2</v>
      </c>
      <c r="H233" s="55">
        <f t="shared" ref="H233" si="127">IFERROR(G233*E233+D233,"")</f>
        <v>0.11700920532965409</v>
      </c>
      <c r="I233" s="55">
        <f t="shared" ref="I233" si="128">IFERROR((0.25*G233)+(0.75*E233*G233)+D233,"")</f>
        <v>0.11796752820679865</v>
      </c>
    </row>
    <row r="234" spans="2:9" x14ac:dyDescent="0.2">
      <c r="B234" s="50" t="str">
        <f t="shared" ref="B234:C234" si="129">B198</f>
        <v>IDACORP, Inc.</v>
      </c>
      <c r="C234" s="64" t="str">
        <f t="shared" si="129"/>
        <v>IDA</v>
      </c>
      <c r="D234" s="55">
        <f t="shared" si="113"/>
        <v>4.4176666666666663E-2</v>
      </c>
      <c r="E234" s="110">
        <f>'AEB-19 LT Beta'!M15</f>
        <v>0.72999999999999987</v>
      </c>
      <c r="F234" s="55">
        <f t="shared" si="114"/>
        <v>0.12084249683823237</v>
      </c>
      <c r="G234" s="55">
        <f t="shared" si="116"/>
        <v>7.6665830171565696E-2</v>
      </c>
      <c r="H234" s="55">
        <f t="shared" si="117"/>
        <v>0.1001427226919096</v>
      </c>
      <c r="I234" s="55">
        <f t="shared" si="118"/>
        <v>0.10531766622849029</v>
      </c>
    </row>
    <row r="235" spans="2:9" x14ac:dyDescent="0.2">
      <c r="B235" s="50" t="str">
        <f t="shared" ref="B235:C235" si="130">B199</f>
        <v>NextEra Energy, Inc.</v>
      </c>
      <c r="C235" s="64" t="str">
        <f t="shared" si="130"/>
        <v>NEE</v>
      </c>
      <c r="D235" s="55">
        <f t="shared" si="113"/>
        <v>4.4176666666666663E-2</v>
      </c>
      <c r="E235" s="110">
        <f>'AEB-19 LT Beta'!M16</f>
        <v>0.73000000000000009</v>
      </c>
      <c r="F235" s="55">
        <f t="shared" si="114"/>
        <v>0.12084249683823237</v>
      </c>
      <c r="G235" s="55">
        <f t="shared" si="116"/>
        <v>7.6665830171565696E-2</v>
      </c>
      <c r="H235" s="55">
        <f t="shared" si="117"/>
        <v>0.10014272269190963</v>
      </c>
      <c r="I235" s="55">
        <f t="shared" si="118"/>
        <v>0.10531766622849031</v>
      </c>
    </row>
    <row r="236" spans="2:9" x14ac:dyDescent="0.2">
      <c r="B236" s="50" t="str">
        <f t="shared" ref="B236:C236" si="131">B200</f>
        <v>NorthWestern Corporation</v>
      </c>
      <c r="C236" s="64" t="str">
        <f t="shared" si="131"/>
        <v>NWE</v>
      </c>
      <c r="D236" s="55">
        <f t="shared" si="113"/>
        <v>4.4176666666666663E-2</v>
      </c>
      <c r="E236" s="110">
        <f>'AEB-19 LT Beta'!M17</f>
        <v>0.745</v>
      </c>
      <c r="F236" s="55">
        <f t="shared" si="114"/>
        <v>0.12084249683823237</v>
      </c>
      <c r="G236" s="55">
        <f t="shared" si="116"/>
        <v>7.6665830171565696E-2</v>
      </c>
      <c r="H236" s="55">
        <f t="shared" si="117"/>
        <v>0.1012927101444831</v>
      </c>
      <c r="I236" s="55">
        <f t="shared" si="118"/>
        <v>0.10618015681792042</v>
      </c>
    </row>
    <row r="237" spans="2:9" x14ac:dyDescent="0.2">
      <c r="B237" s="50" t="str">
        <f t="shared" ref="B237:C237" si="132">B201</f>
        <v>OGE Energy Corporation</v>
      </c>
      <c r="C237" s="64" t="str">
        <f t="shared" si="132"/>
        <v>OGE</v>
      </c>
      <c r="D237" s="55">
        <f t="shared" si="113"/>
        <v>4.4176666666666663E-2</v>
      </c>
      <c r="E237" s="110">
        <f>'AEB-19 LT Beta'!M18</f>
        <v>0.93</v>
      </c>
      <c r="F237" s="55">
        <f t="shared" si="114"/>
        <v>0.12084249683823237</v>
      </c>
      <c r="G237" s="55">
        <f t="shared" si="116"/>
        <v>7.6665830171565696E-2</v>
      </c>
      <c r="H237" s="55">
        <f t="shared" si="117"/>
        <v>0.11547588872622278</v>
      </c>
      <c r="I237" s="55">
        <f t="shared" si="118"/>
        <v>0.11681754075422515</v>
      </c>
    </row>
    <row r="238" spans="2:9" x14ac:dyDescent="0.2">
      <c r="B238" s="50" t="str">
        <f t="shared" ref="B238:C238" si="133">B202</f>
        <v>Pinnacle West Capital Corporation</v>
      </c>
      <c r="C238" s="64" t="str">
        <f t="shared" si="133"/>
        <v>PNW</v>
      </c>
      <c r="D238" s="55">
        <f t="shared" si="113"/>
        <v>4.4176666666666663E-2</v>
      </c>
      <c r="E238" s="110">
        <f>'AEB-19 LT Beta'!M19</f>
        <v>0.7350000000000001</v>
      </c>
      <c r="F238" s="55">
        <f t="shared" si="114"/>
        <v>0.12084249683823237</v>
      </c>
      <c r="G238" s="55">
        <f t="shared" si="116"/>
        <v>7.6665830171565696E-2</v>
      </c>
      <c r="H238" s="55">
        <f t="shared" si="117"/>
        <v>0.10052605184276746</v>
      </c>
      <c r="I238" s="55">
        <f t="shared" si="118"/>
        <v>0.10560516309163367</v>
      </c>
    </row>
    <row r="239" spans="2:9" x14ac:dyDescent="0.2">
      <c r="B239" s="50" t="str">
        <f t="shared" ref="B239:C239" si="134">B203</f>
        <v>Portland General Electric Company</v>
      </c>
      <c r="C239" s="64" t="str">
        <f t="shared" si="134"/>
        <v>POR</v>
      </c>
      <c r="D239" s="55">
        <f t="shared" si="113"/>
        <v>4.4176666666666663E-2</v>
      </c>
      <c r="E239" s="110">
        <f>'AEB-19 LT Beta'!M20</f>
        <v>0.74999999999999989</v>
      </c>
      <c r="F239" s="55">
        <f t="shared" si="114"/>
        <v>0.12084249683823237</v>
      </c>
      <c r="G239" s="55">
        <f t="shared" si="116"/>
        <v>7.6665830171565696E-2</v>
      </c>
      <c r="H239" s="55">
        <f t="shared" si="117"/>
        <v>0.10167603929534093</v>
      </c>
      <c r="I239" s="55">
        <f t="shared" si="118"/>
        <v>0.10646765368106378</v>
      </c>
    </row>
    <row r="240" spans="2:9" x14ac:dyDescent="0.2">
      <c r="B240" s="50" t="str">
        <f t="shared" ref="B240:C240" si="135">B204</f>
        <v>Southern Company</v>
      </c>
      <c r="C240" s="64" t="str">
        <f t="shared" si="135"/>
        <v>SO</v>
      </c>
      <c r="D240" s="55">
        <f t="shared" si="113"/>
        <v>4.4176666666666663E-2</v>
      </c>
      <c r="E240" s="110">
        <f>'AEB-19 LT Beta'!M21</f>
        <v>0.65500000000000003</v>
      </c>
      <c r="F240" s="55">
        <f t="shared" si="114"/>
        <v>0.12084249683823237</v>
      </c>
      <c r="G240" s="55">
        <f t="shared" si="116"/>
        <v>7.6665830171565696E-2</v>
      </c>
      <c r="H240" s="55">
        <f t="shared" si="117"/>
        <v>9.4392785429042197E-2</v>
      </c>
      <c r="I240" s="55">
        <f t="shared" si="118"/>
        <v>0.10100521328133974</v>
      </c>
    </row>
    <row r="241" spans="2:9" x14ac:dyDescent="0.2">
      <c r="B241" s="50" t="str">
        <f t="shared" ref="B241:C241" si="136">B205</f>
        <v>Xcel Energy Inc.</v>
      </c>
      <c r="C241" s="64" t="str">
        <f t="shared" si="136"/>
        <v>XEL</v>
      </c>
      <c r="D241" s="55">
        <f t="shared" si="113"/>
        <v>4.4176666666666663E-2</v>
      </c>
      <c r="E241" s="65">
        <f>'AEB-19 LT Beta'!M22</f>
        <v>0.65500000000000003</v>
      </c>
      <c r="F241" s="55">
        <f t="shared" si="114"/>
        <v>0.12084249683823237</v>
      </c>
      <c r="G241" s="55">
        <f t="shared" si="116"/>
        <v>7.6665830171565696E-2</v>
      </c>
      <c r="H241" s="55">
        <f t="shared" si="117"/>
        <v>9.4392785429042197E-2</v>
      </c>
      <c r="I241" s="55">
        <f t="shared" si="118"/>
        <v>0.10100521328133974</v>
      </c>
    </row>
    <row r="242" spans="2:9" x14ac:dyDescent="0.2">
      <c r="B242" s="58" t="s">
        <v>2</v>
      </c>
      <c r="C242" s="58"/>
      <c r="D242" s="58"/>
      <c r="E242" s="56"/>
      <c r="F242" s="58"/>
      <c r="G242" s="58"/>
      <c r="H242" s="59">
        <f>AVERAGE(H225:H241)</f>
        <v>0.10145055155954222</v>
      </c>
      <c r="I242" s="59">
        <f>AVERAGE(I225:I241)</f>
        <v>0.10629853787921474</v>
      </c>
    </row>
    <row r="243" spans="2:9" ht="13.5" thickBot="1" x14ac:dyDescent="0.25">
      <c r="B243" s="60" t="s">
        <v>8</v>
      </c>
      <c r="C243" s="60"/>
      <c r="D243" s="60"/>
      <c r="E243" s="61"/>
      <c r="F243" s="60"/>
      <c r="G243" s="60"/>
      <c r="H243" s="62">
        <f>MEDIAN(H225:H241)</f>
        <v>0.10052605184276746</v>
      </c>
      <c r="I243" s="62">
        <f>MEDIAN(I225:I241)</f>
        <v>0.10560516309163367</v>
      </c>
    </row>
    <row r="245" spans="2:9" x14ac:dyDescent="0.2">
      <c r="B245" s="63" t="s">
        <v>62</v>
      </c>
    </row>
    <row r="246" spans="2:9" x14ac:dyDescent="0.2">
      <c r="B246" s="50" t="str">
        <f>B138</f>
        <v>[1] Bloomberg Professional, as of September 30, 2023</v>
      </c>
    </row>
    <row r="247" spans="2:9" x14ac:dyDescent="0.2">
      <c r="B247" s="50" t="s">
        <v>1397</v>
      </c>
    </row>
    <row r="248" spans="2:9" x14ac:dyDescent="0.2">
      <c r="B248" s="50" t="str">
        <f>$B$32</f>
        <v>[3] Market Return</v>
      </c>
    </row>
    <row r="249" spans="2:9" x14ac:dyDescent="0.2">
      <c r="B249" s="50" t="s">
        <v>94</v>
      </c>
    </row>
    <row r="250" spans="2:9" x14ac:dyDescent="0.2">
      <c r="B250" s="50" t="s">
        <v>95</v>
      </c>
    </row>
    <row r="251" spans="2:9" x14ac:dyDescent="0.2">
      <c r="B251" s="50" t="s">
        <v>96</v>
      </c>
    </row>
    <row r="254" spans="2:9" ht="13.35" customHeight="1" x14ac:dyDescent="0.2">
      <c r="B254" s="291" t="s">
        <v>103</v>
      </c>
      <c r="C254" s="291"/>
      <c r="D254" s="291"/>
      <c r="E254" s="291"/>
      <c r="F254" s="291"/>
      <c r="G254" s="291"/>
      <c r="H254" s="291"/>
      <c r="I254" s="291"/>
    </row>
    <row r="256" spans="2:9" x14ac:dyDescent="0.2">
      <c r="B256" s="291" t="s">
        <v>86</v>
      </c>
      <c r="C256" s="291"/>
      <c r="D256" s="291"/>
      <c r="E256" s="291"/>
      <c r="F256" s="291"/>
      <c r="G256" s="291"/>
      <c r="H256" s="291"/>
      <c r="I256" s="291"/>
    </row>
    <row r="257" spans="2:12" x14ac:dyDescent="0.2">
      <c r="B257" s="291" t="s">
        <v>87</v>
      </c>
      <c r="C257" s="291"/>
      <c r="D257" s="291"/>
      <c r="E257" s="291"/>
      <c r="F257" s="291"/>
      <c r="G257" s="291"/>
      <c r="H257" s="291"/>
      <c r="I257" s="291"/>
    </row>
    <row r="259" spans="2:12" ht="13.5" thickBot="1" x14ac:dyDescent="0.25">
      <c r="D259" s="51" t="s">
        <v>14</v>
      </c>
      <c r="E259" s="51" t="s">
        <v>15</v>
      </c>
      <c r="F259" s="51" t="s">
        <v>16</v>
      </c>
      <c r="G259" s="51" t="s">
        <v>17</v>
      </c>
      <c r="H259" s="51" t="s">
        <v>18</v>
      </c>
      <c r="I259" s="51" t="s">
        <v>19</v>
      </c>
    </row>
    <row r="260" spans="2:12" ht="51" x14ac:dyDescent="0.2">
      <c r="B260" s="9" t="s">
        <v>20</v>
      </c>
      <c r="C260" s="9" t="s">
        <v>21</v>
      </c>
      <c r="D260" s="10" t="str">
        <f t="shared" ref="D260:D277" si="137">D152</f>
        <v>Near-term projected 30-year U.S. Treasury bond yield 
(Q4 2023 - Q4 2024)</v>
      </c>
      <c r="E260" s="10" t="s">
        <v>89</v>
      </c>
      <c r="F260" s="10" t="s">
        <v>90</v>
      </c>
      <c r="G260" s="10" t="s">
        <v>91</v>
      </c>
      <c r="H260" s="52" t="s">
        <v>92</v>
      </c>
      <c r="I260" s="52" t="s">
        <v>93</v>
      </c>
    </row>
    <row r="261" spans="2:12" x14ac:dyDescent="0.2">
      <c r="B261" s="50" t="str">
        <f>B225</f>
        <v>ALLETE, Inc.</v>
      </c>
      <c r="C261" s="64" t="str">
        <f>C225</f>
        <v>ALE</v>
      </c>
      <c r="D261" s="55">
        <f t="shared" si="137"/>
        <v>4.1599999999999998E-2</v>
      </c>
      <c r="E261" s="54">
        <f t="shared" ref="E261:E277" si="138">E225</f>
        <v>0.78500000000000014</v>
      </c>
      <c r="F261" s="59">
        <f t="shared" ref="F261:F277" si="139">F117</f>
        <v>0.12084249683823237</v>
      </c>
      <c r="G261" s="59">
        <f>F261-D261</f>
        <v>7.9242496838232368E-2</v>
      </c>
      <c r="H261" s="59">
        <f>IFERROR(G261*E261+D261,"")</f>
        <v>0.10380536001801241</v>
      </c>
      <c r="I261" s="59">
        <f>IFERROR((0.25*G261)+(0.75*E261*G261)+D261,"")</f>
        <v>0.10806464422306741</v>
      </c>
      <c r="L261" s="66"/>
    </row>
    <row r="262" spans="2:12" x14ac:dyDescent="0.2">
      <c r="B262" s="50" t="str">
        <f t="shared" ref="B262:C262" si="140">B226</f>
        <v>Alliant Energy Corporation</v>
      </c>
      <c r="C262" s="64" t="str">
        <f t="shared" si="140"/>
        <v>LNT</v>
      </c>
      <c r="D262" s="55">
        <f t="shared" si="137"/>
        <v>4.1599999999999998E-2</v>
      </c>
      <c r="E262" s="67">
        <f t="shared" si="138"/>
        <v>0.74999999999999978</v>
      </c>
      <c r="F262" s="55">
        <f t="shared" si="139"/>
        <v>0.12084249683823237</v>
      </c>
      <c r="G262" s="55">
        <f t="shared" ref="G262:G277" si="141">F262-D262</f>
        <v>7.9242496838232368E-2</v>
      </c>
      <c r="H262" s="55">
        <f t="shared" ref="H262:H277" si="142">IFERROR(G262*E262+D262,"")</f>
        <v>0.10103187262867425</v>
      </c>
      <c r="I262" s="55">
        <f t="shared" ref="I262:I277" si="143">IFERROR((0.25*G262)+(0.75*E262*G262)+D262,"")</f>
        <v>0.10598452868106378</v>
      </c>
    </row>
    <row r="263" spans="2:12" x14ac:dyDescent="0.2">
      <c r="B263" s="50" t="str">
        <f t="shared" ref="B263:C263" si="144">B227</f>
        <v>Ameren Corporation</v>
      </c>
      <c r="C263" s="64" t="str">
        <f t="shared" si="144"/>
        <v>AEE</v>
      </c>
      <c r="D263" s="55">
        <f t="shared" si="137"/>
        <v>4.1599999999999998E-2</v>
      </c>
      <c r="E263" s="67">
        <f t="shared" si="138"/>
        <v>0.72499999999999987</v>
      </c>
      <c r="F263" s="55">
        <f t="shared" si="139"/>
        <v>0.12084249683823237</v>
      </c>
      <c r="G263" s="55">
        <f t="shared" si="141"/>
        <v>7.9242496838232368E-2</v>
      </c>
      <c r="H263" s="55">
        <f t="shared" si="142"/>
        <v>9.9050810207718457E-2</v>
      </c>
      <c r="I263" s="55">
        <f t="shared" si="143"/>
        <v>0.10449873186534694</v>
      </c>
    </row>
    <row r="264" spans="2:12" x14ac:dyDescent="0.2">
      <c r="B264" s="50" t="str">
        <f t="shared" ref="B264:C264" si="145">B228</f>
        <v>American Electric Power Company, Inc.</v>
      </c>
      <c r="C264" s="64" t="str">
        <f t="shared" si="145"/>
        <v>AEP</v>
      </c>
      <c r="D264" s="55">
        <f t="shared" si="137"/>
        <v>4.1599999999999998E-2</v>
      </c>
      <c r="E264" s="67">
        <f t="shared" si="138"/>
        <v>0.67499999999999993</v>
      </c>
      <c r="F264" s="55">
        <f t="shared" si="139"/>
        <v>0.12084249683823237</v>
      </c>
      <c r="G264" s="55">
        <f t="shared" si="141"/>
        <v>7.9242496838232368E-2</v>
      </c>
      <c r="H264" s="55">
        <f t="shared" si="142"/>
        <v>9.5088685365806835E-2</v>
      </c>
      <c r="I264" s="55">
        <f t="shared" si="143"/>
        <v>0.10152713823391323</v>
      </c>
    </row>
    <row r="265" spans="2:12" x14ac:dyDescent="0.2">
      <c r="B265" s="50" t="str">
        <f t="shared" ref="B265:C265" si="146">B229</f>
        <v>Avista Corporation</v>
      </c>
      <c r="C265" s="64" t="str">
        <f t="shared" si="146"/>
        <v>AVA</v>
      </c>
      <c r="D265" s="55">
        <f t="shared" si="137"/>
        <v>4.1599999999999998E-2</v>
      </c>
      <c r="E265" s="67">
        <f t="shared" si="138"/>
        <v>0.78500000000000003</v>
      </c>
      <c r="F265" s="55">
        <f t="shared" si="139"/>
        <v>0.12084249683823237</v>
      </c>
      <c r="G265" s="55">
        <f t="shared" si="141"/>
        <v>7.9242496838232368E-2</v>
      </c>
      <c r="H265" s="55">
        <f t="shared" si="142"/>
        <v>0.10380536001801241</v>
      </c>
      <c r="I265" s="55">
        <f t="shared" si="143"/>
        <v>0.1080646442230674</v>
      </c>
    </row>
    <row r="266" spans="2:12" x14ac:dyDescent="0.2">
      <c r="B266" s="50" t="str">
        <f t="shared" ref="B266:C266" si="147">B230</f>
        <v>CMS Energy Corporation</v>
      </c>
      <c r="C266" s="64" t="str">
        <f t="shared" si="147"/>
        <v>CMS</v>
      </c>
      <c r="D266" s="55">
        <f t="shared" si="137"/>
        <v>4.1599999999999998E-2</v>
      </c>
      <c r="E266" s="67">
        <f t="shared" si="138"/>
        <v>0.69</v>
      </c>
      <c r="F266" s="55">
        <f t="shared" si="139"/>
        <v>0.12084249683823237</v>
      </c>
      <c r="G266" s="55">
        <f t="shared" si="141"/>
        <v>7.9242496838232368E-2</v>
      </c>
      <c r="H266" s="55">
        <f t="shared" si="142"/>
        <v>9.6277322818380334E-2</v>
      </c>
      <c r="I266" s="55">
        <f t="shared" si="143"/>
        <v>0.10241861632334334</v>
      </c>
    </row>
    <row r="267" spans="2:12" x14ac:dyDescent="0.2">
      <c r="B267" s="50" t="str">
        <f t="shared" ref="B267:C267" si="148">B231</f>
        <v>Duke Energy Corporation</v>
      </c>
      <c r="C267" s="64" t="str">
        <f t="shared" si="148"/>
        <v>DUK</v>
      </c>
      <c r="D267" s="55">
        <f t="shared" si="137"/>
        <v>4.1599999999999998E-2</v>
      </c>
      <c r="E267" s="67">
        <f t="shared" si="138"/>
        <v>0.66499999999999981</v>
      </c>
      <c r="F267" s="55">
        <f t="shared" si="139"/>
        <v>0.12084249683823237</v>
      </c>
      <c r="G267" s="55">
        <f t="shared" si="141"/>
        <v>7.9242496838232368E-2</v>
      </c>
      <c r="H267" s="55">
        <f t="shared" si="142"/>
        <v>9.4296260397424503E-2</v>
      </c>
      <c r="I267" s="55">
        <f t="shared" si="143"/>
        <v>0.10093281950762648</v>
      </c>
    </row>
    <row r="268" spans="2:12" x14ac:dyDescent="0.2">
      <c r="B268" s="50" t="str">
        <f t="shared" ref="B268:C268" si="149">B232</f>
        <v>Entergy Corporation</v>
      </c>
      <c r="C268" s="64" t="str">
        <f t="shared" si="149"/>
        <v>ETR</v>
      </c>
      <c r="D268" s="55">
        <f t="shared" si="137"/>
        <v>4.1599999999999998E-2</v>
      </c>
      <c r="E268" s="67">
        <f t="shared" si="138"/>
        <v>0.745</v>
      </c>
      <c r="F268" s="55">
        <f t="shared" si="139"/>
        <v>0.12084249683823237</v>
      </c>
      <c r="G268" s="55">
        <f t="shared" si="141"/>
        <v>7.9242496838232368E-2</v>
      </c>
      <c r="H268" s="55">
        <f t="shared" si="142"/>
        <v>0.10063566014448311</v>
      </c>
      <c r="I268" s="55">
        <f t="shared" si="143"/>
        <v>0.10568736931792042</v>
      </c>
    </row>
    <row r="269" spans="2:12" x14ac:dyDescent="0.2">
      <c r="B269" s="50" t="str">
        <f t="shared" ref="B269:C269" si="150">B233</f>
        <v>Evergy, Inc.</v>
      </c>
      <c r="C269" s="64" t="str">
        <f t="shared" si="150"/>
        <v>EVRG</v>
      </c>
      <c r="D269" s="55">
        <f t="shared" si="137"/>
        <v>4.1599999999999998E-2</v>
      </c>
      <c r="E269" s="67">
        <f t="shared" si="138"/>
        <v>0.95000000000000007</v>
      </c>
      <c r="F269" s="55">
        <f t="shared" si="139"/>
        <v>0.12084249683823237</v>
      </c>
      <c r="G269" s="55">
        <f t="shared" ref="G269" si="151">F269-D269</f>
        <v>7.9242496838232368E-2</v>
      </c>
      <c r="H269" s="55">
        <f t="shared" ref="H269" si="152">IFERROR(G269*E269+D269,"")</f>
        <v>0.11688037199632076</v>
      </c>
      <c r="I269" s="55">
        <f t="shared" ref="I269" si="153">IFERROR((0.25*G269)+(0.75*E269*G269)+D269,"")</f>
        <v>0.11787090320679866</v>
      </c>
    </row>
    <row r="270" spans="2:12" x14ac:dyDescent="0.2">
      <c r="B270" s="50" t="str">
        <f t="shared" ref="B270:C270" si="154">B234</f>
        <v>IDACORP, Inc.</v>
      </c>
      <c r="C270" s="64" t="str">
        <f t="shared" si="154"/>
        <v>IDA</v>
      </c>
      <c r="D270" s="55">
        <f t="shared" si="137"/>
        <v>4.1599999999999998E-2</v>
      </c>
      <c r="E270" s="67">
        <f t="shared" si="138"/>
        <v>0.72999999999999987</v>
      </c>
      <c r="F270" s="55">
        <f t="shared" si="139"/>
        <v>0.12084249683823237</v>
      </c>
      <c r="G270" s="55">
        <f t="shared" si="141"/>
        <v>7.9242496838232368E-2</v>
      </c>
      <c r="H270" s="55">
        <f t="shared" si="142"/>
        <v>9.9447022691909609E-2</v>
      </c>
      <c r="I270" s="55">
        <f t="shared" si="143"/>
        <v>0.1047958912284903</v>
      </c>
    </row>
    <row r="271" spans="2:12" x14ac:dyDescent="0.2">
      <c r="B271" s="50" t="str">
        <f t="shared" ref="B271:C271" si="155">B235</f>
        <v>NextEra Energy, Inc.</v>
      </c>
      <c r="C271" s="64" t="str">
        <f t="shared" si="155"/>
        <v>NEE</v>
      </c>
      <c r="D271" s="55">
        <f t="shared" si="137"/>
        <v>4.1599999999999998E-2</v>
      </c>
      <c r="E271" s="67">
        <f t="shared" si="138"/>
        <v>0.73000000000000009</v>
      </c>
      <c r="F271" s="55">
        <f t="shared" si="139"/>
        <v>0.12084249683823237</v>
      </c>
      <c r="G271" s="55">
        <f t="shared" si="141"/>
        <v>7.9242496838232368E-2</v>
      </c>
      <c r="H271" s="55">
        <f t="shared" si="142"/>
        <v>9.9447022691909637E-2</v>
      </c>
      <c r="I271" s="55">
        <f t="shared" si="143"/>
        <v>0.10479589122849031</v>
      </c>
    </row>
    <row r="272" spans="2:12" x14ac:dyDescent="0.2">
      <c r="B272" s="50" t="str">
        <f t="shared" ref="B272:C272" si="156">B236</f>
        <v>NorthWestern Corporation</v>
      </c>
      <c r="C272" s="64" t="str">
        <f t="shared" si="156"/>
        <v>NWE</v>
      </c>
      <c r="D272" s="55">
        <f t="shared" si="137"/>
        <v>4.1599999999999998E-2</v>
      </c>
      <c r="E272" s="67">
        <f t="shared" si="138"/>
        <v>0.745</v>
      </c>
      <c r="F272" s="55">
        <f t="shared" si="139"/>
        <v>0.12084249683823237</v>
      </c>
      <c r="G272" s="55">
        <f t="shared" si="141"/>
        <v>7.9242496838232368E-2</v>
      </c>
      <c r="H272" s="55">
        <f t="shared" si="142"/>
        <v>0.10063566014448311</v>
      </c>
      <c r="I272" s="55">
        <f t="shared" si="143"/>
        <v>0.10568736931792042</v>
      </c>
    </row>
    <row r="273" spans="2:9" x14ac:dyDescent="0.2">
      <c r="B273" s="50" t="str">
        <f t="shared" ref="B273:C273" si="157">B237</f>
        <v>OGE Energy Corporation</v>
      </c>
      <c r="C273" s="64" t="str">
        <f t="shared" si="157"/>
        <v>OGE</v>
      </c>
      <c r="D273" s="55">
        <f t="shared" si="137"/>
        <v>4.1599999999999998E-2</v>
      </c>
      <c r="E273" s="67">
        <f t="shared" si="138"/>
        <v>0.93</v>
      </c>
      <c r="F273" s="55">
        <f t="shared" si="139"/>
        <v>0.12084249683823237</v>
      </c>
      <c r="G273" s="55">
        <f t="shared" si="141"/>
        <v>7.9242496838232368E-2</v>
      </c>
      <c r="H273" s="55">
        <f t="shared" si="142"/>
        <v>0.11529552205955611</v>
      </c>
      <c r="I273" s="55">
        <f t="shared" si="143"/>
        <v>0.11668226575422516</v>
      </c>
    </row>
    <row r="274" spans="2:9" x14ac:dyDescent="0.2">
      <c r="B274" s="50" t="str">
        <f t="shared" ref="B274:C274" si="158">B238</f>
        <v>Pinnacle West Capital Corporation</v>
      </c>
      <c r="C274" s="64" t="str">
        <f t="shared" si="158"/>
        <v>PNW</v>
      </c>
      <c r="D274" s="55">
        <f t="shared" si="137"/>
        <v>4.1599999999999998E-2</v>
      </c>
      <c r="E274" s="67">
        <f t="shared" si="138"/>
        <v>0.7350000000000001</v>
      </c>
      <c r="F274" s="55">
        <f t="shared" si="139"/>
        <v>0.12084249683823237</v>
      </c>
      <c r="G274" s="55">
        <f t="shared" si="141"/>
        <v>7.9242496838232368E-2</v>
      </c>
      <c r="H274" s="55">
        <f t="shared" si="142"/>
        <v>9.9843235176100803E-2</v>
      </c>
      <c r="I274" s="55">
        <f t="shared" si="143"/>
        <v>0.10509305059163368</v>
      </c>
    </row>
    <row r="275" spans="2:9" x14ac:dyDescent="0.2">
      <c r="B275" s="50" t="str">
        <f t="shared" ref="B275:C275" si="159">B239</f>
        <v>Portland General Electric Company</v>
      </c>
      <c r="C275" s="64" t="str">
        <f t="shared" si="159"/>
        <v>POR</v>
      </c>
      <c r="D275" s="55">
        <f t="shared" si="137"/>
        <v>4.1599999999999998E-2</v>
      </c>
      <c r="E275" s="67">
        <f t="shared" si="138"/>
        <v>0.74999999999999989</v>
      </c>
      <c r="F275" s="55">
        <f t="shared" si="139"/>
        <v>0.12084249683823237</v>
      </c>
      <c r="G275" s="55">
        <f t="shared" si="141"/>
        <v>7.9242496838232368E-2</v>
      </c>
      <c r="H275" s="55">
        <f t="shared" si="142"/>
        <v>0.10103187262867427</v>
      </c>
      <c r="I275" s="55">
        <f t="shared" si="143"/>
        <v>0.10598452868106378</v>
      </c>
    </row>
    <row r="276" spans="2:9" x14ac:dyDescent="0.2">
      <c r="B276" s="50" t="str">
        <f t="shared" ref="B276:C276" si="160">B240</f>
        <v>Southern Company</v>
      </c>
      <c r="C276" s="64" t="str">
        <f t="shared" si="160"/>
        <v>SO</v>
      </c>
      <c r="D276" s="55">
        <f t="shared" si="137"/>
        <v>4.1599999999999998E-2</v>
      </c>
      <c r="E276" s="67">
        <f t="shared" si="138"/>
        <v>0.65500000000000003</v>
      </c>
      <c r="F276" s="55">
        <f t="shared" si="139"/>
        <v>0.12084249683823237</v>
      </c>
      <c r="G276" s="55">
        <f t="shared" si="141"/>
        <v>7.9242496838232368E-2</v>
      </c>
      <c r="H276" s="55">
        <f t="shared" si="142"/>
        <v>9.3503835429042198E-2</v>
      </c>
      <c r="I276" s="55">
        <f t="shared" si="143"/>
        <v>0.10033850078133974</v>
      </c>
    </row>
    <row r="277" spans="2:9" x14ac:dyDescent="0.2">
      <c r="B277" s="50" t="str">
        <f t="shared" ref="B277:C277" si="161">B241</f>
        <v>Xcel Energy Inc.</v>
      </c>
      <c r="C277" s="64" t="str">
        <f t="shared" si="161"/>
        <v>XEL</v>
      </c>
      <c r="D277" s="55">
        <f t="shared" si="137"/>
        <v>4.1599999999999998E-2</v>
      </c>
      <c r="E277" s="67">
        <f t="shared" si="138"/>
        <v>0.65500000000000003</v>
      </c>
      <c r="F277" s="55">
        <f t="shared" si="139"/>
        <v>0.12084249683823237</v>
      </c>
      <c r="G277" s="55">
        <f t="shared" si="141"/>
        <v>7.9242496838232368E-2</v>
      </c>
      <c r="H277" s="55">
        <f t="shared" si="142"/>
        <v>9.3503835429042198E-2</v>
      </c>
      <c r="I277" s="55">
        <f t="shared" si="143"/>
        <v>0.10033850078133974</v>
      </c>
    </row>
    <row r="278" spans="2:9" x14ac:dyDescent="0.2">
      <c r="B278" s="58" t="s">
        <v>2</v>
      </c>
      <c r="C278" s="58"/>
      <c r="D278" s="58"/>
      <c r="E278" s="54"/>
      <c r="F278" s="58"/>
      <c r="G278" s="58"/>
      <c r="H278" s="59">
        <f>AVERAGE(H261:H277)</f>
        <v>0.10079880646150301</v>
      </c>
      <c r="I278" s="59">
        <f>AVERAGE(I261:I277)</f>
        <v>0.10580972905568534</v>
      </c>
    </row>
    <row r="279" spans="2:9" ht="13.5" thickBot="1" x14ac:dyDescent="0.25">
      <c r="B279" s="60" t="s">
        <v>8</v>
      </c>
      <c r="C279" s="60"/>
      <c r="D279" s="60"/>
      <c r="E279" s="61"/>
      <c r="F279" s="60"/>
      <c r="G279" s="60"/>
      <c r="H279" s="62">
        <f>MEDIAN(H261:H277)</f>
        <v>9.9843235176100803E-2</v>
      </c>
      <c r="I279" s="62">
        <f>MEDIAN(I261:I277)</f>
        <v>0.10509305059163368</v>
      </c>
    </row>
    <row r="281" spans="2:9" x14ac:dyDescent="0.2">
      <c r="B281" s="63" t="s">
        <v>62</v>
      </c>
    </row>
    <row r="282" spans="2:9" x14ac:dyDescent="0.2">
      <c r="B282" s="50" t="str">
        <f>B174</f>
        <v>[1] Blue Chip Financial Forecasts, Vol. 42, No. 10, October 1, 2023, at 2</v>
      </c>
    </row>
    <row r="283" spans="2:9" x14ac:dyDescent="0.2">
      <c r="B283" s="50" t="str">
        <f>B247</f>
        <v>[2] LT Beta</v>
      </c>
    </row>
    <row r="284" spans="2:9" x14ac:dyDescent="0.2">
      <c r="B284" s="50" t="str">
        <f>$B$32</f>
        <v>[3] Market Return</v>
      </c>
    </row>
    <row r="285" spans="2:9" x14ac:dyDescent="0.2">
      <c r="B285" s="50" t="s">
        <v>94</v>
      </c>
    </row>
    <row r="286" spans="2:9" x14ac:dyDescent="0.2">
      <c r="B286" s="50" t="s">
        <v>95</v>
      </c>
    </row>
    <row r="287" spans="2:9" x14ac:dyDescent="0.2">
      <c r="B287" s="50" t="s">
        <v>96</v>
      </c>
    </row>
    <row r="290" spans="2:9" ht="13.35" customHeight="1" x14ac:dyDescent="0.2">
      <c r="B290" s="291" t="s">
        <v>104</v>
      </c>
      <c r="C290" s="291"/>
      <c r="D290" s="291"/>
      <c r="E290" s="291"/>
      <c r="F290" s="291"/>
      <c r="G290" s="291"/>
      <c r="H290" s="291"/>
      <c r="I290" s="291"/>
    </row>
    <row r="292" spans="2:9" x14ac:dyDescent="0.2">
      <c r="B292" s="291" t="s">
        <v>86</v>
      </c>
      <c r="C292" s="291"/>
      <c r="D292" s="291"/>
      <c r="E292" s="291"/>
      <c r="F292" s="291"/>
      <c r="G292" s="291"/>
      <c r="H292" s="291"/>
      <c r="I292" s="291"/>
    </row>
    <row r="293" spans="2:9" x14ac:dyDescent="0.2">
      <c r="B293" s="291" t="s">
        <v>87</v>
      </c>
      <c r="C293" s="291"/>
      <c r="D293" s="291"/>
      <c r="E293" s="291"/>
      <c r="F293" s="291"/>
      <c r="G293" s="291"/>
      <c r="H293" s="291"/>
      <c r="I293" s="291"/>
    </row>
    <row r="295" spans="2:9" ht="13.5" thickBot="1" x14ac:dyDescent="0.25">
      <c r="D295" s="51" t="s">
        <v>14</v>
      </c>
      <c r="E295" s="51" t="s">
        <v>15</v>
      </c>
      <c r="F295" s="51" t="s">
        <v>16</v>
      </c>
      <c r="G295" s="51" t="s">
        <v>17</v>
      </c>
      <c r="H295" s="51" t="s">
        <v>18</v>
      </c>
      <c r="I295" s="51" t="s">
        <v>19</v>
      </c>
    </row>
    <row r="296" spans="2:9" ht="51" x14ac:dyDescent="0.2">
      <c r="B296" s="9" t="s">
        <v>20</v>
      </c>
      <c r="C296" s="9" t="s">
        <v>21</v>
      </c>
      <c r="D296" s="10" t="str">
        <f t="shared" ref="D296:D313" si="162">D188</f>
        <v>Projected 30-year U.S. Treasury bond yield 
(2025 - 2029)</v>
      </c>
      <c r="E296" s="10" t="s">
        <v>89</v>
      </c>
      <c r="F296" s="10" t="s">
        <v>90</v>
      </c>
      <c r="G296" s="10" t="s">
        <v>91</v>
      </c>
      <c r="H296" s="52" t="s">
        <v>92</v>
      </c>
      <c r="I296" s="52" t="s">
        <v>93</v>
      </c>
    </row>
    <row r="297" spans="2:9" x14ac:dyDescent="0.2">
      <c r="B297" s="50" t="str">
        <f>B261</f>
        <v>ALLETE, Inc.</v>
      </c>
      <c r="C297" s="64" t="str">
        <f>C261</f>
        <v>ALE</v>
      </c>
      <c r="D297" s="55">
        <f t="shared" si="162"/>
        <v>3.7999999999999999E-2</v>
      </c>
      <c r="E297" s="56">
        <f t="shared" ref="E297:E313" si="163">E261</f>
        <v>0.78500000000000014</v>
      </c>
      <c r="F297" s="59">
        <f t="shared" ref="F297:F313" si="164">F117</f>
        <v>0.12084249683823237</v>
      </c>
      <c r="G297" s="59">
        <f>F297-D297</f>
        <v>8.284249683823236E-2</v>
      </c>
      <c r="H297" s="59">
        <f>IFERROR(G297*E297+D297,"")</f>
        <v>0.10303136001801241</v>
      </c>
      <c r="I297" s="59">
        <f>IFERROR((0.25*G297)+(0.75*E297*G297)+D297,"")</f>
        <v>0.1074841442230674</v>
      </c>
    </row>
    <row r="298" spans="2:9" x14ac:dyDescent="0.2">
      <c r="B298" s="50" t="str">
        <f t="shared" ref="B298:C298" si="165">B262</f>
        <v>Alliant Energy Corporation</v>
      </c>
      <c r="C298" s="64" t="str">
        <f t="shared" si="165"/>
        <v>LNT</v>
      </c>
      <c r="D298" s="55">
        <f t="shared" si="162"/>
        <v>3.7999999999999999E-2</v>
      </c>
      <c r="E298" s="56">
        <f t="shared" si="163"/>
        <v>0.74999999999999978</v>
      </c>
      <c r="F298" s="55">
        <f t="shared" si="164"/>
        <v>0.12084249683823237</v>
      </c>
      <c r="G298" s="55">
        <f t="shared" ref="G298:G313" si="166">F298-D298</f>
        <v>8.284249683823236E-2</v>
      </c>
      <c r="H298" s="55">
        <f t="shared" ref="H298:H313" si="167">IFERROR(G298*E298+D298,"")</f>
        <v>0.10013187262867425</v>
      </c>
      <c r="I298" s="55">
        <f t="shared" ref="I298:I313" si="168">IFERROR((0.25*G298)+(0.75*E298*G298)+D298,"")</f>
        <v>0.10530952868106377</v>
      </c>
    </row>
    <row r="299" spans="2:9" x14ac:dyDescent="0.2">
      <c r="B299" s="50" t="str">
        <f t="shared" ref="B299:C299" si="169">B263</f>
        <v>Ameren Corporation</v>
      </c>
      <c r="C299" s="64" t="str">
        <f t="shared" si="169"/>
        <v>AEE</v>
      </c>
      <c r="D299" s="55">
        <f t="shared" si="162"/>
        <v>3.7999999999999999E-2</v>
      </c>
      <c r="E299" s="56">
        <f t="shared" si="163"/>
        <v>0.72499999999999987</v>
      </c>
      <c r="F299" s="55">
        <f t="shared" si="164"/>
        <v>0.12084249683823237</v>
      </c>
      <c r="G299" s="55">
        <f t="shared" si="166"/>
        <v>8.284249683823236E-2</v>
      </c>
      <c r="H299" s="55">
        <f t="shared" si="167"/>
        <v>9.8060810207718452E-2</v>
      </c>
      <c r="I299" s="55">
        <f t="shared" si="168"/>
        <v>0.10375623186534694</v>
      </c>
    </row>
    <row r="300" spans="2:9" x14ac:dyDescent="0.2">
      <c r="B300" s="50" t="str">
        <f t="shared" ref="B300:C300" si="170">B264</f>
        <v>American Electric Power Company, Inc.</v>
      </c>
      <c r="C300" s="64" t="str">
        <f t="shared" si="170"/>
        <v>AEP</v>
      </c>
      <c r="D300" s="55">
        <f t="shared" si="162"/>
        <v>3.7999999999999999E-2</v>
      </c>
      <c r="E300" s="56">
        <f t="shared" si="163"/>
        <v>0.67499999999999993</v>
      </c>
      <c r="F300" s="55">
        <f t="shared" si="164"/>
        <v>0.12084249683823237</v>
      </c>
      <c r="G300" s="55">
        <f t="shared" si="166"/>
        <v>8.284249683823236E-2</v>
      </c>
      <c r="H300" s="55">
        <f t="shared" si="167"/>
        <v>9.3918685365806831E-2</v>
      </c>
      <c r="I300" s="55">
        <f t="shared" si="168"/>
        <v>0.10064963823391324</v>
      </c>
    </row>
    <row r="301" spans="2:9" x14ac:dyDescent="0.2">
      <c r="B301" s="50" t="str">
        <f t="shared" ref="B301:C301" si="171">B265</f>
        <v>Avista Corporation</v>
      </c>
      <c r="C301" s="64" t="str">
        <f t="shared" si="171"/>
        <v>AVA</v>
      </c>
      <c r="D301" s="55">
        <f t="shared" si="162"/>
        <v>3.7999999999999999E-2</v>
      </c>
      <c r="E301" s="56">
        <f t="shared" si="163"/>
        <v>0.78500000000000003</v>
      </c>
      <c r="F301" s="55">
        <f t="shared" si="164"/>
        <v>0.12084249683823237</v>
      </c>
      <c r="G301" s="55">
        <f t="shared" si="166"/>
        <v>8.284249683823236E-2</v>
      </c>
      <c r="H301" s="55">
        <f t="shared" si="167"/>
        <v>0.10303136001801241</v>
      </c>
      <c r="I301" s="55">
        <f t="shared" si="168"/>
        <v>0.1074841442230674</v>
      </c>
    </row>
    <row r="302" spans="2:9" x14ac:dyDescent="0.2">
      <c r="B302" s="50" t="str">
        <f t="shared" ref="B302:C302" si="172">B266</f>
        <v>CMS Energy Corporation</v>
      </c>
      <c r="C302" s="64" t="str">
        <f t="shared" si="172"/>
        <v>CMS</v>
      </c>
      <c r="D302" s="55">
        <f t="shared" si="162"/>
        <v>3.7999999999999999E-2</v>
      </c>
      <c r="E302" s="56">
        <f t="shared" si="163"/>
        <v>0.69</v>
      </c>
      <c r="F302" s="55">
        <f t="shared" si="164"/>
        <v>0.12084249683823237</v>
      </c>
      <c r="G302" s="55">
        <f t="shared" si="166"/>
        <v>8.284249683823236E-2</v>
      </c>
      <c r="H302" s="55">
        <f t="shared" si="167"/>
        <v>9.5161322818380328E-2</v>
      </c>
      <c r="I302" s="55">
        <f t="shared" si="168"/>
        <v>0.10158161632334334</v>
      </c>
    </row>
    <row r="303" spans="2:9" x14ac:dyDescent="0.2">
      <c r="B303" s="50" t="str">
        <f t="shared" ref="B303:C303" si="173">B267</f>
        <v>Duke Energy Corporation</v>
      </c>
      <c r="C303" s="64" t="str">
        <f t="shared" si="173"/>
        <v>DUK</v>
      </c>
      <c r="D303" s="55">
        <f t="shared" si="162"/>
        <v>3.7999999999999999E-2</v>
      </c>
      <c r="E303" s="56">
        <f t="shared" si="163"/>
        <v>0.66499999999999981</v>
      </c>
      <c r="F303" s="55">
        <f t="shared" si="164"/>
        <v>0.12084249683823237</v>
      </c>
      <c r="G303" s="55">
        <f t="shared" si="166"/>
        <v>8.284249683823236E-2</v>
      </c>
      <c r="H303" s="55">
        <f t="shared" si="167"/>
        <v>9.3090260397424504E-2</v>
      </c>
      <c r="I303" s="55">
        <f t="shared" si="168"/>
        <v>0.10002831950762647</v>
      </c>
    </row>
    <row r="304" spans="2:9" x14ac:dyDescent="0.2">
      <c r="B304" s="50" t="str">
        <f t="shared" ref="B304:C304" si="174">B268</f>
        <v>Entergy Corporation</v>
      </c>
      <c r="C304" s="64" t="str">
        <f t="shared" si="174"/>
        <v>ETR</v>
      </c>
      <c r="D304" s="55">
        <f t="shared" si="162"/>
        <v>3.7999999999999999E-2</v>
      </c>
      <c r="E304" s="56">
        <f t="shared" si="163"/>
        <v>0.745</v>
      </c>
      <c r="F304" s="55">
        <f t="shared" si="164"/>
        <v>0.12084249683823237</v>
      </c>
      <c r="G304" s="55">
        <f t="shared" si="166"/>
        <v>8.284249683823236E-2</v>
      </c>
      <c r="H304" s="55">
        <f t="shared" si="167"/>
        <v>9.9717660144483106E-2</v>
      </c>
      <c r="I304" s="55">
        <f t="shared" si="168"/>
        <v>0.10499886931792043</v>
      </c>
    </row>
    <row r="305" spans="2:9" x14ac:dyDescent="0.2">
      <c r="B305" s="50" t="str">
        <f t="shared" ref="B305:C305" si="175">B269</f>
        <v>Evergy, Inc.</v>
      </c>
      <c r="C305" s="64" t="str">
        <f t="shared" si="175"/>
        <v>EVRG</v>
      </c>
      <c r="D305" s="55">
        <f t="shared" si="162"/>
        <v>3.7999999999999999E-2</v>
      </c>
      <c r="E305" s="56">
        <f t="shared" si="163"/>
        <v>0.95000000000000007</v>
      </c>
      <c r="F305" s="55">
        <f t="shared" si="164"/>
        <v>0.12084249683823237</v>
      </c>
      <c r="G305" s="55">
        <f t="shared" ref="G305" si="176">F305-D305</f>
        <v>8.284249683823236E-2</v>
      </c>
      <c r="H305" s="55">
        <f t="shared" ref="H305" si="177">IFERROR(G305*E305+D305,"")</f>
        <v>0.11670037199632075</v>
      </c>
      <c r="I305" s="55">
        <f t="shared" ref="I305" si="178">IFERROR((0.25*G305)+(0.75*E305*G305)+D305,"")</f>
        <v>0.11773590320679866</v>
      </c>
    </row>
    <row r="306" spans="2:9" x14ac:dyDescent="0.2">
      <c r="B306" s="50" t="str">
        <f t="shared" ref="B306:C306" si="179">B270</f>
        <v>IDACORP, Inc.</v>
      </c>
      <c r="C306" s="64" t="str">
        <f t="shared" si="179"/>
        <v>IDA</v>
      </c>
      <c r="D306" s="55">
        <f t="shared" si="162"/>
        <v>3.7999999999999999E-2</v>
      </c>
      <c r="E306" s="56">
        <f t="shared" si="163"/>
        <v>0.72999999999999987</v>
      </c>
      <c r="F306" s="55">
        <f t="shared" si="164"/>
        <v>0.12084249683823237</v>
      </c>
      <c r="G306" s="55">
        <f t="shared" si="166"/>
        <v>8.284249683823236E-2</v>
      </c>
      <c r="H306" s="55">
        <f t="shared" si="167"/>
        <v>9.8475022691909608E-2</v>
      </c>
      <c r="I306" s="55">
        <f t="shared" si="168"/>
        <v>0.1040668912284903</v>
      </c>
    </row>
    <row r="307" spans="2:9" x14ac:dyDescent="0.2">
      <c r="B307" s="50" t="str">
        <f t="shared" ref="B307:C307" si="180">B271</f>
        <v>NextEra Energy, Inc.</v>
      </c>
      <c r="C307" s="64" t="str">
        <f t="shared" si="180"/>
        <v>NEE</v>
      </c>
      <c r="D307" s="55">
        <f t="shared" si="162"/>
        <v>3.7999999999999999E-2</v>
      </c>
      <c r="E307" s="56">
        <f t="shared" si="163"/>
        <v>0.73000000000000009</v>
      </c>
      <c r="F307" s="55">
        <f t="shared" si="164"/>
        <v>0.12084249683823237</v>
      </c>
      <c r="G307" s="55">
        <f t="shared" si="166"/>
        <v>8.284249683823236E-2</v>
      </c>
      <c r="H307" s="55">
        <f t="shared" si="167"/>
        <v>9.8475022691909636E-2</v>
      </c>
      <c r="I307" s="55">
        <f t="shared" si="168"/>
        <v>0.1040668912284903</v>
      </c>
    </row>
    <row r="308" spans="2:9" x14ac:dyDescent="0.2">
      <c r="B308" s="50" t="str">
        <f t="shared" ref="B308:C308" si="181">B272</f>
        <v>NorthWestern Corporation</v>
      </c>
      <c r="C308" s="64" t="str">
        <f t="shared" si="181"/>
        <v>NWE</v>
      </c>
      <c r="D308" s="55">
        <f t="shared" si="162"/>
        <v>3.7999999999999999E-2</v>
      </c>
      <c r="E308" s="56">
        <f t="shared" si="163"/>
        <v>0.745</v>
      </c>
      <c r="F308" s="55">
        <f t="shared" si="164"/>
        <v>0.12084249683823237</v>
      </c>
      <c r="G308" s="55">
        <f t="shared" si="166"/>
        <v>8.284249683823236E-2</v>
      </c>
      <c r="H308" s="55">
        <f t="shared" si="167"/>
        <v>9.9717660144483106E-2</v>
      </c>
      <c r="I308" s="55">
        <f t="shared" si="168"/>
        <v>0.10499886931792043</v>
      </c>
    </row>
    <row r="309" spans="2:9" x14ac:dyDescent="0.2">
      <c r="B309" s="50" t="str">
        <f t="shared" ref="B309:C309" si="182">B273</f>
        <v>OGE Energy Corporation</v>
      </c>
      <c r="C309" s="64" t="str">
        <f t="shared" si="182"/>
        <v>OGE</v>
      </c>
      <c r="D309" s="55">
        <f t="shared" si="162"/>
        <v>3.7999999999999999E-2</v>
      </c>
      <c r="E309" s="56">
        <f t="shared" si="163"/>
        <v>0.93</v>
      </c>
      <c r="F309" s="55">
        <f t="shared" si="164"/>
        <v>0.12084249683823237</v>
      </c>
      <c r="G309" s="55">
        <f t="shared" si="166"/>
        <v>8.284249683823236E-2</v>
      </c>
      <c r="H309" s="55">
        <f t="shared" si="167"/>
        <v>0.11504352205955609</v>
      </c>
      <c r="I309" s="55">
        <f t="shared" si="168"/>
        <v>0.11649326575422517</v>
      </c>
    </row>
    <row r="310" spans="2:9" x14ac:dyDescent="0.2">
      <c r="B310" s="50" t="str">
        <f t="shared" ref="B310:C310" si="183">B274</f>
        <v>Pinnacle West Capital Corporation</v>
      </c>
      <c r="C310" s="64" t="str">
        <f t="shared" si="183"/>
        <v>PNW</v>
      </c>
      <c r="D310" s="55">
        <f t="shared" si="162"/>
        <v>3.7999999999999999E-2</v>
      </c>
      <c r="E310" s="56">
        <f t="shared" si="163"/>
        <v>0.7350000000000001</v>
      </c>
      <c r="F310" s="55">
        <f t="shared" si="164"/>
        <v>0.12084249683823237</v>
      </c>
      <c r="G310" s="55">
        <f t="shared" si="166"/>
        <v>8.284249683823236E-2</v>
      </c>
      <c r="H310" s="55">
        <f t="shared" si="167"/>
        <v>9.8889235176100793E-2</v>
      </c>
      <c r="I310" s="55">
        <f t="shared" si="168"/>
        <v>0.10437755059163367</v>
      </c>
    </row>
    <row r="311" spans="2:9" x14ac:dyDescent="0.2">
      <c r="B311" s="50" t="str">
        <f t="shared" ref="B311:C311" si="184">B275</f>
        <v>Portland General Electric Company</v>
      </c>
      <c r="C311" s="64" t="str">
        <f t="shared" si="184"/>
        <v>POR</v>
      </c>
      <c r="D311" s="55">
        <f t="shared" si="162"/>
        <v>3.7999999999999999E-2</v>
      </c>
      <c r="E311" s="56">
        <f t="shared" si="163"/>
        <v>0.74999999999999989</v>
      </c>
      <c r="F311" s="55">
        <f t="shared" si="164"/>
        <v>0.12084249683823237</v>
      </c>
      <c r="G311" s="55">
        <f t="shared" si="166"/>
        <v>8.284249683823236E-2</v>
      </c>
      <c r="H311" s="55">
        <f t="shared" si="167"/>
        <v>0.10013187262867426</v>
      </c>
      <c r="I311" s="55">
        <f t="shared" si="168"/>
        <v>0.10530952868106377</v>
      </c>
    </row>
    <row r="312" spans="2:9" x14ac:dyDescent="0.2">
      <c r="B312" s="50" t="str">
        <f t="shared" ref="B312:C312" si="185">B276</f>
        <v>Southern Company</v>
      </c>
      <c r="C312" s="64" t="str">
        <f t="shared" si="185"/>
        <v>SO</v>
      </c>
      <c r="D312" s="55">
        <f t="shared" si="162"/>
        <v>3.7999999999999999E-2</v>
      </c>
      <c r="E312" s="56">
        <f t="shared" si="163"/>
        <v>0.65500000000000003</v>
      </c>
      <c r="F312" s="55">
        <f t="shared" si="164"/>
        <v>0.12084249683823237</v>
      </c>
      <c r="G312" s="55">
        <f t="shared" si="166"/>
        <v>8.284249683823236E-2</v>
      </c>
      <c r="H312" s="55">
        <f t="shared" si="167"/>
        <v>9.2261835429042205E-2</v>
      </c>
      <c r="I312" s="55">
        <f t="shared" si="168"/>
        <v>9.9407000781339738E-2</v>
      </c>
    </row>
    <row r="313" spans="2:9" x14ac:dyDescent="0.2">
      <c r="B313" s="50" t="str">
        <f t="shared" ref="B313:C313" si="186">B277</f>
        <v>Xcel Energy Inc.</v>
      </c>
      <c r="C313" s="64" t="str">
        <f t="shared" si="186"/>
        <v>XEL</v>
      </c>
      <c r="D313" s="55">
        <f t="shared" si="162"/>
        <v>3.7999999999999999E-2</v>
      </c>
      <c r="E313" s="56">
        <f t="shared" si="163"/>
        <v>0.65500000000000003</v>
      </c>
      <c r="F313" s="55">
        <f t="shared" si="164"/>
        <v>0.12084249683823237</v>
      </c>
      <c r="G313" s="55">
        <f t="shared" si="166"/>
        <v>8.284249683823236E-2</v>
      </c>
      <c r="H313" s="55">
        <f t="shared" si="167"/>
        <v>9.2261835429042205E-2</v>
      </c>
      <c r="I313" s="55">
        <f t="shared" si="168"/>
        <v>9.9407000781339738E-2</v>
      </c>
    </row>
    <row r="314" spans="2:9" x14ac:dyDescent="0.2">
      <c r="B314" s="58" t="s">
        <v>2</v>
      </c>
      <c r="C314" s="58"/>
      <c r="D314" s="58"/>
      <c r="E314" s="54"/>
      <c r="F314" s="58"/>
      <c r="G314" s="58"/>
      <c r="H314" s="59">
        <f>AVERAGE(H297:H313)</f>
        <v>9.9888218226208872E-2</v>
      </c>
      <c r="I314" s="59">
        <f>AVERAGE(I297:I313)</f>
        <v>0.10512678787921476</v>
      </c>
    </row>
    <row r="315" spans="2:9" ht="13.5" thickBot="1" x14ac:dyDescent="0.25">
      <c r="B315" s="60" t="s">
        <v>8</v>
      </c>
      <c r="C315" s="60"/>
      <c r="D315" s="60"/>
      <c r="E315" s="61"/>
      <c r="F315" s="60"/>
      <c r="G315" s="60"/>
      <c r="H315" s="62">
        <f>MEDIAN(H297:H313)</f>
        <v>9.8889235176100793E-2</v>
      </c>
      <c r="I315" s="62">
        <f>MEDIAN(I297:I313)</f>
        <v>0.10437755059163367</v>
      </c>
    </row>
    <row r="316" spans="2:9" x14ac:dyDescent="0.2">
      <c r="H316" s="68"/>
      <c r="I316" s="68"/>
    </row>
    <row r="317" spans="2:9" x14ac:dyDescent="0.2">
      <c r="B317" s="63" t="s">
        <v>62</v>
      </c>
    </row>
    <row r="318" spans="2:9" x14ac:dyDescent="0.2">
      <c r="B318" s="50" t="str">
        <f>B210</f>
        <v>[1] Blue Chip Financial Forecasts, Vol. 42, No. 6, June 1, 2023, at 14</v>
      </c>
    </row>
    <row r="319" spans="2:9" x14ac:dyDescent="0.2">
      <c r="B319" s="50" t="str">
        <f>B247</f>
        <v>[2] LT Beta</v>
      </c>
    </row>
    <row r="320" spans="2:9" x14ac:dyDescent="0.2">
      <c r="B320" s="50" t="str">
        <f>$B$32</f>
        <v>[3] Market Return</v>
      </c>
    </row>
    <row r="321" spans="2:2" x14ac:dyDescent="0.2">
      <c r="B321" s="50" t="s">
        <v>94</v>
      </c>
    </row>
    <row r="322" spans="2:2" x14ac:dyDescent="0.2">
      <c r="B322" s="50" t="s">
        <v>95</v>
      </c>
    </row>
    <row r="323" spans="2:2" x14ac:dyDescent="0.2">
      <c r="B323" s="50" t="s">
        <v>96</v>
      </c>
    </row>
  </sheetData>
  <mergeCells count="27">
    <mergeCell ref="B41:I41"/>
    <mergeCell ref="B2:I2"/>
    <mergeCell ref="B4:I4"/>
    <mergeCell ref="B5:I5"/>
    <mergeCell ref="B38:I38"/>
    <mergeCell ref="B40:I40"/>
    <mergeCell ref="B185:I185"/>
    <mergeCell ref="B74:I74"/>
    <mergeCell ref="B76:I76"/>
    <mergeCell ref="B77:I77"/>
    <mergeCell ref="B110:I110"/>
    <mergeCell ref="B112:I112"/>
    <mergeCell ref="B113:I113"/>
    <mergeCell ref="B146:I146"/>
    <mergeCell ref="B148:I148"/>
    <mergeCell ref="B149:I149"/>
    <mergeCell ref="B182:I182"/>
    <mergeCell ref="B184:I184"/>
    <mergeCell ref="B290:I290"/>
    <mergeCell ref="B292:I292"/>
    <mergeCell ref="B293:I293"/>
    <mergeCell ref="B218:I218"/>
    <mergeCell ref="B220:I220"/>
    <mergeCell ref="B221:I221"/>
    <mergeCell ref="B254:I254"/>
    <mergeCell ref="B256:I256"/>
    <mergeCell ref="B257:I257"/>
  </mergeCells>
  <pageMargins left="0.7" right="0.7" top="0.75" bottom="0.75" header="0.3" footer="0.3"/>
  <pageSetup scale="81" fitToHeight="9" orientation="portrait" useFirstPageNumber="1" r:id="rId1"/>
  <rowBreaks count="4" manualBreakCount="4">
    <brk id="72" max="16383" man="1"/>
    <brk id="144" max="16383" man="1"/>
    <brk id="216" max="16383" man="1"/>
    <brk id="288" max="16383" man="1"/>
  </rowBreaks>
  <ignoredErrors>
    <ignoredError sqref="D46:D61 D153:D169 D189:D205 E225:E241 D261:D277 D297:D3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R36"/>
  <sheetViews>
    <sheetView view="pageBreakPreview" topLeftCell="B1" zoomScale="60" zoomScaleNormal="50" workbookViewId="0">
      <selection activeCell="F3" sqref="F3"/>
    </sheetView>
  </sheetViews>
  <sheetFormatPr defaultColWidth="8.5703125" defaultRowHeight="12.75" x14ac:dyDescent="0.2"/>
  <cols>
    <col min="1" max="1" width="43.42578125" style="45" customWidth="1"/>
    <col min="2" max="2" width="8.5703125" style="45"/>
    <col min="3" max="12" width="11.5703125" style="45" customWidth="1"/>
    <col min="13" max="16384" width="8.5703125" style="45"/>
  </cols>
  <sheetData>
    <row r="2" spans="1:18" x14ac:dyDescent="0.2">
      <c r="A2" s="292" t="s">
        <v>1241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</row>
    <row r="4" spans="1:18" ht="13.5" thickBot="1" x14ac:dyDescent="0.25">
      <c r="A4" s="69"/>
      <c r="B4" s="69"/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63</v>
      </c>
      <c r="J4" s="18" t="s">
        <v>64</v>
      </c>
      <c r="K4" s="18" t="s">
        <v>65</v>
      </c>
      <c r="L4" s="18" t="s">
        <v>66</v>
      </c>
      <c r="M4" s="18" t="s">
        <v>67</v>
      </c>
    </row>
    <row r="5" spans="1:18" x14ac:dyDescent="0.2">
      <c r="A5" s="70" t="s">
        <v>20</v>
      </c>
      <c r="B5" s="9" t="s">
        <v>21</v>
      </c>
      <c r="C5" s="71">
        <v>41639</v>
      </c>
      <c r="D5" s="71">
        <v>42004</v>
      </c>
      <c r="E5" s="71">
        <v>42369</v>
      </c>
      <c r="F5" s="71">
        <v>42735</v>
      </c>
      <c r="G5" s="72">
        <v>43100</v>
      </c>
      <c r="H5" s="71">
        <v>43465</v>
      </c>
      <c r="I5" s="72">
        <v>43830</v>
      </c>
      <c r="J5" s="71">
        <v>44196</v>
      </c>
      <c r="K5" s="71">
        <v>44561</v>
      </c>
      <c r="L5" s="71">
        <v>44926</v>
      </c>
      <c r="M5" s="71" t="s">
        <v>105</v>
      </c>
    </row>
    <row r="6" spans="1:18" x14ac:dyDescent="0.2">
      <c r="A6" s="108" t="str">
        <f>'AEB-17 CGDCF'!A7</f>
        <v>ALLETE, Inc.</v>
      </c>
      <c r="B6" s="108" t="str">
        <f>'AEB-17 CGDCF'!B7</f>
        <v>ALE</v>
      </c>
      <c r="C6" s="158">
        <v>0.75</v>
      </c>
      <c r="D6" s="158">
        <v>0.8</v>
      </c>
      <c r="E6" s="158">
        <v>0.8</v>
      </c>
      <c r="F6" s="158">
        <v>0.75</v>
      </c>
      <c r="G6" s="158">
        <v>0.8</v>
      </c>
      <c r="H6" s="158">
        <v>0.65</v>
      </c>
      <c r="I6" s="158">
        <v>0.65</v>
      </c>
      <c r="J6" s="158">
        <v>0.85</v>
      </c>
      <c r="K6" s="158">
        <v>0.9</v>
      </c>
      <c r="L6" s="158">
        <v>0.9</v>
      </c>
      <c r="M6" s="73">
        <f>AVERAGE(C6:L6)</f>
        <v>0.78500000000000014</v>
      </c>
    </row>
    <row r="7" spans="1:18" x14ac:dyDescent="0.2">
      <c r="A7" s="108" t="str">
        <f>'AEB-17 CGDCF'!A8</f>
        <v>Alliant Energy Corporation</v>
      </c>
      <c r="B7" s="108" t="str">
        <f>'AEB-17 CGDCF'!B8</f>
        <v>LNT</v>
      </c>
      <c r="C7" s="158">
        <v>0.75</v>
      </c>
      <c r="D7" s="158">
        <v>0.8</v>
      </c>
      <c r="E7" s="158">
        <v>0.8</v>
      </c>
      <c r="F7" s="158">
        <v>0.7</v>
      </c>
      <c r="G7" s="158">
        <v>0.7</v>
      </c>
      <c r="H7" s="158">
        <v>0.6</v>
      </c>
      <c r="I7" s="158">
        <v>0.6</v>
      </c>
      <c r="J7" s="158">
        <v>0.85</v>
      </c>
      <c r="K7" s="158">
        <v>0.85</v>
      </c>
      <c r="L7" s="158">
        <v>0.85</v>
      </c>
      <c r="M7" s="73">
        <f t="shared" ref="M7:M22" si="0">AVERAGE(C7:L7)</f>
        <v>0.74999999999999978</v>
      </c>
    </row>
    <row r="8" spans="1:18" x14ac:dyDescent="0.2">
      <c r="A8" s="108" t="str">
        <f>'AEB-17 CGDCF'!A9</f>
        <v>Ameren Corporation</v>
      </c>
      <c r="B8" s="108" t="str">
        <f>'AEB-17 CGDCF'!B9</f>
        <v>AEE</v>
      </c>
      <c r="C8" s="158">
        <v>0.8</v>
      </c>
      <c r="D8" s="158">
        <v>0.75</v>
      </c>
      <c r="E8" s="158">
        <v>0.75</v>
      </c>
      <c r="F8" s="158">
        <v>0.65</v>
      </c>
      <c r="G8" s="158">
        <v>0.7</v>
      </c>
      <c r="H8" s="158">
        <v>0.55000000000000004</v>
      </c>
      <c r="I8" s="158">
        <v>0.55000000000000004</v>
      </c>
      <c r="J8" s="158">
        <v>0.85</v>
      </c>
      <c r="K8" s="158">
        <v>0.8</v>
      </c>
      <c r="L8" s="158">
        <v>0.85</v>
      </c>
      <c r="M8" s="73">
        <f t="shared" si="0"/>
        <v>0.72499999999999987</v>
      </c>
    </row>
    <row r="9" spans="1:18" x14ac:dyDescent="0.2">
      <c r="A9" s="108" t="str">
        <f>'AEB-17 CGDCF'!A10</f>
        <v>American Electric Power Company, Inc.</v>
      </c>
      <c r="B9" s="108" t="str">
        <f>'AEB-17 CGDCF'!B10</f>
        <v>AEP</v>
      </c>
      <c r="C9" s="158">
        <v>0.7</v>
      </c>
      <c r="D9" s="158">
        <v>0.7</v>
      </c>
      <c r="E9" s="158">
        <v>0.7</v>
      </c>
      <c r="F9" s="158">
        <v>0.65</v>
      </c>
      <c r="G9" s="158">
        <v>0.65</v>
      </c>
      <c r="H9" s="158">
        <v>0.55000000000000004</v>
      </c>
      <c r="I9" s="158">
        <v>0.55000000000000004</v>
      </c>
      <c r="J9" s="158">
        <v>0.75</v>
      </c>
      <c r="K9" s="158">
        <v>0.75</v>
      </c>
      <c r="L9" s="158">
        <v>0.75</v>
      </c>
      <c r="M9" s="73">
        <f t="shared" si="0"/>
        <v>0.67499999999999993</v>
      </c>
    </row>
    <row r="10" spans="1:18" x14ac:dyDescent="0.2">
      <c r="A10" s="108" t="str">
        <f>'AEB-17 CGDCF'!A11</f>
        <v>Avista Corporation</v>
      </c>
      <c r="B10" s="108" t="str">
        <f>'AEB-17 CGDCF'!B11</f>
        <v>AVA</v>
      </c>
      <c r="C10" s="158">
        <v>0.75</v>
      </c>
      <c r="D10" s="158">
        <v>0.8</v>
      </c>
      <c r="E10" s="158">
        <v>0.8</v>
      </c>
      <c r="F10" s="158">
        <v>0.7</v>
      </c>
      <c r="G10" s="158">
        <v>0.75</v>
      </c>
      <c r="H10" s="158">
        <v>0.65</v>
      </c>
      <c r="I10" s="158">
        <v>0.6</v>
      </c>
      <c r="J10" s="158">
        <v>0.95</v>
      </c>
      <c r="K10" s="158">
        <v>0.95</v>
      </c>
      <c r="L10" s="158">
        <v>0.9</v>
      </c>
      <c r="M10" s="73">
        <f t="shared" si="0"/>
        <v>0.78500000000000003</v>
      </c>
    </row>
    <row r="11" spans="1:18" x14ac:dyDescent="0.2">
      <c r="A11" s="108" t="str">
        <f>'AEB-17 CGDCF'!A12</f>
        <v>CMS Energy Corporation</v>
      </c>
      <c r="B11" s="108" t="str">
        <f>'AEB-17 CGDCF'!B12</f>
        <v>CMS</v>
      </c>
      <c r="C11" s="158">
        <v>0.7</v>
      </c>
      <c r="D11" s="158">
        <v>0.7</v>
      </c>
      <c r="E11" s="158">
        <v>0.75</v>
      </c>
      <c r="F11" s="158">
        <v>0.65</v>
      </c>
      <c r="G11" s="158">
        <v>0.65</v>
      </c>
      <c r="H11" s="158">
        <v>0.55000000000000004</v>
      </c>
      <c r="I11" s="158">
        <v>0.5</v>
      </c>
      <c r="J11" s="158">
        <v>0.8</v>
      </c>
      <c r="K11" s="158">
        <v>0.8</v>
      </c>
      <c r="L11" s="158">
        <v>0.8</v>
      </c>
      <c r="M11" s="73">
        <f t="shared" si="0"/>
        <v>0.69</v>
      </c>
    </row>
    <row r="12" spans="1:18" x14ac:dyDescent="0.2">
      <c r="A12" s="108" t="str">
        <f>'AEB-17 CGDCF'!A13</f>
        <v>Duke Energy Corporation</v>
      </c>
      <c r="B12" s="108" t="str">
        <f>'AEB-17 CGDCF'!B13</f>
        <v>DUK</v>
      </c>
      <c r="C12" s="158">
        <v>0.65</v>
      </c>
      <c r="D12" s="158">
        <v>0.6</v>
      </c>
      <c r="E12" s="158">
        <v>0.65</v>
      </c>
      <c r="F12" s="158">
        <v>0.6</v>
      </c>
      <c r="G12" s="158">
        <v>0.6</v>
      </c>
      <c r="H12" s="158">
        <v>0.5</v>
      </c>
      <c r="I12" s="158">
        <v>0.5</v>
      </c>
      <c r="J12" s="158">
        <v>0.85</v>
      </c>
      <c r="K12" s="158">
        <v>0.85</v>
      </c>
      <c r="L12" s="158">
        <v>0.85</v>
      </c>
      <c r="M12" s="73">
        <f t="shared" si="0"/>
        <v>0.66499999999999981</v>
      </c>
    </row>
    <row r="13" spans="1:18" s="74" customFormat="1" x14ac:dyDescent="0.2">
      <c r="A13" s="108" t="str">
        <f>'AEB-17 CGDCF'!A14</f>
        <v>Entergy Corporation</v>
      </c>
      <c r="B13" s="108" t="str">
        <f>'AEB-17 CGDCF'!B14</f>
        <v>ETR</v>
      </c>
      <c r="C13" s="158">
        <v>0.7</v>
      </c>
      <c r="D13" s="158">
        <v>0.7</v>
      </c>
      <c r="E13" s="158">
        <v>0.7</v>
      </c>
      <c r="F13" s="158">
        <v>0.65</v>
      </c>
      <c r="G13" s="158">
        <v>0.65</v>
      </c>
      <c r="H13" s="158">
        <v>0.6</v>
      </c>
      <c r="I13" s="158">
        <v>0.6</v>
      </c>
      <c r="J13" s="158">
        <v>0.95</v>
      </c>
      <c r="K13" s="158">
        <v>0.95</v>
      </c>
      <c r="L13" s="158">
        <v>0.95</v>
      </c>
      <c r="M13" s="73">
        <f t="shared" si="0"/>
        <v>0.745</v>
      </c>
      <c r="N13" s="45"/>
      <c r="Q13" s="45"/>
      <c r="R13" s="45"/>
    </row>
    <row r="14" spans="1:18" s="74" customFormat="1" x14ac:dyDescent="0.2">
      <c r="A14" s="108" t="str">
        <f>'AEB-17 CGDCF'!A15</f>
        <v>Evergy, Inc.</v>
      </c>
      <c r="B14" s="108" t="str">
        <f>'AEB-17 CGDCF'!B15</f>
        <v>EVRG</v>
      </c>
      <c r="C14" s="158"/>
      <c r="D14" s="158"/>
      <c r="E14" s="158"/>
      <c r="F14" s="158"/>
      <c r="G14" s="158"/>
      <c r="H14" s="158" t="s">
        <v>1257</v>
      </c>
      <c r="I14" s="158" t="s">
        <v>1257</v>
      </c>
      <c r="J14" s="158">
        <v>1</v>
      </c>
      <c r="K14" s="158">
        <v>0.95</v>
      </c>
      <c r="L14" s="158">
        <v>0.9</v>
      </c>
      <c r="M14" s="73">
        <f t="shared" si="0"/>
        <v>0.95000000000000007</v>
      </c>
      <c r="N14" s="45"/>
      <c r="Q14" s="45"/>
      <c r="R14" s="45"/>
    </row>
    <row r="15" spans="1:18" s="74" customFormat="1" x14ac:dyDescent="0.2">
      <c r="A15" s="108" t="str">
        <f>'AEB-17 CGDCF'!A16</f>
        <v>IDACORP, Inc.</v>
      </c>
      <c r="B15" s="108" t="str">
        <f>'AEB-17 CGDCF'!B16</f>
        <v>IDA</v>
      </c>
      <c r="C15" s="158">
        <v>0.75</v>
      </c>
      <c r="D15" s="158">
        <v>0.8</v>
      </c>
      <c r="E15" s="158">
        <v>0.8</v>
      </c>
      <c r="F15" s="158">
        <v>0.75</v>
      </c>
      <c r="G15" s="158">
        <v>0.7</v>
      </c>
      <c r="H15" s="158">
        <v>0.55000000000000004</v>
      </c>
      <c r="I15" s="158">
        <v>0.55000000000000004</v>
      </c>
      <c r="J15" s="158">
        <v>0.8</v>
      </c>
      <c r="K15" s="158">
        <v>0.8</v>
      </c>
      <c r="L15" s="158">
        <v>0.8</v>
      </c>
      <c r="M15" s="73">
        <f t="shared" si="0"/>
        <v>0.72999999999999987</v>
      </c>
      <c r="N15" s="45"/>
      <c r="Q15" s="45"/>
      <c r="R15" s="45"/>
    </row>
    <row r="16" spans="1:18" x14ac:dyDescent="0.2">
      <c r="A16" s="108" t="str">
        <f>'AEB-17 CGDCF'!A17</f>
        <v>NextEra Energy, Inc.</v>
      </c>
      <c r="B16" s="108" t="str">
        <f>'AEB-17 CGDCF'!B17</f>
        <v>NEE</v>
      </c>
      <c r="C16" s="158">
        <v>0.7</v>
      </c>
      <c r="D16" s="158">
        <v>0.7</v>
      </c>
      <c r="E16" s="158">
        <v>0.75</v>
      </c>
      <c r="F16" s="158">
        <v>0.65</v>
      </c>
      <c r="G16" s="158">
        <v>0.65</v>
      </c>
      <c r="H16" s="158">
        <v>0.55000000000000004</v>
      </c>
      <c r="I16" s="158">
        <v>0.55000000000000004</v>
      </c>
      <c r="J16" s="158">
        <v>0.9</v>
      </c>
      <c r="K16" s="158">
        <v>0.9</v>
      </c>
      <c r="L16" s="158">
        <v>0.95</v>
      </c>
      <c r="M16" s="73">
        <f t="shared" si="0"/>
        <v>0.73000000000000009</v>
      </c>
    </row>
    <row r="17" spans="1:13" x14ac:dyDescent="0.2">
      <c r="A17" s="108" t="str">
        <f>'AEB-17 CGDCF'!A18</f>
        <v>NorthWestern Corporation</v>
      </c>
      <c r="B17" s="108" t="str">
        <f>'AEB-17 CGDCF'!B18</f>
        <v>NWE</v>
      </c>
      <c r="C17" s="158">
        <v>0.7</v>
      </c>
      <c r="D17" s="158">
        <v>0.7</v>
      </c>
      <c r="E17" s="158">
        <v>0.7</v>
      </c>
      <c r="F17" s="158">
        <v>0.7</v>
      </c>
      <c r="G17" s="158">
        <v>0.7</v>
      </c>
      <c r="H17" s="158">
        <v>0.55000000000000004</v>
      </c>
      <c r="I17" s="158">
        <v>0.6</v>
      </c>
      <c r="J17" s="158">
        <v>0.95</v>
      </c>
      <c r="K17" s="158">
        <v>0.95</v>
      </c>
      <c r="L17" s="158">
        <v>0.9</v>
      </c>
      <c r="M17" s="73">
        <f t="shared" si="0"/>
        <v>0.745</v>
      </c>
    </row>
    <row r="18" spans="1:13" x14ac:dyDescent="0.2">
      <c r="A18" s="108" t="str">
        <f>'AEB-17 CGDCF'!A19</f>
        <v>OGE Energy Corporation</v>
      </c>
      <c r="B18" s="108" t="str">
        <f>'AEB-17 CGDCF'!B19</f>
        <v>OGE</v>
      </c>
      <c r="C18" s="158">
        <v>0.85</v>
      </c>
      <c r="D18" s="158">
        <v>0.9</v>
      </c>
      <c r="E18" s="158">
        <v>0.95</v>
      </c>
      <c r="F18" s="158">
        <v>0.9</v>
      </c>
      <c r="G18" s="158">
        <v>0.95</v>
      </c>
      <c r="H18" s="158">
        <v>0.85</v>
      </c>
      <c r="I18" s="158">
        <v>0.75</v>
      </c>
      <c r="J18" s="158">
        <v>1.1000000000000001</v>
      </c>
      <c r="K18" s="158">
        <v>1.05</v>
      </c>
      <c r="L18" s="158">
        <v>1</v>
      </c>
      <c r="M18" s="73">
        <f t="shared" si="0"/>
        <v>0.93</v>
      </c>
    </row>
    <row r="19" spans="1:13" x14ac:dyDescent="0.2">
      <c r="A19" s="108" t="str">
        <f>'AEB-17 CGDCF'!A20</f>
        <v>Pinnacle West Capital Corporation</v>
      </c>
      <c r="B19" s="108" t="str">
        <f>'AEB-17 CGDCF'!B20</f>
        <v>PNW</v>
      </c>
      <c r="C19" s="158">
        <v>0.75</v>
      </c>
      <c r="D19" s="158">
        <v>0.7</v>
      </c>
      <c r="E19" s="158">
        <v>0.75</v>
      </c>
      <c r="F19" s="158">
        <v>0.7</v>
      </c>
      <c r="G19" s="158">
        <v>0.7</v>
      </c>
      <c r="H19" s="158">
        <v>0.55000000000000004</v>
      </c>
      <c r="I19" s="158">
        <v>0.5</v>
      </c>
      <c r="J19" s="158">
        <v>0.9</v>
      </c>
      <c r="K19" s="158">
        <v>0.9</v>
      </c>
      <c r="L19" s="158">
        <v>0.9</v>
      </c>
      <c r="M19" s="73">
        <f t="shared" si="0"/>
        <v>0.7350000000000001</v>
      </c>
    </row>
    <row r="20" spans="1:13" x14ac:dyDescent="0.2">
      <c r="A20" s="108" t="str">
        <f>'AEB-17 CGDCF'!A21</f>
        <v>Portland General Electric Company</v>
      </c>
      <c r="B20" s="108" t="str">
        <f>'AEB-17 CGDCF'!B21</f>
        <v>POR</v>
      </c>
      <c r="C20" s="158">
        <v>0.75</v>
      </c>
      <c r="D20" s="158">
        <v>0.8</v>
      </c>
      <c r="E20" s="158">
        <v>0.8</v>
      </c>
      <c r="F20" s="158">
        <v>0.7</v>
      </c>
      <c r="G20" s="158">
        <v>0.7</v>
      </c>
      <c r="H20" s="158">
        <v>0.6</v>
      </c>
      <c r="I20" s="158">
        <v>0.55000000000000004</v>
      </c>
      <c r="J20" s="158">
        <v>0.85</v>
      </c>
      <c r="K20" s="158">
        <v>0.9</v>
      </c>
      <c r="L20" s="158">
        <v>0.85</v>
      </c>
      <c r="M20" s="73">
        <f t="shared" si="0"/>
        <v>0.74999999999999989</v>
      </c>
    </row>
    <row r="21" spans="1:13" x14ac:dyDescent="0.2">
      <c r="A21" s="108" t="str">
        <f>'AEB-17 CGDCF'!A22</f>
        <v>Southern Company</v>
      </c>
      <c r="B21" s="108" t="str">
        <f>'AEB-17 CGDCF'!B22</f>
        <v>SO</v>
      </c>
      <c r="C21" s="158">
        <v>0.55000000000000004</v>
      </c>
      <c r="D21" s="158">
        <v>0.55000000000000004</v>
      </c>
      <c r="E21" s="158">
        <v>0.6</v>
      </c>
      <c r="F21" s="158">
        <v>0.55000000000000004</v>
      </c>
      <c r="G21" s="158">
        <v>0.55000000000000004</v>
      </c>
      <c r="H21" s="158">
        <v>0.5</v>
      </c>
      <c r="I21" s="158">
        <v>0.5</v>
      </c>
      <c r="J21" s="158">
        <v>0.9</v>
      </c>
      <c r="K21" s="158">
        <v>0.95</v>
      </c>
      <c r="L21" s="158">
        <v>0.9</v>
      </c>
      <c r="M21" s="73">
        <f t="shared" si="0"/>
        <v>0.65500000000000003</v>
      </c>
    </row>
    <row r="22" spans="1:13" x14ac:dyDescent="0.2">
      <c r="A22" s="57" t="str">
        <f>'AEB-17 CGDCF'!A23</f>
        <v>Xcel Energy Inc.</v>
      </c>
      <c r="B22" s="57" t="str">
        <f>'AEB-17 CGDCF'!B23</f>
        <v>XEL</v>
      </c>
      <c r="C22" s="158">
        <v>0.65</v>
      </c>
      <c r="D22" s="158">
        <v>0.65</v>
      </c>
      <c r="E22" s="158">
        <v>0.65</v>
      </c>
      <c r="F22" s="158">
        <v>0.6</v>
      </c>
      <c r="G22" s="158">
        <v>0.6</v>
      </c>
      <c r="H22" s="158">
        <v>0.5</v>
      </c>
      <c r="I22" s="158">
        <v>0.5</v>
      </c>
      <c r="J22" s="158">
        <v>0.8</v>
      </c>
      <c r="K22" s="158">
        <v>0.8</v>
      </c>
      <c r="L22" s="158">
        <v>0.8</v>
      </c>
      <c r="M22" s="73">
        <f t="shared" si="0"/>
        <v>0.65500000000000003</v>
      </c>
    </row>
    <row r="23" spans="1:13" x14ac:dyDescent="0.2">
      <c r="A23" s="57" t="s">
        <v>2</v>
      </c>
      <c r="B23" s="157"/>
      <c r="C23" s="75">
        <f t="shared" ref="C23:M23" si="1">AVERAGE(C6:C22)</f>
        <v>0.71875000000000011</v>
      </c>
      <c r="D23" s="75">
        <f t="shared" si="1"/>
        <v>0.72812500000000002</v>
      </c>
      <c r="E23" s="75">
        <f t="shared" si="1"/>
        <v>0.74687499999999996</v>
      </c>
      <c r="F23" s="75">
        <f t="shared" si="1"/>
        <v>0.68125000000000002</v>
      </c>
      <c r="G23" s="75">
        <f t="shared" si="1"/>
        <v>0.69062499999999993</v>
      </c>
      <c r="H23" s="75">
        <f t="shared" si="1"/>
        <v>0.58124999999999993</v>
      </c>
      <c r="I23" s="75">
        <f t="shared" si="1"/>
        <v>0.56562499999999993</v>
      </c>
      <c r="J23" s="75">
        <f t="shared" si="1"/>
        <v>0.8852941176470589</v>
      </c>
      <c r="K23" s="75">
        <f t="shared" si="1"/>
        <v>0.8852941176470589</v>
      </c>
      <c r="L23" s="75">
        <f t="shared" si="1"/>
        <v>0.873529411764706</v>
      </c>
      <c r="M23" s="75">
        <f t="shared" si="1"/>
        <v>0.74705882352941166</v>
      </c>
    </row>
    <row r="25" spans="1:13" x14ac:dyDescent="0.2">
      <c r="A25" s="76" t="s">
        <v>62</v>
      </c>
      <c r="M25" s="77"/>
    </row>
    <row r="26" spans="1:13" x14ac:dyDescent="0.2">
      <c r="A26" s="25" t="s">
        <v>106</v>
      </c>
    </row>
    <row r="27" spans="1:13" x14ac:dyDescent="0.2">
      <c r="A27" s="25" t="s">
        <v>107</v>
      </c>
    </row>
    <row r="28" spans="1:13" x14ac:dyDescent="0.2">
      <c r="A28" s="25" t="s">
        <v>108</v>
      </c>
    </row>
    <row r="29" spans="1:13" x14ac:dyDescent="0.2">
      <c r="A29" s="25" t="s">
        <v>109</v>
      </c>
    </row>
    <row r="30" spans="1:13" x14ac:dyDescent="0.2">
      <c r="A30" s="45" t="s">
        <v>110</v>
      </c>
    </row>
    <row r="31" spans="1:13" x14ac:dyDescent="0.2">
      <c r="A31" s="45" t="s">
        <v>111</v>
      </c>
    </row>
    <row r="32" spans="1:13" x14ac:dyDescent="0.2">
      <c r="A32" s="46" t="s">
        <v>112</v>
      </c>
    </row>
    <row r="33" spans="1:1" x14ac:dyDescent="0.2">
      <c r="A33" s="45" t="s">
        <v>113</v>
      </c>
    </row>
    <row r="34" spans="1:1" x14ac:dyDescent="0.2">
      <c r="A34" s="45" t="s">
        <v>114</v>
      </c>
    </row>
    <row r="35" spans="1:1" x14ac:dyDescent="0.2">
      <c r="A35" s="45" t="s">
        <v>1242</v>
      </c>
    </row>
    <row r="36" spans="1:1" x14ac:dyDescent="0.2">
      <c r="A36" s="45" t="s">
        <v>1243</v>
      </c>
    </row>
  </sheetData>
  <mergeCells count="1">
    <mergeCell ref="A2:M2"/>
  </mergeCells>
  <conditionalFormatting sqref="A6:B22">
    <cfRule type="expression" dxfId="8" priority="1">
      <formula>"(blank)"</formula>
    </cfRule>
  </conditionalFormatting>
  <conditionalFormatting sqref="A6:B22">
    <cfRule type="expression" dxfId="7" priority="2">
      <formula>#REF!</formula>
    </cfRule>
  </conditionalFormatting>
  <pageMargins left="0.7" right="0.7" top="0.75" bottom="0.75" header="0.3" footer="0.3"/>
  <pageSetup scale="69" orientation="landscape" useFirstPageNumber="1" r:id="rId1"/>
  <ignoredErrors>
    <ignoredError sqref="C23:L2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36"/>
  <sheetViews>
    <sheetView view="pageBreakPreview" topLeftCell="B1" zoomScale="85" zoomScaleNormal="50" zoomScaleSheetLayoutView="85" zoomScalePageLayoutView="85" workbookViewId="0">
      <selection activeCell="G4" sqref="G4"/>
    </sheetView>
  </sheetViews>
  <sheetFormatPr defaultColWidth="9.140625" defaultRowHeight="12.75" x14ac:dyDescent="0.2"/>
  <cols>
    <col min="1" max="1" width="49.42578125" style="78" customWidth="1"/>
    <col min="2" max="2" width="15.5703125" style="78" customWidth="1"/>
    <col min="3" max="3" width="10.42578125" style="78" customWidth="1"/>
    <col min="4" max="5" width="12.5703125" style="78" bestFit="1" customWidth="1"/>
    <col min="6" max="6" width="10.85546875" style="78" bestFit="1" customWidth="1"/>
    <col min="7" max="8" width="12.42578125" style="78" bestFit="1" customWidth="1"/>
    <col min="9" max="9" width="10.42578125" style="78" bestFit="1" customWidth="1"/>
    <col min="10" max="10" width="13" style="78" bestFit="1" customWidth="1"/>
    <col min="11" max="16384" width="9.140625" style="78"/>
  </cols>
  <sheetData>
    <row r="1" spans="1:10" x14ac:dyDescent="0.2">
      <c r="A1" s="293" t="s">
        <v>115</v>
      </c>
      <c r="B1" s="293"/>
      <c r="C1" s="293"/>
      <c r="D1" s="293"/>
      <c r="E1" s="293"/>
      <c r="F1" s="293"/>
      <c r="G1" s="293"/>
    </row>
    <row r="2" spans="1:10" s="79" customFormat="1" x14ac:dyDescent="0.2"/>
    <row r="3" spans="1:10" s="79" customFormat="1" x14ac:dyDescent="0.2">
      <c r="A3" s="164"/>
    </row>
    <row r="4" spans="1:10" s="79" customFormat="1" x14ac:dyDescent="0.2">
      <c r="A4" s="164" t="s">
        <v>116</v>
      </c>
      <c r="B4" s="294">
        <f>SUM(H19:H521)</f>
        <v>1.7605603260353236E-2</v>
      </c>
      <c r="C4" s="295"/>
    </row>
    <row r="5" spans="1:10" s="79" customFormat="1" x14ac:dyDescent="0.2">
      <c r="A5" s="164"/>
    </row>
    <row r="6" spans="1:10" s="79" customFormat="1" x14ac:dyDescent="0.2">
      <c r="A6" s="164" t="s">
        <v>117</v>
      </c>
      <c r="B6" s="294">
        <f>SUM(J19:J521)</f>
        <v>0.10233604963334092</v>
      </c>
      <c r="C6" s="295"/>
    </row>
    <row r="7" spans="1:10" s="79" customFormat="1" x14ac:dyDescent="0.2">
      <c r="A7" s="164"/>
    </row>
    <row r="8" spans="1:10" s="79" customFormat="1" x14ac:dyDescent="0.2">
      <c r="A8" s="164" t="s">
        <v>118</v>
      </c>
      <c r="B8" s="296">
        <f>B4*(1+0.5*B6)+B6</f>
        <v>0.12084249683823237</v>
      </c>
      <c r="C8" s="297"/>
    </row>
    <row r="9" spans="1:10" s="79" customFormat="1" x14ac:dyDescent="0.2">
      <c r="A9" s="164"/>
    </row>
    <row r="10" spans="1:10" s="79" customFormat="1" x14ac:dyDescent="0.2">
      <c r="A10" s="164"/>
    </row>
    <row r="11" spans="1:10" s="79" customFormat="1" x14ac:dyDescent="0.2"/>
    <row r="12" spans="1:10" x14ac:dyDescent="0.2">
      <c r="A12" s="80" t="s">
        <v>119</v>
      </c>
      <c r="B12" s="80"/>
      <c r="C12" s="80"/>
      <c r="D12" s="80"/>
      <c r="E12" s="80"/>
      <c r="F12" s="80"/>
      <c r="G12" s="80"/>
      <c r="H12" s="80"/>
      <c r="I12" s="80"/>
      <c r="J12" s="80"/>
    </row>
    <row r="14" spans="1:10" ht="13.5" thickBot="1" x14ac:dyDescent="0.25">
      <c r="C14" s="81" t="s">
        <v>17</v>
      </c>
      <c r="D14" s="81" t="s">
        <v>18</v>
      </c>
      <c r="E14" s="81" t="s">
        <v>19</v>
      </c>
      <c r="F14" s="81" t="s">
        <v>63</v>
      </c>
      <c r="G14" s="81" t="s">
        <v>64</v>
      </c>
      <c r="H14" s="81" t="s">
        <v>65</v>
      </c>
      <c r="I14" s="81" t="s">
        <v>66</v>
      </c>
      <c r="J14" s="81" t="s">
        <v>67</v>
      </c>
    </row>
    <row r="15" spans="1:10" x14ac:dyDescent="0.2">
      <c r="A15" s="82"/>
      <c r="B15" s="82"/>
      <c r="C15" s="82"/>
      <c r="D15" s="82"/>
      <c r="E15" s="82"/>
      <c r="F15" s="83"/>
      <c r="G15" s="84"/>
      <c r="H15" s="82"/>
      <c r="I15" s="85" t="s">
        <v>120</v>
      </c>
      <c r="J15" s="85" t="s">
        <v>121</v>
      </c>
    </row>
    <row r="16" spans="1:10" x14ac:dyDescent="0.2">
      <c r="C16" s="81" t="s">
        <v>122</v>
      </c>
      <c r="E16" s="81" t="s">
        <v>123</v>
      </c>
      <c r="F16" s="11" t="s">
        <v>124</v>
      </c>
      <c r="G16" s="11" t="s">
        <v>125</v>
      </c>
      <c r="H16" s="81" t="s">
        <v>126</v>
      </c>
      <c r="I16" s="11" t="s">
        <v>127</v>
      </c>
      <c r="J16" s="81" t="s">
        <v>127</v>
      </c>
    </row>
    <row r="17" spans="1:12" x14ac:dyDescent="0.2">
      <c r="A17" s="86" t="s">
        <v>128</v>
      </c>
      <c r="B17" s="86" t="s">
        <v>21</v>
      </c>
      <c r="C17" s="86" t="s">
        <v>129</v>
      </c>
      <c r="D17" s="86" t="s">
        <v>130</v>
      </c>
      <c r="E17" s="86" t="s">
        <v>131</v>
      </c>
      <c r="F17" s="87" t="s">
        <v>132</v>
      </c>
      <c r="G17" s="87" t="s">
        <v>70</v>
      </c>
      <c r="H17" s="86" t="s">
        <v>70</v>
      </c>
      <c r="I17" s="87" t="s">
        <v>133</v>
      </c>
      <c r="J17" s="86" t="s">
        <v>133</v>
      </c>
    </row>
    <row r="18" spans="1:12" s="79" customFormat="1" x14ac:dyDescent="0.2"/>
    <row r="19" spans="1:12" x14ac:dyDescent="0.2">
      <c r="A19" s="79" t="s">
        <v>659</v>
      </c>
      <c r="B19" s="88" t="s">
        <v>660</v>
      </c>
      <c r="C19" s="165">
        <v>324.197</v>
      </c>
      <c r="D19" s="165">
        <v>94.7</v>
      </c>
      <c r="E19" s="165">
        <f>IFERROR(C19*D19,"")</f>
        <v>30701.455900000001</v>
      </c>
      <c r="F19" s="89">
        <f>IF(AND(ISNUMBER($I19)), IF(AND($I19&lt;=20%,$I19&gt;0%), $E19/SUMIFS($E$19:$E$521,$I$19:$I$521, "&gt;"&amp;0%,$I$19:$I$521, "&lt;="&amp;20%),""),"")</f>
        <v>1.0016478599540516E-3</v>
      </c>
      <c r="G19" s="90">
        <v>5.2798310454065467E-2</v>
      </c>
      <c r="H19" s="89">
        <f t="shared" ref="H19:H82" si="0">IFERROR($G19*$F19,"")</f>
        <v>5.2885314675504301E-5</v>
      </c>
      <c r="I19" s="90">
        <v>0.02</v>
      </c>
      <c r="J19" s="89">
        <f t="shared" ref="J19:J82" si="1">IFERROR($I19*$F19,"")</f>
        <v>2.0032957199081032E-5</v>
      </c>
      <c r="L19" s="91"/>
    </row>
    <row r="20" spans="1:12" x14ac:dyDescent="0.2">
      <c r="A20" s="79" t="s">
        <v>226</v>
      </c>
      <c r="B20" s="88" t="s">
        <v>227</v>
      </c>
      <c r="C20" s="165">
        <v>736.45899999999995</v>
      </c>
      <c r="D20" s="165">
        <v>149.19</v>
      </c>
      <c r="E20" s="165">
        <f t="shared" ref="E20:E83" si="2">IFERROR(C20*D20,"")</f>
        <v>109872.31820999998</v>
      </c>
      <c r="F20" s="89">
        <f t="shared" ref="F20:F83" si="3">IF(AND(ISNUMBER($I20)), IF(AND($I20&lt;=20%,$I20&gt;0%), $E20/SUMIFS($E$19:$E$521,$I$19:$I$521, "&gt;"&amp;0%,$I$19:$I$521, "&lt;="&amp;20%),""),"")</f>
        <v>3.5846304084633674E-3</v>
      </c>
      <c r="G20" s="90">
        <v>1.6086869093102755E-2</v>
      </c>
      <c r="H20" s="89">
        <f t="shared" si="0"/>
        <v>5.7665480128105647E-5</v>
      </c>
      <c r="I20" s="90">
        <v>8.5000000000000006E-2</v>
      </c>
      <c r="J20" s="89">
        <f t="shared" si="1"/>
        <v>3.0469358471938628E-4</v>
      </c>
      <c r="L20" s="91"/>
    </row>
    <row r="21" spans="1:12" x14ac:dyDescent="0.2">
      <c r="A21" s="79" t="s">
        <v>1004</v>
      </c>
      <c r="B21" s="88" t="s">
        <v>1005</v>
      </c>
      <c r="C21" s="165">
        <v>4204.04</v>
      </c>
      <c r="D21" s="165">
        <v>32.409999999999997</v>
      </c>
      <c r="E21" s="165">
        <f t="shared" si="2"/>
        <v>136252.93639999998</v>
      </c>
      <c r="F21" s="89">
        <f t="shared" si="3"/>
        <v>4.4453091280767399E-3</v>
      </c>
      <c r="G21" s="90">
        <v>8.2073434125269989E-2</v>
      </c>
      <c r="H21" s="89">
        <f t="shared" si="0"/>
        <v>3.6484178588966771E-4</v>
      </c>
      <c r="I21" s="90">
        <v>1.4999999999999999E-2</v>
      </c>
      <c r="J21" s="89">
        <f t="shared" si="1"/>
        <v>6.6679636921151091E-5</v>
      </c>
      <c r="L21" s="91"/>
    </row>
    <row r="22" spans="1:12" x14ac:dyDescent="0.2">
      <c r="A22" s="79" t="s">
        <v>220</v>
      </c>
      <c r="B22" s="88" t="s">
        <v>221</v>
      </c>
      <c r="C22" s="165">
        <v>412.73599999999999</v>
      </c>
      <c r="D22" s="165">
        <v>830.58</v>
      </c>
      <c r="E22" s="165">
        <f t="shared" si="2"/>
        <v>342810.26688000001</v>
      </c>
      <c r="F22" s="89" t="str">
        <f t="shared" si="3"/>
        <v/>
      </c>
      <c r="G22" s="90">
        <v>2.2153194153483106E-2</v>
      </c>
      <c r="H22" s="89" t="str">
        <f t="shared" si="0"/>
        <v/>
      </c>
      <c r="I22" s="90">
        <v>0.3</v>
      </c>
      <c r="J22" s="89" t="str">
        <f t="shared" si="1"/>
        <v/>
      </c>
      <c r="L22" s="91"/>
    </row>
    <row r="23" spans="1:12" x14ac:dyDescent="0.2">
      <c r="A23" s="79" t="s">
        <v>230</v>
      </c>
      <c r="B23" s="88" t="s">
        <v>231</v>
      </c>
      <c r="C23" s="165">
        <v>603.20399999999995</v>
      </c>
      <c r="D23" s="165">
        <v>191.68</v>
      </c>
      <c r="E23" s="165">
        <f t="shared" si="2"/>
        <v>115622.14271999999</v>
      </c>
      <c r="F23" s="89" t="str">
        <f t="shared" si="3"/>
        <v/>
      </c>
      <c r="G23" s="90" t="s">
        <v>138</v>
      </c>
      <c r="H23" s="89" t="str">
        <f t="shared" si="0"/>
        <v/>
      </c>
      <c r="I23" s="90" t="s">
        <v>138</v>
      </c>
      <c r="J23" s="89" t="str">
        <f t="shared" si="1"/>
        <v/>
      </c>
      <c r="L23" s="91"/>
    </row>
    <row r="24" spans="1:12" x14ac:dyDescent="0.2">
      <c r="A24" s="79" t="s">
        <v>281</v>
      </c>
      <c r="B24" s="88" t="s">
        <v>282</v>
      </c>
      <c r="C24" s="165">
        <v>510.14299999999997</v>
      </c>
      <c r="D24" s="165">
        <v>273</v>
      </c>
      <c r="E24" s="165">
        <f t="shared" si="2"/>
        <v>139269.03899999999</v>
      </c>
      <c r="F24" s="89">
        <f t="shared" si="3"/>
        <v>4.5437107388841234E-3</v>
      </c>
      <c r="G24" s="90">
        <v>1.9047619047619049E-2</v>
      </c>
      <c r="H24" s="89">
        <f t="shared" si="0"/>
        <v>8.6546871216840459E-5</v>
      </c>
      <c r="I24" s="90">
        <v>0.13500000000000001</v>
      </c>
      <c r="J24" s="89">
        <f t="shared" si="1"/>
        <v>6.1340094974935669E-4</v>
      </c>
      <c r="L24" s="91"/>
    </row>
    <row r="25" spans="1:12" x14ac:dyDescent="0.2">
      <c r="A25" s="79" t="s">
        <v>607</v>
      </c>
      <c r="B25" s="88" t="s">
        <v>608</v>
      </c>
      <c r="C25" s="165">
        <v>2906.085</v>
      </c>
      <c r="D25" s="165">
        <v>145.02000000000001</v>
      </c>
      <c r="E25" s="165">
        <f t="shared" si="2"/>
        <v>421440.44670000003</v>
      </c>
      <c r="F25" s="89">
        <f t="shared" si="3"/>
        <v>1.3749671120161261E-2</v>
      </c>
      <c r="G25" s="90">
        <v>2.8961522548613984E-2</v>
      </c>
      <c r="H25" s="89">
        <f t="shared" si="0"/>
        <v>3.9821141018257686E-4</v>
      </c>
      <c r="I25" s="90">
        <v>8.5000000000000006E-2</v>
      </c>
      <c r="J25" s="89">
        <f t="shared" si="1"/>
        <v>1.1687220452137072E-3</v>
      </c>
      <c r="L25" s="91"/>
    </row>
    <row r="26" spans="1:12" x14ac:dyDescent="0.2">
      <c r="A26" s="79" t="s">
        <v>368</v>
      </c>
      <c r="B26" s="88" t="s">
        <v>369</v>
      </c>
      <c r="C26" s="165">
        <v>1867.2449999999999</v>
      </c>
      <c r="D26" s="165">
        <v>168.62</v>
      </c>
      <c r="E26" s="165">
        <f t="shared" si="2"/>
        <v>314854.85190000001</v>
      </c>
      <c r="F26" s="89" t="str">
        <f t="shared" si="3"/>
        <v/>
      </c>
      <c r="G26" s="90">
        <v>3.582018740362946E-2</v>
      </c>
      <c r="H26" s="89" t="str">
        <f t="shared" si="0"/>
        <v/>
      </c>
      <c r="I26" s="90">
        <v>0.215</v>
      </c>
      <c r="J26" s="89" t="str">
        <f t="shared" si="1"/>
        <v/>
      </c>
      <c r="L26" s="91"/>
    </row>
    <row r="27" spans="1:12" x14ac:dyDescent="0.2">
      <c r="A27" s="79" t="s">
        <v>626</v>
      </c>
      <c r="B27" s="88" t="s">
        <v>627</v>
      </c>
      <c r="C27" s="165">
        <v>4324.3450000000003</v>
      </c>
      <c r="D27" s="165">
        <v>55.98</v>
      </c>
      <c r="E27" s="165">
        <f t="shared" si="2"/>
        <v>242076.83309999999</v>
      </c>
      <c r="F27" s="89">
        <f t="shared" si="3"/>
        <v>7.8978580888429181E-3</v>
      </c>
      <c r="G27" s="90">
        <v>3.2868881743479815E-2</v>
      </c>
      <c r="H27" s="89">
        <f t="shared" si="0"/>
        <v>2.5959376354896339E-4</v>
      </c>
      <c r="I27" s="90">
        <v>7.4999999999999997E-2</v>
      </c>
      <c r="J27" s="89">
        <f t="shared" si="1"/>
        <v>5.9233935666321881E-4</v>
      </c>
      <c r="L27" s="91"/>
    </row>
    <row r="28" spans="1:12" x14ac:dyDescent="0.2">
      <c r="A28" s="79" t="s">
        <v>141</v>
      </c>
      <c r="B28" s="88" t="s">
        <v>142</v>
      </c>
      <c r="C28" s="165">
        <v>1765.047</v>
      </c>
      <c r="D28" s="165">
        <v>149.06</v>
      </c>
      <c r="E28" s="165">
        <f t="shared" si="2"/>
        <v>263097.90581999999</v>
      </c>
      <c r="F28" s="89">
        <f t="shared" si="3"/>
        <v>8.5836793923181869E-3</v>
      </c>
      <c r="G28" s="90">
        <v>3.9715550784918827E-2</v>
      </c>
      <c r="H28" s="89">
        <f t="shared" si="0"/>
        <v>3.4090555482707411E-4</v>
      </c>
      <c r="I28" s="90">
        <v>0.02</v>
      </c>
      <c r="J28" s="89">
        <f t="shared" si="1"/>
        <v>1.7167358784636374E-4</v>
      </c>
      <c r="L28" s="91"/>
    </row>
    <row r="29" spans="1:12" x14ac:dyDescent="0.2">
      <c r="A29" s="79" t="s">
        <v>390</v>
      </c>
      <c r="B29" s="88" t="s">
        <v>391</v>
      </c>
      <c r="C29" s="165">
        <v>1829.779</v>
      </c>
      <c r="D29" s="165">
        <v>81.05</v>
      </c>
      <c r="E29" s="165">
        <f t="shared" si="2"/>
        <v>148303.58794999999</v>
      </c>
      <c r="F29" s="89" t="str">
        <f t="shared" si="3"/>
        <v/>
      </c>
      <c r="G29" s="90" t="s">
        <v>138</v>
      </c>
      <c r="H29" s="89" t="str">
        <f t="shared" si="0"/>
        <v/>
      </c>
      <c r="I29" s="90">
        <v>0.65</v>
      </c>
      <c r="J29" s="89" t="str">
        <f t="shared" si="1"/>
        <v/>
      </c>
      <c r="L29" s="91"/>
    </row>
    <row r="30" spans="1:12" x14ac:dyDescent="0.2">
      <c r="A30" s="79" t="s">
        <v>480</v>
      </c>
      <c r="B30" s="88" t="s">
        <v>481</v>
      </c>
      <c r="C30" s="165">
        <v>73.956999999999994</v>
      </c>
      <c r="D30" s="165">
        <v>255.34</v>
      </c>
      <c r="E30" s="165">
        <f t="shared" si="2"/>
        <v>18884.180379999998</v>
      </c>
      <c r="F30" s="89">
        <f t="shared" si="3"/>
        <v>6.1610429571235046E-4</v>
      </c>
      <c r="G30" s="90" t="s">
        <v>138</v>
      </c>
      <c r="H30" s="89" t="str">
        <f t="shared" si="0"/>
        <v/>
      </c>
      <c r="I30" s="90">
        <v>0.13500000000000001</v>
      </c>
      <c r="J30" s="89">
        <f t="shared" si="1"/>
        <v>8.3174079921167313E-5</v>
      </c>
      <c r="L30" s="91"/>
    </row>
    <row r="31" spans="1:12" x14ac:dyDescent="0.2">
      <c r="A31" s="79" t="s">
        <v>456</v>
      </c>
      <c r="B31" s="88" t="s">
        <v>457</v>
      </c>
      <c r="C31" s="165">
        <v>211.27699999999999</v>
      </c>
      <c r="D31" s="165">
        <v>121.58</v>
      </c>
      <c r="E31" s="165">
        <f t="shared" si="2"/>
        <v>25687.057659999999</v>
      </c>
      <c r="F31" s="89">
        <f t="shared" si="3"/>
        <v>8.3805101678110735E-4</v>
      </c>
      <c r="G31" s="90">
        <v>2.0069090310906399E-2</v>
      </c>
      <c r="H31" s="89">
        <f t="shared" si="0"/>
        <v>1.6818921540926977E-5</v>
      </c>
      <c r="I31" s="90">
        <v>0.05</v>
      </c>
      <c r="J31" s="89">
        <f t="shared" si="1"/>
        <v>4.1902550839055372E-5</v>
      </c>
      <c r="L31" s="91"/>
    </row>
    <row r="32" spans="1:12" x14ac:dyDescent="0.2">
      <c r="A32" s="79" t="s">
        <v>1042</v>
      </c>
      <c r="B32" s="88" t="s">
        <v>1043</v>
      </c>
      <c r="C32" s="165">
        <v>4003.1930000000002</v>
      </c>
      <c r="D32" s="165">
        <v>117.58</v>
      </c>
      <c r="E32" s="165">
        <f t="shared" si="2"/>
        <v>470695.43294000003</v>
      </c>
      <c r="F32" s="89">
        <f t="shared" si="3"/>
        <v>1.5356635679759305E-2</v>
      </c>
      <c r="G32" s="90">
        <v>3.0957645858139142E-2</v>
      </c>
      <c r="H32" s="89">
        <f t="shared" si="0"/>
        <v>4.7540528894645241E-4</v>
      </c>
      <c r="I32" s="90">
        <v>7.0000000000000007E-2</v>
      </c>
      <c r="J32" s="89">
        <f t="shared" si="1"/>
        <v>1.0749644975831514E-3</v>
      </c>
      <c r="L32" s="91"/>
    </row>
    <row r="33" spans="1:12" x14ac:dyDescent="0.2">
      <c r="A33" s="79" t="s">
        <v>835</v>
      </c>
      <c r="B33" s="88" t="s">
        <v>836</v>
      </c>
      <c r="C33" s="165">
        <v>445.28800000000001</v>
      </c>
      <c r="D33" s="165">
        <v>120.15</v>
      </c>
      <c r="E33" s="165">
        <f t="shared" si="2"/>
        <v>53501.353200000005</v>
      </c>
      <c r="F33" s="89">
        <f t="shared" si="3"/>
        <v>1.7455040605232619E-3</v>
      </c>
      <c r="G33" s="90">
        <v>3.495630461922597E-2</v>
      </c>
      <c r="H33" s="89">
        <f t="shared" si="0"/>
        <v>6.1016371653746989E-5</v>
      </c>
      <c r="I33" s="90">
        <v>0.155</v>
      </c>
      <c r="J33" s="89">
        <f t="shared" si="1"/>
        <v>2.7055312938110558E-4</v>
      </c>
      <c r="L33" s="91"/>
    </row>
    <row r="34" spans="1:12" x14ac:dyDescent="0.2">
      <c r="A34" s="79" t="s">
        <v>495</v>
      </c>
      <c r="B34" s="88" t="s">
        <v>496</v>
      </c>
      <c r="C34" s="165">
        <v>1088.3779999999999</v>
      </c>
      <c r="D34" s="165">
        <v>110.55</v>
      </c>
      <c r="E34" s="165">
        <f t="shared" si="2"/>
        <v>120320.18789999999</v>
      </c>
      <c r="F34" s="89" t="str">
        <f t="shared" si="3"/>
        <v/>
      </c>
      <c r="G34" s="90">
        <v>2.8946178199909544E-3</v>
      </c>
      <c r="H34" s="89" t="str">
        <f t="shared" si="0"/>
        <v/>
      </c>
      <c r="I34" s="90">
        <v>0.26</v>
      </c>
      <c r="J34" s="89" t="str">
        <f t="shared" si="1"/>
        <v/>
      </c>
      <c r="L34" s="91"/>
    </row>
    <row r="35" spans="1:12" x14ac:dyDescent="0.2">
      <c r="A35" s="79" t="s">
        <v>546</v>
      </c>
      <c r="B35" s="88" t="s">
        <v>547</v>
      </c>
      <c r="C35" s="165">
        <v>988.26900000000001</v>
      </c>
      <c r="D35" s="165">
        <v>25.7</v>
      </c>
      <c r="E35" s="165">
        <f t="shared" si="2"/>
        <v>25398.513299999999</v>
      </c>
      <c r="F35" s="89">
        <f t="shared" si="3"/>
        <v>8.2863713616133483E-4</v>
      </c>
      <c r="G35" s="90">
        <v>4.085603112840467E-2</v>
      </c>
      <c r="H35" s="89">
        <f t="shared" si="0"/>
        <v>3.3854824629159592E-5</v>
      </c>
      <c r="I35" s="90">
        <v>0.125</v>
      </c>
      <c r="J35" s="89">
        <f t="shared" si="1"/>
        <v>1.0357964202016685E-4</v>
      </c>
      <c r="L35" s="91"/>
    </row>
    <row r="36" spans="1:12" x14ac:dyDescent="0.2">
      <c r="A36" s="79" t="s">
        <v>530</v>
      </c>
      <c r="B36" s="88" t="s">
        <v>531</v>
      </c>
      <c r="C36" s="165">
        <v>1000.066</v>
      </c>
      <c r="D36" s="165">
        <v>302.16000000000003</v>
      </c>
      <c r="E36" s="165">
        <f t="shared" si="2"/>
        <v>302179.94256000005</v>
      </c>
      <c r="F36" s="89">
        <f t="shared" si="3"/>
        <v>9.8587472129053749E-3</v>
      </c>
      <c r="G36" s="90">
        <v>2.7667460947842198E-2</v>
      </c>
      <c r="H36" s="89">
        <f t="shared" si="0"/>
        <v>2.7276650350770756E-4</v>
      </c>
      <c r="I36" s="90">
        <v>6.5000000000000002E-2</v>
      </c>
      <c r="J36" s="89">
        <f t="shared" si="1"/>
        <v>6.4081856883884943E-4</v>
      </c>
      <c r="L36" s="91"/>
    </row>
    <row r="37" spans="1:12" x14ac:dyDescent="0.2">
      <c r="A37" s="79" t="s">
        <v>709</v>
      </c>
      <c r="B37" s="88" t="s">
        <v>710</v>
      </c>
      <c r="C37" s="165">
        <v>47.777999999999999</v>
      </c>
      <c r="D37" s="165">
        <v>462</v>
      </c>
      <c r="E37" s="165">
        <f t="shared" si="2"/>
        <v>22073.435999999998</v>
      </c>
      <c r="F37" s="89">
        <f t="shared" si="3"/>
        <v>7.2015509633315856E-4</v>
      </c>
      <c r="G37" s="90">
        <v>8.658008658008658E-3</v>
      </c>
      <c r="H37" s="89">
        <f t="shared" si="0"/>
        <v>6.2351090591615459E-6</v>
      </c>
      <c r="I37" s="90">
        <v>0.15</v>
      </c>
      <c r="J37" s="89">
        <f t="shared" si="1"/>
        <v>1.0802326444997378E-4</v>
      </c>
      <c r="L37" s="91"/>
    </row>
    <row r="38" spans="1:12" x14ac:dyDescent="0.2">
      <c r="A38" s="79" t="s">
        <v>560</v>
      </c>
      <c r="B38" s="88" t="s">
        <v>561</v>
      </c>
      <c r="C38" s="165">
        <v>911.00599999999997</v>
      </c>
      <c r="D38" s="165">
        <v>140.30000000000001</v>
      </c>
      <c r="E38" s="165">
        <f t="shared" si="2"/>
        <v>127814.14180000001</v>
      </c>
      <c r="F38" s="89">
        <f t="shared" si="3"/>
        <v>4.1699899191371473E-3</v>
      </c>
      <c r="G38" s="90">
        <v>4.7327156094084097E-2</v>
      </c>
      <c r="H38" s="89">
        <f t="shared" si="0"/>
        <v>1.973537638137609E-4</v>
      </c>
      <c r="I38" s="90">
        <v>0.03</v>
      </c>
      <c r="J38" s="89">
        <f t="shared" si="1"/>
        <v>1.250996975741144E-4</v>
      </c>
      <c r="L38" s="91"/>
    </row>
    <row r="39" spans="1:12" x14ac:dyDescent="0.2">
      <c r="A39" s="79" t="s">
        <v>603</v>
      </c>
      <c r="B39" s="88" t="s">
        <v>604</v>
      </c>
      <c r="C39" s="165">
        <v>2401.4850000000001</v>
      </c>
      <c r="D39" s="165">
        <v>155.75</v>
      </c>
      <c r="E39" s="165">
        <f t="shared" si="2"/>
        <v>374031.28875000001</v>
      </c>
      <c r="F39" s="89">
        <f t="shared" si="3"/>
        <v>1.2202927481764584E-2</v>
      </c>
      <c r="G39" s="90">
        <v>3.0561797752808987E-2</v>
      </c>
      <c r="H39" s="89">
        <f t="shared" si="0"/>
        <v>3.7294340168988387E-4</v>
      </c>
      <c r="I39" s="90">
        <v>0.05</v>
      </c>
      <c r="J39" s="89">
        <f t="shared" si="1"/>
        <v>6.1014637408822925E-4</v>
      </c>
      <c r="L39" s="91"/>
    </row>
    <row r="40" spans="1:12" x14ac:dyDescent="0.2">
      <c r="A40" s="79" t="s">
        <v>671</v>
      </c>
      <c r="B40" s="88" t="s">
        <v>672</v>
      </c>
      <c r="C40" s="165">
        <v>728.76300000000003</v>
      </c>
      <c r="D40" s="165">
        <v>263.44</v>
      </c>
      <c r="E40" s="165">
        <f t="shared" si="2"/>
        <v>191985.32472</v>
      </c>
      <c r="F40" s="89">
        <f t="shared" si="3"/>
        <v>6.2636016439979866E-3</v>
      </c>
      <c r="G40" s="90">
        <v>2.3079259034315215E-2</v>
      </c>
      <c r="H40" s="89">
        <f t="shared" si="0"/>
        <v>1.4455928482959217E-4</v>
      </c>
      <c r="I40" s="90">
        <v>0.105</v>
      </c>
      <c r="J40" s="89">
        <f t="shared" si="1"/>
        <v>6.5767817261978855E-4</v>
      </c>
      <c r="L40" s="91"/>
    </row>
    <row r="41" spans="1:12" x14ac:dyDescent="0.2">
      <c r="A41" s="79" t="s">
        <v>711</v>
      </c>
      <c r="B41" s="88" t="s">
        <v>712</v>
      </c>
      <c r="C41" s="165">
        <v>2537.5210000000002</v>
      </c>
      <c r="D41" s="165">
        <v>102.95</v>
      </c>
      <c r="E41" s="165">
        <f t="shared" si="2"/>
        <v>261237.78695000004</v>
      </c>
      <c r="F41" s="89">
        <f t="shared" si="3"/>
        <v>8.5229922349578224E-3</v>
      </c>
      <c r="G41" s="90">
        <v>2.8363283147158812E-2</v>
      </c>
      <c r="H41" s="89">
        <f t="shared" si="0"/>
        <v>2.4174004202114462E-4</v>
      </c>
      <c r="I41" s="90">
        <v>8.5000000000000006E-2</v>
      </c>
      <c r="J41" s="89">
        <f t="shared" si="1"/>
        <v>7.2445433997141498E-4</v>
      </c>
      <c r="L41" s="91"/>
    </row>
    <row r="42" spans="1:12" x14ac:dyDescent="0.2">
      <c r="A42" s="79" t="s">
        <v>697</v>
      </c>
      <c r="B42" s="88" t="s">
        <v>698</v>
      </c>
      <c r="C42" s="165">
        <v>551.99199999999996</v>
      </c>
      <c r="D42" s="165">
        <v>93.62</v>
      </c>
      <c r="E42" s="165">
        <f t="shared" si="2"/>
        <v>51677.491040000001</v>
      </c>
      <c r="F42" s="89">
        <f t="shared" si="3"/>
        <v>1.6859997935150259E-3</v>
      </c>
      <c r="G42" s="90">
        <v>6.40888698995941E-2</v>
      </c>
      <c r="H42" s="89">
        <f t="shared" si="0"/>
        <v>1.0805382141732701E-4</v>
      </c>
      <c r="I42" s="90">
        <v>4.4999999999999998E-2</v>
      </c>
      <c r="J42" s="89">
        <f t="shared" si="1"/>
        <v>7.5869990708176169E-5</v>
      </c>
      <c r="L42" s="91"/>
    </row>
    <row r="43" spans="1:12" x14ac:dyDescent="0.2">
      <c r="A43" s="79" t="s">
        <v>224</v>
      </c>
      <c r="B43" s="88" t="s">
        <v>225</v>
      </c>
      <c r="C43" s="165">
        <v>194.66900000000001</v>
      </c>
      <c r="D43" s="165">
        <v>123.83</v>
      </c>
      <c r="E43" s="165">
        <f t="shared" si="2"/>
        <v>24105.862270000001</v>
      </c>
      <c r="F43" s="89">
        <f t="shared" si="3"/>
        <v>7.8646385480020896E-4</v>
      </c>
      <c r="G43" s="90">
        <v>2.2853912622143261E-2</v>
      </c>
      <c r="H43" s="89">
        <f t="shared" si="0"/>
        <v>1.7973776218077941E-5</v>
      </c>
      <c r="I43" s="90">
        <v>0.03</v>
      </c>
      <c r="J43" s="89">
        <f t="shared" si="1"/>
        <v>2.3593915644006267E-5</v>
      </c>
      <c r="L43" s="91"/>
    </row>
    <row r="44" spans="1:12" x14ac:dyDescent="0.2">
      <c r="A44" s="79" t="s">
        <v>232</v>
      </c>
      <c r="B44" s="88" t="s">
        <v>233</v>
      </c>
      <c r="C44" s="165">
        <v>7946.3720000000003</v>
      </c>
      <c r="D44" s="165">
        <v>27.38</v>
      </c>
      <c r="E44" s="165">
        <f t="shared" si="2"/>
        <v>217571.66536000001</v>
      </c>
      <c r="F44" s="89" t="str">
        <f t="shared" si="3"/>
        <v/>
      </c>
      <c r="G44" s="90">
        <v>3.5062089116143169E-2</v>
      </c>
      <c r="H44" s="89" t="str">
        <f t="shared" si="0"/>
        <v/>
      </c>
      <c r="I44" s="90">
        <v>0</v>
      </c>
      <c r="J44" s="89" t="str">
        <f t="shared" si="1"/>
        <v/>
      </c>
      <c r="L44" s="91"/>
    </row>
    <row r="45" spans="1:12" x14ac:dyDescent="0.2">
      <c r="A45" s="79" t="s">
        <v>801</v>
      </c>
      <c r="B45" s="88" t="s">
        <v>802</v>
      </c>
      <c r="C45" s="165">
        <v>5645.96</v>
      </c>
      <c r="D45" s="165">
        <v>33.17</v>
      </c>
      <c r="E45" s="165">
        <f t="shared" si="2"/>
        <v>187276.4932</v>
      </c>
      <c r="F45" s="89">
        <f t="shared" si="3"/>
        <v>6.10997404307069E-3</v>
      </c>
      <c r="G45" s="90">
        <v>4.9442267108833281E-2</v>
      </c>
      <c r="H45" s="89">
        <f t="shared" si="0"/>
        <v>3.0209096866553909E-4</v>
      </c>
      <c r="I45" s="90">
        <v>0.02</v>
      </c>
      <c r="J45" s="89">
        <f t="shared" si="1"/>
        <v>1.2219948086141381E-4</v>
      </c>
      <c r="L45" s="91"/>
    </row>
    <row r="46" spans="1:12" x14ac:dyDescent="0.2">
      <c r="A46" s="79" t="s">
        <v>805</v>
      </c>
      <c r="B46" s="88" t="s">
        <v>806</v>
      </c>
      <c r="C46" s="165">
        <v>2356.8939999999998</v>
      </c>
      <c r="D46" s="165">
        <v>145.86000000000001</v>
      </c>
      <c r="E46" s="165">
        <f t="shared" si="2"/>
        <v>343776.55884000001</v>
      </c>
      <c r="F46" s="89">
        <f t="shared" si="3"/>
        <v>1.1215854244373281E-2</v>
      </c>
      <c r="G46" s="90">
        <v>2.5797339914986971E-2</v>
      </c>
      <c r="H46" s="89">
        <f t="shared" si="0"/>
        <v>2.8933920437904689E-4</v>
      </c>
      <c r="I46" s="90">
        <v>5.5E-2</v>
      </c>
      <c r="J46" s="89">
        <f t="shared" si="1"/>
        <v>6.1687198344053046E-4</v>
      </c>
      <c r="L46" s="91"/>
    </row>
    <row r="47" spans="1:12" x14ac:dyDescent="0.2">
      <c r="A47" s="79" t="s">
        <v>918</v>
      </c>
      <c r="B47" s="88" t="s">
        <v>919</v>
      </c>
      <c r="C47" s="165">
        <v>7149</v>
      </c>
      <c r="D47" s="165">
        <v>15.02</v>
      </c>
      <c r="E47" s="165">
        <f t="shared" si="2"/>
        <v>107377.98</v>
      </c>
      <c r="F47" s="89">
        <f t="shared" si="3"/>
        <v>3.5032515794532386E-3</v>
      </c>
      <c r="G47" s="90">
        <v>7.3901464713715059E-2</v>
      </c>
      <c r="H47" s="89">
        <f t="shared" si="0"/>
        <v>2.5889542298223006E-4</v>
      </c>
      <c r="I47" s="90">
        <v>1.4999999999999999E-2</v>
      </c>
      <c r="J47" s="89">
        <f t="shared" si="1"/>
        <v>5.2548773691798574E-5</v>
      </c>
      <c r="L47" s="91"/>
    </row>
    <row r="48" spans="1:12" x14ac:dyDescent="0.2">
      <c r="A48" s="79" t="s">
        <v>950</v>
      </c>
      <c r="B48" s="88" t="s">
        <v>951</v>
      </c>
      <c r="C48" s="165">
        <v>228.94200000000001</v>
      </c>
      <c r="D48" s="165">
        <v>163.31</v>
      </c>
      <c r="E48" s="165">
        <f t="shared" si="2"/>
        <v>37388.518020000003</v>
      </c>
      <c r="F48" s="89">
        <f t="shared" si="3"/>
        <v>1.219816062911417E-3</v>
      </c>
      <c r="G48" s="90">
        <v>2.449329496050456E-2</v>
      </c>
      <c r="H48" s="89">
        <f t="shared" si="0"/>
        <v>2.9877314626450725E-5</v>
      </c>
      <c r="I48" s="90">
        <v>7.4999999999999997E-2</v>
      </c>
      <c r="J48" s="89">
        <f t="shared" si="1"/>
        <v>9.1486204718356279E-5</v>
      </c>
      <c r="L48" s="91"/>
    </row>
    <row r="49" spans="1:12" x14ac:dyDescent="0.2">
      <c r="A49" s="79" t="s">
        <v>1406</v>
      </c>
      <c r="B49" s="88" t="s">
        <v>874</v>
      </c>
      <c r="C49" s="165">
        <v>1455.5150000000001</v>
      </c>
      <c r="D49" s="165">
        <v>71.97</v>
      </c>
      <c r="E49" s="165">
        <f t="shared" si="2"/>
        <v>104753.41455</v>
      </c>
      <c r="F49" s="89">
        <f t="shared" si="3"/>
        <v>3.4176240321843209E-3</v>
      </c>
      <c r="G49" s="90">
        <v>3.2791440878143667E-2</v>
      </c>
      <c r="H49" s="89">
        <f t="shared" si="0"/>
        <v>1.1206881639509513E-4</v>
      </c>
      <c r="I49" s="90">
        <v>0.15</v>
      </c>
      <c r="J49" s="89">
        <f t="shared" si="1"/>
        <v>5.1264360482764816E-4</v>
      </c>
      <c r="L49" s="91"/>
    </row>
    <row r="50" spans="1:12" x14ac:dyDescent="0.2">
      <c r="A50" s="79" t="s">
        <v>149</v>
      </c>
      <c r="B50" s="88" t="s">
        <v>150</v>
      </c>
      <c r="C50" s="165">
        <v>498.31400000000002</v>
      </c>
      <c r="D50" s="165">
        <v>175.09</v>
      </c>
      <c r="E50" s="165">
        <f t="shared" si="2"/>
        <v>87249.79826000001</v>
      </c>
      <c r="F50" s="89">
        <f t="shared" si="3"/>
        <v>2.8465612182434563E-3</v>
      </c>
      <c r="G50" s="90">
        <v>1.9647038665829002E-2</v>
      </c>
      <c r="H50" s="89">
        <f t="shared" si="0"/>
        <v>5.5926498319478495E-5</v>
      </c>
      <c r="I50" s="90">
        <v>0.115</v>
      </c>
      <c r="J50" s="89">
        <f t="shared" si="1"/>
        <v>3.2735454009799749E-4</v>
      </c>
      <c r="L50" s="91"/>
    </row>
    <row r="51" spans="1:12" x14ac:dyDescent="0.2">
      <c r="A51" s="79" t="s">
        <v>1027</v>
      </c>
      <c r="B51" s="88" t="s">
        <v>1028</v>
      </c>
      <c r="C51" s="165">
        <v>2691.5639999999999</v>
      </c>
      <c r="D51" s="165">
        <v>159.93</v>
      </c>
      <c r="E51" s="165">
        <f t="shared" si="2"/>
        <v>430461.83052000002</v>
      </c>
      <c r="F51" s="89">
        <f t="shared" si="3"/>
        <v>1.4043997546457127E-2</v>
      </c>
      <c r="G51" s="90">
        <v>1.4256237103732881E-2</v>
      </c>
      <c r="H51" s="89">
        <f t="shared" si="0"/>
        <v>2.0021455890653565E-4</v>
      </c>
      <c r="I51" s="90">
        <v>6.5000000000000002E-2</v>
      </c>
      <c r="J51" s="89">
        <f t="shared" si="1"/>
        <v>9.1285984051971331E-4</v>
      </c>
      <c r="L51" s="91"/>
    </row>
    <row r="52" spans="1:12" x14ac:dyDescent="0.2">
      <c r="A52" s="79" t="s">
        <v>352</v>
      </c>
      <c r="B52" s="88" t="s">
        <v>353</v>
      </c>
      <c r="C52" s="165">
        <v>4054.8580000000002</v>
      </c>
      <c r="D52" s="165">
        <v>53.76</v>
      </c>
      <c r="E52" s="165">
        <f t="shared" si="2"/>
        <v>217989.16608</v>
      </c>
      <c r="F52" s="89">
        <f t="shared" si="3"/>
        <v>7.1119878616961721E-3</v>
      </c>
      <c r="G52" s="90">
        <v>2.9017857142857144E-2</v>
      </c>
      <c r="H52" s="89">
        <f t="shared" si="0"/>
        <v>2.0637464777243357E-4</v>
      </c>
      <c r="I52" s="90">
        <v>8.5000000000000006E-2</v>
      </c>
      <c r="J52" s="89">
        <f t="shared" si="1"/>
        <v>6.0451896824417469E-4</v>
      </c>
      <c r="L52" s="91"/>
    </row>
    <row r="53" spans="1:12" x14ac:dyDescent="0.2">
      <c r="A53" s="79" t="s">
        <v>574</v>
      </c>
      <c r="B53" s="88" t="s">
        <v>575</v>
      </c>
      <c r="C53" s="165">
        <v>4188</v>
      </c>
      <c r="D53" s="165">
        <v>35.549999999999997</v>
      </c>
      <c r="E53" s="165">
        <f t="shared" si="2"/>
        <v>148883.4</v>
      </c>
      <c r="F53" s="89" t="str">
        <f t="shared" si="3"/>
        <v/>
      </c>
      <c r="G53" s="90">
        <v>1.4064697609001408E-2</v>
      </c>
      <c r="H53" s="89" t="str">
        <f t="shared" si="0"/>
        <v/>
      </c>
      <c r="I53" s="90" t="s">
        <v>138</v>
      </c>
      <c r="J53" s="89" t="str">
        <f t="shared" si="1"/>
        <v/>
      </c>
      <c r="L53" s="91"/>
    </row>
    <row r="54" spans="1:12" x14ac:dyDescent="0.2">
      <c r="A54" s="79" t="s">
        <v>505</v>
      </c>
      <c r="B54" s="88" t="s">
        <v>506</v>
      </c>
      <c r="C54" s="165">
        <v>1375.905</v>
      </c>
      <c r="D54" s="165">
        <v>32.97</v>
      </c>
      <c r="E54" s="165">
        <f t="shared" si="2"/>
        <v>45363.587849999996</v>
      </c>
      <c r="F54" s="89">
        <f t="shared" si="3"/>
        <v>1.4800060569697645E-3</v>
      </c>
      <c r="G54" s="90">
        <v>1.0919017288444041E-2</v>
      </c>
      <c r="H54" s="89">
        <f t="shared" si="0"/>
        <v>1.6160211723054756E-5</v>
      </c>
      <c r="I54" s="90">
        <v>8.5000000000000006E-2</v>
      </c>
      <c r="J54" s="89">
        <f t="shared" si="1"/>
        <v>1.2580051484243E-4</v>
      </c>
      <c r="L54" s="91"/>
    </row>
    <row r="55" spans="1:12" x14ac:dyDescent="0.2">
      <c r="A55" s="79" t="s">
        <v>721</v>
      </c>
      <c r="B55" s="88" t="s">
        <v>722</v>
      </c>
      <c r="C55" s="165">
        <v>7429.7640000000001</v>
      </c>
      <c r="D55" s="165">
        <v>315.75</v>
      </c>
      <c r="E55" s="165">
        <f t="shared" si="2"/>
        <v>2345947.983</v>
      </c>
      <c r="F55" s="89">
        <f t="shared" si="3"/>
        <v>7.6537535691767439E-2</v>
      </c>
      <c r="G55" s="90">
        <v>9.5011876484560574E-3</v>
      </c>
      <c r="H55" s="89">
        <f t="shared" si="0"/>
        <v>7.2719748875788547E-4</v>
      </c>
      <c r="I55" s="90">
        <v>0.125</v>
      </c>
      <c r="J55" s="89">
        <f t="shared" si="1"/>
        <v>9.5671919614709298E-3</v>
      </c>
      <c r="L55" s="91"/>
    </row>
    <row r="56" spans="1:12" x14ac:dyDescent="0.2">
      <c r="A56" s="79" t="s">
        <v>382</v>
      </c>
      <c r="B56" s="88" t="s">
        <v>383</v>
      </c>
      <c r="C56" s="165">
        <v>219.476</v>
      </c>
      <c r="D56" s="165">
        <v>105.8</v>
      </c>
      <c r="E56" s="165">
        <f t="shared" si="2"/>
        <v>23220.560799999999</v>
      </c>
      <c r="F56" s="89">
        <f t="shared" si="3"/>
        <v>7.5758052347781133E-4</v>
      </c>
      <c r="G56" s="90">
        <v>2.2306238185255199E-2</v>
      </c>
      <c r="H56" s="89">
        <f t="shared" si="0"/>
        <v>1.6898771601206377E-5</v>
      </c>
      <c r="I56" s="90">
        <v>5.5E-2</v>
      </c>
      <c r="J56" s="89">
        <f t="shared" si="1"/>
        <v>4.1666928791279622E-5</v>
      </c>
      <c r="L56" s="91"/>
    </row>
    <row r="57" spans="1:12" x14ac:dyDescent="0.2">
      <c r="A57" s="79" t="s">
        <v>1407</v>
      </c>
      <c r="B57" s="88" t="s">
        <v>312</v>
      </c>
      <c r="C57" s="165">
        <v>295.98</v>
      </c>
      <c r="D57" s="165">
        <v>286.07</v>
      </c>
      <c r="E57" s="165">
        <f t="shared" si="2"/>
        <v>84670.998600000006</v>
      </c>
      <c r="F57" s="89">
        <f t="shared" si="3"/>
        <v>2.7624267990451392E-3</v>
      </c>
      <c r="G57" s="90">
        <v>1.7198587758240989E-2</v>
      </c>
      <c r="H57" s="89">
        <f t="shared" si="0"/>
        <v>4.750983972909457E-5</v>
      </c>
      <c r="I57" s="90">
        <v>0.1</v>
      </c>
      <c r="J57" s="89">
        <f t="shared" si="1"/>
        <v>2.7624267990451393E-4</v>
      </c>
      <c r="L57" s="91"/>
    </row>
    <row r="58" spans="1:12" x14ac:dyDescent="0.2">
      <c r="A58" s="79" t="s">
        <v>622</v>
      </c>
      <c r="B58" s="88" t="s">
        <v>623</v>
      </c>
      <c r="C58" s="165">
        <v>2228.165</v>
      </c>
      <c r="D58" s="165">
        <v>16.579999999999998</v>
      </c>
      <c r="E58" s="165">
        <f t="shared" si="2"/>
        <v>36942.975699999995</v>
      </c>
      <c r="F58" s="89">
        <f t="shared" si="3"/>
        <v>1.2052800580782726E-3</v>
      </c>
      <c r="G58" s="90">
        <v>6.8154402895054284E-2</v>
      </c>
      <c r="H58" s="89">
        <f t="shared" si="0"/>
        <v>8.2145142679641018E-5</v>
      </c>
      <c r="I58" s="90">
        <v>0.17499999999999999</v>
      </c>
      <c r="J58" s="89">
        <f t="shared" si="1"/>
        <v>2.1092401016369771E-4</v>
      </c>
      <c r="L58" s="91"/>
    </row>
    <row r="59" spans="1:12" x14ac:dyDescent="0.2">
      <c r="A59" s="79" t="s">
        <v>273</v>
      </c>
      <c r="B59" s="88" t="s">
        <v>274</v>
      </c>
      <c r="C59" s="165">
        <v>1925.702</v>
      </c>
      <c r="D59" s="165">
        <v>41.13</v>
      </c>
      <c r="E59" s="165">
        <f t="shared" si="2"/>
        <v>79204.123260000008</v>
      </c>
      <c r="F59" s="89">
        <f t="shared" si="3"/>
        <v>2.5840677009364866E-3</v>
      </c>
      <c r="G59" s="90">
        <v>5.1543885241915874E-2</v>
      </c>
      <c r="H59" s="89">
        <f t="shared" si="0"/>
        <v>1.3319288903441165E-4</v>
      </c>
      <c r="I59" s="90">
        <v>3.5000000000000003E-2</v>
      </c>
      <c r="J59" s="89">
        <f t="shared" si="1"/>
        <v>9.0442369532777044E-5</v>
      </c>
      <c r="L59" s="91"/>
    </row>
    <row r="60" spans="1:12" x14ac:dyDescent="0.2">
      <c r="A60" s="79" t="s">
        <v>163</v>
      </c>
      <c r="B60" s="88" t="s">
        <v>164</v>
      </c>
      <c r="C60" s="165">
        <v>711.9</v>
      </c>
      <c r="D60" s="165">
        <v>60.6</v>
      </c>
      <c r="E60" s="165">
        <f t="shared" si="2"/>
        <v>43141.14</v>
      </c>
      <c r="F60" s="89">
        <f t="shared" si="3"/>
        <v>1.4074977648528431E-3</v>
      </c>
      <c r="G60" s="90">
        <v>2.3762376237623763E-2</v>
      </c>
      <c r="H60" s="89">
        <f t="shared" si="0"/>
        <v>3.3445491442047758E-5</v>
      </c>
      <c r="I60" s="90">
        <v>0.04</v>
      </c>
      <c r="J60" s="89">
        <f t="shared" si="1"/>
        <v>5.6299910594113727E-5</v>
      </c>
      <c r="L60" s="91"/>
    </row>
    <row r="61" spans="1:12" x14ac:dyDescent="0.2">
      <c r="A61" s="79" t="s">
        <v>701</v>
      </c>
      <c r="B61" s="88" t="s">
        <v>702</v>
      </c>
      <c r="C61" s="165">
        <v>1774.61</v>
      </c>
      <c r="D61" s="165">
        <v>42.05</v>
      </c>
      <c r="E61" s="165">
        <f t="shared" si="2"/>
        <v>74622.350499999986</v>
      </c>
      <c r="F61" s="89">
        <f t="shared" si="3"/>
        <v>2.434585445280663E-3</v>
      </c>
      <c r="G61" s="90">
        <v>9.3222354340071353E-2</v>
      </c>
      <c r="H61" s="89">
        <f t="shared" si="0"/>
        <v>2.2695778705113435E-4</v>
      </c>
      <c r="I61" s="90">
        <v>0.06</v>
      </c>
      <c r="J61" s="89">
        <f t="shared" si="1"/>
        <v>1.4607512671683978E-4</v>
      </c>
      <c r="L61" s="91"/>
    </row>
    <row r="62" spans="1:12" x14ac:dyDescent="0.2">
      <c r="A62" s="79" t="s">
        <v>528</v>
      </c>
      <c r="B62" s="88" t="s">
        <v>529</v>
      </c>
      <c r="C62" s="165">
        <v>271.988</v>
      </c>
      <c r="D62" s="165">
        <v>245.98</v>
      </c>
      <c r="E62" s="165">
        <f t="shared" si="2"/>
        <v>66903.608240000001</v>
      </c>
      <c r="F62" s="89">
        <f t="shared" si="3"/>
        <v>2.1827582455723298E-3</v>
      </c>
      <c r="G62" s="90">
        <v>9.7568908041304175E-3</v>
      </c>
      <c r="H62" s="89">
        <f t="shared" si="0"/>
        <v>2.1296933853864508E-5</v>
      </c>
      <c r="I62" s="90">
        <v>0.125</v>
      </c>
      <c r="J62" s="89">
        <f t="shared" si="1"/>
        <v>2.7284478069654122E-4</v>
      </c>
      <c r="L62" s="91"/>
    </row>
    <row r="63" spans="1:12" x14ac:dyDescent="0.2">
      <c r="A63" s="79" t="s">
        <v>578</v>
      </c>
      <c r="B63" s="88" t="s">
        <v>579</v>
      </c>
      <c r="C63" s="165">
        <v>345.99900000000002</v>
      </c>
      <c r="D63" s="165">
        <v>35.47</v>
      </c>
      <c r="E63" s="165">
        <f t="shared" si="2"/>
        <v>12272.58453</v>
      </c>
      <c r="F63" s="89">
        <f t="shared" si="3"/>
        <v>4.0039821142748153E-4</v>
      </c>
      <c r="G63" s="90">
        <v>5.2156752184945025E-2</v>
      </c>
      <c r="H63" s="89">
        <f t="shared" si="0"/>
        <v>2.0883470288718379E-5</v>
      </c>
      <c r="I63" s="90">
        <v>0.06</v>
      </c>
      <c r="J63" s="89">
        <f t="shared" si="1"/>
        <v>2.4023892685648892E-5</v>
      </c>
      <c r="L63" s="91"/>
    </row>
    <row r="64" spans="1:12" x14ac:dyDescent="0.2">
      <c r="A64" s="79" t="s">
        <v>544</v>
      </c>
      <c r="B64" s="88" t="s">
        <v>545</v>
      </c>
      <c r="C64" s="165">
        <v>1282.865</v>
      </c>
      <c r="D64" s="165">
        <v>17.37</v>
      </c>
      <c r="E64" s="165">
        <f t="shared" si="2"/>
        <v>22283.36505</v>
      </c>
      <c r="F64" s="89">
        <f t="shared" si="3"/>
        <v>7.2700411953126331E-4</v>
      </c>
      <c r="G64" s="90">
        <v>2.7633851468048358E-2</v>
      </c>
      <c r="H64" s="89">
        <f t="shared" si="0"/>
        <v>2.0089923855786204E-5</v>
      </c>
      <c r="I64" s="90">
        <v>7.4999999999999997E-2</v>
      </c>
      <c r="J64" s="89">
        <f t="shared" si="1"/>
        <v>5.4525308964844747E-5</v>
      </c>
      <c r="L64" s="91"/>
    </row>
    <row r="65" spans="1:12" x14ac:dyDescent="0.2">
      <c r="A65" s="79" t="s">
        <v>143</v>
      </c>
      <c r="B65" s="88" t="s">
        <v>144</v>
      </c>
      <c r="C65" s="165">
        <v>1735.3579999999999</v>
      </c>
      <c r="D65" s="165">
        <v>96.85</v>
      </c>
      <c r="E65" s="165">
        <f t="shared" si="2"/>
        <v>168069.42229999998</v>
      </c>
      <c r="F65" s="89">
        <f t="shared" si="3"/>
        <v>5.4833353088805381E-3</v>
      </c>
      <c r="G65" s="90">
        <v>2.1063500258131133E-2</v>
      </c>
      <c r="H65" s="89">
        <f t="shared" si="0"/>
        <v>1.1549823469402478E-4</v>
      </c>
      <c r="I65" s="90">
        <v>4.4999999999999998E-2</v>
      </c>
      <c r="J65" s="89">
        <f t="shared" si="1"/>
        <v>2.4675008889962421E-4</v>
      </c>
      <c r="L65" s="91"/>
    </row>
    <row r="66" spans="1:12" x14ac:dyDescent="0.2">
      <c r="A66" s="79" t="s">
        <v>161</v>
      </c>
      <c r="B66" s="88" t="s">
        <v>162</v>
      </c>
      <c r="C66" s="165">
        <v>594.06200000000001</v>
      </c>
      <c r="D66" s="165">
        <v>76.75</v>
      </c>
      <c r="E66" s="165">
        <f t="shared" si="2"/>
        <v>45594.258500000004</v>
      </c>
      <c r="F66" s="89">
        <f t="shared" si="3"/>
        <v>1.4875317835567801E-3</v>
      </c>
      <c r="G66" s="90">
        <v>2.1889250814332246E-2</v>
      </c>
      <c r="H66" s="89">
        <f t="shared" si="0"/>
        <v>3.2560956304565348E-5</v>
      </c>
      <c r="I66" s="90">
        <v>0.08</v>
      </c>
      <c r="J66" s="89">
        <f t="shared" si="1"/>
        <v>1.190025426845424E-4</v>
      </c>
      <c r="L66" s="91"/>
    </row>
    <row r="67" spans="1:12" x14ac:dyDescent="0.2">
      <c r="A67" s="79" t="s">
        <v>207</v>
      </c>
      <c r="B67" s="88" t="s">
        <v>208</v>
      </c>
      <c r="C67" s="165">
        <v>222.149</v>
      </c>
      <c r="D67" s="165">
        <v>283.39999999999998</v>
      </c>
      <c r="E67" s="165">
        <f t="shared" si="2"/>
        <v>62957.026599999997</v>
      </c>
      <c r="F67" s="89">
        <f t="shared" si="3"/>
        <v>2.0539993662958603E-3</v>
      </c>
      <c r="G67" s="90">
        <v>2.4700070571630206E-2</v>
      </c>
      <c r="H67" s="89">
        <f t="shared" si="0"/>
        <v>5.0733929301591473E-5</v>
      </c>
      <c r="I67" s="90">
        <v>0.105</v>
      </c>
      <c r="J67" s="89">
        <f t="shared" si="1"/>
        <v>2.1566993346106532E-4</v>
      </c>
      <c r="L67" s="91"/>
    </row>
    <row r="68" spans="1:12" x14ac:dyDescent="0.2">
      <c r="A68" s="79" t="s">
        <v>849</v>
      </c>
      <c r="B68" s="88" t="s">
        <v>850</v>
      </c>
      <c r="C68" s="165">
        <v>256.173</v>
      </c>
      <c r="D68" s="165">
        <v>92.14</v>
      </c>
      <c r="E68" s="165">
        <f t="shared" si="2"/>
        <v>23603.780220000001</v>
      </c>
      <c r="F68" s="89" t="str">
        <f t="shared" si="3"/>
        <v/>
      </c>
      <c r="G68" s="90" t="s">
        <v>138</v>
      </c>
      <c r="H68" s="89" t="str">
        <f t="shared" si="0"/>
        <v/>
      </c>
      <c r="I68" s="90" t="s">
        <v>138</v>
      </c>
      <c r="J68" s="89" t="str">
        <f t="shared" si="1"/>
        <v/>
      </c>
      <c r="L68" s="91"/>
    </row>
    <row r="69" spans="1:12" x14ac:dyDescent="0.2">
      <c r="A69" s="79" t="s">
        <v>532</v>
      </c>
      <c r="B69" s="88" t="s">
        <v>533</v>
      </c>
      <c r="C69" s="165">
        <v>307.06099999999998</v>
      </c>
      <c r="D69" s="165">
        <v>153</v>
      </c>
      <c r="E69" s="165">
        <f t="shared" si="2"/>
        <v>46980.332999999999</v>
      </c>
      <c r="F69" s="89" t="str">
        <f t="shared" si="3"/>
        <v/>
      </c>
      <c r="G69" s="90">
        <v>1.1437908496732025E-2</v>
      </c>
      <c r="H69" s="89" t="str">
        <f t="shared" si="0"/>
        <v/>
      </c>
      <c r="I69" s="90">
        <v>0.23499999999999999</v>
      </c>
      <c r="J69" s="89" t="str">
        <f t="shared" si="1"/>
        <v/>
      </c>
      <c r="L69" s="91"/>
    </row>
    <row r="70" spans="1:12" x14ac:dyDescent="0.2">
      <c r="A70" s="79" t="s">
        <v>151</v>
      </c>
      <c r="B70" s="88" t="s">
        <v>152</v>
      </c>
      <c r="C70" s="165">
        <v>536.10199999999998</v>
      </c>
      <c r="D70" s="165">
        <v>75.42</v>
      </c>
      <c r="E70" s="165">
        <f t="shared" si="2"/>
        <v>40432.812839999999</v>
      </c>
      <c r="F70" s="89">
        <f t="shared" si="3"/>
        <v>1.3191374567063673E-3</v>
      </c>
      <c r="G70" s="90">
        <v>2.386634844868735E-2</v>
      </c>
      <c r="H70" s="89">
        <f t="shared" si="0"/>
        <v>3.1482994193469386E-5</v>
      </c>
      <c r="I70" s="90">
        <v>7.4999999999999997E-2</v>
      </c>
      <c r="J70" s="89">
        <f t="shared" si="1"/>
        <v>9.8935309252977543E-5</v>
      </c>
      <c r="L70" s="91"/>
    </row>
    <row r="71" spans="1:12" x14ac:dyDescent="0.2">
      <c r="A71" s="79" t="s">
        <v>153</v>
      </c>
      <c r="B71" s="88" t="s">
        <v>154</v>
      </c>
      <c r="C71" s="165">
        <v>411.98700000000002</v>
      </c>
      <c r="D71" s="165">
        <v>240.58</v>
      </c>
      <c r="E71" s="165">
        <f t="shared" si="2"/>
        <v>99115.832460000005</v>
      </c>
      <c r="F71" s="89">
        <f t="shared" si="3"/>
        <v>3.2336955548457661E-3</v>
      </c>
      <c r="G71" s="90">
        <v>2.0783107490231937E-2</v>
      </c>
      <c r="H71" s="89">
        <f t="shared" si="0"/>
        <v>6.7206242307044756E-5</v>
      </c>
      <c r="I71" s="90">
        <v>0.11</v>
      </c>
      <c r="J71" s="89">
        <f t="shared" si="1"/>
        <v>3.5570651103303426E-4</v>
      </c>
      <c r="L71" s="91"/>
    </row>
    <row r="72" spans="1:12" x14ac:dyDescent="0.2">
      <c r="A72" s="79" t="s">
        <v>994</v>
      </c>
      <c r="B72" s="88" t="s">
        <v>995</v>
      </c>
      <c r="C72" s="165">
        <v>145.02699999999999</v>
      </c>
      <c r="D72" s="165">
        <v>236.24</v>
      </c>
      <c r="E72" s="165">
        <f t="shared" si="2"/>
        <v>34261.178479999995</v>
      </c>
      <c r="F72" s="89">
        <f t="shared" si="3"/>
        <v>1.1177853003380143E-3</v>
      </c>
      <c r="G72" s="90">
        <v>5.7568574331188626E-3</v>
      </c>
      <c r="H72" s="89">
        <f t="shared" si="0"/>
        <v>6.434930614881898E-6</v>
      </c>
      <c r="I72" s="90">
        <v>0.08</v>
      </c>
      <c r="J72" s="89">
        <f t="shared" si="1"/>
        <v>8.942282402704114E-5</v>
      </c>
      <c r="L72" s="91"/>
    </row>
    <row r="73" spans="1:12" x14ac:dyDescent="0.2">
      <c r="A73" s="79" t="s">
        <v>228</v>
      </c>
      <c r="B73" s="88" t="s">
        <v>229</v>
      </c>
      <c r="C73" s="165">
        <v>18.155999999999999</v>
      </c>
      <c r="D73" s="165">
        <v>2539.9899999999998</v>
      </c>
      <c r="E73" s="165">
        <f t="shared" si="2"/>
        <v>46116.058439999993</v>
      </c>
      <c r="F73" s="89">
        <f t="shared" si="3"/>
        <v>1.5045557251876765E-3</v>
      </c>
      <c r="G73" s="90" t="s">
        <v>138</v>
      </c>
      <c r="H73" s="89" t="str">
        <f t="shared" si="0"/>
        <v/>
      </c>
      <c r="I73" s="90">
        <v>0.13</v>
      </c>
      <c r="J73" s="89">
        <f t="shared" si="1"/>
        <v>1.9559224427439796E-4</v>
      </c>
      <c r="L73" s="91"/>
    </row>
    <row r="74" spans="1:12" x14ac:dyDescent="0.2">
      <c r="A74" s="79" t="s">
        <v>222</v>
      </c>
      <c r="B74" s="88" t="s">
        <v>223</v>
      </c>
      <c r="C74" s="165">
        <v>80.582999999999998</v>
      </c>
      <c r="D74" s="165">
        <v>182.67</v>
      </c>
      <c r="E74" s="165">
        <f t="shared" si="2"/>
        <v>14720.096609999999</v>
      </c>
      <c r="F74" s="89">
        <f t="shared" si="3"/>
        <v>4.8024931833032025E-4</v>
      </c>
      <c r="G74" s="90">
        <v>1.7736902611266221E-2</v>
      </c>
      <c r="H74" s="89">
        <f t="shared" si="0"/>
        <v>8.5181353883518802E-6</v>
      </c>
      <c r="I74" s="90">
        <v>9.5000000000000001E-2</v>
      </c>
      <c r="J74" s="89">
        <f t="shared" si="1"/>
        <v>4.5623685241380423E-5</v>
      </c>
      <c r="L74" s="91"/>
    </row>
    <row r="75" spans="1:12" x14ac:dyDescent="0.2">
      <c r="A75" s="79" t="s">
        <v>430</v>
      </c>
      <c r="B75" s="88" t="s">
        <v>431</v>
      </c>
      <c r="C75" s="165">
        <v>136.35499999999999</v>
      </c>
      <c r="D75" s="165">
        <v>120.15</v>
      </c>
      <c r="E75" s="165">
        <f t="shared" si="2"/>
        <v>16383.053249999999</v>
      </c>
      <c r="F75" s="89" t="str">
        <f t="shared" si="3"/>
        <v/>
      </c>
      <c r="G75" s="90" t="s">
        <v>138</v>
      </c>
      <c r="H75" s="89" t="str">
        <f t="shared" si="0"/>
        <v/>
      </c>
      <c r="I75" s="90">
        <v>0.27500000000000002</v>
      </c>
      <c r="J75" s="89" t="str">
        <f t="shared" si="1"/>
        <v/>
      </c>
      <c r="L75" s="91"/>
    </row>
    <row r="76" spans="1:12" x14ac:dyDescent="0.2">
      <c r="A76" s="79" t="s">
        <v>719</v>
      </c>
      <c r="B76" s="88" t="s">
        <v>720</v>
      </c>
      <c r="C76" s="165">
        <v>79.088999999999999</v>
      </c>
      <c r="D76" s="165">
        <v>513.08000000000004</v>
      </c>
      <c r="E76" s="165">
        <f t="shared" si="2"/>
        <v>40578.984120000001</v>
      </c>
      <c r="F76" s="89">
        <f t="shared" si="3"/>
        <v>1.3239063559493101E-3</v>
      </c>
      <c r="G76" s="90">
        <v>1.0758556170577686E-2</v>
      </c>
      <c r="H76" s="89">
        <f t="shared" si="0"/>
        <v>1.4243320895065469E-5</v>
      </c>
      <c r="I76" s="90">
        <v>0.125</v>
      </c>
      <c r="J76" s="89">
        <f t="shared" si="1"/>
        <v>1.6548829449366376E-4</v>
      </c>
      <c r="L76" s="91"/>
    </row>
    <row r="77" spans="1:12" x14ac:dyDescent="0.2">
      <c r="A77" s="79" t="s">
        <v>234</v>
      </c>
      <c r="B77" s="88" t="s">
        <v>235</v>
      </c>
      <c r="C77" s="165">
        <v>315.05900000000003</v>
      </c>
      <c r="D77" s="165">
        <v>49.78</v>
      </c>
      <c r="E77" s="165">
        <f t="shared" si="2"/>
        <v>15683.637020000002</v>
      </c>
      <c r="F77" s="89">
        <f t="shared" si="3"/>
        <v>5.1168522784546971E-4</v>
      </c>
      <c r="G77" s="90">
        <v>1.6070711128967456E-2</v>
      </c>
      <c r="H77" s="89">
        <f t="shared" si="0"/>
        <v>8.2231454856644387E-6</v>
      </c>
      <c r="I77" s="90">
        <v>0.13</v>
      </c>
      <c r="J77" s="89">
        <f t="shared" si="1"/>
        <v>6.6519079619911065E-5</v>
      </c>
      <c r="L77" s="91"/>
    </row>
    <row r="78" spans="1:12" x14ac:dyDescent="0.2">
      <c r="A78" s="79" t="s">
        <v>1408</v>
      </c>
      <c r="B78" s="88" t="s">
        <v>1409</v>
      </c>
      <c r="C78" s="165">
        <v>74.760000000000005</v>
      </c>
      <c r="D78" s="165">
        <v>198.99</v>
      </c>
      <c r="E78" s="165">
        <f t="shared" si="2"/>
        <v>14876.492400000001</v>
      </c>
      <c r="F78" s="89" t="str">
        <f t="shared" si="3"/>
        <v/>
      </c>
      <c r="G78" s="90" t="s">
        <v>138</v>
      </c>
      <c r="H78" s="89" t="str">
        <f t="shared" si="0"/>
        <v/>
      </c>
      <c r="I78" s="90">
        <v>0.24</v>
      </c>
      <c r="J78" s="89" t="str">
        <f t="shared" si="1"/>
        <v/>
      </c>
      <c r="L78" s="91"/>
    </row>
    <row r="79" spans="1:12" x14ac:dyDescent="0.2">
      <c r="A79" s="79" t="s">
        <v>292</v>
      </c>
      <c r="B79" s="88" t="s">
        <v>293</v>
      </c>
      <c r="C79" s="165">
        <v>155.613</v>
      </c>
      <c r="D79" s="165">
        <v>67.849999999999994</v>
      </c>
      <c r="E79" s="165">
        <f t="shared" si="2"/>
        <v>10558.342049999999</v>
      </c>
      <c r="F79" s="89" t="str">
        <f t="shared" si="3"/>
        <v/>
      </c>
      <c r="G79" s="90" t="s">
        <v>138</v>
      </c>
      <c r="H79" s="89" t="str">
        <f t="shared" si="0"/>
        <v/>
      </c>
      <c r="I79" s="90" t="s">
        <v>138</v>
      </c>
      <c r="J79" s="89" t="str">
        <f t="shared" si="1"/>
        <v/>
      </c>
      <c r="L79" s="91"/>
    </row>
    <row r="80" spans="1:12" x14ac:dyDescent="0.2">
      <c r="A80" s="79" t="s">
        <v>279</v>
      </c>
      <c r="B80" s="88" t="s">
        <v>280</v>
      </c>
      <c r="C80" s="165">
        <v>837.62800000000004</v>
      </c>
      <c r="D80" s="165">
        <v>55.2</v>
      </c>
      <c r="E80" s="165">
        <f t="shared" si="2"/>
        <v>46237.065600000002</v>
      </c>
      <c r="F80" s="89">
        <f t="shared" si="3"/>
        <v>1.5085036344740608E-3</v>
      </c>
      <c r="G80" s="90">
        <v>1.3405797101449275E-2</v>
      </c>
      <c r="H80" s="89">
        <f t="shared" si="0"/>
        <v>2.0222693650558061E-5</v>
      </c>
      <c r="I80" s="90">
        <v>0.13</v>
      </c>
      <c r="J80" s="89">
        <f t="shared" si="1"/>
        <v>1.961054724816279E-4</v>
      </c>
      <c r="L80" s="91"/>
    </row>
    <row r="81" spans="1:12" x14ac:dyDescent="0.2">
      <c r="A81" s="79" t="s">
        <v>251</v>
      </c>
      <c r="B81" s="88" t="s">
        <v>252</v>
      </c>
      <c r="C81" s="165">
        <v>778.78200000000004</v>
      </c>
      <c r="D81" s="165">
        <v>42.65</v>
      </c>
      <c r="E81" s="165">
        <f t="shared" si="2"/>
        <v>33215.052300000003</v>
      </c>
      <c r="F81" s="89">
        <f t="shared" si="3"/>
        <v>1.0836549954804228E-3</v>
      </c>
      <c r="G81" s="90">
        <v>3.9390386869871043E-2</v>
      </c>
      <c r="H81" s="89">
        <f t="shared" si="0"/>
        <v>4.2685589505442212E-5</v>
      </c>
      <c r="I81" s="90">
        <v>7.0000000000000007E-2</v>
      </c>
      <c r="J81" s="89">
        <f t="shared" si="1"/>
        <v>7.5855849683629606E-5</v>
      </c>
      <c r="L81" s="91"/>
    </row>
    <row r="82" spans="1:12" x14ac:dyDescent="0.2">
      <c r="A82" s="79" t="s">
        <v>784</v>
      </c>
      <c r="B82" s="88" t="s">
        <v>785</v>
      </c>
      <c r="C82" s="165">
        <v>411.745</v>
      </c>
      <c r="D82" s="165">
        <v>80.31</v>
      </c>
      <c r="E82" s="165">
        <f t="shared" si="2"/>
        <v>33067.240949999999</v>
      </c>
      <c r="F82" s="89">
        <f t="shared" si="3"/>
        <v>1.0788325882666848E-3</v>
      </c>
      <c r="G82" s="90">
        <v>1.6934379280288882E-2</v>
      </c>
      <c r="H82" s="89">
        <f t="shared" si="0"/>
        <v>1.8269360229643773E-5</v>
      </c>
      <c r="I82" s="90">
        <v>0.11</v>
      </c>
      <c r="J82" s="89">
        <f t="shared" si="1"/>
        <v>1.1867158470933533E-4</v>
      </c>
      <c r="L82" s="91"/>
    </row>
    <row r="83" spans="1:12" x14ac:dyDescent="0.2">
      <c r="A83" s="79" t="s">
        <v>236</v>
      </c>
      <c r="B83" s="88" t="s">
        <v>237</v>
      </c>
      <c r="C83" s="165">
        <v>506.40499999999997</v>
      </c>
      <c r="D83" s="165">
        <v>37.74</v>
      </c>
      <c r="E83" s="165">
        <f t="shared" si="2"/>
        <v>19111.724699999999</v>
      </c>
      <c r="F83" s="89">
        <f t="shared" si="3"/>
        <v>6.2352802447345791E-4</v>
      </c>
      <c r="G83" s="90">
        <v>3.0736618971913085E-2</v>
      </c>
      <c r="H83" s="89">
        <f t="shared" ref="H83:H146" si="4">IFERROR($G83*$F83,"")</f>
        <v>1.9165143306550373E-5</v>
      </c>
      <c r="I83" s="90">
        <v>0.06</v>
      </c>
      <c r="J83" s="89">
        <f t="shared" ref="J83:J146" si="5">IFERROR($I83*$F83,"")</f>
        <v>3.7411681468407473E-5</v>
      </c>
      <c r="L83" s="91"/>
    </row>
    <row r="84" spans="1:12" x14ac:dyDescent="0.2">
      <c r="A84" s="79" t="s">
        <v>1410</v>
      </c>
      <c r="B84" s="88" t="s">
        <v>242</v>
      </c>
      <c r="C84" s="165">
        <v>290.10899999999998</v>
      </c>
      <c r="D84" s="165">
        <v>258.52999999999997</v>
      </c>
      <c r="E84" s="165">
        <f t="shared" ref="E84:E147" si="6">IFERROR(C84*D84,"")</f>
        <v>75001.879769999985</v>
      </c>
      <c r="F84" s="89">
        <f t="shared" ref="F84:F147" si="7">IF(AND(ISNUMBER($I84)), IF(AND($I84&lt;=20%,$I84&gt;0%), $E84/SUMIFS($E$19:$E$521,$I$19:$I$521, "&gt;"&amp;0%,$I$19:$I$521, "&lt;="&amp;20%),""),"")</f>
        <v>2.4469677467038806E-3</v>
      </c>
      <c r="G84" s="90">
        <v>1.4079603914439333E-2</v>
      </c>
      <c r="H84" s="89">
        <f t="shared" si="4"/>
        <v>3.4452336664998751E-5</v>
      </c>
      <c r="I84" s="90">
        <v>0.05</v>
      </c>
      <c r="J84" s="89">
        <f t="shared" si="5"/>
        <v>1.2234838733519404E-4</v>
      </c>
      <c r="L84" s="91"/>
    </row>
    <row r="85" spans="1:12" x14ac:dyDescent="0.2">
      <c r="A85" s="79" t="s">
        <v>263</v>
      </c>
      <c r="B85" s="88" t="s">
        <v>264</v>
      </c>
      <c r="C85" s="165">
        <v>1308.07</v>
      </c>
      <c r="D85" s="165">
        <v>350.3</v>
      </c>
      <c r="E85" s="165">
        <f t="shared" si="6"/>
        <v>458216.92099999997</v>
      </c>
      <c r="F85" s="89" t="str">
        <f t="shared" si="7"/>
        <v/>
      </c>
      <c r="G85" s="90" t="s">
        <v>138</v>
      </c>
      <c r="H85" s="89" t="str">
        <f t="shared" si="4"/>
        <v/>
      </c>
      <c r="I85" s="90" t="s">
        <v>138</v>
      </c>
      <c r="J85" s="89" t="str">
        <f t="shared" si="5"/>
        <v/>
      </c>
      <c r="L85" s="91"/>
    </row>
    <row r="86" spans="1:12" x14ac:dyDescent="0.2">
      <c r="A86" s="79" t="s">
        <v>240</v>
      </c>
      <c r="B86" s="88" t="s">
        <v>241</v>
      </c>
      <c r="C86" s="165">
        <v>217.63800000000001</v>
      </c>
      <c r="D86" s="165">
        <v>69.47</v>
      </c>
      <c r="E86" s="165">
        <f t="shared" si="6"/>
        <v>15119.31186</v>
      </c>
      <c r="F86" s="89">
        <f t="shared" si="7"/>
        <v>4.9327388309773645E-4</v>
      </c>
      <c r="G86" s="90">
        <v>5.2972506117748674E-2</v>
      </c>
      <c r="H86" s="89">
        <f t="shared" si="4"/>
        <v>2.6129953790120489E-5</v>
      </c>
      <c r="I86" s="90">
        <v>0.03</v>
      </c>
      <c r="J86" s="89">
        <f t="shared" si="5"/>
        <v>1.4798216492932093E-5</v>
      </c>
      <c r="L86" s="91"/>
    </row>
    <row r="87" spans="1:12" x14ac:dyDescent="0.2">
      <c r="A87" s="79" t="s">
        <v>267</v>
      </c>
      <c r="B87" s="88" t="s">
        <v>268</v>
      </c>
      <c r="C87" s="165">
        <v>1464.223</v>
      </c>
      <c r="D87" s="165">
        <v>52.8</v>
      </c>
      <c r="E87" s="165">
        <f t="shared" si="6"/>
        <v>77310.974399999992</v>
      </c>
      <c r="F87" s="89">
        <f t="shared" si="7"/>
        <v>2.5223029263157014E-3</v>
      </c>
      <c r="G87" s="90" t="s">
        <v>138</v>
      </c>
      <c r="H87" s="89" t="str">
        <f t="shared" si="4"/>
        <v/>
      </c>
      <c r="I87" s="90">
        <v>0.13</v>
      </c>
      <c r="J87" s="89">
        <f t="shared" si="5"/>
        <v>3.2789938042104117E-4</v>
      </c>
      <c r="L87" s="91"/>
    </row>
    <row r="88" spans="1:12" x14ac:dyDescent="0.2">
      <c r="A88" s="79" t="s">
        <v>259</v>
      </c>
      <c r="B88" s="88" t="s">
        <v>260</v>
      </c>
      <c r="C88" s="165">
        <v>2089.1030000000001</v>
      </c>
      <c r="D88" s="165">
        <v>58.04</v>
      </c>
      <c r="E88" s="165">
        <f t="shared" si="6"/>
        <v>121251.53812</v>
      </c>
      <c r="F88" s="89" t="str">
        <f t="shared" si="7"/>
        <v/>
      </c>
      <c r="G88" s="90">
        <v>3.9283252929014467E-2</v>
      </c>
      <c r="H88" s="89" t="str">
        <f t="shared" si="4"/>
        <v/>
      </c>
      <c r="I88" s="90" t="s">
        <v>138</v>
      </c>
      <c r="J88" s="89" t="str">
        <f t="shared" si="5"/>
        <v/>
      </c>
      <c r="L88" s="91"/>
    </row>
    <row r="89" spans="1:12" x14ac:dyDescent="0.2">
      <c r="A89" s="79" t="s">
        <v>245</v>
      </c>
      <c r="B89" s="88" t="s">
        <v>246</v>
      </c>
      <c r="C89" s="165">
        <v>310.13600000000002</v>
      </c>
      <c r="D89" s="165">
        <v>57.69</v>
      </c>
      <c r="E89" s="165">
        <f t="shared" si="6"/>
        <v>17891.74584</v>
      </c>
      <c r="F89" s="89" t="str">
        <f t="shared" si="7"/>
        <v/>
      </c>
      <c r="G89" s="90">
        <v>1.4248569942797712E-2</v>
      </c>
      <c r="H89" s="89" t="str">
        <f t="shared" si="4"/>
        <v/>
      </c>
      <c r="I89" s="90" t="s">
        <v>138</v>
      </c>
      <c r="J89" s="89" t="str">
        <f t="shared" si="5"/>
        <v/>
      </c>
      <c r="L89" s="91"/>
    </row>
    <row r="90" spans="1:12" x14ac:dyDescent="0.2">
      <c r="A90" s="79" t="s">
        <v>360</v>
      </c>
      <c r="B90" s="88" t="s">
        <v>361</v>
      </c>
      <c r="C90" s="165">
        <v>755.04600000000005</v>
      </c>
      <c r="D90" s="165">
        <v>27.05</v>
      </c>
      <c r="E90" s="165">
        <f t="shared" si="6"/>
        <v>20423.994300000002</v>
      </c>
      <c r="F90" s="89" t="str">
        <f t="shared" si="7"/>
        <v/>
      </c>
      <c r="G90" s="90">
        <v>2.9574861367837338E-2</v>
      </c>
      <c r="H90" s="89" t="str">
        <f t="shared" si="4"/>
        <v/>
      </c>
      <c r="I90" s="90" t="s">
        <v>138</v>
      </c>
      <c r="J90" s="89" t="str">
        <f t="shared" si="5"/>
        <v/>
      </c>
      <c r="L90" s="91"/>
    </row>
    <row r="91" spans="1:12" x14ac:dyDescent="0.2">
      <c r="A91" s="79" t="s">
        <v>342</v>
      </c>
      <c r="B91" s="88" t="s">
        <v>343</v>
      </c>
      <c r="C91" s="165">
        <v>297.94499999999999</v>
      </c>
      <c r="D91" s="165">
        <v>41.08</v>
      </c>
      <c r="E91" s="165">
        <f t="shared" si="6"/>
        <v>12239.580599999999</v>
      </c>
      <c r="F91" s="89">
        <f t="shared" si="7"/>
        <v>3.993214443854803E-4</v>
      </c>
      <c r="G91" s="90">
        <v>3.6027263875365145E-2</v>
      </c>
      <c r="H91" s="89">
        <f t="shared" si="4"/>
        <v>1.4386459047967647E-5</v>
      </c>
      <c r="I91" s="90">
        <v>0.05</v>
      </c>
      <c r="J91" s="89">
        <f t="shared" si="5"/>
        <v>1.9966072219274016E-5</v>
      </c>
      <c r="L91" s="91"/>
    </row>
    <row r="92" spans="1:12" x14ac:dyDescent="0.2">
      <c r="A92" s="79" t="s">
        <v>538</v>
      </c>
      <c r="B92" s="88" t="s">
        <v>539</v>
      </c>
      <c r="C92" s="165">
        <v>261.51400000000001</v>
      </c>
      <c r="D92" s="165">
        <v>150.18</v>
      </c>
      <c r="E92" s="165">
        <f t="shared" si="6"/>
        <v>39274.17252</v>
      </c>
      <c r="F92" s="89" t="str">
        <f t="shared" si="7"/>
        <v/>
      </c>
      <c r="G92" s="90">
        <v>3.9952057530962841E-3</v>
      </c>
      <c r="H92" s="89" t="str">
        <f t="shared" si="4"/>
        <v/>
      </c>
      <c r="I92" s="90" t="s">
        <v>138</v>
      </c>
      <c r="J92" s="89" t="str">
        <f t="shared" si="5"/>
        <v/>
      </c>
      <c r="L92" s="91"/>
    </row>
    <row r="93" spans="1:12" x14ac:dyDescent="0.2">
      <c r="A93" s="79" t="s">
        <v>290</v>
      </c>
      <c r="B93" s="88" t="s">
        <v>291</v>
      </c>
      <c r="C93" s="165">
        <v>1119.4449999999999</v>
      </c>
      <c r="D93" s="165">
        <v>13.72</v>
      </c>
      <c r="E93" s="165">
        <f t="shared" si="6"/>
        <v>15358.785400000001</v>
      </c>
      <c r="F93" s="89" t="str">
        <f t="shared" si="7"/>
        <v/>
      </c>
      <c r="G93" s="90" t="s">
        <v>138</v>
      </c>
      <c r="H93" s="89" t="str">
        <f t="shared" si="4"/>
        <v/>
      </c>
      <c r="I93" s="90" t="s">
        <v>138</v>
      </c>
      <c r="J93" s="89" t="str">
        <f t="shared" si="5"/>
        <v/>
      </c>
      <c r="L93" s="91"/>
    </row>
    <row r="94" spans="1:12" x14ac:dyDescent="0.2">
      <c r="A94" s="79" t="s">
        <v>847</v>
      </c>
      <c r="B94" s="88" t="s">
        <v>848</v>
      </c>
      <c r="C94" s="165">
        <v>97.91</v>
      </c>
      <c r="D94" s="165">
        <v>95.47</v>
      </c>
      <c r="E94" s="165">
        <f t="shared" si="6"/>
        <v>9347.4676999999992</v>
      </c>
      <c r="F94" s="89">
        <f t="shared" si="7"/>
        <v>3.0496504948140327E-4</v>
      </c>
      <c r="G94" s="90" t="s">
        <v>138</v>
      </c>
      <c r="H94" s="89" t="str">
        <f t="shared" si="4"/>
        <v/>
      </c>
      <c r="I94" s="90">
        <v>0.14499999999999999</v>
      </c>
      <c r="J94" s="89">
        <f t="shared" si="5"/>
        <v>4.4219932174803471E-5</v>
      </c>
      <c r="L94" s="91"/>
    </row>
    <row r="95" spans="1:12" x14ac:dyDescent="0.2">
      <c r="A95" s="79" t="s">
        <v>970</v>
      </c>
      <c r="B95" s="88" t="s">
        <v>971</v>
      </c>
      <c r="C95" s="165">
        <v>329.48</v>
      </c>
      <c r="D95" s="165">
        <v>35.67</v>
      </c>
      <c r="E95" s="165">
        <f t="shared" si="6"/>
        <v>11752.551600000001</v>
      </c>
      <c r="F95" s="89">
        <f t="shared" si="7"/>
        <v>3.8343191923805693E-4</v>
      </c>
      <c r="G95" s="90">
        <v>4.709840201850294E-2</v>
      </c>
      <c r="H95" s="89">
        <f t="shared" si="4"/>
        <v>1.8059030679000157E-5</v>
      </c>
      <c r="I95" s="90">
        <v>0.155</v>
      </c>
      <c r="J95" s="89">
        <f t="shared" si="5"/>
        <v>5.943194748189882E-5</v>
      </c>
      <c r="L95" s="91"/>
    </row>
    <row r="96" spans="1:12" x14ac:dyDescent="0.2">
      <c r="A96" s="79" t="s">
        <v>317</v>
      </c>
      <c r="B96" s="88" t="s">
        <v>318</v>
      </c>
      <c r="C96" s="165">
        <v>123.82599999999999</v>
      </c>
      <c r="D96" s="165">
        <v>131.06</v>
      </c>
      <c r="E96" s="165">
        <f t="shared" si="6"/>
        <v>16228.635559999999</v>
      </c>
      <c r="F96" s="89">
        <f t="shared" si="7"/>
        <v>5.2946603351954459E-4</v>
      </c>
      <c r="G96" s="90">
        <v>3.662444681825118E-2</v>
      </c>
      <c r="H96" s="89">
        <f t="shared" si="4"/>
        <v>1.9391400586706958E-5</v>
      </c>
      <c r="I96" s="90">
        <v>0.11</v>
      </c>
      <c r="J96" s="89">
        <f t="shared" si="5"/>
        <v>5.8241263687149908E-5</v>
      </c>
      <c r="L96" s="91"/>
    </row>
    <row r="97" spans="1:12" x14ac:dyDescent="0.2">
      <c r="A97" s="79" t="s">
        <v>790</v>
      </c>
      <c r="B97" s="88" t="s">
        <v>791</v>
      </c>
      <c r="C97" s="165">
        <v>60.466999999999999</v>
      </c>
      <c r="D97" s="165">
        <v>259.27</v>
      </c>
      <c r="E97" s="165">
        <f t="shared" si="6"/>
        <v>15677.279089999998</v>
      </c>
      <c r="F97" s="89">
        <f t="shared" si="7"/>
        <v>5.1147779771580474E-4</v>
      </c>
      <c r="G97" s="90">
        <v>5.7854746017664983E-3</v>
      </c>
      <c r="H97" s="89">
        <f t="shared" si="4"/>
        <v>2.9591418080522511E-6</v>
      </c>
      <c r="I97" s="90">
        <v>0.19500000000000001</v>
      </c>
      <c r="J97" s="89">
        <f t="shared" si="5"/>
        <v>9.9738170554581932E-5</v>
      </c>
      <c r="L97" s="91"/>
    </row>
    <row r="98" spans="1:12" x14ac:dyDescent="0.2">
      <c r="A98" s="79" t="s">
        <v>329</v>
      </c>
      <c r="B98" s="88" t="s">
        <v>34</v>
      </c>
      <c r="C98" s="165">
        <v>291.72699999999998</v>
      </c>
      <c r="D98" s="165">
        <v>53.11</v>
      </c>
      <c r="E98" s="165">
        <f t="shared" si="6"/>
        <v>15493.620969999998</v>
      </c>
      <c r="F98" s="89">
        <f t="shared" si="7"/>
        <v>5.0548587461416491E-4</v>
      </c>
      <c r="G98" s="90">
        <v>3.6716249293918285E-2</v>
      </c>
      <c r="H98" s="89">
        <f t="shared" si="4"/>
        <v>1.8559545386887998E-5</v>
      </c>
      <c r="I98" s="90">
        <v>6.5000000000000002E-2</v>
      </c>
      <c r="J98" s="89">
        <f t="shared" si="5"/>
        <v>3.2856581849920721E-5</v>
      </c>
      <c r="L98" s="91"/>
    </row>
    <row r="99" spans="1:12" x14ac:dyDescent="0.2">
      <c r="A99" s="79" t="s">
        <v>315</v>
      </c>
      <c r="B99" s="88" t="s">
        <v>316</v>
      </c>
      <c r="C99" s="165">
        <v>826.69200000000001</v>
      </c>
      <c r="D99" s="165">
        <v>71.11</v>
      </c>
      <c r="E99" s="165">
        <f t="shared" si="6"/>
        <v>58786.068120000004</v>
      </c>
      <c r="F99" s="89">
        <f t="shared" si="7"/>
        <v>1.9179200986201798E-3</v>
      </c>
      <c r="G99" s="90">
        <v>2.70004218815919E-2</v>
      </c>
      <c r="H99" s="89">
        <f t="shared" si="4"/>
        <v>5.1784651797929199E-5</v>
      </c>
      <c r="I99" s="90">
        <v>8.5000000000000006E-2</v>
      </c>
      <c r="J99" s="89">
        <f t="shared" si="5"/>
        <v>1.6302320838271529E-4</v>
      </c>
      <c r="L99" s="91"/>
    </row>
    <row r="100" spans="1:12" x14ac:dyDescent="0.2">
      <c r="A100" s="79" t="s">
        <v>434</v>
      </c>
      <c r="B100" s="88" t="s">
        <v>435</v>
      </c>
      <c r="C100" s="165">
        <v>57.960999999999999</v>
      </c>
      <c r="D100" s="165">
        <v>255.69</v>
      </c>
      <c r="E100" s="165">
        <f t="shared" si="6"/>
        <v>14820.04809</v>
      </c>
      <c r="F100" s="89" t="str">
        <f t="shared" si="7"/>
        <v/>
      </c>
      <c r="G100" s="90" t="s">
        <v>138</v>
      </c>
      <c r="H100" s="89" t="str">
        <f t="shared" si="4"/>
        <v/>
      </c>
      <c r="I100" s="90">
        <v>0.20499999999999999</v>
      </c>
      <c r="J100" s="89" t="str">
        <f t="shared" si="5"/>
        <v/>
      </c>
      <c r="L100" s="91"/>
    </row>
    <row r="101" spans="1:12" x14ac:dyDescent="0.2">
      <c r="A101" s="79" t="s">
        <v>319</v>
      </c>
      <c r="B101" s="88" t="s">
        <v>320</v>
      </c>
      <c r="C101" s="165">
        <v>131.77699999999999</v>
      </c>
      <c r="D101" s="165">
        <v>41.55</v>
      </c>
      <c r="E101" s="165">
        <f t="shared" si="6"/>
        <v>5475.3343499999992</v>
      </c>
      <c r="F101" s="89">
        <f t="shared" si="7"/>
        <v>1.7863507685348588E-4</v>
      </c>
      <c r="G101" s="90">
        <v>6.8351383874849583E-2</v>
      </c>
      <c r="H101" s="89">
        <f t="shared" si="4"/>
        <v>1.2209954711525871E-5</v>
      </c>
      <c r="I101" s="90">
        <v>0.04</v>
      </c>
      <c r="J101" s="89">
        <f t="shared" si="5"/>
        <v>7.1454030741394353E-6</v>
      </c>
      <c r="L101" s="91"/>
    </row>
    <row r="102" spans="1:12" x14ac:dyDescent="0.2">
      <c r="A102" s="79" t="s">
        <v>275</v>
      </c>
      <c r="B102" s="88" t="s">
        <v>276</v>
      </c>
      <c r="C102" s="165">
        <v>477.86700000000002</v>
      </c>
      <c r="D102" s="165">
        <v>27.42</v>
      </c>
      <c r="E102" s="165">
        <f t="shared" si="6"/>
        <v>13103.113140000001</v>
      </c>
      <c r="F102" s="89">
        <f t="shared" si="7"/>
        <v>4.2749455524735601E-4</v>
      </c>
      <c r="G102" s="90">
        <v>5.1057622173595912E-2</v>
      </c>
      <c r="H102" s="89">
        <f t="shared" si="4"/>
        <v>2.1826855483088927E-5</v>
      </c>
      <c r="I102" s="90">
        <v>4.4999999999999998E-2</v>
      </c>
      <c r="J102" s="89">
        <f t="shared" si="5"/>
        <v>1.9237254986131021E-5</v>
      </c>
      <c r="L102" s="91"/>
    </row>
    <row r="103" spans="1:12" x14ac:dyDescent="0.2">
      <c r="A103" s="79" t="s">
        <v>1411</v>
      </c>
      <c r="B103" s="88" t="s">
        <v>1412</v>
      </c>
      <c r="C103" s="165">
        <v>426.35899999999998</v>
      </c>
      <c r="D103" s="165">
        <v>137.21</v>
      </c>
      <c r="E103" s="165">
        <f t="shared" si="6"/>
        <v>58500.718390000002</v>
      </c>
      <c r="F103" s="89" t="str">
        <f t="shared" si="7"/>
        <v/>
      </c>
      <c r="G103" s="90" t="s">
        <v>138</v>
      </c>
      <c r="H103" s="89" t="str">
        <f t="shared" si="4"/>
        <v/>
      </c>
      <c r="I103" s="90" t="s">
        <v>138</v>
      </c>
      <c r="J103" s="89" t="str">
        <f t="shared" si="5"/>
        <v/>
      </c>
      <c r="L103" s="91"/>
    </row>
    <row r="104" spans="1:12" x14ac:dyDescent="0.2">
      <c r="A104" s="79" t="s">
        <v>421</v>
      </c>
      <c r="B104" s="88" t="s">
        <v>35</v>
      </c>
      <c r="C104" s="165">
        <v>344.92399999999998</v>
      </c>
      <c r="D104" s="165">
        <v>85.53</v>
      </c>
      <c r="E104" s="165">
        <f t="shared" si="6"/>
        <v>29501.349719999998</v>
      </c>
      <c r="F104" s="89">
        <f t="shared" si="7"/>
        <v>9.6249389309234869E-4</v>
      </c>
      <c r="G104" s="90">
        <v>3.7881445106980008E-2</v>
      </c>
      <c r="H104" s="89">
        <f t="shared" si="4"/>
        <v>3.6460659576981289E-5</v>
      </c>
      <c r="I104" s="90">
        <v>0.06</v>
      </c>
      <c r="J104" s="89">
        <f t="shared" si="5"/>
        <v>5.7749633585540917E-5</v>
      </c>
      <c r="L104" s="91"/>
    </row>
    <row r="105" spans="1:12" x14ac:dyDescent="0.2">
      <c r="A105" s="79" t="s">
        <v>503</v>
      </c>
      <c r="B105" s="88" t="s">
        <v>504</v>
      </c>
      <c r="C105" s="165">
        <v>852.98199999999997</v>
      </c>
      <c r="D105" s="165">
        <v>30.47</v>
      </c>
      <c r="E105" s="165">
        <f t="shared" si="6"/>
        <v>25990.361539999998</v>
      </c>
      <c r="F105" s="89">
        <f t="shared" si="7"/>
        <v>8.4794643292382388E-4</v>
      </c>
      <c r="G105" s="90">
        <v>3.675746636035445E-2</v>
      </c>
      <c r="H105" s="89">
        <f t="shared" si="4"/>
        <v>3.1168362483580007E-5</v>
      </c>
      <c r="I105" s="90">
        <v>0.17499999999999999</v>
      </c>
      <c r="J105" s="89">
        <f t="shared" si="5"/>
        <v>1.4839062576166916E-4</v>
      </c>
      <c r="L105" s="91"/>
    </row>
    <row r="106" spans="1:12" x14ac:dyDescent="0.2">
      <c r="A106" s="79" t="s">
        <v>327</v>
      </c>
      <c r="B106" s="88" t="s">
        <v>328</v>
      </c>
      <c r="C106" s="165">
        <v>141.64699999999999</v>
      </c>
      <c r="D106" s="165">
        <v>228.46</v>
      </c>
      <c r="E106" s="165">
        <f t="shared" si="6"/>
        <v>32360.673619999998</v>
      </c>
      <c r="F106" s="89">
        <f t="shared" si="7"/>
        <v>1.0557805331357112E-3</v>
      </c>
      <c r="G106" s="90">
        <v>2.9414339490501616E-2</v>
      </c>
      <c r="H106" s="89">
        <f t="shared" si="4"/>
        <v>3.10550870291166E-5</v>
      </c>
      <c r="I106" s="90">
        <v>0.1</v>
      </c>
      <c r="J106" s="89">
        <f t="shared" si="5"/>
        <v>1.0557805331357113E-4</v>
      </c>
      <c r="L106" s="91"/>
    </row>
    <row r="107" spans="1:12" x14ac:dyDescent="0.2">
      <c r="A107" s="79" t="s">
        <v>370</v>
      </c>
      <c r="B107" s="88" t="s">
        <v>371</v>
      </c>
      <c r="C107" s="165">
        <v>215.29</v>
      </c>
      <c r="D107" s="165">
        <v>46.35</v>
      </c>
      <c r="E107" s="165">
        <f t="shared" si="6"/>
        <v>9978.6915000000008</v>
      </c>
      <c r="F107" s="89" t="str">
        <f t="shared" si="7"/>
        <v/>
      </c>
      <c r="G107" s="90" t="s">
        <v>138</v>
      </c>
      <c r="H107" s="89" t="str">
        <f t="shared" si="4"/>
        <v/>
      </c>
      <c r="I107" s="90" t="s">
        <v>138</v>
      </c>
      <c r="J107" s="89" t="str">
        <f t="shared" si="5"/>
        <v/>
      </c>
      <c r="L107" s="91"/>
    </row>
    <row r="108" spans="1:12" x14ac:dyDescent="0.2">
      <c r="A108" s="79" t="s">
        <v>388</v>
      </c>
      <c r="B108" s="88" t="s">
        <v>389</v>
      </c>
      <c r="C108" s="165">
        <v>738.35199999999998</v>
      </c>
      <c r="D108" s="165">
        <v>219.9134</v>
      </c>
      <c r="E108" s="165">
        <f t="shared" si="6"/>
        <v>162373.49871679998</v>
      </c>
      <c r="F108" s="89">
        <f t="shared" si="7"/>
        <v>5.2975034158863664E-3</v>
      </c>
      <c r="G108" s="90">
        <v>4.9110240667462743E-3</v>
      </c>
      <c r="H108" s="89">
        <f t="shared" si="4"/>
        <v>2.6016166769088542E-5</v>
      </c>
      <c r="I108" s="90">
        <v>0.11</v>
      </c>
      <c r="J108" s="89">
        <f t="shared" si="5"/>
        <v>5.8272537574750036E-4</v>
      </c>
      <c r="L108" s="91"/>
    </row>
    <row r="109" spans="1:12" x14ac:dyDescent="0.2">
      <c r="A109" s="79" t="s">
        <v>936</v>
      </c>
      <c r="B109" s="88" t="s">
        <v>937</v>
      </c>
      <c r="C109" s="165">
        <v>461.60500000000002</v>
      </c>
      <c r="D109" s="165">
        <v>110.57</v>
      </c>
      <c r="E109" s="165">
        <f t="shared" si="6"/>
        <v>51039.664850000001</v>
      </c>
      <c r="F109" s="89">
        <f t="shared" si="7"/>
        <v>1.6651904468730596E-3</v>
      </c>
      <c r="G109" s="90">
        <v>3.9793795785475268E-2</v>
      </c>
      <c r="H109" s="89">
        <f t="shared" si="4"/>
        <v>6.6264248586790842E-5</v>
      </c>
      <c r="I109" s="90">
        <v>0.12</v>
      </c>
      <c r="J109" s="89">
        <f t="shared" si="5"/>
        <v>1.9982285362476714E-4</v>
      </c>
      <c r="L109" s="91"/>
    </row>
    <row r="110" spans="1:12" x14ac:dyDescent="0.2">
      <c r="A110" s="79" t="s">
        <v>378</v>
      </c>
      <c r="B110" s="88" t="s">
        <v>379</v>
      </c>
      <c r="C110" s="165">
        <v>288.00099999999998</v>
      </c>
      <c r="D110" s="165">
        <v>377.38</v>
      </c>
      <c r="E110" s="165">
        <f t="shared" si="6"/>
        <v>108685.81737999999</v>
      </c>
      <c r="F110" s="89">
        <f t="shared" si="7"/>
        <v>3.5459203218448625E-3</v>
      </c>
      <c r="G110" s="90">
        <v>1.4309184376490541E-2</v>
      </c>
      <c r="H110" s="89">
        <f t="shared" si="4"/>
        <v>5.0739227669622816E-5</v>
      </c>
      <c r="I110" s="90">
        <v>0.13500000000000001</v>
      </c>
      <c r="J110" s="89">
        <f t="shared" si="5"/>
        <v>4.7869924344905645E-4</v>
      </c>
      <c r="L110" s="91"/>
    </row>
    <row r="111" spans="1:12" x14ac:dyDescent="0.2">
      <c r="A111" s="79" t="s">
        <v>372</v>
      </c>
      <c r="B111" s="88" t="s">
        <v>373</v>
      </c>
      <c r="C111" s="165">
        <v>836.77300000000002</v>
      </c>
      <c r="D111" s="165">
        <v>44.67</v>
      </c>
      <c r="E111" s="165">
        <f t="shared" si="6"/>
        <v>37378.64991</v>
      </c>
      <c r="F111" s="89">
        <f t="shared" si="7"/>
        <v>1.2194941116887947E-3</v>
      </c>
      <c r="G111" s="90">
        <v>5.9771658831430485E-2</v>
      </c>
      <c r="H111" s="89">
        <f t="shared" si="4"/>
        <v>7.2891185990801025E-5</v>
      </c>
      <c r="I111" s="90">
        <v>2.5000000000000001E-2</v>
      </c>
      <c r="J111" s="89">
        <f t="shared" si="5"/>
        <v>3.0487352792219871E-5</v>
      </c>
      <c r="L111" s="91"/>
    </row>
    <row r="112" spans="1:12" x14ac:dyDescent="0.2">
      <c r="A112" s="79" t="s">
        <v>396</v>
      </c>
      <c r="B112" s="88" t="s">
        <v>397</v>
      </c>
      <c r="C112" s="165">
        <v>139.874</v>
      </c>
      <c r="D112" s="165">
        <v>139.51</v>
      </c>
      <c r="E112" s="165">
        <f t="shared" si="6"/>
        <v>19513.821739999999</v>
      </c>
      <c r="F112" s="89">
        <f t="shared" si="7"/>
        <v>6.3664660884684126E-4</v>
      </c>
      <c r="G112" s="90">
        <v>1.4622607698372878E-2</v>
      </c>
      <c r="H112" s="89">
        <f t="shared" si="4"/>
        <v>9.3094336036668066E-6</v>
      </c>
      <c r="I112" s="90">
        <v>6.5000000000000002E-2</v>
      </c>
      <c r="J112" s="89">
        <f t="shared" si="5"/>
        <v>4.1382029575044682E-5</v>
      </c>
      <c r="L112" s="91"/>
    </row>
    <row r="113" spans="1:12" x14ac:dyDescent="0.2">
      <c r="A113" s="79" t="s">
        <v>648</v>
      </c>
      <c r="B113" s="88" t="s">
        <v>25</v>
      </c>
      <c r="C113" s="165">
        <v>252.71899999999999</v>
      </c>
      <c r="D113" s="165">
        <v>48.45</v>
      </c>
      <c r="E113" s="165">
        <f t="shared" si="6"/>
        <v>12244.235550000001</v>
      </c>
      <c r="F113" s="89">
        <f t="shared" si="7"/>
        <v>3.9947331407924603E-4</v>
      </c>
      <c r="G113" s="90">
        <v>3.7358101135190919E-2</v>
      </c>
      <c r="H113" s="89">
        <f t="shared" si="4"/>
        <v>1.4923564468182359E-5</v>
      </c>
      <c r="I113" s="90">
        <v>6.5000000000000002E-2</v>
      </c>
      <c r="J113" s="89">
        <f t="shared" si="5"/>
        <v>2.5965765415150992E-5</v>
      </c>
      <c r="L113" s="91"/>
    </row>
    <row r="114" spans="1:12" x14ac:dyDescent="0.2">
      <c r="A114" s="79" t="s">
        <v>1212</v>
      </c>
      <c r="B114" s="88" t="s">
        <v>1213</v>
      </c>
      <c r="C114" s="165">
        <v>165.64400000000001</v>
      </c>
      <c r="D114" s="165">
        <v>107.22</v>
      </c>
      <c r="E114" s="165">
        <f t="shared" si="6"/>
        <v>17760.349679999999</v>
      </c>
      <c r="F114" s="89">
        <f t="shared" si="7"/>
        <v>5.7943884833838201E-4</v>
      </c>
      <c r="G114" s="90">
        <v>1.5855250886028727E-2</v>
      </c>
      <c r="H114" s="89">
        <f t="shared" si="4"/>
        <v>9.187148313516596E-6</v>
      </c>
      <c r="I114" s="90">
        <v>0.02</v>
      </c>
      <c r="J114" s="89">
        <f t="shared" si="5"/>
        <v>1.158877696676764E-5</v>
      </c>
      <c r="L114" s="91"/>
    </row>
    <row r="115" spans="1:12" x14ac:dyDescent="0.2">
      <c r="A115" s="79" t="s">
        <v>406</v>
      </c>
      <c r="B115" s="88" t="s">
        <v>37</v>
      </c>
      <c r="C115" s="165">
        <v>771</v>
      </c>
      <c r="D115" s="165">
        <v>88.26</v>
      </c>
      <c r="E115" s="165">
        <f t="shared" si="6"/>
        <v>68048.460000000006</v>
      </c>
      <c r="F115" s="89">
        <f t="shared" si="7"/>
        <v>2.2201095138347782E-3</v>
      </c>
      <c r="G115" s="90">
        <v>4.6453659641966911E-2</v>
      </c>
      <c r="H115" s="89">
        <f t="shared" si="4"/>
        <v>1.0313221172357342E-4</v>
      </c>
      <c r="I115" s="90">
        <v>0.05</v>
      </c>
      <c r="J115" s="89">
        <f t="shared" si="5"/>
        <v>1.1100547569173891E-4</v>
      </c>
      <c r="L115" s="91"/>
    </row>
    <row r="116" spans="1:12" x14ac:dyDescent="0.2">
      <c r="A116" s="79" t="s">
        <v>851</v>
      </c>
      <c r="B116" s="88" t="s">
        <v>852</v>
      </c>
      <c r="C116" s="165">
        <v>171.00299999999999</v>
      </c>
      <c r="D116" s="165">
        <v>59.44</v>
      </c>
      <c r="E116" s="165">
        <f t="shared" si="6"/>
        <v>10164.418319999999</v>
      </c>
      <c r="F116" s="89">
        <f t="shared" si="7"/>
        <v>3.3161840568954109E-4</v>
      </c>
      <c r="G116" s="90">
        <v>4.3741588156123827E-2</v>
      </c>
      <c r="H116" s="89">
        <f t="shared" si="4"/>
        <v>1.4505515726662298E-5</v>
      </c>
      <c r="I116" s="90">
        <v>0.105</v>
      </c>
      <c r="J116" s="89">
        <f t="shared" si="5"/>
        <v>3.481993259740181E-5</v>
      </c>
      <c r="L116" s="91"/>
    </row>
    <row r="117" spans="1:12" x14ac:dyDescent="0.2">
      <c r="A117" s="79" t="s">
        <v>442</v>
      </c>
      <c r="B117" s="88" t="s">
        <v>443</v>
      </c>
      <c r="C117" s="165">
        <v>399</v>
      </c>
      <c r="D117" s="165">
        <v>213.28</v>
      </c>
      <c r="E117" s="165">
        <f t="shared" si="6"/>
        <v>85098.72</v>
      </c>
      <c r="F117" s="89">
        <f t="shared" si="7"/>
        <v>2.7763813888978814E-3</v>
      </c>
      <c r="G117" s="90">
        <v>1.6129032258064516E-2</v>
      </c>
      <c r="H117" s="89">
        <f t="shared" si="4"/>
        <v>4.4780344982223894E-5</v>
      </c>
      <c r="I117" s="90">
        <v>0.12</v>
      </c>
      <c r="J117" s="89">
        <f t="shared" si="5"/>
        <v>3.3316576666774574E-4</v>
      </c>
      <c r="L117" s="91"/>
    </row>
    <row r="118" spans="1:12" x14ac:dyDescent="0.2">
      <c r="A118" s="79" t="s">
        <v>419</v>
      </c>
      <c r="B118" s="88" t="s">
        <v>420</v>
      </c>
      <c r="C118" s="165">
        <v>285.03399999999999</v>
      </c>
      <c r="D118" s="165">
        <v>169.4</v>
      </c>
      <c r="E118" s="165">
        <f t="shared" si="6"/>
        <v>48284.759599999998</v>
      </c>
      <c r="F118" s="89">
        <f t="shared" si="7"/>
        <v>1.5753105090282004E-3</v>
      </c>
      <c r="G118" s="90">
        <v>1.2514757969303424E-2</v>
      </c>
      <c r="H118" s="89">
        <f t="shared" si="4"/>
        <v>1.9714629746988102E-5</v>
      </c>
      <c r="I118" s="90">
        <v>0.1</v>
      </c>
      <c r="J118" s="89">
        <f t="shared" si="5"/>
        <v>1.5753105090282005E-4</v>
      </c>
      <c r="L118" s="91"/>
    </row>
    <row r="119" spans="1:12" x14ac:dyDescent="0.2">
      <c r="A119" s="79" t="s">
        <v>1413</v>
      </c>
      <c r="B119" s="88" t="s">
        <v>1414</v>
      </c>
      <c r="C119" s="165">
        <v>124.13500000000001</v>
      </c>
      <c r="D119" s="165">
        <v>110.7</v>
      </c>
      <c r="E119" s="165">
        <f t="shared" si="6"/>
        <v>13741.744500000001</v>
      </c>
      <c r="F119" s="89" t="str">
        <f t="shared" si="7"/>
        <v/>
      </c>
      <c r="G119" s="90">
        <v>2.5293586269196028E-3</v>
      </c>
      <c r="H119" s="89" t="str">
        <f t="shared" si="4"/>
        <v/>
      </c>
      <c r="I119" s="90">
        <v>-1.4999999999999999E-2</v>
      </c>
      <c r="J119" s="89" t="str">
        <f t="shared" si="5"/>
        <v/>
      </c>
      <c r="L119" s="91"/>
    </row>
    <row r="120" spans="1:12" x14ac:dyDescent="0.2">
      <c r="A120" s="79" t="s">
        <v>428</v>
      </c>
      <c r="B120" s="88" t="s">
        <v>429</v>
      </c>
      <c r="C120" s="165">
        <v>571.5</v>
      </c>
      <c r="D120" s="165">
        <v>96.57</v>
      </c>
      <c r="E120" s="165">
        <f t="shared" si="6"/>
        <v>55189.754999999997</v>
      </c>
      <c r="F120" s="89">
        <f t="shared" si="7"/>
        <v>1.8005888765404905E-3</v>
      </c>
      <c r="G120" s="90">
        <v>2.1538780159469816E-2</v>
      </c>
      <c r="H120" s="89">
        <f t="shared" si="4"/>
        <v>3.878248796939236E-5</v>
      </c>
      <c r="I120" s="90">
        <v>6.5000000000000002E-2</v>
      </c>
      <c r="J120" s="89">
        <f t="shared" si="5"/>
        <v>1.1703827697513189E-4</v>
      </c>
      <c r="L120" s="91"/>
    </row>
    <row r="121" spans="1:12" x14ac:dyDescent="0.2">
      <c r="A121" s="79" t="s">
        <v>432</v>
      </c>
      <c r="B121" s="88" t="s">
        <v>433</v>
      </c>
      <c r="C121" s="165">
        <v>582.26099999999997</v>
      </c>
      <c r="D121" s="165">
        <v>126.76</v>
      </c>
      <c r="E121" s="165">
        <f t="shared" si="6"/>
        <v>73807.40436</v>
      </c>
      <c r="F121" s="89">
        <f t="shared" si="7"/>
        <v>2.407997486072227E-3</v>
      </c>
      <c r="G121" s="90">
        <v>2.6033449037551275E-2</v>
      </c>
      <c r="H121" s="89">
        <f t="shared" si="4"/>
        <v>6.2688479836212912E-5</v>
      </c>
      <c r="I121" s="90">
        <v>0.15</v>
      </c>
      <c r="J121" s="89">
        <f t="shared" si="5"/>
        <v>3.6119962291083406E-4</v>
      </c>
      <c r="L121" s="91"/>
    </row>
    <row r="122" spans="1:12" x14ac:dyDescent="0.2">
      <c r="A122" s="79" t="s">
        <v>201</v>
      </c>
      <c r="B122" s="88" t="s">
        <v>202</v>
      </c>
      <c r="C122" s="165">
        <v>202.86699999999999</v>
      </c>
      <c r="D122" s="165">
        <v>324.22000000000003</v>
      </c>
      <c r="E122" s="165">
        <f t="shared" si="6"/>
        <v>65773.538740000004</v>
      </c>
      <c r="F122" s="89">
        <f t="shared" si="7"/>
        <v>2.1458892547348515E-3</v>
      </c>
      <c r="G122" s="90">
        <v>7.5874406267349322E-3</v>
      </c>
      <c r="H122" s="89">
        <f t="shared" si="4"/>
        <v>1.6281807311849159E-5</v>
      </c>
      <c r="I122" s="90">
        <v>9.5000000000000001E-2</v>
      </c>
      <c r="J122" s="89">
        <f t="shared" si="5"/>
        <v>2.0385947919981088E-4</v>
      </c>
      <c r="L122" s="91"/>
    </row>
    <row r="123" spans="1:12" x14ac:dyDescent="0.2">
      <c r="A123" s="79" t="s">
        <v>444</v>
      </c>
      <c r="B123" s="88" t="s">
        <v>41</v>
      </c>
      <c r="C123" s="165">
        <v>211.45599999999999</v>
      </c>
      <c r="D123" s="165">
        <v>92.5</v>
      </c>
      <c r="E123" s="165">
        <f t="shared" si="6"/>
        <v>19559.68</v>
      </c>
      <c r="F123" s="89">
        <f t="shared" si="7"/>
        <v>6.3814275378992898E-4</v>
      </c>
      <c r="G123" s="90">
        <v>4.6270270270270274E-2</v>
      </c>
      <c r="H123" s="89">
        <f t="shared" si="4"/>
        <v>2.9527037688874554E-5</v>
      </c>
      <c r="I123" s="90">
        <v>5.0000000000000001E-3</v>
      </c>
      <c r="J123" s="89">
        <f t="shared" si="5"/>
        <v>3.1907137689496448E-6</v>
      </c>
      <c r="L123" s="91"/>
    </row>
    <row r="124" spans="1:12" x14ac:dyDescent="0.2">
      <c r="A124" s="79" t="s">
        <v>422</v>
      </c>
      <c r="B124" s="88" t="s">
        <v>423</v>
      </c>
      <c r="C124" s="165">
        <v>122.72</v>
      </c>
      <c r="D124" s="165">
        <v>183.18</v>
      </c>
      <c r="E124" s="165">
        <f t="shared" si="6"/>
        <v>22479.849600000001</v>
      </c>
      <c r="F124" s="89">
        <f t="shared" si="7"/>
        <v>7.3341451028480198E-4</v>
      </c>
      <c r="G124" s="90">
        <v>8.5162135604323619E-3</v>
      </c>
      <c r="H124" s="89">
        <f t="shared" si="4"/>
        <v>6.2459145979052903E-6</v>
      </c>
      <c r="I124" s="90">
        <v>0.12</v>
      </c>
      <c r="J124" s="89">
        <f t="shared" si="5"/>
        <v>8.8009741234176228E-5</v>
      </c>
      <c r="L124" s="91"/>
    </row>
    <row r="125" spans="1:12" x14ac:dyDescent="0.2">
      <c r="A125" s="79" t="s">
        <v>1214</v>
      </c>
      <c r="B125" s="88" t="s">
        <v>1215</v>
      </c>
      <c r="C125" s="165">
        <v>411.26</v>
      </c>
      <c r="D125" s="165">
        <v>40.58</v>
      </c>
      <c r="E125" s="165">
        <f t="shared" si="6"/>
        <v>16688.930799999998</v>
      </c>
      <c r="F125" s="89" t="str">
        <f t="shared" si="7"/>
        <v/>
      </c>
      <c r="G125" s="90">
        <v>1.4785608674223755E-2</v>
      </c>
      <c r="H125" s="89" t="str">
        <f t="shared" si="4"/>
        <v/>
      </c>
      <c r="I125" s="90" t="s">
        <v>138</v>
      </c>
      <c r="J125" s="89" t="str">
        <f t="shared" si="5"/>
        <v/>
      </c>
      <c r="L125" s="91"/>
    </row>
    <row r="126" spans="1:12" x14ac:dyDescent="0.2">
      <c r="A126" s="79" t="s">
        <v>582</v>
      </c>
      <c r="B126" s="88" t="s">
        <v>583</v>
      </c>
      <c r="C126" s="165">
        <v>183.12200000000001</v>
      </c>
      <c r="D126" s="165">
        <v>196.75</v>
      </c>
      <c r="E126" s="165">
        <f t="shared" si="6"/>
        <v>36029.253500000006</v>
      </c>
      <c r="F126" s="89">
        <f t="shared" si="7"/>
        <v>1.1754694885338329E-3</v>
      </c>
      <c r="G126" s="90" t="s">
        <v>138</v>
      </c>
      <c r="H126" s="89" t="str">
        <f t="shared" si="4"/>
        <v/>
      </c>
      <c r="I126" s="90">
        <v>0.14499999999999999</v>
      </c>
      <c r="J126" s="89">
        <f t="shared" si="5"/>
        <v>1.7044307583740577E-4</v>
      </c>
      <c r="L126" s="91"/>
    </row>
    <row r="127" spans="1:12" x14ac:dyDescent="0.2">
      <c r="A127" s="79" t="s">
        <v>590</v>
      </c>
      <c r="B127" s="88" t="s">
        <v>591</v>
      </c>
      <c r="C127" s="165">
        <v>78.825000000000003</v>
      </c>
      <c r="D127" s="165">
        <v>343.61</v>
      </c>
      <c r="E127" s="165">
        <f t="shared" si="6"/>
        <v>27085.058250000002</v>
      </c>
      <c r="F127" s="89">
        <f t="shared" si="7"/>
        <v>8.836613716694566E-4</v>
      </c>
      <c r="G127" s="90" t="s">
        <v>138</v>
      </c>
      <c r="H127" s="89" t="str">
        <f t="shared" si="4"/>
        <v/>
      </c>
      <c r="I127" s="90">
        <v>0.105</v>
      </c>
      <c r="J127" s="89">
        <f t="shared" si="5"/>
        <v>9.2784444025292945E-5</v>
      </c>
      <c r="L127" s="91"/>
    </row>
    <row r="128" spans="1:12" x14ac:dyDescent="0.2">
      <c r="A128" s="79" t="s">
        <v>469</v>
      </c>
      <c r="B128" s="88" t="s">
        <v>470</v>
      </c>
      <c r="C128" s="165">
        <v>251.42</v>
      </c>
      <c r="D128" s="165">
        <v>264.92</v>
      </c>
      <c r="E128" s="165">
        <f t="shared" si="6"/>
        <v>66606.186400000006</v>
      </c>
      <c r="F128" s="89">
        <f t="shared" si="7"/>
        <v>2.1730547334486722E-3</v>
      </c>
      <c r="G128" s="90">
        <v>1.9024611203382152E-2</v>
      </c>
      <c r="H128" s="89">
        <f t="shared" si="4"/>
        <v>4.1341521427530225E-5</v>
      </c>
      <c r="I128" s="90">
        <v>7.0000000000000007E-2</v>
      </c>
      <c r="J128" s="89">
        <f t="shared" si="5"/>
        <v>1.5211383134140706E-4</v>
      </c>
      <c r="L128" s="91"/>
    </row>
    <row r="129" spans="1:12" x14ac:dyDescent="0.2">
      <c r="A129" s="79" t="s">
        <v>482</v>
      </c>
      <c r="B129" s="88" t="s">
        <v>483</v>
      </c>
      <c r="C129" s="165">
        <v>124.73399999999999</v>
      </c>
      <c r="D129" s="165">
        <v>66.97</v>
      </c>
      <c r="E129" s="165">
        <f t="shared" si="6"/>
        <v>8353.4359800000002</v>
      </c>
      <c r="F129" s="89">
        <f t="shared" si="7"/>
        <v>2.7253434820432004E-4</v>
      </c>
      <c r="G129" s="90">
        <v>3.4642377183813647E-2</v>
      </c>
      <c r="H129" s="89">
        <f t="shared" si="4"/>
        <v>9.4412376860388602E-6</v>
      </c>
      <c r="I129" s="90">
        <v>0.1</v>
      </c>
      <c r="J129" s="89">
        <f t="shared" si="5"/>
        <v>2.7253434820432005E-5</v>
      </c>
      <c r="L129" s="91"/>
    </row>
    <row r="130" spans="1:12" x14ac:dyDescent="0.2">
      <c r="A130" s="79" t="s">
        <v>265</v>
      </c>
      <c r="B130" s="88" t="s">
        <v>266</v>
      </c>
      <c r="C130" s="165">
        <v>283.613</v>
      </c>
      <c r="D130" s="165">
        <v>69.84</v>
      </c>
      <c r="E130" s="165">
        <f t="shared" si="6"/>
        <v>19807.531920000001</v>
      </c>
      <c r="F130" s="89">
        <f t="shared" si="7"/>
        <v>6.4622902650813923E-4</v>
      </c>
      <c r="G130" s="90">
        <v>6.586483390607102E-3</v>
      </c>
      <c r="H130" s="89">
        <f t="shared" si="4"/>
        <v>4.2563767496240556E-6</v>
      </c>
      <c r="I130" s="90">
        <v>6.5000000000000002E-2</v>
      </c>
      <c r="J130" s="89">
        <f t="shared" si="5"/>
        <v>4.2004886723029048E-5</v>
      </c>
      <c r="L130" s="91"/>
    </row>
    <row r="131" spans="1:12" x14ac:dyDescent="0.2">
      <c r="A131" s="79" t="s">
        <v>458</v>
      </c>
      <c r="B131" s="88" t="s">
        <v>459</v>
      </c>
      <c r="C131" s="165">
        <v>3931.3739999999998</v>
      </c>
      <c r="D131" s="165">
        <v>12.42</v>
      </c>
      <c r="E131" s="165">
        <f t="shared" si="6"/>
        <v>48827.665079999999</v>
      </c>
      <c r="F131" s="89" t="str">
        <f t="shared" si="7"/>
        <v/>
      </c>
      <c r="G131" s="90">
        <v>4.8309178743961352E-2</v>
      </c>
      <c r="H131" s="89" t="str">
        <f t="shared" si="4"/>
        <v/>
      </c>
      <c r="I131" s="90">
        <v>0.45500000000000002</v>
      </c>
      <c r="J131" s="89" t="str">
        <f t="shared" si="5"/>
        <v/>
      </c>
      <c r="L131" s="91"/>
    </row>
    <row r="132" spans="1:12" x14ac:dyDescent="0.2">
      <c r="A132" s="79" t="s">
        <v>739</v>
      </c>
      <c r="B132" s="88" t="s">
        <v>48</v>
      </c>
      <c r="C132" s="165">
        <v>2023.7139999999999</v>
      </c>
      <c r="D132" s="165">
        <v>57.29</v>
      </c>
      <c r="E132" s="165">
        <f t="shared" si="6"/>
        <v>115938.57505999999</v>
      </c>
      <c r="F132" s="89">
        <f t="shared" si="7"/>
        <v>3.7825445794240384E-3</v>
      </c>
      <c r="G132" s="90">
        <v>3.2640949554896145E-2</v>
      </c>
      <c r="H132" s="89">
        <f t="shared" si="4"/>
        <v>1.2346584680612588E-4</v>
      </c>
      <c r="I132" s="90">
        <v>9.5000000000000001E-2</v>
      </c>
      <c r="J132" s="89">
        <f t="shared" si="5"/>
        <v>3.5934173504528365E-4</v>
      </c>
      <c r="L132" s="91"/>
    </row>
    <row r="133" spans="1:12" x14ac:dyDescent="0.2">
      <c r="A133" s="79" t="s">
        <v>243</v>
      </c>
      <c r="B133" s="88" t="s">
        <v>244</v>
      </c>
      <c r="C133" s="165">
        <v>498.97800000000001</v>
      </c>
      <c r="D133" s="165">
        <v>24.58</v>
      </c>
      <c r="E133" s="165">
        <f t="shared" si="6"/>
        <v>12264.87924</v>
      </c>
      <c r="F133" s="89">
        <f t="shared" si="7"/>
        <v>4.0014682311339102E-4</v>
      </c>
      <c r="G133" s="90">
        <v>4.8820179007323029E-2</v>
      </c>
      <c r="H133" s="89">
        <f t="shared" si="4"/>
        <v>1.9535239533607374E-5</v>
      </c>
      <c r="I133" s="90">
        <v>0.02</v>
      </c>
      <c r="J133" s="89">
        <f t="shared" si="5"/>
        <v>8.0029364622678204E-6</v>
      </c>
      <c r="L133" s="91"/>
    </row>
    <row r="134" spans="1:12" x14ac:dyDescent="0.2">
      <c r="A134" s="79" t="s">
        <v>516</v>
      </c>
      <c r="B134" s="88" t="s">
        <v>517</v>
      </c>
      <c r="C134" s="165">
        <v>191.452</v>
      </c>
      <c r="D134" s="165">
        <v>105.2</v>
      </c>
      <c r="E134" s="165">
        <f t="shared" si="6"/>
        <v>20140.750400000001</v>
      </c>
      <c r="F134" s="89">
        <f t="shared" si="7"/>
        <v>6.5710041900744873E-4</v>
      </c>
      <c r="G134" s="90">
        <v>2.7756653992395436E-2</v>
      </c>
      <c r="H134" s="89">
        <f t="shared" si="4"/>
        <v>1.8238908968647815E-5</v>
      </c>
      <c r="I134" s="90">
        <v>0.05</v>
      </c>
      <c r="J134" s="89">
        <f t="shared" si="5"/>
        <v>3.2855020950372435E-5</v>
      </c>
      <c r="L134" s="91"/>
    </row>
    <row r="135" spans="1:12" x14ac:dyDescent="0.2">
      <c r="A135" s="79" t="s">
        <v>465</v>
      </c>
      <c r="B135" s="88" t="s">
        <v>466</v>
      </c>
      <c r="C135" s="165">
        <v>1433.636</v>
      </c>
      <c r="D135" s="165">
        <v>37.29</v>
      </c>
      <c r="E135" s="165">
        <f t="shared" si="6"/>
        <v>53460.286439999996</v>
      </c>
      <c r="F135" s="89">
        <f t="shared" si="7"/>
        <v>1.7441642402748919E-3</v>
      </c>
      <c r="G135" s="90">
        <v>1.6090104585679808E-2</v>
      </c>
      <c r="H135" s="89">
        <f t="shared" si="4"/>
        <v>2.8063785040625777E-5</v>
      </c>
      <c r="I135" s="90">
        <v>0.125</v>
      </c>
      <c r="J135" s="89">
        <f t="shared" si="5"/>
        <v>2.1802053003436148E-4</v>
      </c>
      <c r="L135" s="91"/>
    </row>
    <row r="136" spans="1:12" x14ac:dyDescent="0.2">
      <c r="A136" s="79" t="s">
        <v>413</v>
      </c>
      <c r="B136" s="88" t="s">
        <v>414</v>
      </c>
      <c r="C136" s="165">
        <v>387.87200000000001</v>
      </c>
      <c r="D136" s="165">
        <v>93.3</v>
      </c>
      <c r="E136" s="165">
        <f t="shared" si="6"/>
        <v>36188.457600000002</v>
      </c>
      <c r="F136" s="89" t="str">
        <f t="shared" si="7"/>
        <v/>
      </c>
      <c r="G136" s="90" t="s">
        <v>138</v>
      </c>
      <c r="H136" s="89" t="str">
        <f t="shared" si="4"/>
        <v/>
      </c>
      <c r="I136" s="90" t="s">
        <v>138</v>
      </c>
      <c r="J136" s="89" t="str">
        <f t="shared" si="5"/>
        <v/>
      </c>
      <c r="L136" s="91"/>
    </row>
    <row r="137" spans="1:12" x14ac:dyDescent="0.2">
      <c r="A137" s="79" t="s">
        <v>493</v>
      </c>
      <c r="B137" s="88" t="s">
        <v>494</v>
      </c>
      <c r="C137" s="165">
        <v>273.04300000000001</v>
      </c>
      <c r="D137" s="165">
        <v>220.97</v>
      </c>
      <c r="E137" s="165">
        <f t="shared" si="6"/>
        <v>60334.311710000002</v>
      </c>
      <c r="F137" s="89">
        <f t="shared" si="7"/>
        <v>1.9684321943221651E-3</v>
      </c>
      <c r="G137" s="90">
        <v>2.3894646332081278E-2</v>
      </c>
      <c r="H137" s="89">
        <f t="shared" si="4"/>
        <v>4.7034991112010825E-5</v>
      </c>
      <c r="I137" s="90">
        <v>9.5000000000000001E-2</v>
      </c>
      <c r="J137" s="89">
        <f t="shared" si="5"/>
        <v>1.8700105846060569E-4</v>
      </c>
      <c r="L137" s="91"/>
    </row>
    <row r="138" spans="1:12" x14ac:dyDescent="0.2">
      <c r="A138" s="79" t="s">
        <v>499</v>
      </c>
      <c r="B138" s="88" t="s">
        <v>500</v>
      </c>
      <c r="C138" s="165">
        <v>581.279</v>
      </c>
      <c r="D138" s="165">
        <v>63.99</v>
      </c>
      <c r="E138" s="165">
        <f t="shared" si="6"/>
        <v>37196.043210000003</v>
      </c>
      <c r="F138" s="89">
        <f t="shared" si="7"/>
        <v>1.2135364916051076E-3</v>
      </c>
      <c r="G138" s="90">
        <v>3.6880762619159242E-2</v>
      </c>
      <c r="H138" s="89">
        <f t="shared" si="4"/>
        <v>4.4756151276575308E-5</v>
      </c>
      <c r="I138" s="90">
        <v>4.4999999999999998E-2</v>
      </c>
      <c r="J138" s="89">
        <f t="shared" si="5"/>
        <v>5.4609142122229843E-5</v>
      </c>
      <c r="L138" s="91"/>
    </row>
    <row r="139" spans="1:12" x14ac:dyDescent="0.2">
      <c r="A139" s="79" t="s">
        <v>512</v>
      </c>
      <c r="B139" s="88" t="s">
        <v>513</v>
      </c>
      <c r="C139" s="165">
        <v>140.43799999999999</v>
      </c>
      <c r="D139" s="165">
        <v>144.38</v>
      </c>
      <c r="E139" s="165">
        <f t="shared" si="6"/>
        <v>20276.438439999998</v>
      </c>
      <c r="F139" s="89">
        <f t="shared" si="7"/>
        <v>6.6152729815383341E-4</v>
      </c>
      <c r="G139" s="90">
        <v>2.6319434824767972E-2</v>
      </c>
      <c r="H139" s="89">
        <f t="shared" si="4"/>
        <v>1.7411024608564667E-5</v>
      </c>
      <c r="I139" s="90">
        <v>0.09</v>
      </c>
      <c r="J139" s="89">
        <f t="shared" si="5"/>
        <v>5.9537456833845007E-5</v>
      </c>
      <c r="L139" s="91"/>
    </row>
    <row r="140" spans="1:12" x14ac:dyDescent="0.2">
      <c r="A140" s="79" t="s">
        <v>215</v>
      </c>
      <c r="B140" s="88" t="s">
        <v>30</v>
      </c>
      <c r="C140" s="165">
        <v>148.46199999999999</v>
      </c>
      <c r="D140" s="165">
        <v>105.93</v>
      </c>
      <c r="E140" s="165">
        <f t="shared" si="6"/>
        <v>15726.579659999999</v>
      </c>
      <c r="F140" s="89">
        <f t="shared" si="7"/>
        <v>5.1308624946466838E-4</v>
      </c>
      <c r="G140" s="90">
        <v>2.794298121400925E-2</v>
      </c>
      <c r="H140" s="89">
        <f t="shared" si="4"/>
        <v>1.4337159429957692E-5</v>
      </c>
      <c r="I140" s="90">
        <v>7.0000000000000007E-2</v>
      </c>
      <c r="J140" s="89">
        <f t="shared" si="5"/>
        <v>3.5916037462526787E-5</v>
      </c>
      <c r="L140" s="91"/>
    </row>
    <row r="141" spans="1:12" x14ac:dyDescent="0.2">
      <c r="A141" s="79" t="s">
        <v>520</v>
      </c>
      <c r="B141" s="88" t="s">
        <v>521</v>
      </c>
      <c r="C141" s="165">
        <v>50.000999999999998</v>
      </c>
      <c r="D141" s="165">
        <v>691.84</v>
      </c>
      <c r="E141" s="165">
        <f t="shared" si="6"/>
        <v>34592.69184</v>
      </c>
      <c r="F141" s="89">
        <f t="shared" si="7"/>
        <v>1.1286010625830283E-3</v>
      </c>
      <c r="G141" s="90">
        <v>1.0753931544865866E-2</v>
      </c>
      <c r="H141" s="89">
        <f t="shared" si="4"/>
        <v>1.2136898568480762E-5</v>
      </c>
      <c r="I141" s="90">
        <v>0.11</v>
      </c>
      <c r="J141" s="89">
        <f t="shared" si="5"/>
        <v>1.2414611688413312E-4</v>
      </c>
      <c r="L141" s="91"/>
    </row>
    <row r="142" spans="1:12" x14ac:dyDescent="0.2">
      <c r="A142" s="79" t="s">
        <v>522</v>
      </c>
      <c r="B142" s="88" t="s">
        <v>523</v>
      </c>
      <c r="C142" s="165">
        <v>898.54600000000005</v>
      </c>
      <c r="D142" s="165">
        <v>40.5</v>
      </c>
      <c r="E142" s="165">
        <f t="shared" si="6"/>
        <v>36391.113000000005</v>
      </c>
      <c r="F142" s="89" t="str">
        <f t="shared" si="7"/>
        <v/>
      </c>
      <c r="G142" s="90">
        <v>1.580246913580247E-2</v>
      </c>
      <c r="H142" s="89" t="str">
        <f t="shared" si="4"/>
        <v/>
      </c>
      <c r="I142" s="90">
        <v>0.3</v>
      </c>
      <c r="J142" s="89" t="str">
        <f t="shared" si="5"/>
        <v/>
      </c>
      <c r="L142" s="91"/>
    </row>
    <row r="143" spans="1:12" x14ac:dyDescent="0.2">
      <c r="A143" s="79" t="s">
        <v>638</v>
      </c>
      <c r="B143" s="88" t="s">
        <v>639</v>
      </c>
      <c r="C143" s="165">
        <v>189.13300000000001</v>
      </c>
      <c r="D143" s="165">
        <v>174.12</v>
      </c>
      <c r="E143" s="165">
        <f t="shared" si="6"/>
        <v>32931.837960000004</v>
      </c>
      <c r="F143" s="89">
        <f t="shared" si="7"/>
        <v>1.0744150089959611E-3</v>
      </c>
      <c r="G143" s="90">
        <v>2.6188835286009647E-2</v>
      </c>
      <c r="H143" s="89">
        <f t="shared" si="4"/>
        <v>2.8137677699411798E-5</v>
      </c>
      <c r="I143" s="90">
        <v>0.19500000000000001</v>
      </c>
      <c r="J143" s="89">
        <f t="shared" si="5"/>
        <v>2.0951092675421243E-4</v>
      </c>
      <c r="L143" s="91"/>
    </row>
    <row r="144" spans="1:12" x14ac:dyDescent="0.2">
      <c r="A144" s="79" t="s">
        <v>796</v>
      </c>
      <c r="B144" s="88" t="s">
        <v>797</v>
      </c>
      <c r="C144" s="165">
        <v>547.05399999999997</v>
      </c>
      <c r="D144" s="165">
        <v>18.36</v>
      </c>
      <c r="E144" s="165">
        <f t="shared" si="6"/>
        <v>10043.91144</v>
      </c>
      <c r="F144" s="89">
        <f t="shared" si="7"/>
        <v>3.2768681824773063E-4</v>
      </c>
      <c r="G144" s="90">
        <v>6.535947712418301E-2</v>
      </c>
      <c r="H144" s="89">
        <f t="shared" si="4"/>
        <v>2.1417439101158867E-5</v>
      </c>
      <c r="I144" s="90">
        <v>0.14499999999999999</v>
      </c>
      <c r="J144" s="89">
        <f t="shared" si="5"/>
        <v>4.751458864592094E-5</v>
      </c>
      <c r="L144" s="91"/>
    </row>
    <row r="145" spans="1:12" x14ac:dyDescent="0.2">
      <c r="A145" s="79" t="s">
        <v>1415</v>
      </c>
      <c r="B145" s="88" t="s">
        <v>1416</v>
      </c>
      <c r="C145" s="165">
        <v>69.820999999999998</v>
      </c>
      <c r="D145" s="165">
        <v>159.49</v>
      </c>
      <c r="E145" s="165">
        <f t="shared" si="6"/>
        <v>11135.75129</v>
      </c>
      <c r="F145" s="89" t="str">
        <f t="shared" si="7"/>
        <v/>
      </c>
      <c r="G145" s="90" t="s">
        <v>138</v>
      </c>
      <c r="H145" s="89" t="str">
        <f t="shared" si="4"/>
        <v/>
      </c>
      <c r="I145" s="90" t="s">
        <v>138</v>
      </c>
      <c r="J145" s="89" t="str">
        <f t="shared" si="5"/>
        <v/>
      </c>
      <c r="L145" s="91"/>
    </row>
    <row r="146" spans="1:12" x14ac:dyDescent="0.2">
      <c r="A146" s="79" t="s">
        <v>358</v>
      </c>
      <c r="B146" s="88" t="s">
        <v>359</v>
      </c>
      <c r="C146" s="165">
        <v>180.27199999999999</v>
      </c>
      <c r="D146" s="165">
        <v>45.53</v>
      </c>
      <c r="E146" s="165">
        <f t="shared" si="6"/>
        <v>8207.7841599999992</v>
      </c>
      <c r="F146" s="89" t="str">
        <f t="shared" si="7"/>
        <v/>
      </c>
      <c r="G146" s="90" t="s">
        <v>138</v>
      </c>
      <c r="H146" s="89" t="str">
        <f t="shared" si="4"/>
        <v/>
      </c>
      <c r="I146" s="90">
        <v>0.21</v>
      </c>
      <c r="J146" s="89" t="str">
        <f t="shared" si="5"/>
        <v/>
      </c>
      <c r="L146" s="91"/>
    </row>
    <row r="147" spans="1:12" x14ac:dyDescent="0.2">
      <c r="A147" s="79" t="s">
        <v>491</v>
      </c>
      <c r="B147" s="88" t="s">
        <v>492</v>
      </c>
      <c r="C147" s="165">
        <v>352.024</v>
      </c>
      <c r="D147" s="165">
        <v>74.16</v>
      </c>
      <c r="E147" s="165">
        <f t="shared" si="6"/>
        <v>26106.099839999999</v>
      </c>
      <c r="F147" s="89">
        <f t="shared" si="7"/>
        <v>8.5172244344551779E-4</v>
      </c>
      <c r="G147" s="90">
        <v>3.7756202804746499E-3</v>
      </c>
      <c r="H147" s="89">
        <f t="shared" ref="H147:H210" si="8">IFERROR($G147*$F147,"")</f>
        <v>3.2157805308083202E-6</v>
      </c>
      <c r="I147" s="90">
        <v>0.16</v>
      </c>
      <c r="J147" s="89">
        <f t="shared" ref="J147:J210" si="9">IFERROR($I147*$F147,"")</f>
        <v>1.3627559095128285E-4</v>
      </c>
      <c r="L147" s="91"/>
    </row>
    <row r="148" spans="1:12" x14ac:dyDescent="0.2">
      <c r="A148" s="79" t="s">
        <v>554</v>
      </c>
      <c r="B148" s="88" t="s">
        <v>555</v>
      </c>
      <c r="C148" s="165">
        <v>149.85400000000001</v>
      </c>
      <c r="D148" s="165">
        <v>200.08</v>
      </c>
      <c r="E148" s="165">
        <f t="shared" ref="E148:E211" si="10">IFERROR(C148*D148,"")</f>
        <v>29982.788320000003</v>
      </c>
      <c r="F148" s="89">
        <f t="shared" ref="F148:F211" si="11">IF(AND(ISNUMBER($I148)), IF(AND($I148&lt;=20%,$I148&gt;0%), $E148/SUMIFS($E$19:$E$521,$I$19:$I$521, "&gt;"&amp;0%,$I$19:$I$521, "&lt;="&amp;20%),""),"")</f>
        <v>9.7820102909788507E-4</v>
      </c>
      <c r="G148" s="90">
        <v>2.3830467812874848E-2</v>
      </c>
      <c r="H148" s="89">
        <f t="shared" si="8"/>
        <v>2.3310988138438202E-5</v>
      </c>
      <c r="I148" s="90">
        <v>9.5000000000000001E-2</v>
      </c>
      <c r="J148" s="89">
        <f t="shared" si="9"/>
        <v>9.2929097764299088E-5</v>
      </c>
      <c r="L148" s="91"/>
    </row>
    <row r="149" spans="1:12" x14ac:dyDescent="0.2">
      <c r="A149" s="79" t="s">
        <v>912</v>
      </c>
      <c r="B149" s="88" t="s">
        <v>913</v>
      </c>
      <c r="C149" s="165">
        <v>418.18299999999999</v>
      </c>
      <c r="D149" s="165">
        <v>30.57</v>
      </c>
      <c r="E149" s="165">
        <f t="shared" si="10"/>
        <v>12783.854310000001</v>
      </c>
      <c r="F149" s="89" t="str">
        <f t="shared" si="11"/>
        <v/>
      </c>
      <c r="G149" s="90">
        <v>3.2711808963035653E-2</v>
      </c>
      <c r="H149" s="89" t="str">
        <f t="shared" si="8"/>
        <v/>
      </c>
      <c r="I149" s="90">
        <v>0.47</v>
      </c>
      <c r="J149" s="89" t="str">
        <f t="shared" si="9"/>
        <v/>
      </c>
      <c r="L149" s="91"/>
    </row>
    <row r="150" spans="1:12" x14ac:dyDescent="0.2">
      <c r="A150" s="79" t="s">
        <v>548</v>
      </c>
      <c r="B150" s="88" t="s">
        <v>549</v>
      </c>
      <c r="C150" s="165">
        <v>546.48099999999999</v>
      </c>
      <c r="D150" s="165">
        <v>38.03</v>
      </c>
      <c r="E150" s="165">
        <f t="shared" si="10"/>
        <v>20782.672429999999</v>
      </c>
      <c r="F150" s="89">
        <f t="shared" si="11"/>
        <v>6.7804339414521281E-4</v>
      </c>
      <c r="G150" s="90">
        <v>2.8924533263213256E-2</v>
      </c>
      <c r="H150" s="89">
        <f t="shared" si="8"/>
        <v>1.9612088707855224E-5</v>
      </c>
      <c r="I150" s="90">
        <v>7.4999999999999997E-2</v>
      </c>
      <c r="J150" s="89">
        <f t="shared" si="9"/>
        <v>5.0853254560890958E-5</v>
      </c>
      <c r="L150" s="91"/>
    </row>
    <row r="151" spans="1:12" x14ac:dyDescent="0.2">
      <c r="A151" s="79" t="s">
        <v>167</v>
      </c>
      <c r="B151" s="88" t="s">
        <v>168</v>
      </c>
      <c r="C151" s="165">
        <v>215.506</v>
      </c>
      <c r="D151" s="165">
        <v>227.93</v>
      </c>
      <c r="E151" s="165">
        <f t="shared" si="10"/>
        <v>49120.282579999999</v>
      </c>
      <c r="F151" s="89" t="str">
        <f t="shared" si="11"/>
        <v/>
      </c>
      <c r="G151" s="90">
        <v>9.6520861668055995E-3</v>
      </c>
      <c r="H151" s="89" t="str">
        <f t="shared" si="8"/>
        <v/>
      </c>
      <c r="I151" s="90">
        <v>0.22</v>
      </c>
      <c r="J151" s="89" t="str">
        <f t="shared" si="9"/>
        <v/>
      </c>
      <c r="L151" s="91"/>
    </row>
    <row r="152" spans="1:12" x14ac:dyDescent="0.2">
      <c r="A152" s="79" t="s">
        <v>679</v>
      </c>
      <c r="B152" s="88" t="s">
        <v>680</v>
      </c>
      <c r="C152" s="165">
        <v>1360.4179999999999</v>
      </c>
      <c r="D152" s="165">
        <v>69.400000000000006</v>
      </c>
      <c r="E152" s="165">
        <f t="shared" si="10"/>
        <v>94413.0092</v>
      </c>
      <c r="F152" s="89">
        <f t="shared" si="11"/>
        <v>3.080263975917904E-3</v>
      </c>
      <c r="G152" s="90">
        <v>2.4495677233429391E-2</v>
      </c>
      <c r="H152" s="89">
        <f t="shared" si="8"/>
        <v>7.5453152147844898E-5</v>
      </c>
      <c r="I152" s="90">
        <v>0.1</v>
      </c>
      <c r="J152" s="89">
        <f t="shared" si="9"/>
        <v>3.0802639759179042E-4</v>
      </c>
      <c r="L152" s="91"/>
    </row>
    <row r="153" spans="1:12" x14ac:dyDescent="0.2">
      <c r="A153" s="79" t="s">
        <v>332</v>
      </c>
      <c r="B153" s="88" t="s">
        <v>333</v>
      </c>
      <c r="C153" s="165">
        <v>629.43200000000002</v>
      </c>
      <c r="D153" s="165">
        <v>26.85</v>
      </c>
      <c r="E153" s="165">
        <f t="shared" si="10"/>
        <v>16900.249200000002</v>
      </c>
      <c r="F153" s="89">
        <f t="shared" si="11"/>
        <v>5.5137770987173846E-4</v>
      </c>
      <c r="G153" s="90">
        <v>2.9795158286778398E-2</v>
      </c>
      <c r="H153" s="89">
        <f t="shared" si="8"/>
        <v>1.6428386141429825E-5</v>
      </c>
      <c r="I153" s="90">
        <v>6.5000000000000002E-2</v>
      </c>
      <c r="J153" s="89">
        <f t="shared" si="9"/>
        <v>3.5839551141663002E-5</v>
      </c>
      <c r="L153" s="91"/>
    </row>
    <row r="154" spans="1:12" x14ac:dyDescent="0.2">
      <c r="A154" s="79" t="s">
        <v>556</v>
      </c>
      <c r="B154" s="88" t="s">
        <v>557</v>
      </c>
      <c r="C154" s="165">
        <v>123.907</v>
      </c>
      <c r="D154" s="165">
        <v>486.52</v>
      </c>
      <c r="E154" s="165">
        <f t="shared" si="10"/>
        <v>60283.233639999999</v>
      </c>
      <c r="F154" s="89">
        <f t="shared" si="11"/>
        <v>1.9667657508911848E-3</v>
      </c>
      <c r="G154" s="90">
        <v>7.2761654197155308E-3</v>
      </c>
      <c r="H154" s="89">
        <f t="shared" si="8"/>
        <v>1.4310512945315289E-5</v>
      </c>
      <c r="I154" s="90">
        <v>0.125</v>
      </c>
      <c r="J154" s="89">
        <f t="shared" si="9"/>
        <v>2.458457188613981E-4</v>
      </c>
      <c r="L154" s="91"/>
    </row>
    <row r="155" spans="1:12" x14ac:dyDescent="0.2">
      <c r="A155" s="79" t="s">
        <v>1035</v>
      </c>
      <c r="B155" s="88" t="s">
        <v>1036</v>
      </c>
      <c r="C155" s="165">
        <v>104.82299999999999</v>
      </c>
      <c r="D155" s="165">
        <v>208.96</v>
      </c>
      <c r="E155" s="165">
        <f t="shared" si="10"/>
        <v>21903.81408</v>
      </c>
      <c r="F155" s="89">
        <f t="shared" si="11"/>
        <v>7.1462111013645521E-4</v>
      </c>
      <c r="G155" s="90">
        <v>1.6079632465543642E-2</v>
      </c>
      <c r="H155" s="89">
        <f t="shared" si="8"/>
        <v>1.1490844803112983E-5</v>
      </c>
      <c r="I155" s="90">
        <v>9.5000000000000001E-2</v>
      </c>
      <c r="J155" s="89">
        <f t="shared" si="9"/>
        <v>6.7889005462963252E-5</v>
      </c>
      <c r="L155" s="91"/>
    </row>
    <row r="156" spans="1:12" x14ac:dyDescent="0.2">
      <c r="A156" s="79" t="s">
        <v>592</v>
      </c>
      <c r="B156" s="88" t="s">
        <v>593</v>
      </c>
      <c r="C156" s="165">
        <v>302.39</v>
      </c>
      <c r="D156" s="165">
        <v>230.31</v>
      </c>
      <c r="E156" s="165">
        <f t="shared" si="10"/>
        <v>69643.440900000001</v>
      </c>
      <c r="F156" s="89">
        <f t="shared" si="11"/>
        <v>2.2721464338543462E-3</v>
      </c>
      <c r="G156" s="90">
        <v>2.4315053623377186E-2</v>
      </c>
      <c r="H156" s="89">
        <f t="shared" si="8"/>
        <v>5.5247362379333675E-5</v>
      </c>
      <c r="I156" s="90">
        <v>0.11</v>
      </c>
      <c r="J156" s="89">
        <f t="shared" si="9"/>
        <v>2.4993610772397809E-4</v>
      </c>
      <c r="L156" s="91"/>
    </row>
    <row r="157" spans="1:12" x14ac:dyDescent="0.2">
      <c r="A157" s="79" t="s">
        <v>296</v>
      </c>
      <c r="B157" s="88" t="s">
        <v>297</v>
      </c>
      <c r="C157" s="165">
        <v>134.048</v>
      </c>
      <c r="D157" s="165">
        <v>201.76</v>
      </c>
      <c r="E157" s="165">
        <f t="shared" si="10"/>
        <v>27045.52448</v>
      </c>
      <c r="F157" s="89">
        <f t="shared" si="11"/>
        <v>8.8237156586202527E-4</v>
      </c>
      <c r="G157" s="90">
        <v>1.1697065820777161E-2</v>
      </c>
      <c r="H157" s="89">
        <f t="shared" si="8"/>
        <v>1.0321158284270319E-5</v>
      </c>
      <c r="I157" s="90">
        <v>7.0000000000000007E-2</v>
      </c>
      <c r="J157" s="89">
        <f t="shared" si="9"/>
        <v>6.176600961034177E-5</v>
      </c>
      <c r="L157" s="91"/>
    </row>
    <row r="158" spans="1:12" x14ac:dyDescent="0.2">
      <c r="A158" s="79" t="s">
        <v>958</v>
      </c>
      <c r="B158" s="88" t="s">
        <v>959</v>
      </c>
      <c r="C158" s="165">
        <v>228.398</v>
      </c>
      <c r="D158" s="165">
        <v>202.91</v>
      </c>
      <c r="E158" s="165">
        <f t="shared" si="10"/>
        <v>46344.23818</v>
      </c>
      <c r="F158" s="89">
        <f t="shared" si="11"/>
        <v>1.5120001847924694E-3</v>
      </c>
      <c r="G158" s="90">
        <v>1.4784879996057366E-2</v>
      </c>
      <c r="H158" s="89">
        <f t="shared" si="8"/>
        <v>2.2354741286173222E-5</v>
      </c>
      <c r="I158" s="90">
        <v>0.13</v>
      </c>
      <c r="J158" s="89">
        <f t="shared" si="9"/>
        <v>1.9656002402302104E-4</v>
      </c>
      <c r="L158" s="91"/>
    </row>
    <row r="159" spans="1:12" x14ac:dyDescent="0.2">
      <c r="A159" s="79" t="s">
        <v>580</v>
      </c>
      <c r="B159" s="88" t="s">
        <v>581</v>
      </c>
      <c r="C159" s="165">
        <v>384.935</v>
      </c>
      <c r="D159" s="165">
        <v>28.66</v>
      </c>
      <c r="E159" s="165">
        <f t="shared" si="10"/>
        <v>11032.2371</v>
      </c>
      <c r="F159" s="89">
        <f t="shared" si="11"/>
        <v>3.599313569269753E-4</v>
      </c>
      <c r="G159" s="90">
        <v>4.3265875785066292E-2</v>
      </c>
      <c r="H159" s="89">
        <f t="shared" si="8"/>
        <v>1.5572745379952872E-5</v>
      </c>
      <c r="I159" s="90">
        <v>8.5000000000000006E-2</v>
      </c>
      <c r="J159" s="89">
        <f t="shared" si="9"/>
        <v>3.0594165338792901E-5</v>
      </c>
      <c r="L159" s="91"/>
    </row>
    <row r="160" spans="1:12" x14ac:dyDescent="0.2">
      <c r="A160" s="79" t="s">
        <v>568</v>
      </c>
      <c r="B160" s="88" t="s">
        <v>569</v>
      </c>
      <c r="C160" s="165">
        <v>255.25299999999999</v>
      </c>
      <c r="D160" s="165">
        <v>68.17</v>
      </c>
      <c r="E160" s="165">
        <f t="shared" si="10"/>
        <v>17400.597009999998</v>
      </c>
      <c r="F160" s="89">
        <f t="shared" si="11"/>
        <v>5.6770176677482472E-4</v>
      </c>
      <c r="G160" s="90">
        <v>4.7528238227959513E-2</v>
      </c>
      <c r="H160" s="89">
        <f t="shared" si="8"/>
        <v>2.6981864813707379E-5</v>
      </c>
      <c r="I160" s="90">
        <v>0.08</v>
      </c>
      <c r="J160" s="89">
        <f t="shared" si="9"/>
        <v>4.5416141341985981E-5</v>
      </c>
      <c r="L160" s="91"/>
    </row>
    <row r="161" spans="1:12" x14ac:dyDescent="0.2">
      <c r="A161" s="79" t="s">
        <v>507</v>
      </c>
      <c r="B161" s="88" t="s">
        <v>508</v>
      </c>
      <c r="C161" s="165">
        <v>62.243000000000002</v>
      </c>
      <c r="D161" s="165">
        <v>108.96</v>
      </c>
      <c r="E161" s="165">
        <f t="shared" si="10"/>
        <v>6781.9972799999996</v>
      </c>
      <c r="F161" s="89">
        <f t="shared" si="11"/>
        <v>2.2126550232186867E-4</v>
      </c>
      <c r="G161" s="90" t="s">
        <v>138</v>
      </c>
      <c r="H161" s="89" t="str">
        <f t="shared" si="8"/>
        <v/>
      </c>
      <c r="I161" s="90">
        <v>0.19</v>
      </c>
      <c r="J161" s="89">
        <f t="shared" si="9"/>
        <v>4.2040445441155048E-5</v>
      </c>
      <c r="L161" s="91"/>
    </row>
    <row r="162" spans="1:12" x14ac:dyDescent="0.2">
      <c r="A162" s="79" t="s">
        <v>768</v>
      </c>
      <c r="B162" s="88" t="s">
        <v>769</v>
      </c>
      <c r="C162" s="165">
        <v>257.80200000000002</v>
      </c>
      <c r="D162" s="165">
        <v>199.92</v>
      </c>
      <c r="E162" s="165">
        <f t="shared" si="10"/>
        <v>51539.775840000002</v>
      </c>
      <c r="F162" s="89">
        <f t="shared" si="11"/>
        <v>1.6815067774244392E-3</v>
      </c>
      <c r="G162" s="90">
        <v>2.0288115246098439E-2</v>
      </c>
      <c r="H162" s="89">
        <f t="shared" si="8"/>
        <v>3.4114603287482618E-5</v>
      </c>
      <c r="I162" s="90">
        <v>8.5000000000000006E-2</v>
      </c>
      <c r="J162" s="89">
        <f t="shared" si="9"/>
        <v>1.4292807608107735E-4</v>
      </c>
      <c r="L162" s="91"/>
    </row>
    <row r="163" spans="1:12" x14ac:dyDescent="0.2">
      <c r="A163" s="79" t="s">
        <v>1417</v>
      </c>
      <c r="B163" s="88" t="s">
        <v>609</v>
      </c>
      <c r="C163" s="165">
        <v>342.34699999999998</v>
      </c>
      <c r="D163" s="165">
        <v>55.84</v>
      </c>
      <c r="E163" s="165">
        <f t="shared" si="10"/>
        <v>19116.656480000001</v>
      </c>
      <c r="F163" s="89">
        <f t="shared" si="11"/>
        <v>6.2368892586194111E-4</v>
      </c>
      <c r="G163" s="90">
        <v>4.2979942693409739E-2</v>
      </c>
      <c r="H163" s="89">
        <f t="shared" si="8"/>
        <v>2.6806114292060503E-5</v>
      </c>
      <c r="I163" s="90">
        <v>0.03</v>
      </c>
      <c r="J163" s="89">
        <f t="shared" si="9"/>
        <v>1.8710667775858232E-5</v>
      </c>
      <c r="L163" s="91"/>
    </row>
    <row r="164" spans="1:12" x14ac:dyDescent="0.2">
      <c r="A164" s="79" t="s">
        <v>261</v>
      </c>
      <c r="B164" s="88" t="s">
        <v>262</v>
      </c>
      <c r="C164" s="165">
        <v>117.621</v>
      </c>
      <c r="D164" s="165">
        <v>179.05</v>
      </c>
      <c r="E164" s="165">
        <f t="shared" si="10"/>
        <v>21060.04005</v>
      </c>
      <c r="F164" s="89">
        <f t="shared" si="11"/>
        <v>6.8709262894041184E-4</v>
      </c>
      <c r="G164" s="90">
        <v>1.7872102764590895E-2</v>
      </c>
      <c r="H164" s="89">
        <f t="shared" si="8"/>
        <v>1.2279790073215961E-5</v>
      </c>
      <c r="I164" s="90">
        <v>8.5000000000000006E-2</v>
      </c>
      <c r="J164" s="89">
        <f t="shared" si="9"/>
        <v>5.840287345993501E-5</v>
      </c>
      <c r="L164" s="91"/>
    </row>
    <row r="165" spans="1:12" x14ac:dyDescent="0.2">
      <c r="A165" s="79" t="s">
        <v>620</v>
      </c>
      <c r="B165" s="88" t="s">
        <v>621</v>
      </c>
      <c r="C165" s="165">
        <v>338.185</v>
      </c>
      <c r="D165" s="165">
        <v>120.85</v>
      </c>
      <c r="E165" s="165">
        <f t="shared" si="10"/>
        <v>40869.657249999997</v>
      </c>
      <c r="F165" s="89">
        <f t="shared" si="11"/>
        <v>1.3333896885821003E-3</v>
      </c>
      <c r="G165" s="90">
        <v>3.9056681836988003E-2</v>
      </c>
      <c r="H165" s="89">
        <f t="shared" si="8"/>
        <v>5.2077776831671604E-5</v>
      </c>
      <c r="I165" s="90">
        <v>7.0000000000000007E-2</v>
      </c>
      <c r="J165" s="89">
        <f t="shared" si="9"/>
        <v>9.333727820074703E-5</v>
      </c>
      <c r="L165" s="91"/>
    </row>
    <row r="166" spans="1:12" x14ac:dyDescent="0.2">
      <c r="A166" s="79" t="s">
        <v>616</v>
      </c>
      <c r="B166" s="88" t="s">
        <v>617</v>
      </c>
      <c r="C166" s="165">
        <v>619.89200000000005</v>
      </c>
      <c r="D166" s="165">
        <v>17.59</v>
      </c>
      <c r="E166" s="165">
        <f t="shared" si="10"/>
        <v>10903.900280000002</v>
      </c>
      <c r="F166" s="89">
        <f t="shared" si="11"/>
        <v>3.5574431441260691E-4</v>
      </c>
      <c r="G166" s="90">
        <v>5.2302444570778851E-2</v>
      </c>
      <c r="H166" s="89">
        <f t="shared" si="8"/>
        <v>1.8606297285935098E-5</v>
      </c>
      <c r="I166" s="90">
        <v>0.11</v>
      </c>
      <c r="J166" s="89">
        <f t="shared" si="9"/>
        <v>3.913187458538676E-5</v>
      </c>
      <c r="L166" s="91"/>
    </row>
    <row r="167" spans="1:12" x14ac:dyDescent="0.2">
      <c r="A167" s="79" t="s">
        <v>780</v>
      </c>
      <c r="B167" s="88" t="s">
        <v>781</v>
      </c>
      <c r="C167" s="165">
        <v>2739.3760000000002</v>
      </c>
      <c r="D167" s="165">
        <v>105.92</v>
      </c>
      <c r="E167" s="165">
        <f t="shared" si="10"/>
        <v>290154.70592000004</v>
      </c>
      <c r="F167" s="89">
        <f t="shared" si="11"/>
        <v>9.4664188300062086E-3</v>
      </c>
      <c r="G167" s="90">
        <v>1.5105740181268883E-2</v>
      </c>
      <c r="H167" s="89">
        <f t="shared" si="8"/>
        <v>1.4299726329314517E-4</v>
      </c>
      <c r="I167" s="90">
        <v>0.1</v>
      </c>
      <c r="J167" s="89">
        <f t="shared" si="9"/>
        <v>9.4664188300062088E-4</v>
      </c>
      <c r="L167" s="91"/>
    </row>
    <row r="168" spans="1:12" x14ac:dyDescent="0.2">
      <c r="A168" s="79" t="s">
        <v>628</v>
      </c>
      <c r="B168" s="88" t="s">
        <v>629</v>
      </c>
      <c r="C168" s="165">
        <v>719.31600000000003</v>
      </c>
      <c r="D168" s="165">
        <v>44.75</v>
      </c>
      <c r="E168" s="165">
        <f t="shared" si="10"/>
        <v>32189.391</v>
      </c>
      <c r="F168" s="89">
        <f t="shared" si="11"/>
        <v>1.0501923659058203E-3</v>
      </c>
      <c r="G168" s="90">
        <v>2.5921787709497206E-2</v>
      </c>
      <c r="H168" s="89">
        <f t="shared" si="8"/>
        <v>2.7222863563145286E-5</v>
      </c>
      <c r="I168" s="90">
        <v>0.06</v>
      </c>
      <c r="J168" s="89">
        <f t="shared" si="9"/>
        <v>6.301154195434922E-5</v>
      </c>
      <c r="L168" s="91"/>
    </row>
    <row r="169" spans="1:12" x14ac:dyDescent="0.2">
      <c r="A169" s="79" t="s">
        <v>634</v>
      </c>
      <c r="B169" s="88" t="s">
        <v>635</v>
      </c>
      <c r="C169" s="165">
        <v>250.15199999999999</v>
      </c>
      <c r="D169" s="165">
        <v>112.23</v>
      </c>
      <c r="E169" s="165">
        <f t="shared" si="10"/>
        <v>28074.558959999998</v>
      </c>
      <c r="F169" s="89">
        <f t="shared" si="11"/>
        <v>9.1594424684719408E-4</v>
      </c>
      <c r="G169" s="90">
        <v>1.3365410318096765E-2</v>
      </c>
      <c r="H169" s="89">
        <f t="shared" si="8"/>
        <v>1.2241970687612858E-5</v>
      </c>
      <c r="I169" s="90">
        <v>3.5000000000000003E-2</v>
      </c>
      <c r="J169" s="89">
        <f t="shared" si="9"/>
        <v>3.2058048639651799E-5</v>
      </c>
      <c r="L169" s="91"/>
    </row>
    <row r="170" spans="1:12" x14ac:dyDescent="0.2">
      <c r="A170" s="79" t="s">
        <v>644</v>
      </c>
      <c r="B170" s="88" t="s">
        <v>645</v>
      </c>
      <c r="C170" s="165">
        <v>949.29499999999996</v>
      </c>
      <c r="D170" s="165">
        <v>537.13</v>
      </c>
      <c r="E170" s="165">
        <f t="shared" si="10"/>
        <v>509894.82334999996</v>
      </c>
      <c r="F170" s="89">
        <f t="shared" si="11"/>
        <v>1.6635532212991133E-2</v>
      </c>
      <c r="G170" s="90">
        <v>8.4150950421685612E-3</v>
      </c>
      <c r="H170" s="89">
        <f t="shared" si="8"/>
        <v>1.3998958464937707E-4</v>
      </c>
      <c r="I170" s="90">
        <v>0.19</v>
      </c>
      <c r="J170" s="89">
        <f t="shared" si="9"/>
        <v>3.1607511204683153E-3</v>
      </c>
      <c r="L170" s="91"/>
    </row>
    <row r="171" spans="1:12" x14ac:dyDescent="0.2">
      <c r="A171" s="79" t="s">
        <v>238</v>
      </c>
      <c r="B171" s="88" t="s">
        <v>239</v>
      </c>
      <c r="C171" s="165">
        <v>227.381</v>
      </c>
      <c r="D171" s="165">
        <v>33.799999999999997</v>
      </c>
      <c r="E171" s="165">
        <f t="shared" si="10"/>
        <v>7685.4777999999997</v>
      </c>
      <c r="F171" s="89" t="str">
        <f t="shared" si="11"/>
        <v/>
      </c>
      <c r="G171" s="90">
        <v>2.3668639053254441E-2</v>
      </c>
      <c r="H171" s="89" t="str">
        <f t="shared" si="8"/>
        <v/>
      </c>
      <c r="I171" s="90">
        <v>0.26500000000000001</v>
      </c>
      <c r="J171" s="89" t="str">
        <f t="shared" si="9"/>
        <v/>
      </c>
      <c r="L171" s="91"/>
    </row>
    <row r="172" spans="1:12" x14ac:dyDescent="0.2">
      <c r="A172" s="79" t="s">
        <v>310</v>
      </c>
      <c r="B172" s="88" t="s">
        <v>311</v>
      </c>
      <c r="C172" s="165">
        <v>149.67099999999999</v>
      </c>
      <c r="D172" s="165">
        <v>439.82</v>
      </c>
      <c r="E172" s="165">
        <f t="shared" si="10"/>
        <v>65828.299220000001</v>
      </c>
      <c r="F172" s="89">
        <f t="shared" si="11"/>
        <v>2.1476758383346885E-3</v>
      </c>
      <c r="G172" s="90" t="s">
        <v>138</v>
      </c>
      <c r="H172" s="89" t="str">
        <f t="shared" si="8"/>
        <v/>
      </c>
      <c r="I172" s="90">
        <v>0.125</v>
      </c>
      <c r="J172" s="89">
        <f t="shared" si="9"/>
        <v>2.6845947979183606E-4</v>
      </c>
      <c r="L172" s="91"/>
    </row>
    <row r="173" spans="1:12" x14ac:dyDescent="0.2">
      <c r="A173" s="79" t="s">
        <v>630</v>
      </c>
      <c r="B173" s="88" t="s">
        <v>631</v>
      </c>
      <c r="C173" s="165">
        <v>225.50899999999999</v>
      </c>
      <c r="D173" s="165">
        <v>63.31</v>
      </c>
      <c r="E173" s="165">
        <f t="shared" si="10"/>
        <v>14276.97479</v>
      </c>
      <c r="F173" s="89" t="str">
        <f t="shared" si="11"/>
        <v/>
      </c>
      <c r="G173" s="90">
        <v>3.9488232506712994E-3</v>
      </c>
      <c r="H173" s="89" t="str">
        <f t="shared" si="8"/>
        <v/>
      </c>
      <c r="I173" s="90">
        <v>0.255</v>
      </c>
      <c r="J173" s="89" t="str">
        <f t="shared" si="9"/>
        <v/>
      </c>
      <c r="L173" s="91"/>
    </row>
    <row r="174" spans="1:12" x14ac:dyDescent="0.2">
      <c r="A174" s="79" t="s">
        <v>649</v>
      </c>
      <c r="B174" s="88" t="s">
        <v>650</v>
      </c>
      <c r="C174" s="165">
        <v>577.11500000000001</v>
      </c>
      <c r="D174" s="165">
        <v>207.84</v>
      </c>
      <c r="E174" s="165">
        <f t="shared" si="10"/>
        <v>119947.5816</v>
      </c>
      <c r="F174" s="89">
        <f t="shared" si="11"/>
        <v>3.9133400972135648E-3</v>
      </c>
      <c r="G174" s="90">
        <v>2.1170130869899925E-2</v>
      </c>
      <c r="H174" s="89">
        <f t="shared" si="8"/>
        <v>8.284592199643807E-5</v>
      </c>
      <c r="I174" s="90">
        <v>0.08</v>
      </c>
      <c r="J174" s="89">
        <f t="shared" si="9"/>
        <v>3.1306720777708519E-4</v>
      </c>
      <c r="L174" s="91"/>
    </row>
    <row r="175" spans="1:12" x14ac:dyDescent="0.2">
      <c r="A175" s="79" t="s">
        <v>566</v>
      </c>
      <c r="B175" s="88" t="s">
        <v>567</v>
      </c>
      <c r="C175" s="165">
        <v>75.602000000000004</v>
      </c>
      <c r="D175" s="165">
        <v>208.02</v>
      </c>
      <c r="E175" s="165">
        <f t="shared" si="10"/>
        <v>15726.728040000002</v>
      </c>
      <c r="F175" s="89">
        <f t="shared" si="11"/>
        <v>5.1309109042432669E-4</v>
      </c>
      <c r="G175" s="90">
        <v>1.2306508989520237E-2</v>
      </c>
      <c r="H175" s="89">
        <f t="shared" si="8"/>
        <v>6.3143601167497171E-6</v>
      </c>
      <c r="I175" s="90">
        <v>0.08</v>
      </c>
      <c r="J175" s="89">
        <f t="shared" si="9"/>
        <v>4.1047287233946136E-5</v>
      </c>
      <c r="L175" s="91"/>
    </row>
    <row r="176" spans="1:12" x14ac:dyDescent="0.2">
      <c r="A176" s="79" t="s">
        <v>695</v>
      </c>
      <c r="B176" s="88" t="s">
        <v>696</v>
      </c>
      <c r="C176" s="165">
        <v>493.95400000000001</v>
      </c>
      <c r="D176" s="165">
        <v>190.3</v>
      </c>
      <c r="E176" s="165">
        <f t="shared" si="10"/>
        <v>93999.446200000006</v>
      </c>
      <c r="F176" s="89">
        <f t="shared" si="11"/>
        <v>3.0667713097962891E-3</v>
      </c>
      <c r="G176" s="90">
        <v>1.4923804519180239E-2</v>
      </c>
      <c r="H176" s="89">
        <f t="shared" si="8"/>
        <v>4.5767895532430164E-5</v>
      </c>
      <c r="I176" s="90">
        <v>0.09</v>
      </c>
      <c r="J176" s="89">
        <f t="shared" si="9"/>
        <v>2.7600941788166603E-4</v>
      </c>
      <c r="L176" s="91"/>
    </row>
    <row r="177" spans="1:12" x14ac:dyDescent="0.2">
      <c r="A177" s="79" t="s">
        <v>669</v>
      </c>
      <c r="B177" s="88" t="s">
        <v>670</v>
      </c>
      <c r="C177" s="165">
        <v>224.92599999999999</v>
      </c>
      <c r="D177" s="165">
        <v>53.45</v>
      </c>
      <c r="E177" s="165">
        <f t="shared" si="10"/>
        <v>12022.2947</v>
      </c>
      <c r="F177" s="89">
        <f t="shared" si="11"/>
        <v>3.9223240087425096E-4</v>
      </c>
      <c r="G177" s="90">
        <v>2.1328344246959771E-2</v>
      </c>
      <c r="H177" s="89">
        <f t="shared" si="8"/>
        <v>8.3656676706575483E-6</v>
      </c>
      <c r="I177" s="90">
        <v>6.5000000000000002E-2</v>
      </c>
      <c r="J177" s="89">
        <f t="shared" si="9"/>
        <v>2.5495106056826315E-5</v>
      </c>
      <c r="L177" s="91"/>
    </row>
    <row r="178" spans="1:12" x14ac:dyDescent="0.2">
      <c r="A178" s="79" t="s">
        <v>897</v>
      </c>
      <c r="B178" s="88" t="s">
        <v>898</v>
      </c>
      <c r="C178" s="165">
        <v>318.2</v>
      </c>
      <c r="D178" s="165">
        <v>365.41</v>
      </c>
      <c r="E178" s="165">
        <f t="shared" si="10"/>
        <v>116273.462</v>
      </c>
      <c r="F178" s="89">
        <f t="shared" si="11"/>
        <v>3.7934704061297867E-3</v>
      </c>
      <c r="G178" s="90">
        <v>9.8519471278837468E-3</v>
      </c>
      <c r="H178" s="89">
        <f t="shared" si="8"/>
        <v>3.7373069872382344E-5</v>
      </c>
      <c r="I178" s="90">
        <v>7.4999999999999997E-2</v>
      </c>
      <c r="J178" s="89">
        <f t="shared" si="9"/>
        <v>2.8451028045973397E-4</v>
      </c>
      <c r="L178" s="91"/>
    </row>
    <row r="179" spans="1:12" x14ac:dyDescent="0.2">
      <c r="A179" s="79" t="s">
        <v>681</v>
      </c>
      <c r="B179" s="88" t="s">
        <v>682</v>
      </c>
      <c r="C179" s="165">
        <v>1330.5340000000001</v>
      </c>
      <c r="D179" s="165">
        <v>78.36</v>
      </c>
      <c r="E179" s="165">
        <f t="shared" si="10"/>
        <v>104260.64424000001</v>
      </c>
      <c r="F179" s="89">
        <f t="shared" si="11"/>
        <v>3.4015471943930425E-3</v>
      </c>
      <c r="G179" s="90">
        <v>3.5222052067381313E-2</v>
      </c>
      <c r="H179" s="89">
        <f t="shared" si="8"/>
        <v>1.1980947239056657E-4</v>
      </c>
      <c r="I179" s="90">
        <v>7.4999999999999997E-2</v>
      </c>
      <c r="J179" s="89">
        <f t="shared" si="9"/>
        <v>2.5511603957947815E-4</v>
      </c>
      <c r="L179" s="91"/>
    </row>
    <row r="180" spans="1:12" x14ac:dyDescent="0.2">
      <c r="A180" s="79" t="s">
        <v>1002</v>
      </c>
      <c r="B180" s="88" t="s">
        <v>1003</v>
      </c>
      <c r="C180" s="165">
        <v>1199.5319999999999</v>
      </c>
      <c r="D180" s="165">
        <v>9.86</v>
      </c>
      <c r="E180" s="165">
        <f t="shared" si="10"/>
        <v>11827.385519999998</v>
      </c>
      <c r="F180" s="89" t="str">
        <f t="shared" si="11"/>
        <v/>
      </c>
      <c r="G180" s="90">
        <v>4.8681541582150101E-2</v>
      </c>
      <c r="H180" s="89" t="str">
        <f t="shared" si="8"/>
        <v/>
      </c>
      <c r="I180" s="90" t="s">
        <v>138</v>
      </c>
      <c r="J180" s="89" t="str">
        <f t="shared" si="9"/>
        <v/>
      </c>
      <c r="L180" s="91"/>
    </row>
    <row r="181" spans="1:12" x14ac:dyDescent="0.2">
      <c r="A181" s="79" t="s">
        <v>366</v>
      </c>
      <c r="B181" s="88" t="s">
        <v>367</v>
      </c>
      <c r="C181" s="165">
        <v>1284.3989999999999</v>
      </c>
      <c r="D181" s="165">
        <v>69.819999999999993</v>
      </c>
      <c r="E181" s="165">
        <f t="shared" si="10"/>
        <v>89676.738179999986</v>
      </c>
      <c r="F181" s="89">
        <f t="shared" si="11"/>
        <v>2.925741149808364E-3</v>
      </c>
      <c r="G181" s="90">
        <v>3.4660555714694931E-2</v>
      </c>
      <c r="H181" s="89">
        <f t="shared" si="8"/>
        <v>1.014078141297084E-4</v>
      </c>
      <c r="I181" s="90">
        <v>8.5000000000000006E-2</v>
      </c>
      <c r="J181" s="89">
        <f t="shared" si="9"/>
        <v>2.4868799773371096E-4</v>
      </c>
      <c r="L181" s="91"/>
    </row>
    <row r="182" spans="1:12" x14ac:dyDescent="0.2">
      <c r="A182" s="79" t="s">
        <v>376</v>
      </c>
      <c r="B182" s="88" t="s">
        <v>377</v>
      </c>
      <c r="C182" s="165">
        <v>459.06099999999998</v>
      </c>
      <c r="D182" s="165">
        <v>74.59</v>
      </c>
      <c r="E182" s="165">
        <f t="shared" si="10"/>
        <v>34241.359989999997</v>
      </c>
      <c r="F182" s="89">
        <f t="shared" si="11"/>
        <v>1.1171387137995559E-3</v>
      </c>
      <c r="G182" s="90">
        <v>1.9305536935246011E-2</v>
      </c>
      <c r="H182" s="89">
        <f t="shared" si="8"/>
        <v>2.1566962701050547E-5</v>
      </c>
      <c r="I182" s="90">
        <v>9.5000000000000001E-2</v>
      </c>
      <c r="J182" s="89">
        <f t="shared" si="9"/>
        <v>1.0612817781095781E-4</v>
      </c>
      <c r="L182" s="91"/>
    </row>
    <row r="183" spans="1:12" x14ac:dyDescent="0.2">
      <c r="A183" s="79" t="s">
        <v>731</v>
      </c>
      <c r="B183" s="88" t="s">
        <v>732</v>
      </c>
      <c r="C183" s="165">
        <v>1095.3019999999999</v>
      </c>
      <c r="D183" s="165">
        <v>68.03</v>
      </c>
      <c r="E183" s="165">
        <f t="shared" si="10"/>
        <v>74513.395059999995</v>
      </c>
      <c r="F183" s="89">
        <f t="shared" si="11"/>
        <v>2.4310307284078929E-3</v>
      </c>
      <c r="G183" s="90">
        <v>6.7617227693664564E-3</v>
      </c>
      <c r="H183" s="89">
        <f t="shared" si="8"/>
        <v>1.6437955829305172E-5</v>
      </c>
      <c r="I183" s="90">
        <v>9.5000000000000001E-2</v>
      </c>
      <c r="J183" s="89">
        <f t="shared" si="9"/>
        <v>2.3094791919874981E-4</v>
      </c>
      <c r="L183" s="91"/>
    </row>
    <row r="184" spans="1:12" x14ac:dyDescent="0.2">
      <c r="A184" s="79" t="s">
        <v>723</v>
      </c>
      <c r="B184" s="88" t="s">
        <v>724</v>
      </c>
      <c r="C184" s="165">
        <v>167.02</v>
      </c>
      <c r="D184" s="165">
        <v>272.24</v>
      </c>
      <c r="E184" s="165">
        <f t="shared" si="10"/>
        <v>45469.524800000007</v>
      </c>
      <c r="F184" s="89">
        <f t="shared" si="11"/>
        <v>1.4834622943418029E-3</v>
      </c>
      <c r="G184" s="90">
        <v>1.2929767851895386E-2</v>
      </c>
      <c r="H184" s="89">
        <f t="shared" si="8"/>
        <v>1.9180823082879613E-5</v>
      </c>
      <c r="I184" s="90">
        <v>0.11</v>
      </c>
      <c r="J184" s="89">
        <f t="shared" si="9"/>
        <v>1.6318085237759832E-4</v>
      </c>
      <c r="L184" s="91"/>
    </row>
    <row r="185" spans="1:12" x14ac:dyDescent="0.2">
      <c r="A185" s="79" t="s">
        <v>285</v>
      </c>
      <c r="B185" s="88" t="s">
        <v>286</v>
      </c>
      <c r="C185" s="165">
        <v>105.517</v>
      </c>
      <c r="D185" s="165">
        <v>156.21</v>
      </c>
      <c r="E185" s="165">
        <f t="shared" si="10"/>
        <v>16482.810570000001</v>
      </c>
      <c r="F185" s="89">
        <f t="shared" si="11"/>
        <v>5.3775859969782487E-4</v>
      </c>
      <c r="G185" s="90">
        <v>1.4083605402983165E-2</v>
      </c>
      <c r="H185" s="89">
        <f t="shared" si="8"/>
        <v>7.573579920204947E-6</v>
      </c>
      <c r="I185" s="90">
        <v>0.125</v>
      </c>
      <c r="J185" s="89">
        <f t="shared" si="9"/>
        <v>6.7219824962228109E-5</v>
      </c>
      <c r="L185" s="91"/>
    </row>
    <row r="186" spans="1:12" x14ac:dyDescent="0.2">
      <c r="A186" s="79" t="s">
        <v>636</v>
      </c>
      <c r="B186" s="88" t="s">
        <v>637</v>
      </c>
      <c r="C186" s="165">
        <v>88.6</v>
      </c>
      <c r="D186" s="165">
        <v>201.05</v>
      </c>
      <c r="E186" s="165">
        <f t="shared" si="10"/>
        <v>17813.03</v>
      </c>
      <c r="F186" s="89">
        <f t="shared" si="11"/>
        <v>5.811575658468144E-4</v>
      </c>
      <c r="G186" s="90">
        <v>1.4324794827157422E-2</v>
      </c>
      <c r="H186" s="89">
        <f t="shared" si="8"/>
        <v>8.3249628930058453E-6</v>
      </c>
      <c r="I186" s="90">
        <v>0.01</v>
      </c>
      <c r="J186" s="89">
        <f t="shared" si="9"/>
        <v>5.8115756584681441E-6</v>
      </c>
      <c r="L186" s="91"/>
    </row>
    <row r="187" spans="1:12" x14ac:dyDescent="0.2">
      <c r="A187" s="79" t="s">
        <v>740</v>
      </c>
      <c r="B187" s="88" t="s">
        <v>741</v>
      </c>
      <c r="C187" s="165">
        <v>794.79600000000005</v>
      </c>
      <c r="D187" s="165">
        <v>36.950000000000003</v>
      </c>
      <c r="E187" s="165">
        <f t="shared" si="10"/>
        <v>29367.712200000005</v>
      </c>
      <c r="F187" s="89">
        <f t="shared" si="11"/>
        <v>9.5813391301995219E-4</v>
      </c>
      <c r="G187" s="90">
        <v>4.3301759133964814E-2</v>
      </c>
      <c r="H187" s="89">
        <f t="shared" si="8"/>
        <v>4.148888391967316E-5</v>
      </c>
      <c r="I187" s="90">
        <v>0.08</v>
      </c>
      <c r="J187" s="89">
        <f t="shared" si="9"/>
        <v>7.6650713041596179E-5</v>
      </c>
      <c r="L187" s="91"/>
    </row>
    <row r="188" spans="1:12" x14ac:dyDescent="0.2">
      <c r="A188" s="79" t="s">
        <v>745</v>
      </c>
      <c r="B188" s="88" t="s">
        <v>746</v>
      </c>
      <c r="C188" s="165">
        <v>1225.0740000000001</v>
      </c>
      <c r="D188" s="165">
        <v>95.62</v>
      </c>
      <c r="E188" s="165">
        <f t="shared" si="10"/>
        <v>117141.57588000002</v>
      </c>
      <c r="F188" s="89">
        <f t="shared" si="11"/>
        <v>3.8217929851283427E-3</v>
      </c>
      <c r="G188" s="90">
        <v>1.4222965906714078E-2</v>
      </c>
      <c r="H188" s="89">
        <f t="shared" si="8"/>
        <v>5.4357231329999442E-5</v>
      </c>
      <c r="I188" s="90">
        <v>0.18</v>
      </c>
      <c r="J188" s="89">
        <f t="shared" si="9"/>
        <v>6.8792273732310165E-4</v>
      </c>
      <c r="L188" s="91"/>
    </row>
    <row r="189" spans="1:12" x14ac:dyDescent="0.2">
      <c r="A189" s="79" t="s">
        <v>744</v>
      </c>
      <c r="B189" s="88" t="s">
        <v>49</v>
      </c>
      <c r="C189" s="165">
        <v>413.255</v>
      </c>
      <c r="D189" s="165">
        <v>24.68</v>
      </c>
      <c r="E189" s="165">
        <f t="shared" si="10"/>
        <v>10199.133400000001</v>
      </c>
      <c r="F189" s="89">
        <f t="shared" si="11"/>
        <v>3.3275099971711409E-4</v>
      </c>
      <c r="G189" s="90">
        <v>4.0518638573743923E-2</v>
      </c>
      <c r="H189" s="89">
        <f t="shared" si="8"/>
        <v>1.3482617492589712E-5</v>
      </c>
      <c r="I189" s="90">
        <v>9.5000000000000001E-2</v>
      </c>
      <c r="J189" s="89">
        <f t="shared" si="9"/>
        <v>3.1611344973125837E-5</v>
      </c>
      <c r="L189" s="91"/>
    </row>
    <row r="190" spans="1:12" x14ac:dyDescent="0.2">
      <c r="A190" s="79" t="s">
        <v>753</v>
      </c>
      <c r="B190" s="88" t="s">
        <v>754</v>
      </c>
      <c r="C190" s="165">
        <v>227.01499999999999</v>
      </c>
      <c r="D190" s="165">
        <v>196.93</v>
      </c>
      <c r="E190" s="165">
        <f t="shared" si="10"/>
        <v>44706.063949999996</v>
      </c>
      <c r="F190" s="89">
        <f t="shared" si="11"/>
        <v>1.4585540642874355E-3</v>
      </c>
      <c r="G190" s="90">
        <v>2.7420910983598234E-2</v>
      </c>
      <c r="H190" s="89">
        <f t="shared" si="8"/>
        <v>3.9994881161591186E-5</v>
      </c>
      <c r="I190" s="90">
        <v>8.5000000000000006E-2</v>
      </c>
      <c r="J190" s="89">
        <f t="shared" si="9"/>
        <v>1.2397709546443204E-4</v>
      </c>
      <c r="L190" s="91"/>
    </row>
    <row r="191" spans="1:12" x14ac:dyDescent="0.2">
      <c r="A191" s="79" t="s">
        <v>803</v>
      </c>
      <c r="B191" s="88" t="s">
        <v>804</v>
      </c>
      <c r="C191" s="165">
        <v>241.715</v>
      </c>
      <c r="D191" s="165">
        <v>72.069999999999993</v>
      </c>
      <c r="E191" s="165">
        <f t="shared" si="10"/>
        <v>17420.40005</v>
      </c>
      <c r="F191" s="89">
        <f t="shared" si="11"/>
        <v>5.6834784925056123E-4</v>
      </c>
      <c r="G191" s="90">
        <v>3.6076037186069103E-2</v>
      </c>
      <c r="H191" s="89">
        <f t="shared" si="8"/>
        <v>2.0503738144185644E-5</v>
      </c>
      <c r="I191" s="90">
        <v>5.5E-2</v>
      </c>
      <c r="J191" s="89">
        <f t="shared" si="9"/>
        <v>3.1259131708780865E-5</v>
      </c>
      <c r="L191" s="91"/>
    </row>
    <row r="192" spans="1:12" x14ac:dyDescent="0.2">
      <c r="A192" s="79" t="s">
        <v>43</v>
      </c>
      <c r="B192" s="88" t="s">
        <v>44</v>
      </c>
      <c r="C192" s="165">
        <v>349.08600000000001</v>
      </c>
      <c r="D192" s="165">
        <v>58.15</v>
      </c>
      <c r="E192" s="165">
        <f t="shared" si="10"/>
        <v>20299.350900000001</v>
      </c>
      <c r="F192" s="89">
        <f t="shared" si="11"/>
        <v>6.6227482675964406E-4</v>
      </c>
      <c r="G192" s="90">
        <v>4.6431642304385214E-2</v>
      </c>
      <c r="H192" s="89">
        <f t="shared" si="8"/>
        <v>3.0750507863302481E-5</v>
      </c>
      <c r="I192" s="90">
        <v>6.5000000000000002E-2</v>
      </c>
      <c r="J192" s="89">
        <f t="shared" si="9"/>
        <v>4.3047863739376866E-5</v>
      </c>
      <c r="L192" s="91"/>
    </row>
    <row r="193" spans="1:12" x14ac:dyDescent="0.2">
      <c r="A193" s="79" t="s">
        <v>747</v>
      </c>
      <c r="B193" s="88" t="s">
        <v>748</v>
      </c>
      <c r="C193" s="165">
        <v>151.30000000000001</v>
      </c>
      <c r="D193" s="165">
        <v>440.19</v>
      </c>
      <c r="E193" s="165">
        <f t="shared" si="10"/>
        <v>66600.747000000003</v>
      </c>
      <c r="F193" s="89">
        <f t="shared" si="11"/>
        <v>2.1728772707450407E-3</v>
      </c>
      <c r="G193" s="90">
        <v>1.6992662259478864E-2</v>
      </c>
      <c r="H193" s="89">
        <f t="shared" si="8"/>
        <v>3.6922969593068692E-5</v>
      </c>
      <c r="I193" s="90">
        <v>9.5000000000000001E-2</v>
      </c>
      <c r="J193" s="89">
        <f t="shared" si="9"/>
        <v>2.0642334072077886E-4</v>
      </c>
      <c r="L193" s="91"/>
    </row>
    <row r="194" spans="1:12" x14ac:dyDescent="0.2">
      <c r="A194" s="79" t="s">
        <v>1019</v>
      </c>
      <c r="B194" s="88" t="s">
        <v>1020</v>
      </c>
      <c r="C194" s="165">
        <v>3667.7</v>
      </c>
      <c r="D194" s="165">
        <v>40.86</v>
      </c>
      <c r="E194" s="165">
        <f t="shared" si="10"/>
        <v>149862.22199999998</v>
      </c>
      <c r="F194" s="89">
        <f t="shared" si="11"/>
        <v>4.8893177718734495E-3</v>
      </c>
      <c r="G194" s="90">
        <v>3.4263338228095935E-2</v>
      </c>
      <c r="H194" s="89">
        <f t="shared" si="8"/>
        <v>1.6752434852234041E-4</v>
      </c>
      <c r="I194" s="90">
        <v>0.12</v>
      </c>
      <c r="J194" s="89">
        <f t="shared" si="9"/>
        <v>5.8671813262481387E-4</v>
      </c>
      <c r="L194" s="91"/>
    </row>
    <row r="195" spans="1:12" x14ac:dyDescent="0.2">
      <c r="A195" s="79" t="s">
        <v>759</v>
      </c>
      <c r="B195" s="88" t="s">
        <v>760</v>
      </c>
      <c r="C195" s="165">
        <v>248.72200000000001</v>
      </c>
      <c r="D195" s="165">
        <v>156.35</v>
      </c>
      <c r="E195" s="165">
        <f t="shared" si="10"/>
        <v>38887.684699999998</v>
      </c>
      <c r="F195" s="89">
        <f t="shared" si="11"/>
        <v>1.2687270038657325E-3</v>
      </c>
      <c r="G195" s="90">
        <v>1.3047649504317237E-2</v>
      </c>
      <c r="H195" s="89">
        <f t="shared" si="8"/>
        <v>1.6553905263102617E-5</v>
      </c>
      <c r="I195" s="90">
        <v>0.02</v>
      </c>
      <c r="J195" s="89">
        <f t="shared" si="9"/>
        <v>2.5374540077314649E-5</v>
      </c>
      <c r="L195" s="91"/>
    </row>
    <row r="196" spans="1:12" x14ac:dyDescent="0.2">
      <c r="A196" s="79" t="s">
        <v>786</v>
      </c>
      <c r="B196" s="88" t="s">
        <v>787</v>
      </c>
      <c r="C196" s="165">
        <v>884.68200000000002</v>
      </c>
      <c r="D196" s="165">
        <v>64.88</v>
      </c>
      <c r="E196" s="165">
        <f t="shared" si="10"/>
        <v>57398.168159999994</v>
      </c>
      <c r="F196" s="89">
        <f t="shared" si="11"/>
        <v>1.8726392810168582E-3</v>
      </c>
      <c r="G196" s="90">
        <v>1.1097410604192356E-2</v>
      </c>
      <c r="H196" s="89">
        <f t="shared" si="8"/>
        <v>2.0781447014983633E-5</v>
      </c>
      <c r="I196" s="90">
        <v>0.17</v>
      </c>
      <c r="J196" s="89">
        <f t="shared" si="9"/>
        <v>3.1834867777286592E-4</v>
      </c>
      <c r="L196" s="91"/>
    </row>
    <row r="197" spans="1:12" x14ac:dyDescent="0.2">
      <c r="A197" s="79" t="s">
        <v>778</v>
      </c>
      <c r="B197" s="88" t="s">
        <v>779</v>
      </c>
      <c r="C197" s="165">
        <v>197.571</v>
      </c>
      <c r="D197" s="165">
        <v>74.48</v>
      </c>
      <c r="E197" s="165">
        <f t="shared" si="10"/>
        <v>14715.088080000001</v>
      </c>
      <c r="F197" s="89">
        <f t="shared" si="11"/>
        <v>4.8008591294093563E-4</v>
      </c>
      <c r="G197" s="90">
        <v>3.7593984962406013E-2</v>
      </c>
      <c r="H197" s="89">
        <f t="shared" si="8"/>
        <v>1.8048342591764498E-5</v>
      </c>
      <c r="I197" s="90">
        <v>7.0000000000000007E-2</v>
      </c>
      <c r="J197" s="89">
        <f t="shared" si="9"/>
        <v>3.3606013905865496E-5</v>
      </c>
      <c r="L197" s="91"/>
    </row>
    <row r="198" spans="1:12" x14ac:dyDescent="0.2">
      <c r="A198" s="79" t="s">
        <v>776</v>
      </c>
      <c r="B198" s="88" t="s">
        <v>777</v>
      </c>
      <c r="C198" s="165">
        <v>582.47299999999996</v>
      </c>
      <c r="D198" s="165">
        <v>63.43</v>
      </c>
      <c r="E198" s="165">
        <f t="shared" si="10"/>
        <v>36946.262389999996</v>
      </c>
      <c r="F198" s="89">
        <f t="shared" si="11"/>
        <v>1.2053872877163575E-3</v>
      </c>
      <c r="G198" s="90">
        <v>6.0223868831783066E-2</v>
      </c>
      <c r="H198" s="89">
        <f t="shared" si="8"/>
        <v>7.2593085906928667E-5</v>
      </c>
      <c r="I198" s="90">
        <v>0.12</v>
      </c>
      <c r="J198" s="89">
        <f t="shared" si="9"/>
        <v>1.4464647452596289E-4</v>
      </c>
      <c r="L198" s="91"/>
    </row>
    <row r="199" spans="1:12" x14ac:dyDescent="0.2">
      <c r="A199" s="79" t="s">
        <v>858</v>
      </c>
      <c r="B199" s="88" t="s">
        <v>859</v>
      </c>
      <c r="C199" s="165">
        <v>208.84200000000001</v>
      </c>
      <c r="D199" s="165">
        <v>100.43</v>
      </c>
      <c r="E199" s="165">
        <f t="shared" si="10"/>
        <v>20974.002060000003</v>
      </c>
      <c r="F199" s="89">
        <f t="shared" si="11"/>
        <v>6.8428560347429232E-4</v>
      </c>
      <c r="G199" s="90">
        <v>1.6728069302001391E-2</v>
      </c>
      <c r="H199" s="89">
        <f t="shared" si="8"/>
        <v>1.1446776997279805E-5</v>
      </c>
      <c r="I199" s="90">
        <v>0.15</v>
      </c>
      <c r="J199" s="89">
        <f t="shared" si="9"/>
        <v>1.0264284052114384E-4</v>
      </c>
      <c r="L199" s="91"/>
    </row>
    <row r="200" spans="1:12" x14ac:dyDescent="0.2">
      <c r="A200" s="79" t="s">
        <v>1216</v>
      </c>
      <c r="B200" s="88" t="s">
        <v>1217</v>
      </c>
      <c r="C200" s="165">
        <v>2091.241</v>
      </c>
      <c r="D200" s="165">
        <v>16.13</v>
      </c>
      <c r="E200" s="165">
        <f t="shared" si="10"/>
        <v>33731.717329999999</v>
      </c>
      <c r="F200" s="89">
        <f t="shared" si="11"/>
        <v>1.1005114085214929E-3</v>
      </c>
      <c r="G200" s="90" t="s">
        <v>138</v>
      </c>
      <c r="H200" s="89" t="str">
        <f t="shared" si="8"/>
        <v/>
      </c>
      <c r="I200" s="90">
        <v>7.4999999999999997E-2</v>
      </c>
      <c r="J200" s="89">
        <f t="shared" si="9"/>
        <v>8.2538355639111965E-5</v>
      </c>
      <c r="L200" s="91"/>
    </row>
    <row r="201" spans="1:12" x14ac:dyDescent="0.2">
      <c r="A201" s="79" t="s">
        <v>809</v>
      </c>
      <c r="B201" s="88" t="s">
        <v>810</v>
      </c>
      <c r="C201" s="165">
        <v>128.51</v>
      </c>
      <c r="D201" s="165">
        <v>389.52</v>
      </c>
      <c r="E201" s="165">
        <f t="shared" si="10"/>
        <v>50057.215199999991</v>
      </c>
      <c r="F201" s="89">
        <f t="shared" si="11"/>
        <v>1.6331376154815971E-3</v>
      </c>
      <c r="G201" s="90">
        <v>1.5198192647360855E-2</v>
      </c>
      <c r="H201" s="89">
        <f t="shared" si="8"/>
        <v>2.4820740099740847E-5</v>
      </c>
      <c r="I201" s="90">
        <v>0.14499999999999999</v>
      </c>
      <c r="J201" s="89">
        <f t="shared" si="9"/>
        <v>2.3680495424483155E-4</v>
      </c>
      <c r="L201" s="91"/>
    </row>
    <row r="202" spans="1:12" x14ac:dyDescent="0.2">
      <c r="A202" s="79" t="s">
        <v>866</v>
      </c>
      <c r="B202" s="88" t="s">
        <v>867</v>
      </c>
      <c r="C202" s="165">
        <v>484.09699999999998</v>
      </c>
      <c r="D202" s="165">
        <v>37.33</v>
      </c>
      <c r="E202" s="165">
        <f t="shared" si="10"/>
        <v>18071.34101</v>
      </c>
      <c r="F202" s="89">
        <f t="shared" si="11"/>
        <v>5.8958507075771577E-4</v>
      </c>
      <c r="G202" s="90">
        <v>1.3929815162068043E-2</v>
      </c>
      <c r="H202" s="89">
        <f t="shared" si="8"/>
        <v>8.2128110579697885E-6</v>
      </c>
      <c r="I202" s="90">
        <v>0.105</v>
      </c>
      <c r="J202" s="89">
        <f t="shared" si="9"/>
        <v>6.190643242956015E-5</v>
      </c>
      <c r="L202" s="91"/>
    </row>
    <row r="203" spans="1:12" x14ac:dyDescent="0.2">
      <c r="A203" s="79" t="s">
        <v>829</v>
      </c>
      <c r="B203" s="88" t="s">
        <v>830</v>
      </c>
      <c r="C203" s="165">
        <v>737.08900000000006</v>
      </c>
      <c r="D203" s="165">
        <v>23.56</v>
      </c>
      <c r="E203" s="165">
        <f t="shared" si="10"/>
        <v>17365.81684</v>
      </c>
      <c r="F203" s="89">
        <f t="shared" si="11"/>
        <v>5.6656704915873483E-4</v>
      </c>
      <c r="G203" s="90">
        <v>4.074702886247878E-2</v>
      </c>
      <c r="H203" s="89">
        <f t="shared" si="8"/>
        <v>2.3085923904600401E-5</v>
      </c>
      <c r="I203" s="90">
        <v>0.08</v>
      </c>
      <c r="J203" s="89">
        <f t="shared" si="9"/>
        <v>4.5325363932698787E-5</v>
      </c>
      <c r="L203" s="91"/>
    </row>
    <row r="204" spans="1:12" x14ac:dyDescent="0.2">
      <c r="A204" s="79" t="s">
        <v>338</v>
      </c>
      <c r="B204" s="88" t="s">
        <v>339</v>
      </c>
      <c r="C204" s="165">
        <v>1197.491</v>
      </c>
      <c r="D204" s="165">
        <v>119.8</v>
      </c>
      <c r="E204" s="165">
        <f t="shared" si="10"/>
        <v>143459.42179999998</v>
      </c>
      <c r="F204" s="89">
        <f t="shared" si="11"/>
        <v>4.6804237331368901E-3</v>
      </c>
      <c r="G204" s="90">
        <v>5.008347245409015E-3</v>
      </c>
      <c r="H204" s="89">
        <f t="shared" si="8"/>
        <v>2.3441187311203123E-5</v>
      </c>
      <c r="I204" s="90">
        <v>0.09</v>
      </c>
      <c r="J204" s="89">
        <f t="shared" si="9"/>
        <v>4.2123813598232007E-4</v>
      </c>
      <c r="L204" s="91"/>
    </row>
    <row r="205" spans="1:12" x14ac:dyDescent="0.2">
      <c r="A205" s="79" t="s">
        <v>811</v>
      </c>
      <c r="B205" s="88" t="s">
        <v>812</v>
      </c>
      <c r="C205" s="165">
        <v>219.44499999999999</v>
      </c>
      <c r="D205" s="165">
        <v>74.05</v>
      </c>
      <c r="E205" s="165">
        <f t="shared" si="10"/>
        <v>16249.902249999999</v>
      </c>
      <c r="F205" s="89">
        <f t="shared" si="11"/>
        <v>5.3015986818967195E-4</v>
      </c>
      <c r="G205" s="90">
        <v>8.6428089128966924E-3</v>
      </c>
      <c r="H205" s="89">
        <f t="shared" si="8"/>
        <v>4.5820704340498325E-6</v>
      </c>
      <c r="I205" s="90">
        <v>0.08</v>
      </c>
      <c r="J205" s="89">
        <f t="shared" si="9"/>
        <v>4.2412789455173759E-5</v>
      </c>
      <c r="L205" s="91"/>
    </row>
    <row r="206" spans="1:12" x14ac:dyDescent="0.2">
      <c r="A206" s="79" t="s">
        <v>823</v>
      </c>
      <c r="B206" s="88" t="s">
        <v>824</v>
      </c>
      <c r="C206" s="165">
        <v>113.312</v>
      </c>
      <c r="D206" s="165">
        <v>73.680000000000007</v>
      </c>
      <c r="E206" s="165">
        <f t="shared" si="10"/>
        <v>8348.8281600000009</v>
      </c>
      <c r="F206" s="89">
        <f t="shared" si="11"/>
        <v>2.7238401614654772E-4</v>
      </c>
      <c r="G206" s="90">
        <v>4.6959826275787181E-2</v>
      </c>
      <c r="H206" s="89">
        <f t="shared" si="8"/>
        <v>1.2791106078543092E-5</v>
      </c>
      <c r="I206" s="90">
        <v>2.5000000000000001E-2</v>
      </c>
      <c r="J206" s="89">
        <f t="shared" si="9"/>
        <v>6.8096004036636934E-6</v>
      </c>
      <c r="L206" s="91"/>
    </row>
    <row r="207" spans="1:12" x14ac:dyDescent="0.2">
      <c r="A207" s="79" t="s">
        <v>819</v>
      </c>
      <c r="B207" s="88" t="s">
        <v>820</v>
      </c>
      <c r="C207" s="165">
        <v>398.255</v>
      </c>
      <c r="D207" s="165">
        <v>122.77</v>
      </c>
      <c r="E207" s="165">
        <f t="shared" si="10"/>
        <v>48893.766349999998</v>
      </c>
      <c r="F207" s="89">
        <f t="shared" si="11"/>
        <v>1.5951796093673499E-3</v>
      </c>
      <c r="G207" s="90">
        <v>5.0500936710922865E-2</v>
      </c>
      <c r="H207" s="89">
        <f t="shared" si="8"/>
        <v>8.0558064495215196E-5</v>
      </c>
      <c r="I207" s="90">
        <v>7.4999999999999997E-2</v>
      </c>
      <c r="J207" s="89">
        <f t="shared" si="9"/>
        <v>1.1963847070255125E-4</v>
      </c>
      <c r="L207" s="91"/>
    </row>
    <row r="208" spans="1:12" x14ac:dyDescent="0.2">
      <c r="A208" s="79" t="s">
        <v>827</v>
      </c>
      <c r="B208" s="88" t="s">
        <v>828</v>
      </c>
      <c r="C208" s="165">
        <v>235.51300000000001</v>
      </c>
      <c r="D208" s="165">
        <v>129.80000000000001</v>
      </c>
      <c r="E208" s="165">
        <f t="shared" si="10"/>
        <v>30569.587400000004</v>
      </c>
      <c r="F208" s="89">
        <f t="shared" si="11"/>
        <v>9.9734559490021911E-4</v>
      </c>
      <c r="G208" s="90">
        <v>2.0030816640986132E-2</v>
      </c>
      <c r="H208" s="89">
        <f t="shared" si="8"/>
        <v>1.9977646739141522E-5</v>
      </c>
      <c r="I208" s="90">
        <v>0.03</v>
      </c>
      <c r="J208" s="89">
        <f t="shared" si="9"/>
        <v>2.9920367847006573E-5</v>
      </c>
      <c r="L208" s="91"/>
    </row>
    <row r="209" spans="1:12" x14ac:dyDescent="0.2">
      <c r="A209" s="79" t="s">
        <v>807</v>
      </c>
      <c r="B209" s="88" t="s">
        <v>808</v>
      </c>
      <c r="C209" s="165">
        <v>585.1</v>
      </c>
      <c r="D209" s="165">
        <v>139.30000000000001</v>
      </c>
      <c r="E209" s="165">
        <f t="shared" si="10"/>
        <v>81504.430000000008</v>
      </c>
      <c r="F209" s="89">
        <f t="shared" si="11"/>
        <v>2.6591161719557023E-3</v>
      </c>
      <c r="G209" s="90">
        <v>2.871500358937545E-3</v>
      </c>
      <c r="H209" s="89">
        <f t="shared" si="8"/>
        <v>7.6356530422274302E-6</v>
      </c>
      <c r="I209" s="90">
        <v>0.12</v>
      </c>
      <c r="J209" s="89">
        <f t="shared" si="9"/>
        <v>3.1909394063468424E-4</v>
      </c>
      <c r="L209" s="91"/>
    </row>
    <row r="210" spans="1:12" x14ac:dyDescent="0.2">
      <c r="A210" s="79" t="s">
        <v>798</v>
      </c>
      <c r="B210" s="88" t="s">
        <v>56</v>
      </c>
      <c r="C210" s="165">
        <v>499.11099999999999</v>
      </c>
      <c r="D210" s="165">
        <v>56.91</v>
      </c>
      <c r="E210" s="165">
        <f t="shared" si="10"/>
        <v>28404.407009999999</v>
      </c>
      <c r="F210" s="89">
        <f t="shared" si="11"/>
        <v>9.267056776558391E-4</v>
      </c>
      <c r="G210" s="90">
        <v>4.0063257775434895E-2</v>
      </c>
      <c r="H210" s="89">
        <f t="shared" si="8"/>
        <v>3.7126848445884957E-5</v>
      </c>
      <c r="I210" s="90">
        <v>0.04</v>
      </c>
      <c r="J210" s="89">
        <f t="shared" si="9"/>
        <v>3.7068227106233564E-5</v>
      </c>
      <c r="L210" s="91"/>
    </row>
    <row r="211" spans="1:12" x14ac:dyDescent="0.2">
      <c r="A211" s="79" t="s">
        <v>1418</v>
      </c>
      <c r="B211" s="88" t="s">
        <v>857</v>
      </c>
      <c r="C211" s="165">
        <v>107.08199999999999</v>
      </c>
      <c r="D211" s="165">
        <v>73.28</v>
      </c>
      <c r="E211" s="165">
        <f t="shared" si="10"/>
        <v>7846.9689599999992</v>
      </c>
      <c r="F211" s="89">
        <f t="shared" si="11"/>
        <v>2.5601064951157152E-4</v>
      </c>
      <c r="G211" s="90">
        <v>2.6200873362445413E-2</v>
      </c>
      <c r="H211" s="89">
        <f t="shared" ref="H211:H274" si="12">IFERROR($G211*$F211,"")</f>
        <v>6.7077026072900834E-6</v>
      </c>
      <c r="I211" s="90">
        <v>9.5000000000000001E-2</v>
      </c>
      <c r="J211" s="89">
        <f t="shared" ref="J211:J274" si="13">IFERROR($I211*$F211,"")</f>
        <v>2.4321011703599295E-5</v>
      </c>
      <c r="L211" s="91"/>
    </row>
    <row r="212" spans="1:12" x14ac:dyDescent="0.2">
      <c r="A212" s="79" t="s">
        <v>336</v>
      </c>
      <c r="B212" s="88" t="s">
        <v>337</v>
      </c>
      <c r="C212" s="165">
        <v>49.524000000000001</v>
      </c>
      <c r="D212" s="165">
        <v>318.01</v>
      </c>
      <c r="E212" s="165">
        <f t="shared" ref="E212:E275" si="14">IFERROR(C212*D212,"")</f>
        <v>15749.12724</v>
      </c>
      <c r="F212" s="89">
        <f t="shared" ref="F212:F275" si="15">IF(AND(ISNUMBER($I212)), IF(AND($I212&lt;=20%,$I212&gt;0%), $E212/SUMIFS($E$19:$E$521,$I$19:$I$521, "&gt;"&amp;0%,$I$19:$I$521, "&lt;="&amp;20%),""),"")</f>
        <v>5.1382187370762635E-4</v>
      </c>
      <c r="G212" s="90">
        <v>1.8867331215999497E-4</v>
      </c>
      <c r="H212" s="89">
        <f t="shared" si="12"/>
        <v>9.6944474772672504E-8</v>
      </c>
      <c r="I212" s="90">
        <v>0.12</v>
      </c>
      <c r="J212" s="89">
        <f t="shared" si="13"/>
        <v>6.165862484491516E-5</v>
      </c>
      <c r="L212" s="91"/>
    </row>
    <row r="213" spans="1:12" x14ac:dyDescent="0.2">
      <c r="A213" s="79" t="s">
        <v>38</v>
      </c>
      <c r="B213" s="88" t="s">
        <v>39</v>
      </c>
      <c r="C213" s="165">
        <v>383.28899999999999</v>
      </c>
      <c r="D213" s="165">
        <v>63.29</v>
      </c>
      <c r="E213" s="165">
        <f t="shared" si="14"/>
        <v>24258.360809999998</v>
      </c>
      <c r="F213" s="89">
        <f t="shared" si="15"/>
        <v>7.9143918355121818E-4</v>
      </c>
      <c r="G213" s="90">
        <v>4.6610838995101912E-2</v>
      </c>
      <c r="H213" s="89">
        <f t="shared" si="12"/>
        <v>3.6889644358920739E-5</v>
      </c>
      <c r="I213" s="90">
        <v>4.4999999999999998E-2</v>
      </c>
      <c r="J213" s="89">
        <f t="shared" si="13"/>
        <v>3.5614763259804814E-5</v>
      </c>
      <c r="L213" s="91"/>
    </row>
    <row r="214" spans="1:12" x14ac:dyDescent="0.2">
      <c r="A214" s="79" t="s">
        <v>1419</v>
      </c>
      <c r="B214" s="88" t="s">
        <v>889</v>
      </c>
      <c r="C214" s="165">
        <v>1421.1859999999999</v>
      </c>
      <c r="D214" s="165">
        <v>58.3</v>
      </c>
      <c r="E214" s="165">
        <f t="shared" si="14"/>
        <v>82855.143799999991</v>
      </c>
      <c r="F214" s="89" t="str">
        <f t="shared" si="15"/>
        <v/>
      </c>
      <c r="G214" s="90">
        <v>1.7152658662092625E-2</v>
      </c>
      <c r="H214" s="89" t="str">
        <f t="shared" si="12"/>
        <v/>
      </c>
      <c r="I214" s="90">
        <v>0.26</v>
      </c>
      <c r="J214" s="89" t="str">
        <f t="shared" si="13"/>
        <v/>
      </c>
      <c r="L214" s="91"/>
    </row>
    <row r="215" spans="1:12" x14ac:dyDescent="0.2">
      <c r="A215" s="79" t="s">
        <v>879</v>
      </c>
      <c r="B215" s="88" t="s">
        <v>880</v>
      </c>
      <c r="C215" s="165">
        <v>1770.22</v>
      </c>
      <c r="D215" s="165">
        <v>54.9</v>
      </c>
      <c r="E215" s="165">
        <f t="shared" si="14"/>
        <v>97185.077999999994</v>
      </c>
      <c r="F215" s="89">
        <f t="shared" si="15"/>
        <v>3.1707038817715342E-3</v>
      </c>
      <c r="G215" s="90">
        <v>1.8214936247723135E-2</v>
      </c>
      <c r="H215" s="89">
        <f t="shared" si="12"/>
        <v>5.7754169066876767E-5</v>
      </c>
      <c r="I215" s="90">
        <v>0.09</v>
      </c>
      <c r="J215" s="89">
        <f t="shared" si="13"/>
        <v>2.8536334935943809E-4</v>
      </c>
      <c r="L215" s="91"/>
    </row>
    <row r="216" spans="1:12" x14ac:dyDescent="0.2">
      <c r="A216" s="79" t="s">
        <v>885</v>
      </c>
      <c r="B216" s="88" t="s">
        <v>886</v>
      </c>
      <c r="C216" s="165">
        <v>257.149</v>
      </c>
      <c r="D216" s="165">
        <v>255.05</v>
      </c>
      <c r="E216" s="165">
        <f t="shared" si="14"/>
        <v>65585.852450000006</v>
      </c>
      <c r="F216" s="89">
        <f t="shared" si="15"/>
        <v>2.1397659108995121E-3</v>
      </c>
      <c r="G216" s="90">
        <v>9.4883356204665745E-3</v>
      </c>
      <c r="H216" s="89">
        <f t="shared" si="12"/>
        <v>2.0302817111847947E-5</v>
      </c>
      <c r="I216" s="90">
        <v>7.0000000000000007E-2</v>
      </c>
      <c r="J216" s="89">
        <f t="shared" si="13"/>
        <v>1.4978361376296586E-4</v>
      </c>
      <c r="L216" s="91"/>
    </row>
    <row r="217" spans="1:12" x14ac:dyDescent="0.2">
      <c r="A217" s="79" t="s">
        <v>1033</v>
      </c>
      <c r="B217" s="88" t="s">
        <v>1034</v>
      </c>
      <c r="C217" s="165">
        <v>73.861000000000004</v>
      </c>
      <c r="D217" s="165">
        <v>375.21</v>
      </c>
      <c r="E217" s="165">
        <f t="shared" si="14"/>
        <v>27713.38581</v>
      </c>
      <c r="F217" s="89">
        <f t="shared" si="15"/>
        <v>9.041608215285804E-4</v>
      </c>
      <c r="G217" s="90">
        <v>2.0255323685402843E-3</v>
      </c>
      <c r="H217" s="89">
        <f t="shared" si="12"/>
        <v>1.8314070103721147E-6</v>
      </c>
      <c r="I217" s="90">
        <v>0.17</v>
      </c>
      <c r="J217" s="89">
        <f t="shared" si="13"/>
        <v>1.5370733965985867E-4</v>
      </c>
      <c r="L217" s="91"/>
    </row>
    <row r="218" spans="1:12" x14ac:dyDescent="0.2">
      <c r="A218" s="79" t="s">
        <v>887</v>
      </c>
      <c r="B218" s="88" t="s">
        <v>888</v>
      </c>
      <c r="C218" s="165">
        <v>102.142</v>
      </c>
      <c r="D218" s="165">
        <v>122.91</v>
      </c>
      <c r="E218" s="165">
        <f t="shared" si="14"/>
        <v>12554.273219999999</v>
      </c>
      <c r="F218" s="89">
        <f t="shared" si="15"/>
        <v>4.0958842294157977E-4</v>
      </c>
      <c r="G218" s="90">
        <v>3.4496786266373772E-2</v>
      </c>
      <c r="H218" s="89">
        <f t="shared" si="12"/>
        <v>1.4129484283396781E-5</v>
      </c>
      <c r="I218" s="90">
        <v>0.06</v>
      </c>
      <c r="J218" s="89">
        <f t="shared" si="13"/>
        <v>2.4575305376494787E-5</v>
      </c>
      <c r="L218" s="91"/>
    </row>
    <row r="219" spans="1:12" x14ac:dyDescent="0.2">
      <c r="A219" s="79" t="s">
        <v>890</v>
      </c>
      <c r="B219" s="88" t="s">
        <v>891</v>
      </c>
      <c r="C219" s="165">
        <v>52.917000000000002</v>
      </c>
      <c r="D219" s="165">
        <v>255.06</v>
      </c>
      <c r="E219" s="165">
        <f t="shared" si="14"/>
        <v>13497.01002</v>
      </c>
      <c r="F219" s="89">
        <f t="shared" si="15"/>
        <v>4.403456059655917E-4</v>
      </c>
      <c r="G219" s="90">
        <v>2.5405786873676783E-2</v>
      </c>
      <c r="H219" s="89">
        <f t="shared" si="12"/>
        <v>1.1187326615921878E-5</v>
      </c>
      <c r="I219" s="90">
        <v>0.06</v>
      </c>
      <c r="J219" s="89">
        <f t="shared" si="13"/>
        <v>2.6420736357935501E-5</v>
      </c>
      <c r="L219" s="91"/>
    </row>
    <row r="220" spans="1:12" x14ac:dyDescent="0.2">
      <c r="A220" s="79" t="s">
        <v>187</v>
      </c>
      <c r="B220" s="88" t="s">
        <v>188</v>
      </c>
      <c r="C220" s="165">
        <v>230.71199999999999</v>
      </c>
      <c r="D220" s="165">
        <v>147.76</v>
      </c>
      <c r="E220" s="165">
        <f t="shared" si="14"/>
        <v>34090.005119999994</v>
      </c>
      <c r="F220" s="89">
        <f t="shared" si="15"/>
        <v>1.1122006977613936E-3</v>
      </c>
      <c r="G220" s="90">
        <v>6.7677314564158096E-3</v>
      </c>
      <c r="H220" s="89">
        <f t="shared" si="12"/>
        <v>7.5270756480873961E-6</v>
      </c>
      <c r="I220" s="90">
        <v>0.1</v>
      </c>
      <c r="J220" s="89">
        <f t="shared" si="13"/>
        <v>1.1122006977613937E-4</v>
      </c>
      <c r="L220" s="91"/>
    </row>
    <row r="221" spans="1:12" x14ac:dyDescent="0.2">
      <c r="A221" s="79" t="s">
        <v>894</v>
      </c>
      <c r="B221" s="88" t="s">
        <v>58</v>
      </c>
      <c r="C221" s="165">
        <v>1091.5150000000001</v>
      </c>
      <c r="D221" s="165">
        <v>64.72</v>
      </c>
      <c r="E221" s="165">
        <f t="shared" si="14"/>
        <v>70642.8508</v>
      </c>
      <c r="F221" s="89">
        <f t="shared" si="15"/>
        <v>2.3047526005069148E-3</v>
      </c>
      <c r="G221" s="90">
        <v>4.3263288009888747E-2</v>
      </c>
      <c r="H221" s="89">
        <f t="shared" si="12"/>
        <v>9.9711175547270711E-5</v>
      </c>
      <c r="I221" s="90">
        <v>6.5000000000000002E-2</v>
      </c>
      <c r="J221" s="89">
        <f t="shared" si="13"/>
        <v>1.4980891903294946E-4</v>
      </c>
      <c r="L221" s="91"/>
    </row>
    <row r="222" spans="1:12" x14ac:dyDescent="0.2">
      <c r="A222" s="79" t="s">
        <v>932</v>
      </c>
      <c r="B222" s="88" t="s">
        <v>933</v>
      </c>
      <c r="C222" s="165">
        <v>1331.9760000000001</v>
      </c>
      <c r="D222" s="165">
        <v>28.61</v>
      </c>
      <c r="E222" s="165">
        <f t="shared" si="14"/>
        <v>38107.833360000004</v>
      </c>
      <c r="F222" s="89">
        <f t="shared" si="15"/>
        <v>1.2432840272089383E-3</v>
      </c>
      <c r="G222" s="90">
        <v>7.2701852499126182E-2</v>
      </c>
      <c r="H222" s="89">
        <f t="shared" si="12"/>
        <v>9.0389051960663817E-5</v>
      </c>
      <c r="I222" s="90">
        <v>0.06</v>
      </c>
      <c r="J222" s="89">
        <f t="shared" si="13"/>
        <v>7.4597041632536303E-5</v>
      </c>
      <c r="L222" s="91"/>
    </row>
    <row r="223" spans="1:12" x14ac:dyDescent="0.2">
      <c r="A223" s="79" t="s">
        <v>653</v>
      </c>
      <c r="B223" s="88" t="s">
        <v>654</v>
      </c>
      <c r="C223" s="165">
        <v>595.63400000000001</v>
      </c>
      <c r="D223" s="165">
        <v>27.07</v>
      </c>
      <c r="E223" s="165">
        <f t="shared" si="14"/>
        <v>16123.812380000001</v>
      </c>
      <c r="F223" s="89" t="str">
        <f t="shared" si="15"/>
        <v/>
      </c>
      <c r="G223" s="90">
        <v>2.6597709641669742E-2</v>
      </c>
      <c r="H223" s="89" t="str">
        <f t="shared" si="12"/>
        <v/>
      </c>
      <c r="I223" s="90" t="s">
        <v>138</v>
      </c>
      <c r="J223" s="89" t="str">
        <f t="shared" si="13"/>
        <v/>
      </c>
      <c r="L223" s="91"/>
    </row>
    <row r="224" spans="1:12" x14ac:dyDescent="0.2">
      <c r="A224" s="79" t="s">
        <v>1029</v>
      </c>
      <c r="B224" s="88" t="s">
        <v>1030</v>
      </c>
      <c r="C224" s="165">
        <v>257.52300000000002</v>
      </c>
      <c r="D224" s="165">
        <v>63.49</v>
      </c>
      <c r="E224" s="165">
        <f t="shared" si="14"/>
        <v>16350.135270000002</v>
      </c>
      <c r="F224" s="89">
        <f t="shared" si="15"/>
        <v>5.3343001245601397E-4</v>
      </c>
      <c r="G224" s="90">
        <v>6.9302252323200503E-3</v>
      </c>
      <c r="H224" s="89">
        <f t="shared" si="12"/>
        <v>3.6967901319994669E-6</v>
      </c>
      <c r="I224" s="90">
        <v>0.15</v>
      </c>
      <c r="J224" s="89">
        <f t="shared" si="13"/>
        <v>8.0014501868402098E-5</v>
      </c>
      <c r="L224" s="91"/>
    </row>
    <row r="225" spans="1:12" x14ac:dyDescent="0.2">
      <c r="A225" s="79" t="s">
        <v>908</v>
      </c>
      <c r="B225" s="88" t="s">
        <v>909</v>
      </c>
      <c r="C225" s="165">
        <v>153.22999999999999</v>
      </c>
      <c r="D225" s="165">
        <v>83.58</v>
      </c>
      <c r="E225" s="165">
        <f t="shared" si="14"/>
        <v>12806.963399999999</v>
      </c>
      <c r="F225" s="89">
        <f t="shared" si="15"/>
        <v>4.1783254591909642E-4</v>
      </c>
      <c r="G225" s="90">
        <v>3.8765254845656856E-2</v>
      </c>
      <c r="H225" s="89">
        <f t="shared" si="12"/>
        <v>1.6197385125363394E-5</v>
      </c>
      <c r="I225" s="90">
        <v>0.01</v>
      </c>
      <c r="J225" s="89">
        <f t="shared" si="13"/>
        <v>4.178325459190964E-6</v>
      </c>
      <c r="L225" s="91"/>
    </row>
    <row r="226" spans="1:12" x14ac:dyDescent="0.2">
      <c r="A226" s="79" t="s">
        <v>833</v>
      </c>
      <c r="B226" s="88" t="s">
        <v>834</v>
      </c>
      <c r="C226" s="165">
        <v>175.82900000000001</v>
      </c>
      <c r="D226" s="165">
        <v>263.52</v>
      </c>
      <c r="E226" s="165">
        <f t="shared" si="14"/>
        <v>46334.458079999997</v>
      </c>
      <c r="F226" s="89">
        <f t="shared" si="15"/>
        <v>1.5116811049329655E-3</v>
      </c>
      <c r="G226" s="90">
        <v>4.5537340619307837E-2</v>
      </c>
      <c r="H226" s="89">
        <f t="shared" si="12"/>
        <v>6.8837937383104086E-5</v>
      </c>
      <c r="I226" s="90">
        <v>7.4999999999999997E-2</v>
      </c>
      <c r="J226" s="89">
        <f t="shared" si="13"/>
        <v>1.1337608286997241E-4</v>
      </c>
      <c r="L226" s="91"/>
    </row>
    <row r="227" spans="1:12" x14ac:dyDescent="0.2">
      <c r="A227" s="79" t="s">
        <v>197</v>
      </c>
      <c r="B227" s="88" t="s">
        <v>198</v>
      </c>
      <c r="C227" s="165">
        <v>309.58100000000002</v>
      </c>
      <c r="D227" s="165">
        <v>183.93</v>
      </c>
      <c r="E227" s="165">
        <f t="shared" si="14"/>
        <v>56941.233330000003</v>
      </c>
      <c r="F227" s="89">
        <f t="shared" si="15"/>
        <v>1.8577315907725019E-3</v>
      </c>
      <c r="G227" s="90" t="s">
        <v>138</v>
      </c>
      <c r="H227" s="89" t="str">
        <f t="shared" si="12"/>
        <v/>
      </c>
      <c r="I227" s="90">
        <v>0.13</v>
      </c>
      <c r="J227" s="89">
        <f t="shared" si="13"/>
        <v>2.4150510680042526E-4</v>
      </c>
      <c r="L227" s="91"/>
    </row>
    <row r="228" spans="1:12" x14ac:dyDescent="0.2">
      <c r="A228" s="79" t="s">
        <v>916</v>
      </c>
      <c r="B228" s="88" t="s">
        <v>917</v>
      </c>
      <c r="C228" s="165">
        <v>504.92599999999999</v>
      </c>
      <c r="D228" s="165">
        <v>66.05</v>
      </c>
      <c r="E228" s="165">
        <f t="shared" si="14"/>
        <v>33350.362300000001</v>
      </c>
      <c r="F228" s="89">
        <f t="shared" si="15"/>
        <v>1.088069540913442E-3</v>
      </c>
      <c r="G228" s="90">
        <v>3.0280090840272521E-2</v>
      </c>
      <c r="H228" s="89">
        <f t="shared" si="12"/>
        <v>3.2946844539392642E-5</v>
      </c>
      <c r="I228" s="90">
        <v>0.185</v>
      </c>
      <c r="J228" s="89">
        <f t="shared" si="13"/>
        <v>2.0129286506898676E-4</v>
      </c>
      <c r="L228" s="91"/>
    </row>
    <row r="229" spans="1:12" x14ac:dyDescent="0.2">
      <c r="A229" s="79" t="s">
        <v>364</v>
      </c>
      <c r="B229" s="88" t="s">
        <v>365</v>
      </c>
      <c r="C229" s="165">
        <v>709.51599999999996</v>
      </c>
      <c r="D229" s="165">
        <v>51.16</v>
      </c>
      <c r="E229" s="165">
        <f t="shared" si="14"/>
        <v>36298.838559999997</v>
      </c>
      <c r="F229" s="89">
        <f t="shared" si="15"/>
        <v>1.1842648140488218E-3</v>
      </c>
      <c r="G229" s="90">
        <v>1.2509773260359658E-2</v>
      </c>
      <c r="H229" s="89">
        <f t="shared" si="12"/>
        <v>1.4814884303972753E-5</v>
      </c>
      <c r="I229" s="90">
        <v>0.13500000000000001</v>
      </c>
      <c r="J229" s="89">
        <f t="shared" si="13"/>
        <v>1.5987574989659095E-4</v>
      </c>
      <c r="L229" s="91"/>
    </row>
    <row r="230" spans="1:12" x14ac:dyDescent="0.2">
      <c r="A230" s="79" t="s">
        <v>962</v>
      </c>
      <c r="B230" s="88" t="s">
        <v>963</v>
      </c>
      <c r="C230" s="165">
        <v>907.96600000000001</v>
      </c>
      <c r="D230" s="165">
        <v>159.01</v>
      </c>
      <c r="E230" s="165">
        <f t="shared" si="14"/>
        <v>144375.67366</v>
      </c>
      <c r="F230" s="89">
        <f t="shared" si="15"/>
        <v>4.7103168338985361E-3</v>
      </c>
      <c r="G230" s="90">
        <v>3.2702345764417336E-2</v>
      </c>
      <c r="H230" s="89">
        <f t="shared" si="12"/>
        <v>1.5403840976210546E-4</v>
      </c>
      <c r="I230" s="90">
        <v>0.03</v>
      </c>
      <c r="J230" s="89">
        <f t="shared" si="13"/>
        <v>1.4130950501695607E-4</v>
      </c>
      <c r="L230" s="91"/>
    </row>
    <row r="231" spans="1:12" x14ac:dyDescent="0.2">
      <c r="A231" s="79" t="s">
        <v>964</v>
      </c>
      <c r="B231" s="88" t="s">
        <v>965</v>
      </c>
      <c r="C231" s="165">
        <v>198.071</v>
      </c>
      <c r="D231" s="165">
        <v>78.14</v>
      </c>
      <c r="E231" s="165">
        <f t="shared" si="14"/>
        <v>15477.26794</v>
      </c>
      <c r="F231" s="89">
        <f t="shared" si="15"/>
        <v>5.0495235015993016E-4</v>
      </c>
      <c r="G231" s="90">
        <v>1.0238034297414896E-3</v>
      </c>
      <c r="H231" s="89">
        <f t="shared" si="12"/>
        <v>5.1697194794976213E-7</v>
      </c>
      <c r="I231" s="90">
        <v>0.16</v>
      </c>
      <c r="J231" s="89">
        <f t="shared" si="13"/>
        <v>8.0792376025588821E-5</v>
      </c>
      <c r="L231" s="91"/>
    </row>
    <row r="232" spans="1:12" x14ac:dyDescent="0.2">
      <c r="A232" s="79" t="s">
        <v>940</v>
      </c>
      <c r="B232" s="88" t="s">
        <v>941</v>
      </c>
      <c r="C232" s="165">
        <v>385.95</v>
      </c>
      <c r="D232" s="165">
        <v>506.17</v>
      </c>
      <c r="E232" s="165">
        <f t="shared" si="14"/>
        <v>195356.31150000001</v>
      </c>
      <c r="F232" s="89">
        <f t="shared" si="15"/>
        <v>6.3735814998432073E-3</v>
      </c>
      <c r="G232" s="90">
        <v>2.7658691743880511E-3</v>
      </c>
      <c r="H232" s="89">
        <f t="shared" si="12"/>
        <v>1.7628492600866288E-5</v>
      </c>
      <c r="I232" s="90">
        <v>9.5000000000000001E-2</v>
      </c>
      <c r="J232" s="89">
        <f t="shared" si="13"/>
        <v>6.0549024248510467E-4</v>
      </c>
      <c r="L232" s="91"/>
    </row>
    <row r="233" spans="1:12" x14ac:dyDescent="0.2">
      <c r="A233" s="79" t="s">
        <v>938</v>
      </c>
      <c r="B233" s="88" t="s">
        <v>939</v>
      </c>
      <c r="C233" s="165">
        <v>1144.0809999999999</v>
      </c>
      <c r="D233" s="165">
        <v>88.88</v>
      </c>
      <c r="E233" s="165">
        <f t="shared" si="14"/>
        <v>101685.91927999999</v>
      </c>
      <c r="F233" s="89">
        <f t="shared" si="15"/>
        <v>3.3175457139891671E-3</v>
      </c>
      <c r="G233" s="90">
        <v>1.4963996399639965E-2</v>
      </c>
      <c r="H233" s="89">
        <f t="shared" si="12"/>
        <v>4.9643742119774892E-5</v>
      </c>
      <c r="I233" s="90">
        <v>0.17</v>
      </c>
      <c r="J233" s="89">
        <f t="shared" si="13"/>
        <v>5.6398277137815849E-4</v>
      </c>
      <c r="L233" s="91"/>
    </row>
    <row r="234" spans="1:12" x14ac:dyDescent="0.2">
      <c r="A234" s="79" t="s">
        <v>501</v>
      </c>
      <c r="B234" s="88" t="s">
        <v>502</v>
      </c>
      <c r="C234" s="165">
        <v>94.82</v>
      </c>
      <c r="D234" s="165">
        <v>108.73</v>
      </c>
      <c r="E234" s="165">
        <f t="shared" si="14"/>
        <v>10309.7786</v>
      </c>
      <c r="F234" s="89">
        <f t="shared" si="15"/>
        <v>3.3636084571774585E-4</v>
      </c>
      <c r="G234" s="90">
        <v>8.2773843465464916E-3</v>
      </c>
      <c r="H234" s="89">
        <f t="shared" si="12"/>
        <v>2.7841879991352091E-6</v>
      </c>
      <c r="I234" s="90">
        <v>0.09</v>
      </c>
      <c r="J234" s="89">
        <f t="shared" si="13"/>
        <v>3.0272476114597127E-5</v>
      </c>
      <c r="L234" s="91"/>
    </row>
    <row r="235" spans="1:12" x14ac:dyDescent="0.2">
      <c r="A235" s="79" t="s">
        <v>599</v>
      </c>
      <c r="B235" s="88" t="s">
        <v>600</v>
      </c>
      <c r="C235" s="165">
        <v>680.32</v>
      </c>
      <c r="D235" s="165">
        <v>53.21</v>
      </c>
      <c r="E235" s="165">
        <f t="shared" si="14"/>
        <v>36199.8272</v>
      </c>
      <c r="F235" s="89">
        <f t="shared" si="15"/>
        <v>1.1810345269517484E-3</v>
      </c>
      <c r="G235" s="90">
        <v>2.7814320616425484E-2</v>
      </c>
      <c r="H235" s="89">
        <f t="shared" si="12"/>
        <v>3.2849672991704333E-5</v>
      </c>
      <c r="I235" s="90">
        <v>0.115</v>
      </c>
      <c r="J235" s="89">
        <f t="shared" si="13"/>
        <v>1.3581897059945108E-4</v>
      </c>
      <c r="L235" s="91"/>
    </row>
    <row r="236" spans="1:12" x14ac:dyDescent="0.2">
      <c r="A236" s="79" t="s">
        <v>974</v>
      </c>
      <c r="B236" s="88" t="s">
        <v>975</v>
      </c>
      <c r="C236" s="165">
        <v>49.228999999999999</v>
      </c>
      <c r="D236" s="165">
        <v>399.45</v>
      </c>
      <c r="E236" s="165">
        <f t="shared" si="14"/>
        <v>19664.52405</v>
      </c>
      <c r="F236" s="89">
        <f t="shared" si="15"/>
        <v>6.4156333484163787E-4</v>
      </c>
      <c r="G236" s="90" t="s">
        <v>138</v>
      </c>
      <c r="H236" s="89" t="str">
        <f t="shared" si="12"/>
        <v/>
      </c>
      <c r="I236" s="90">
        <v>0.13500000000000001</v>
      </c>
      <c r="J236" s="89">
        <f t="shared" si="13"/>
        <v>8.6611050203621115E-5</v>
      </c>
      <c r="L236" s="91"/>
    </row>
    <row r="237" spans="1:12" x14ac:dyDescent="0.2">
      <c r="A237" s="79" t="s">
        <v>978</v>
      </c>
      <c r="B237" s="88" t="s">
        <v>979</v>
      </c>
      <c r="C237" s="165">
        <v>609.45600000000002</v>
      </c>
      <c r="D237" s="165">
        <v>203.63</v>
      </c>
      <c r="E237" s="165">
        <f t="shared" si="14"/>
        <v>124103.52528</v>
      </c>
      <c r="F237" s="89">
        <f t="shared" si="15"/>
        <v>4.0489295007493618E-3</v>
      </c>
      <c r="G237" s="90">
        <v>2.5536512301723716E-2</v>
      </c>
      <c r="H237" s="89">
        <f t="shared" si="12"/>
        <v>1.0339553800469815E-4</v>
      </c>
      <c r="I237" s="90">
        <v>6.5000000000000002E-2</v>
      </c>
      <c r="J237" s="89">
        <f t="shared" si="13"/>
        <v>2.6318041754870851E-4</v>
      </c>
      <c r="L237" s="91"/>
    </row>
    <row r="238" spans="1:12" x14ac:dyDescent="0.2">
      <c r="A238" s="79" t="s">
        <v>612</v>
      </c>
      <c r="B238" s="88" t="s">
        <v>613</v>
      </c>
      <c r="C238" s="165">
        <v>177.57499999999999</v>
      </c>
      <c r="D238" s="165">
        <v>132.31</v>
      </c>
      <c r="E238" s="165">
        <f t="shared" si="14"/>
        <v>23494.948249999998</v>
      </c>
      <c r="F238" s="89">
        <f t="shared" si="15"/>
        <v>7.6653252897833054E-4</v>
      </c>
      <c r="G238" s="90" t="s">
        <v>138</v>
      </c>
      <c r="H238" s="89" t="str">
        <f t="shared" si="12"/>
        <v/>
      </c>
      <c r="I238" s="90">
        <v>0.13</v>
      </c>
      <c r="J238" s="89">
        <f t="shared" si="13"/>
        <v>9.964922876718298E-5</v>
      </c>
      <c r="L238" s="91"/>
    </row>
    <row r="239" spans="1:12" x14ac:dyDescent="0.2">
      <c r="A239" s="79" t="s">
        <v>976</v>
      </c>
      <c r="B239" s="88" t="s">
        <v>977</v>
      </c>
      <c r="C239" s="165">
        <v>926.30499999999995</v>
      </c>
      <c r="D239" s="165">
        <v>504.19</v>
      </c>
      <c r="E239" s="165">
        <f t="shared" si="14"/>
        <v>467033.71794999996</v>
      </c>
      <c r="F239" s="89">
        <f t="shared" si="15"/>
        <v>1.5237170694273218E-2</v>
      </c>
      <c r="G239" s="90">
        <v>1.4915012197782582E-2</v>
      </c>
      <c r="H239" s="89">
        <f t="shared" si="12"/>
        <v>2.2726258676478034E-4</v>
      </c>
      <c r="I239" s="90">
        <v>0.12</v>
      </c>
      <c r="J239" s="89">
        <f t="shared" si="13"/>
        <v>1.8284604833127861E-3</v>
      </c>
      <c r="L239" s="91"/>
    </row>
    <row r="240" spans="1:12" x14ac:dyDescent="0.2">
      <c r="A240" s="79" t="s">
        <v>1420</v>
      </c>
      <c r="B240" s="88" t="s">
        <v>1421</v>
      </c>
      <c r="C240" s="165">
        <v>709.75</v>
      </c>
      <c r="D240" s="165">
        <v>107.14</v>
      </c>
      <c r="E240" s="165">
        <f t="shared" si="14"/>
        <v>76042.615000000005</v>
      </c>
      <c r="F240" s="89">
        <f t="shared" si="15"/>
        <v>2.4809221695593878E-3</v>
      </c>
      <c r="G240" s="90">
        <v>2.9494119843195821E-2</v>
      </c>
      <c r="H240" s="89">
        <f t="shared" si="12"/>
        <v>7.3172615790625966E-5</v>
      </c>
      <c r="I240" s="90">
        <v>0.15</v>
      </c>
      <c r="J240" s="89">
        <f t="shared" si="13"/>
        <v>3.7213832543390817E-4</v>
      </c>
      <c r="L240" s="91"/>
    </row>
    <row r="241" spans="1:12" x14ac:dyDescent="0.2">
      <c r="A241" s="79" t="s">
        <v>715</v>
      </c>
      <c r="B241" s="88" t="s">
        <v>716</v>
      </c>
      <c r="C241" s="165">
        <v>605.68700000000001</v>
      </c>
      <c r="D241" s="165">
        <v>26.75</v>
      </c>
      <c r="E241" s="165">
        <f t="shared" si="14"/>
        <v>16202.12725</v>
      </c>
      <c r="F241" s="89" t="str">
        <f t="shared" si="15"/>
        <v/>
      </c>
      <c r="G241" s="90">
        <v>1.4953271028037384E-2</v>
      </c>
      <c r="H241" s="89" t="str">
        <f t="shared" si="12"/>
        <v/>
      </c>
      <c r="I241" s="90">
        <v>0.22500000000000001</v>
      </c>
      <c r="J241" s="89" t="str">
        <f t="shared" si="13"/>
        <v/>
      </c>
      <c r="L241" s="91"/>
    </row>
    <row r="242" spans="1:12" x14ac:dyDescent="0.2">
      <c r="A242" s="79" t="s">
        <v>249</v>
      </c>
      <c r="B242" s="88" t="s">
        <v>250</v>
      </c>
      <c r="C242" s="165">
        <v>24.004000000000001</v>
      </c>
      <c r="D242" s="165">
        <v>358.45</v>
      </c>
      <c r="E242" s="165">
        <f t="shared" si="14"/>
        <v>8604.2338</v>
      </c>
      <c r="F242" s="89">
        <f t="shared" si="15"/>
        <v>2.8071673214410383E-4</v>
      </c>
      <c r="G242" s="90" t="s">
        <v>138</v>
      </c>
      <c r="H242" s="89" t="str">
        <f t="shared" si="12"/>
        <v/>
      </c>
      <c r="I242" s="90">
        <v>0.115</v>
      </c>
      <c r="J242" s="89">
        <f t="shared" si="13"/>
        <v>3.2282424196571939E-5</v>
      </c>
      <c r="L242" s="91"/>
    </row>
    <row r="243" spans="1:12" x14ac:dyDescent="0.2">
      <c r="A243" s="79" t="s">
        <v>1000</v>
      </c>
      <c r="B243" s="88" t="s">
        <v>1001</v>
      </c>
      <c r="C243" s="165">
        <v>402.37799999999999</v>
      </c>
      <c r="D243" s="165">
        <v>42.13</v>
      </c>
      <c r="E243" s="165">
        <f t="shared" si="14"/>
        <v>16952.185140000001</v>
      </c>
      <c r="F243" s="89" t="str">
        <f t="shared" si="15"/>
        <v/>
      </c>
      <c r="G243" s="90">
        <v>4.2724899121765962E-2</v>
      </c>
      <c r="H243" s="89" t="str">
        <f t="shared" si="12"/>
        <v/>
      </c>
      <c r="I243" s="90">
        <v>0.23499999999999999</v>
      </c>
      <c r="J243" s="89" t="str">
        <f t="shared" si="13"/>
        <v/>
      </c>
      <c r="L243" s="91"/>
    </row>
    <row r="244" spans="1:12" x14ac:dyDescent="0.2">
      <c r="A244" s="79" t="s">
        <v>988</v>
      </c>
      <c r="B244" s="88" t="s">
        <v>989</v>
      </c>
      <c r="C244" s="165">
        <v>388.86799999999999</v>
      </c>
      <c r="D244" s="165">
        <v>17.670000000000002</v>
      </c>
      <c r="E244" s="165">
        <f t="shared" si="14"/>
        <v>6871.2975600000009</v>
      </c>
      <c r="F244" s="89">
        <f t="shared" si="15"/>
        <v>2.2417896136585163E-4</v>
      </c>
      <c r="G244" s="90">
        <v>6.7911714770797951E-2</v>
      </c>
      <c r="H244" s="89">
        <f t="shared" si="12"/>
        <v>1.522437768189145E-5</v>
      </c>
      <c r="I244" s="90">
        <v>0.09</v>
      </c>
      <c r="J244" s="89">
        <f t="shared" si="13"/>
        <v>2.0176106522926647E-5</v>
      </c>
      <c r="L244" s="91"/>
    </row>
    <row r="245" spans="1:12" x14ac:dyDescent="0.2">
      <c r="A245" s="79" t="s">
        <v>992</v>
      </c>
      <c r="B245" s="88" t="s">
        <v>993</v>
      </c>
      <c r="C245" s="165">
        <v>132.86600000000001</v>
      </c>
      <c r="D245" s="165">
        <v>202.02</v>
      </c>
      <c r="E245" s="165">
        <f t="shared" si="14"/>
        <v>26841.589320000003</v>
      </c>
      <c r="F245" s="89">
        <f t="shared" si="15"/>
        <v>8.7571809583608478E-4</v>
      </c>
      <c r="G245" s="90">
        <v>8.5140085140085128E-3</v>
      </c>
      <c r="H245" s="89">
        <f t="shared" si="12"/>
        <v>7.4558713238197486E-6</v>
      </c>
      <c r="I245" s="90">
        <v>9.5000000000000001E-2</v>
      </c>
      <c r="J245" s="89">
        <f t="shared" si="13"/>
        <v>8.3193219104428056E-5</v>
      </c>
      <c r="L245" s="91"/>
    </row>
    <row r="246" spans="1:12" x14ac:dyDescent="0.2">
      <c r="A246" s="79" t="s">
        <v>1037</v>
      </c>
      <c r="B246" s="88" t="s">
        <v>1038</v>
      </c>
      <c r="C246" s="165">
        <v>730.74800000000005</v>
      </c>
      <c r="D246" s="165">
        <v>30.66</v>
      </c>
      <c r="E246" s="165">
        <f t="shared" si="14"/>
        <v>22404.733680000001</v>
      </c>
      <c r="F246" s="89" t="str">
        <f t="shared" si="15"/>
        <v/>
      </c>
      <c r="G246" s="90">
        <v>2.4787997390737115E-2</v>
      </c>
      <c r="H246" s="89" t="str">
        <f t="shared" si="12"/>
        <v/>
      </c>
      <c r="I246" s="90">
        <v>-2.5000000000000001E-2</v>
      </c>
      <c r="J246" s="89" t="str">
        <f t="shared" si="13"/>
        <v/>
      </c>
      <c r="L246" s="91"/>
    </row>
    <row r="247" spans="1:12" x14ac:dyDescent="0.2">
      <c r="A247" s="79" t="s">
        <v>1021</v>
      </c>
      <c r="B247" s="88" t="s">
        <v>1022</v>
      </c>
      <c r="C247" s="165">
        <v>54.817999999999998</v>
      </c>
      <c r="D247" s="165">
        <v>133.69999999999999</v>
      </c>
      <c r="E247" s="165">
        <f t="shared" si="14"/>
        <v>7329.1665999999987</v>
      </c>
      <c r="F247" s="89" t="str">
        <f t="shared" si="15"/>
        <v/>
      </c>
      <c r="G247" s="90">
        <v>5.2356020942408384E-2</v>
      </c>
      <c r="H247" s="89" t="str">
        <f t="shared" si="12"/>
        <v/>
      </c>
      <c r="I247" s="90">
        <v>-1.4999999999999999E-2</v>
      </c>
      <c r="J247" s="89" t="str">
        <f t="shared" si="13"/>
        <v/>
      </c>
      <c r="L247" s="91"/>
    </row>
    <row r="248" spans="1:12" x14ac:dyDescent="0.2">
      <c r="A248" s="79" t="s">
        <v>1025</v>
      </c>
      <c r="B248" s="88" t="s">
        <v>1026</v>
      </c>
      <c r="C248" s="165">
        <v>1216.421</v>
      </c>
      <c r="D248" s="165">
        <v>33.69</v>
      </c>
      <c r="E248" s="165">
        <f t="shared" si="14"/>
        <v>40981.223489999997</v>
      </c>
      <c r="F248" s="89">
        <f t="shared" si="15"/>
        <v>1.3370295838985671E-3</v>
      </c>
      <c r="G248" s="90">
        <v>5.3131493024636392E-2</v>
      </c>
      <c r="H248" s="89">
        <f t="shared" si="12"/>
        <v>7.1038378010639209E-5</v>
      </c>
      <c r="I248" s="90">
        <v>0.105</v>
      </c>
      <c r="J248" s="89">
        <f t="shared" si="13"/>
        <v>1.4038810630934953E-4</v>
      </c>
      <c r="L248" s="91"/>
    </row>
    <row r="249" spans="1:12" x14ac:dyDescent="0.2">
      <c r="A249" s="79" t="s">
        <v>300</v>
      </c>
      <c r="B249" s="88" t="s">
        <v>301</v>
      </c>
      <c r="C249" s="165">
        <v>321.59199999999998</v>
      </c>
      <c r="D249" s="165">
        <v>109.08</v>
      </c>
      <c r="E249" s="165">
        <f t="shared" si="14"/>
        <v>35079.255359999996</v>
      </c>
      <c r="F249" s="89" t="str">
        <f t="shared" si="15"/>
        <v/>
      </c>
      <c r="G249" s="90">
        <v>1.034103410341034E-2</v>
      </c>
      <c r="H249" s="89" t="str">
        <f t="shared" si="12"/>
        <v/>
      </c>
      <c r="I249" s="90" t="s">
        <v>138</v>
      </c>
      <c r="J249" s="89" t="str">
        <f t="shared" si="13"/>
        <v/>
      </c>
      <c r="L249" s="91"/>
    </row>
    <row r="250" spans="1:12" x14ac:dyDescent="0.2">
      <c r="A250" s="79" t="s">
        <v>1016</v>
      </c>
      <c r="B250" s="88" t="s">
        <v>59</v>
      </c>
      <c r="C250" s="165">
        <v>315.435</v>
      </c>
      <c r="D250" s="165">
        <v>80.55</v>
      </c>
      <c r="E250" s="165">
        <f t="shared" si="14"/>
        <v>25408.289249999998</v>
      </c>
      <c r="F250" s="89">
        <f t="shared" si="15"/>
        <v>8.289560806253502E-4</v>
      </c>
      <c r="G250" s="90">
        <v>3.8733705772811919E-2</v>
      </c>
      <c r="H250" s="89">
        <f t="shared" si="12"/>
        <v>3.210854092552567E-5</v>
      </c>
      <c r="I250" s="90">
        <v>0.06</v>
      </c>
      <c r="J250" s="89">
        <f t="shared" si="13"/>
        <v>4.9737364837521009E-5</v>
      </c>
      <c r="L250" s="91"/>
    </row>
    <row r="251" spans="1:12" x14ac:dyDescent="0.2">
      <c r="A251" s="79" t="s">
        <v>147</v>
      </c>
      <c r="B251" s="88" t="s">
        <v>148</v>
      </c>
      <c r="C251" s="165">
        <v>455.3</v>
      </c>
      <c r="D251" s="165">
        <v>509.9</v>
      </c>
      <c r="E251" s="165">
        <f t="shared" si="14"/>
        <v>232157.47</v>
      </c>
      <c r="F251" s="89">
        <f t="shared" si="15"/>
        <v>7.5742347123625145E-3</v>
      </c>
      <c r="G251" s="90" t="s">
        <v>138</v>
      </c>
      <c r="H251" s="89" t="str">
        <f t="shared" si="12"/>
        <v/>
      </c>
      <c r="I251" s="90">
        <v>0.11</v>
      </c>
      <c r="J251" s="89">
        <f t="shared" si="13"/>
        <v>8.3316581835987658E-4</v>
      </c>
      <c r="L251" s="91"/>
    </row>
    <row r="252" spans="1:12" x14ac:dyDescent="0.2">
      <c r="A252" s="79" t="s">
        <v>159</v>
      </c>
      <c r="B252" s="88" t="s">
        <v>160</v>
      </c>
      <c r="C252" s="165">
        <v>669.62900000000002</v>
      </c>
      <c r="D252" s="165">
        <v>15.2</v>
      </c>
      <c r="E252" s="165">
        <f t="shared" si="14"/>
        <v>10178.3608</v>
      </c>
      <c r="F252" s="89">
        <f t="shared" si="15"/>
        <v>3.320732849402171E-4</v>
      </c>
      <c r="G252" s="90">
        <v>4.3657894736842104E-2</v>
      </c>
      <c r="H252" s="89">
        <f t="shared" si="12"/>
        <v>1.4497620518837372E-5</v>
      </c>
      <c r="I252" s="90">
        <v>0.14000000000000001</v>
      </c>
      <c r="J252" s="89">
        <f t="shared" si="13"/>
        <v>4.6490259891630396E-5</v>
      </c>
      <c r="L252" s="91"/>
    </row>
    <row r="253" spans="1:12" x14ac:dyDescent="0.2">
      <c r="A253" s="79" t="s">
        <v>189</v>
      </c>
      <c r="B253" s="88" t="s">
        <v>190</v>
      </c>
      <c r="C253" s="165">
        <v>534.90099999999995</v>
      </c>
      <c r="D253" s="165">
        <v>268.76</v>
      </c>
      <c r="E253" s="165">
        <f t="shared" si="14"/>
        <v>143759.99275999999</v>
      </c>
      <c r="F253" s="89">
        <f t="shared" si="15"/>
        <v>4.6902299866197535E-3</v>
      </c>
      <c r="G253" s="90">
        <v>3.1701146003869626E-2</v>
      </c>
      <c r="H253" s="89">
        <f t="shared" si="12"/>
        <v>1.4868566559756029E-4</v>
      </c>
      <c r="I253" s="90">
        <v>0.06</v>
      </c>
      <c r="J253" s="89">
        <f t="shared" si="13"/>
        <v>2.8141379919718521E-4</v>
      </c>
      <c r="L253" s="91"/>
    </row>
    <row r="254" spans="1:12" x14ac:dyDescent="0.2">
      <c r="A254" s="79" t="s">
        <v>139</v>
      </c>
      <c r="B254" s="88" t="s">
        <v>140</v>
      </c>
      <c r="C254" s="165">
        <v>15634.232</v>
      </c>
      <c r="D254" s="165">
        <v>171.21</v>
      </c>
      <c r="E254" s="165">
        <f t="shared" si="14"/>
        <v>2676736.8607200002</v>
      </c>
      <c r="F254" s="89">
        <f t="shared" si="15"/>
        <v>8.7329661398901748E-2</v>
      </c>
      <c r="G254" s="90">
        <v>5.6071491151217798E-3</v>
      </c>
      <c r="H254" s="89">
        <f t="shared" si="12"/>
        <v>4.8967043363673654E-4</v>
      </c>
      <c r="I254" s="90">
        <v>0.105</v>
      </c>
      <c r="J254" s="89">
        <f t="shared" si="13"/>
        <v>9.1696144468846833E-3</v>
      </c>
      <c r="L254" s="91"/>
    </row>
    <row r="255" spans="1:12" x14ac:dyDescent="0.2">
      <c r="A255" s="79" t="s">
        <v>155</v>
      </c>
      <c r="B255" s="88" t="s">
        <v>156</v>
      </c>
      <c r="C255" s="165">
        <v>213.76400000000001</v>
      </c>
      <c r="D255" s="165">
        <v>206.91</v>
      </c>
      <c r="E255" s="165">
        <f t="shared" si="14"/>
        <v>44229.909240000001</v>
      </c>
      <c r="F255" s="89">
        <f t="shared" si="15"/>
        <v>1.4430193174066359E-3</v>
      </c>
      <c r="G255" s="90" t="s">
        <v>138</v>
      </c>
      <c r="H255" s="89" t="str">
        <f t="shared" si="12"/>
        <v/>
      </c>
      <c r="I255" s="90">
        <v>0.1</v>
      </c>
      <c r="J255" s="89">
        <f t="shared" si="13"/>
        <v>1.443019317406636E-4</v>
      </c>
      <c r="L255" s="91"/>
    </row>
    <row r="256" spans="1:12" x14ac:dyDescent="0.2">
      <c r="A256" s="79" t="s">
        <v>356</v>
      </c>
      <c r="B256" s="88" t="s">
        <v>357</v>
      </c>
      <c r="C256" s="165">
        <v>101.92700000000001</v>
      </c>
      <c r="D256" s="165">
        <v>481.01</v>
      </c>
      <c r="E256" s="165">
        <f t="shared" si="14"/>
        <v>49027.906269999999</v>
      </c>
      <c r="F256" s="89">
        <f t="shared" si="15"/>
        <v>1.5995559804502081E-3</v>
      </c>
      <c r="G256" s="90">
        <v>1.1226377829982745E-2</v>
      </c>
      <c r="H256" s="89">
        <f t="shared" si="12"/>
        <v>1.7957219796742528E-5</v>
      </c>
      <c r="I256" s="90">
        <v>0.14000000000000001</v>
      </c>
      <c r="J256" s="89">
        <f t="shared" si="13"/>
        <v>2.2393783726302915E-4</v>
      </c>
      <c r="L256" s="91"/>
    </row>
    <row r="257" spans="1:12" x14ac:dyDescent="0.2">
      <c r="A257" s="79" t="s">
        <v>321</v>
      </c>
      <c r="B257" s="88" t="s">
        <v>322</v>
      </c>
      <c r="C257" s="165">
        <v>4115.6890000000003</v>
      </c>
      <c r="D257" s="165">
        <v>44.34</v>
      </c>
      <c r="E257" s="165">
        <f t="shared" si="14"/>
        <v>182489.65026000002</v>
      </c>
      <c r="F257" s="89">
        <f t="shared" si="15"/>
        <v>5.9538012868859541E-3</v>
      </c>
      <c r="G257" s="90">
        <v>2.6161479476770406E-2</v>
      </c>
      <c r="H257" s="89">
        <f t="shared" si="12"/>
        <v>1.5576025017563611E-4</v>
      </c>
      <c r="I257" s="90">
        <v>0.09</v>
      </c>
      <c r="J257" s="89">
        <f t="shared" si="13"/>
        <v>5.3584211581973588E-4</v>
      </c>
      <c r="L257" s="91"/>
    </row>
    <row r="258" spans="1:12" x14ac:dyDescent="0.2">
      <c r="A258" s="79" t="s">
        <v>920</v>
      </c>
      <c r="B258" s="88" t="s">
        <v>921</v>
      </c>
      <c r="C258" s="165">
        <v>200.96</v>
      </c>
      <c r="D258" s="165">
        <v>63.59</v>
      </c>
      <c r="E258" s="165">
        <f t="shared" si="14"/>
        <v>12779.046400000001</v>
      </c>
      <c r="F258" s="89" t="str">
        <f t="shared" si="15"/>
        <v/>
      </c>
      <c r="G258" s="90">
        <v>2.5790218587828272E-2</v>
      </c>
      <c r="H258" s="89" t="str">
        <f t="shared" si="12"/>
        <v/>
      </c>
      <c r="I258" s="90">
        <v>0.35</v>
      </c>
      <c r="J258" s="89" t="str">
        <f t="shared" si="13"/>
        <v/>
      </c>
      <c r="L258" s="91"/>
    </row>
    <row r="259" spans="1:12" x14ac:dyDescent="0.2">
      <c r="A259" s="79" t="s">
        <v>618</v>
      </c>
      <c r="B259" s="88" t="s">
        <v>619</v>
      </c>
      <c r="C259" s="165">
        <v>136.322</v>
      </c>
      <c r="D259" s="165">
        <v>458.66</v>
      </c>
      <c r="E259" s="165">
        <f t="shared" si="14"/>
        <v>62525.448520000005</v>
      </c>
      <c r="F259" s="89">
        <f t="shared" si="15"/>
        <v>2.0399189506425078E-3</v>
      </c>
      <c r="G259" s="90">
        <v>1.1337374089739677E-2</v>
      </c>
      <c r="H259" s="89">
        <f t="shared" si="12"/>
        <v>2.3127324256183319E-5</v>
      </c>
      <c r="I259" s="90">
        <v>0.13500000000000001</v>
      </c>
      <c r="J259" s="89">
        <f t="shared" si="13"/>
        <v>2.7538905833673856E-4</v>
      </c>
      <c r="L259" s="91"/>
    </row>
    <row r="260" spans="1:12" x14ac:dyDescent="0.2">
      <c r="A260" s="79" t="s">
        <v>667</v>
      </c>
      <c r="B260" s="88" t="s">
        <v>668</v>
      </c>
      <c r="C260" s="165">
        <v>298.24</v>
      </c>
      <c r="D260" s="165">
        <v>196.56</v>
      </c>
      <c r="E260" s="165">
        <f t="shared" si="14"/>
        <v>58622.054400000001</v>
      </c>
      <c r="F260" s="89">
        <f t="shared" si="15"/>
        <v>1.9125690822978201E-3</v>
      </c>
      <c r="G260" s="90">
        <v>1.0582010582010581E-2</v>
      </c>
      <c r="H260" s="89">
        <f t="shared" si="12"/>
        <v>2.02388262677018E-5</v>
      </c>
      <c r="I260" s="90">
        <v>0.17499999999999999</v>
      </c>
      <c r="J260" s="89">
        <f t="shared" si="13"/>
        <v>3.3469958940211852E-4</v>
      </c>
      <c r="L260" s="91"/>
    </row>
    <row r="261" spans="1:12" x14ac:dyDescent="0.2">
      <c r="A261" s="79" t="s">
        <v>477</v>
      </c>
      <c r="B261" s="88" t="s">
        <v>1422</v>
      </c>
      <c r="C261" s="165">
        <v>609.61500000000001</v>
      </c>
      <c r="D261" s="165">
        <v>112.96</v>
      </c>
      <c r="E261" s="165">
        <f t="shared" si="14"/>
        <v>68862.11039999999</v>
      </c>
      <c r="F261" s="89">
        <f t="shared" si="15"/>
        <v>2.2466551989829132E-3</v>
      </c>
      <c r="G261" s="90" t="s">
        <v>138</v>
      </c>
      <c r="H261" s="89" t="str">
        <f t="shared" si="12"/>
        <v/>
      </c>
      <c r="I261" s="90">
        <v>9.5000000000000001E-2</v>
      </c>
      <c r="J261" s="89">
        <f t="shared" si="13"/>
        <v>2.1343224390337677E-4</v>
      </c>
      <c r="L261" s="91"/>
    </row>
    <row r="262" spans="1:12" x14ac:dyDescent="0.2">
      <c r="A262" s="79" t="s">
        <v>689</v>
      </c>
      <c r="B262" s="88" t="s">
        <v>690</v>
      </c>
      <c r="C262" s="165">
        <v>251.1</v>
      </c>
      <c r="D262" s="165">
        <v>75.64</v>
      </c>
      <c r="E262" s="165">
        <f t="shared" si="14"/>
        <v>18993.203999999998</v>
      </c>
      <c r="F262" s="89">
        <f t="shared" si="15"/>
        <v>6.196612369861825E-4</v>
      </c>
      <c r="G262" s="90">
        <v>2.0624008461131677E-2</v>
      </c>
      <c r="H262" s="89">
        <f t="shared" si="12"/>
        <v>1.2779898594638349E-5</v>
      </c>
      <c r="I262" s="90">
        <v>4.4999999999999998E-2</v>
      </c>
      <c r="J262" s="89">
        <f t="shared" si="13"/>
        <v>2.7884755664378212E-5</v>
      </c>
      <c r="L262" s="91"/>
    </row>
    <row r="263" spans="1:12" x14ac:dyDescent="0.2">
      <c r="A263" s="79" t="s">
        <v>794</v>
      </c>
      <c r="B263" s="88" t="s">
        <v>795</v>
      </c>
      <c r="C263" s="165">
        <v>522.80499999999995</v>
      </c>
      <c r="D263" s="165">
        <v>85.02</v>
      </c>
      <c r="E263" s="165">
        <f t="shared" si="14"/>
        <v>44448.881099999991</v>
      </c>
      <c r="F263" s="89">
        <f t="shared" si="15"/>
        <v>1.4501633660691342E-3</v>
      </c>
      <c r="G263" s="90">
        <v>1.2702893436838392E-2</v>
      </c>
      <c r="H263" s="89">
        <f t="shared" si="12"/>
        <v>1.8421270705183074E-5</v>
      </c>
      <c r="I263" s="90">
        <v>0.05</v>
      </c>
      <c r="J263" s="89">
        <f t="shared" si="13"/>
        <v>7.2508168303456706E-5</v>
      </c>
      <c r="L263" s="91"/>
    </row>
    <row r="264" spans="1:12" x14ac:dyDescent="0.2">
      <c r="A264" s="79" t="s">
        <v>340</v>
      </c>
      <c r="B264" s="88" t="s">
        <v>341</v>
      </c>
      <c r="C264" s="165">
        <v>442.79300000000001</v>
      </c>
      <c r="D264" s="165">
        <v>564.96</v>
      </c>
      <c r="E264" s="165">
        <f t="shared" si="14"/>
        <v>250160.33328000002</v>
      </c>
      <c r="F264" s="89">
        <f t="shared" si="15"/>
        <v>8.1615856684928191E-3</v>
      </c>
      <c r="G264" s="90">
        <v>7.2217502124044177E-3</v>
      </c>
      <c r="H264" s="89">
        <f t="shared" si="12"/>
        <v>5.8940933034994868E-5</v>
      </c>
      <c r="I264" s="90">
        <v>0.105</v>
      </c>
      <c r="J264" s="89">
        <f t="shared" si="13"/>
        <v>8.5696649519174603E-4</v>
      </c>
      <c r="L264" s="91"/>
    </row>
    <row r="265" spans="1:12" x14ac:dyDescent="0.2">
      <c r="A265" s="79" t="s">
        <v>914</v>
      </c>
      <c r="B265" s="88" t="s">
        <v>915</v>
      </c>
      <c r="C265" s="165">
        <v>379.77800000000002</v>
      </c>
      <c r="D265" s="165">
        <v>273.27</v>
      </c>
      <c r="E265" s="165">
        <f t="shared" si="14"/>
        <v>103781.93406</v>
      </c>
      <c r="F265" s="89">
        <f t="shared" si="15"/>
        <v>3.3859290742329746E-3</v>
      </c>
      <c r="G265" s="90">
        <v>1.0978153474585575E-2</v>
      </c>
      <c r="H265" s="89">
        <f t="shared" si="12"/>
        <v>3.7171249030991046E-5</v>
      </c>
      <c r="I265" s="90">
        <v>7.0000000000000007E-2</v>
      </c>
      <c r="J265" s="89">
        <f t="shared" si="13"/>
        <v>2.3701503519630825E-4</v>
      </c>
      <c r="L265" s="91"/>
    </row>
    <row r="266" spans="1:12" x14ac:dyDescent="0.2">
      <c r="A266" s="79" t="s">
        <v>956</v>
      </c>
      <c r="B266" s="88" t="s">
        <v>957</v>
      </c>
      <c r="C266" s="165">
        <v>285.55</v>
      </c>
      <c r="D266" s="165">
        <v>50.49</v>
      </c>
      <c r="E266" s="165">
        <f t="shared" si="14"/>
        <v>14417.419500000002</v>
      </c>
      <c r="F266" s="89">
        <f t="shared" si="15"/>
        <v>4.703743508214154E-4</v>
      </c>
      <c r="G266" s="90">
        <v>3.8027332144979199E-2</v>
      </c>
      <c r="H266" s="89">
        <f t="shared" si="12"/>
        <v>1.7887081671164931E-5</v>
      </c>
      <c r="I266" s="90">
        <v>0.06</v>
      </c>
      <c r="J266" s="89">
        <f t="shared" si="13"/>
        <v>2.8222461049284923E-5</v>
      </c>
      <c r="L266" s="91"/>
    </row>
    <row r="267" spans="1:12" x14ac:dyDescent="0.2">
      <c r="A267" s="79" t="s">
        <v>657</v>
      </c>
      <c r="B267" s="88" t="s">
        <v>658</v>
      </c>
      <c r="C267" s="165">
        <v>145.667</v>
      </c>
      <c r="D267" s="165">
        <v>92.46</v>
      </c>
      <c r="E267" s="165">
        <f t="shared" si="14"/>
        <v>13468.37082</v>
      </c>
      <c r="F267" s="89">
        <f t="shared" si="15"/>
        <v>4.3941124006827945E-4</v>
      </c>
      <c r="G267" s="90">
        <v>1.211334631191867E-2</v>
      </c>
      <c r="H267" s="89">
        <f t="shared" si="12"/>
        <v>5.322740524296702E-6</v>
      </c>
      <c r="I267" s="90">
        <v>0.155</v>
      </c>
      <c r="J267" s="89">
        <f t="shared" si="13"/>
        <v>6.8108742210583309E-5</v>
      </c>
      <c r="L267" s="91"/>
    </row>
    <row r="268" spans="1:12" x14ac:dyDescent="0.2">
      <c r="A268" s="79" t="s">
        <v>181</v>
      </c>
      <c r="B268" s="88" t="s">
        <v>182</v>
      </c>
      <c r="C268" s="165">
        <v>836.53399999999999</v>
      </c>
      <c r="D268" s="165">
        <v>138.44999999999999</v>
      </c>
      <c r="E268" s="165">
        <f t="shared" si="14"/>
        <v>115818.13229999998</v>
      </c>
      <c r="F268" s="89">
        <f t="shared" si="15"/>
        <v>3.7786150839240885E-3</v>
      </c>
      <c r="G268" s="90">
        <v>9.245214879017697E-3</v>
      </c>
      <c r="H268" s="89">
        <f t="shared" si="12"/>
        <v>3.4934108395975689E-5</v>
      </c>
      <c r="I268" s="90">
        <v>5.5E-2</v>
      </c>
      <c r="J268" s="89">
        <f t="shared" si="13"/>
        <v>2.0782382961582487E-4</v>
      </c>
      <c r="L268" s="91"/>
    </row>
    <row r="269" spans="1:12" x14ac:dyDescent="0.2">
      <c r="A269" s="79" t="s">
        <v>136</v>
      </c>
      <c r="B269" s="88" t="s">
        <v>137</v>
      </c>
      <c r="C269" s="165">
        <v>653.36199999999997</v>
      </c>
      <c r="D269" s="165">
        <v>12.81</v>
      </c>
      <c r="E269" s="165">
        <f t="shared" si="14"/>
        <v>8369.567219999999</v>
      </c>
      <c r="F269" s="89" t="str">
        <f t="shared" si="15"/>
        <v/>
      </c>
      <c r="G269" s="90" t="s">
        <v>138</v>
      </c>
      <c r="H269" s="89" t="str">
        <f t="shared" si="12"/>
        <v/>
      </c>
      <c r="I269" s="90" t="s">
        <v>138</v>
      </c>
      <c r="J269" s="89" t="str">
        <f t="shared" si="13"/>
        <v/>
      </c>
      <c r="L269" s="91"/>
    </row>
    <row r="270" spans="1:12" x14ac:dyDescent="0.2">
      <c r="A270" s="79" t="s">
        <v>277</v>
      </c>
      <c r="B270" s="88" t="s">
        <v>278</v>
      </c>
      <c r="C270" s="165">
        <v>246.35400000000001</v>
      </c>
      <c r="D270" s="165">
        <v>86.319400000000002</v>
      </c>
      <c r="E270" s="165">
        <f t="shared" si="14"/>
        <v>21265.1294676</v>
      </c>
      <c r="F270" s="89">
        <f t="shared" si="15"/>
        <v>6.9378375710408505E-4</v>
      </c>
      <c r="G270" s="90">
        <v>2.3197566248143526E-2</v>
      </c>
      <c r="H270" s="89">
        <f t="shared" si="12"/>
        <v>1.609409466730793E-5</v>
      </c>
      <c r="I270" s="90">
        <v>6.5000000000000002E-2</v>
      </c>
      <c r="J270" s="89">
        <f t="shared" si="13"/>
        <v>4.5095944211765531E-5</v>
      </c>
      <c r="L270" s="91"/>
    </row>
    <row r="271" spans="1:12" x14ac:dyDescent="0.2">
      <c r="A271" s="79" t="s">
        <v>313</v>
      </c>
      <c r="B271" s="88" t="s">
        <v>314</v>
      </c>
      <c r="C271" s="165">
        <v>156.85599999999999</v>
      </c>
      <c r="D271" s="165">
        <v>102.29</v>
      </c>
      <c r="E271" s="165">
        <f t="shared" si="14"/>
        <v>16044.80024</v>
      </c>
      <c r="F271" s="89">
        <f t="shared" si="15"/>
        <v>5.2346832919367365E-4</v>
      </c>
      <c r="G271" s="90">
        <v>2.9328380095806041E-2</v>
      </c>
      <c r="H271" s="89">
        <f t="shared" si="12"/>
        <v>1.5352478126708582E-5</v>
      </c>
      <c r="I271" s="90">
        <v>0.105</v>
      </c>
      <c r="J271" s="89">
        <f t="shared" si="13"/>
        <v>5.4964174565335729E-5</v>
      </c>
      <c r="L271" s="91"/>
    </row>
    <row r="272" spans="1:12" x14ac:dyDescent="0.2">
      <c r="A272" s="79" t="s">
        <v>788</v>
      </c>
      <c r="B272" s="88" t="s">
        <v>789</v>
      </c>
      <c r="C272" s="165">
        <v>610.399</v>
      </c>
      <c r="D272" s="165">
        <v>12.9</v>
      </c>
      <c r="E272" s="165">
        <f t="shared" si="14"/>
        <v>7874.1471000000001</v>
      </c>
      <c r="F272" s="89">
        <f t="shared" si="15"/>
        <v>2.5689734771432783E-4</v>
      </c>
      <c r="G272" s="90">
        <v>1.5503875968992248E-2</v>
      </c>
      <c r="H272" s="89">
        <f t="shared" si="12"/>
        <v>3.982904615726013E-6</v>
      </c>
      <c r="I272" s="90">
        <v>1.4999999999999999E-2</v>
      </c>
      <c r="J272" s="89">
        <f t="shared" si="13"/>
        <v>3.8534602157149176E-6</v>
      </c>
      <c r="L272" s="91"/>
    </row>
    <row r="273" spans="1:12" x14ac:dyDescent="0.2">
      <c r="A273" s="79" t="s">
        <v>386</v>
      </c>
      <c r="B273" s="88" t="s">
        <v>387</v>
      </c>
      <c r="C273" s="165">
        <v>338.29700000000003</v>
      </c>
      <c r="D273" s="165">
        <v>107.47</v>
      </c>
      <c r="E273" s="165">
        <f t="shared" si="14"/>
        <v>36356.778590000002</v>
      </c>
      <c r="F273" s="89">
        <f t="shared" si="15"/>
        <v>1.1861551317993615E-3</v>
      </c>
      <c r="G273" s="90">
        <v>9.3049223038987623E-3</v>
      </c>
      <c r="H273" s="89">
        <f t="shared" si="12"/>
        <v>1.1037081341763855E-5</v>
      </c>
      <c r="I273" s="90">
        <v>0.05</v>
      </c>
      <c r="J273" s="89">
        <f t="shared" si="13"/>
        <v>5.9307756589968078E-5</v>
      </c>
      <c r="L273" s="91"/>
    </row>
    <row r="274" spans="1:12" x14ac:dyDescent="0.2">
      <c r="A274" s="79" t="s">
        <v>415</v>
      </c>
      <c r="B274" s="88" t="s">
        <v>416</v>
      </c>
      <c r="C274" s="165">
        <v>270.91199999999998</v>
      </c>
      <c r="D274" s="165">
        <v>120.4</v>
      </c>
      <c r="E274" s="165">
        <f t="shared" si="14"/>
        <v>32617.804799999998</v>
      </c>
      <c r="F274" s="89">
        <f t="shared" si="15"/>
        <v>1.0641695455986173E-3</v>
      </c>
      <c r="G274" s="90">
        <v>6.3122923588039863E-3</v>
      </c>
      <c r="H274" s="89">
        <f t="shared" si="12"/>
        <v>6.717349291154062E-6</v>
      </c>
      <c r="I274" s="90">
        <v>0.16</v>
      </c>
      <c r="J274" s="89">
        <f t="shared" si="13"/>
        <v>1.7026712729577878E-4</v>
      </c>
      <c r="L274" s="91"/>
    </row>
    <row r="275" spans="1:12" x14ac:dyDescent="0.2">
      <c r="A275" s="79" t="s">
        <v>1423</v>
      </c>
      <c r="B275" s="88" t="s">
        <v>1424</v>
      </c>
      <c r="C275" s="165">
        <v>24.856999999999999</v>
      </c>
      <c r="D275" s="165">
        <v>868.53</v>
      </c>
      <c r="E275" s="165">
        <f t="shared" si="14"/>
        <v>21589.050209999998</v>
      </c>
      <c r="F275" s="89">
        <f t="shared" si="15"/>
        <v>7.0435180701925815E-4</v>
      </c>
      <c r="G275" s="90" t="s">
        <v>138</v>
      </c>
      <c r="H275" s="89" t="str">
        <f t="shared" ref="H275:H338" si="16">IFERROR($G275*$F275,"")</f>
        <v/>
      </c>
      <c r="I275" s="90">
        <v>0.16</v>
      </c>
      <c r="J275" s="89">
        <f t="shared" ref="J275:J338" si="17">IFERROR($I275*$F275,"")</f>
        <v>1.126962891230813E-4</v>
      </c>
      <c r="L275" s="91"/>
    </row>
    <row r="276" spans="1:12" x14ac:dyDescent="0.2">
      <c r="A276" s="79" t="s">
        <v>452</v>
      </c>
      <c r="B276" s="88" t="s">
        <v>453</v>
      </c>
      <c r="C276" s="165">
        <v>147.89699999999999</v>
      </c>
      <c r="D276" s="165">
        <v>114.63</v>
      </c>
      <c r="E276" s="165">
        <f t="shared" ref="E276:E339" si="18">IFERROR(C276*D276,"")</f>
        <v>16953.433109999998</v>
      </c>
      <c r="F276" s="89">
        <f t="shared" ref="F276:F339" si="19">IF(AND(ISNUMBER($I276)), IF(AND($I276&lt;=20%,$I276&gt;0%), $E276/SUMIFS($E$19:$E$521,$I$19:$I$521, "&gt;"&amp;0%,$I$19:$I$521, "&lt;="&amp;20%),""),"")</f>
        <v>5.5311285721488081E-4</v>
      </c>
      <c r="G276" s="90">
        <v>1.2038733315885893E-2</v>
      </c>
      <c r="H276" s="89">
        <f t="shared" si="16"/>
        <v>6.6587781815976224E-6</v>
      </c>
      <c r="I276" s="90">
        <v>0.1</v>
      </c>
      <c r="J276" s="89">
        <f t="shared" si="17"/>
        <v>5.5311285721488081E-5</v>
      </c>
      <c r="L276" s="91"/>
    </row>
    <row r="277" spans="1:12" x14ac:dyDescent="0.2">
      <c r="A277" s="79" t="s">
        <v>462</v>
      </c>
      <c r="B277" s="88" t="s">
        <v>463</v>
      </c>
      <c r="C277" s="165">
        <v>571.33299999999997</v>
      </c>
      <c r="D277" s="165">
        <v>54.64</v>
      </c>
      <c r="E277" s="165">
        <f t="shared" si="18"/>
        <v>31217.635119999999</v>
      </c>
      <c r="F277" s="89">
        <f t="shared" si="19"/>
        <v>1.0184884232403598E-3</v>
      </c>
      <c r="G277" s="90">
        <v>2.5622254758418738E-2</v>
      </c>
      <c r="H277" s="89">
        <f t="shared" si="16"/>
        <v>2.6095969848764707E-5</v>
      </c>
      <c r="I277" s="90">
        <v>6.5000000000000002E-2</v>
      </c>
      <c r="J277" s="89">
        <f t="shared" si="17"/>
        <v>6.6201747510623386E-5</v>
      </c>
      <c r="L277" s="91"/>
    </row>
    <row r="278" spans="1:12" x14ac:dyDescent="0.2">
      <c r="A278" s="79" t="s">
        <v>725</v>
      </c>
      <c r="B278" s="88" t="s">
        <v>726</v>
      </c>
      <c r="C278" s="165">
        <v>165.94900000000001</v>
      </c>
      <c r="D278" s="165">
        <v>126.45</v>
      </c>
      <c r="E278" s="165">
        <f t="shared" si="18"/>
        <v>20984.251050000003</v>
      </c>
      <c r="F278" s="89">
        <f t="shared" si="19"/>
        <v>6.8461998106646995E-4</v>
      </c>
      <c r="G278" s="90">
        <v>4.1122973507315141E-2</v>
      </c>
      <c r="H278" s="89">
        <f t="shared" si="16"/>
        <v>2.8153609343975037E-5</v>
      </c>
      <c r="I278" s="90">
        <v>6.5000000000000002E-2</v>
      </c>
      <c r="J278" s="89">
        <f t="shared" si="17"/>
        <v>4.4500298769320547E-5</v>
      </c>
      <c r="L278" s="91"/>
    </row>
    <row r="279" spans="1:12" x14ac:dyDescent="0.2">
      <c r="A279" s="79" t="s">
        <v>1041</v>
      </c>
      <c r="B279" s="88" t="s">
        <v>61</v>
      </c>
      <c r="C279" s="165">
        <v>551.53300000000002</v>
      </c>
      <c r="D279" s="165">
        <v>57.22</v>
      </c>
      <c r="E279" s="165">
        <f t="shared" si="18"/>
        <v>31558.718260000001</v>
      </c>
      <c r="F279" s="89">
        <f t="shared" si="19"/>
        <v>1.0296164035667719E-3</v>
      </c>
      <c r="G279" s="90">
        <v>3.6350926249563091E-2</v>
      </c>
      <c r="H279" s="89">
        <f t="shared" si="16"/>
        <v>3.7427509951396112E-5</v>
      </c>
      <c r="I279" s="90">
        <v>0.06</v>
      </c>
      <c r="J279" s="89">
        <f t="shared" si="17"/>
        <v>6.1776984214006314E-5</v>
      </c>
      <c r="L279" s="91"/>
    </row>
    <row r="280" spans="1:12" x14ac:dyDescent="0.2">
      <c r="A280" s="79" t="s">
        <v>478</v>
      </c>
      <c r="B280" s="88" t="s">
        <v>479</v>
      </c>
      <c r="C280" s="165">
        <v>680.88900000000001</v>
      </c>
      <c r="D280" s="165">
        <v>25.33</v>
      </c>
      <c r="E280" s="165">
        <f t="shared" si="18"/>
        <v>17246.918369999999</v>
      </c>
      <c r="F280" s="89">
        <f t="shared" si="19"/>
        <v>5.6268793676695706E-4</v>
      </c>
      <c r="G280" s="90">
        <v>5.5270430319778921E-2</v>
      </c>
      <c r="H280" s="89">
        <f t="shared" si="16"/>
        <v>3.1100004400858269E-5</v>
      </c>
      <c r="I280" s="90">
        <v>4.4999999999999998E-2</v>
      </c>
      <c r="J280" s="89">
        <f t="shared" si="17"/>
        <v>2.5320957154513066E-5</v>
      </c>
      <c r="L280" s="91"/>
    </row>
    <row r="281" spans="1:12" x14ac:dyDescent="0.2">
      <c r="A281" s="79" t="s">
        <v>497</v>
      </c>
      <c r="B281" s="88" t="s">
        <v>498</v>
      </c>
      <c r="C281" s="165">
        <v>1246.0139999999999</v>
      </c>
      <c r="D281" s="165">
        <v>74.94</v>
      </c>
      <c r="E281" s="165">
        <f t="shared" si="18"/>
        <v>93376.289159999986</v>
      </c>
      <c r="F281" s="89">
        <f t="shared" si="19"/>
        <v>3.0464405503181592E-3</v>
      </c>
      <c r="G281" s="90">
        <v>4.0032025620496396E-2</v>
      </c>
      <c r="H281" s="89">
        <f t="shared" si="16"/>
        <v>1.2195518616165569E-4</v>
      </c>
      <c r="I281" s="90">
        <v>0.13500000000000001</v>
      </c>
      <c r="J281" s="89">
        <f t="shared" si="17"/>
        <v>4.1126947429295151E-4</v>
      </c>
      <c r="L281" s="91"/>
    </row>
    <row r="282" spans="1:12" x14ac:dyDescent="0.2">
      <c r="A282" s="79" t="s">
        <v>524</v>
      </c>
      <c r="B282" s="88" t="s">
        <v>525</v>
      </c>
      <c r="C282" s="165">
        <v>138.74100000000001</v>
      </c>
      <c r="D282" s="165">
        <v>66.14</v>
      </c>
      <c r="E282" s="165">
        <f t="shared" si="18"/>
        <v>9176.329740000001</v>
      </c>
      <c r="F282" s="89">
        <f t="shared" si="19"/>
        <v>2.9938160184461216E-4</v>
      </c>
      <c r="G282" s="90">
        <v>4.233444209253099E-2</v>
      </c>
      <c r="H282" s="89">
        <f t="shared" si="16"/>
        <v>1.2674153086859903E-5</v>
      </c>
      <c r="I282" s="90">
        <v>8.5000000000000006E-2</v>
      </c>
      <c r="J282" s="89">
        <f t="shared" si="17"/>
        <v>2.5447436156792034E-5</v>
      </c>
      <c r="L282" s="91"/>
    </row>
    <row r="283" spans="1:12" x14ac:dyDescent="0.2">
      <c r="A283" s="79" t="s">
        <v>526</v>
      </c>
      <c r="B283" s="88" t="s">
        <v>527</v>
      </c>
      <c r="C283" s="165">
        <v>1447.8820000000001</v>
      </c>
      <c r="D283" s="165">
        <v>10.4</v>
      </c>
      <c r="E283" s="165">
        <f t="shared" si="18"/>
        <v>15057.972800000001</v>
      </c>
      <c r="F283" s="89">
        <f t="shared" si="19"/>
        <v>4.9127267056955166E-4</v>
      </c>
      <c r="G283" s="90">
        <v>5.9615384615384612E-2</v>
      </c>
      <c r="H283" s="89">
        <f t="shared" si="16"/>
        <v>2.9287409207030964E-5</v>
      </c>
      <c r="I283" s="90">
        <v>0.105</v>
      </c>
      <c r="J283" s="89">
        <f t="shared" si="17"/>
        <v>5.1583630409802923E-5</v>
      </c>
      <c r="L283" s="91"/>
    </row>
    <row r="284" spans="1:12" x14ac:dyDescent="0.2">
      <c r="A284" s="79" t="s">
        <v>1017</v>
      </c>
      <c r="B284" s="88" t="s">
        <v>1018</v>
      </c>
      <c r="C284" s="165">
        <v>518.72900000000004</v>
      </c>
      <c r="D284" s="165">
        <v>81.92</v>
      </c>
      <c r="E284" s="165">
        <f t="shared" si="18"/>
        <v>42494.279680000007</v>
      </c>
      <c r="F284" s="89">
        <f t="shared" si="19"/>
        <v>1.3863936759351189E-3</v>
      </c>
      <c r="G284" s="90">
        <v>2.978515625E-2</v>
      </c>
      <c r="H284" s="89">
        <f t="shared" si="16"/>
        <v>4.1293952261739384E-5</v>
      </c>
      <c r="I284" s="90">
        <v>0.12</v>
      </c>
      <c r="J284" s="89">
        <f t="shared" si="17"/>
        <v>1.6636724111221426E-4</v>
      </c>
      <c r="L284" s="91"/>
    </row>
    <row r="285" spans="1:12" x14ac:dyDescent="0.2">
      <c r="A285" s="79" t="s">
        <v>247</v>
      </c>
      <c r="B285" s="88" t="s">
        <v>248</v>
      </c>
      <c r="C285" s="165">
        <v>144.82300000000001</v>
      </c>
      <c r="D285" s="165">
        <v>257.01</v>
      </c>
      <c r="E285" s="165">
        <f t="shared" si="18"/>
        <v>37220.95923</v>
      </c>
      <c r="F285" s="89" t="str">
        <f t="shared" si="19"/>
        <v/>
      </c>
      <c r="G285" s="90" t="s">
        <v>138</v>
      </c>
      <c r="H285" s="89" t="str">
        <f t="shared" si="16"/>
        <v/>
      </c>
      <c r="I285" s="90">
        <v>-0.01</v>
      </c>
      <c r="J285" s="89" t="str">
        <f t="shared" si="17"/>
        <v/>
      </c>
      <c r="L285" s="91"/>
    </row>
    <row r="286" spans="1:12" x14ac:dyDescent="0.2">
      <c r="A286" s="79" t="s">
        <v>757</v>
      </c>
      <c r="B286" s="88" t="s">
        <v>758</v>
      </c>
      <c r="C286" s="165">
        <v>207.00399999999999</v>
      </c>
      <c r="D286" s="165">
        <v>69.48</v>
      </c>
      <c r="E286" s="165">
        <f t="shared" si="18"/>
        <v>14382.637920000001</v>
      </c>
      <c r="F286" s="89">
        <f t="shared" si="19"/>
        <v>4.6923958720348482E-4</v>
      </c>
      <c r="G286" s="90">
        <v>4.317789291882556E-2</v>
      </c>
      <c r="H286" s="89">
        <f t="shared" si="16"/>
        <v>2.0260776649545977E-5</v>
      </c>
      <c r="I286" s="90">
        <v>5.5E-2</v>
      </c>
      <c r="J286" s="89">
        <f t="shared" si="17"/>
        <v>2.5808177296191665E-5</v>
      </c>
      <c r="L286" s="91"/>
    </row>
    <row r="287" spans="1:12" x14ac:dyDescent="0.2">
      <c r="A287" s="79" t="s">
        <v>813</v>
      </c>
      <c r="B287" s="88" t="s">
        <v>814</v>
      </c>
      <c r="C287" s="165">
        <v>89.915000000000006</v>
      </c>
      <c r="D287" s="165">
        <v>153.55000000000001</v>
      </c>
      <c r="E287" s="165">
        <f t="shared" si="18"/>
        <v>13806.448250000001</v>
      </c>
      <c r="F287" s="89">
        <f t="shared" si="19"/>
        <v>4.5044115784681282E-4</v>
      </c>
      <c r="G287" s="90">
        <v>3.2562683165092803E-2</v>
      </c>
      <c r="H287" s="89">
        <f t="shared" si="16"/>
        <v>1.4667572707483321E-5</v>
      </c>
      <c r="I287" s="90">
        <v>0.09</v>
      </c>
      <c r="J287" s="89">
        <f t="shared" si="17"/>
        <v>4.0539704206213151E-5</v>
      </c>
      <c r="L287" s="91"/>
    </row>
    <row r="288" spans="1:12" x14ac:dyDescent="0.2">
      <c r="A288" s="79" t="s">
        <v>792</v>
      </c>
      <c r="B288" s="88" t="s">
        <v>793</v>
      </c>
      <c r="C288" s="165">
        <v>361.23200000000003</v>
      </c>
      <c r="D288" s="165">
        <v>115.33</v>
      </c>
      <c r="E288" s="165">
        <f t="shared" si="18"/>
        <v>41660.886559999999</v>
      </c>
      <c r="F288" s="89">
        <f t="shared" si="19"/>
        <v>1.359203876276516E-3</v>
      </c>
      <c r="G288" s="90">
        <v>3.0867944160235847E-2</v>
      </c>
      <c r="H288" s="89">
        <f t="shared" si="16"/>
        <v>4.195582935527961E-5</v>
      </c>
      <c r="I288" s="90">
        <v>9.5000000000000001E-2</v>
      </c>
      <c r="J288" s="89">
        <f t="shared" si="17"/>
        <v>1.2912436824626903E-4</v>
      </c>
      <c r="L288" s="91"/>
    </row>
    <row r="289" spans="1:12" x14ac:dyDescent="0.2">
      <c r="A289" s="79" t="s">
        <v>845</v>
      </c>
      <c r="B289" s="88" t="s">
        <v>846</v>
      </c>
      <c r="C289" s="165">
        <v>1116</v>
      </c>
      <c r="D289" s="165">
        <v>111.06</v>
      </c>
      <c r="E289" s="165">
        <f t="shared" si="18"/>
        <v>123942.96</v>
      </c>
      <c r="F289" s="89">
        <f t="shared" si="19"/>
        <v>4.0436909912265964E-3</v>
      </c>
      <c r="G289" s="90">
        <v>2.8813254096884566E-2</v>
      </c>
      <c r="H289" s="89">
        <f t="shared" si="16"/>
        <v>1.1651189601949494E-4</v>
      </c>
      <c r="I289" s="90">
        <v>5.5E-2</v>
      </c>
      <c r="J289" s="89">
        <f t="shared" si="17"/>
        <v>2.224030045174628E-4</v>
      </c>
      <c r="L289" s="91"/>
    </row>
    <row r="290" spans="1:12" x14ac:dyDescent="0.2">
      <c r="A290" s="79" t="s">
        <v>870</v>
      </c>
      <c r="B290" s="88" t="s">
        <v>871</v>
      </c>
      <c r="C290" s="165">
        <v>338.63200000000001</v>
      </c>
      <c r="D290" s="165">
        <v>112.95</v>
      </c>
      <c r="E290" s="165">
        <f t="shared" si="18"/>
        <v>38248.484400000001</v>
      </c>
      <c r="F290" s="89">
        <f t="shared" si="19"/>
        <v>1.2478728263093845E-3</v>
      </c>
      <c r="G290" s="90">
        <v>1.186365648517043E-2</v>
      </c>
      <c r="H290" s="89">
        <f t="shared" si="16"/>
        <v>1.4804334548513284E-5</v>
      </c>
      <c r="I290" s="90">
        <v>0.14000000000000001</v>
      </c>
      <c r="J290" s="89">
        <f t="shared" si="17"/>
        <v>1.7470219568331384E-4</v>
      </c>
      <c r="L290" s="91"/>
    </row>
    <row r="291" spans="1:12" x14ac:dyDescent="0.2">
      <c r="A291" s="79" t="s">
        <v>564</v>
      </c>
      <c r="B291" s="88" t="s">
        <v>565</v>
      </c>
      <c r="C291" s="165">
        <v>83.012</v>
      </c>
      <c r="D291" s="165">
        <v>437.27</v>
      </c>
      <c r="E291" s="165">
        <f t="shared" si="18"/>
        <v>36298.65724</v>
      </c>
      <c r="F291" s="89">
        <f t="shared" si="19"/>
        <v>1.1842588984078647E-3</v>
      </c>
      <c r="G291" s="90" t="s">
        <v>138</v>
      </c>
      <c r="H291" s="89" t="str">
        <f t="shared" si="16"/>
        <v/>
      </c>
      <c r="I291" s="90">
        <v>0.105</v>
      </c>
      <c r="J291" s="89">
        <f t="shared" si="17"/>
        <v>1.243471843328258E-4</v>
      </c>
      <c r="L291" s="91"/>
    </row>
    <row r="292" spans="1:12" x14ac:dyDescent="0.2">
      <c r="A292" s="79" t="s">
        <v>877</v>
      </c>
      <c r="B292" s="88" t="s">
        <v>878</v>
      </c>
      <c r="C292" s="165">
        <v>1145.4000000000001</v>
      </c>
      <c r="D292" s="165">
        <v>91.27</v>
      </c>
      <c r="E292" s="165">
        <f t="shared" si="18"/>
        <v>104540.65800000001</v>
      </c>
      <c r="F292" s="89">
        <f t="shared" si="19"/>
        <v>3.4106827606142421E-3</v>
      </c>
      <c r="G292" s="90">
        <v>2.4980826120302398E-2</v>
      </c>
      <c r="H292" s="89">
        <f t="shared" si="16"/>
        <v>8.5201672994417356E-5</v>
      </c>
      <c r="I292" s="90">
        <v>0.16</v>
      </c>
      <c r="J292" s="89">
        <f t="shared" si="17"/>
        <v>5.457092416982787E-4</v>
      </c>
      <c r="L292" s="91"/>
    </row>
    <row r="293" spans="1:12" x14ac:dyDescent="0.2">
      <c r="A293" s="79" t="s">
        <v>610</v>
      </c>
      <c r="B293" s="88" t="s">
        <v>611</v>
      </c>
      <c r="C293" s="165">
        <v>935.91899999999998</v>
      </c>
      <c r="D293" s="165">
        <v>10.76</v>
      </c>
      <c r="E293" s="165">
        <f t="shared" si="18"/>
        <v>10070.488439999999</v>
      </c>
      <c r="F293" s="89">
        <f t="shared" si="19"/>
        <v>3.2855390400616196E-4</v>
      </c>
      <c r="G293" s="90">
        <v>7.6208178438661706E-2</v>
      </c>
      <c r="H293" s="89">
        <f t="shared" si="16"/>
        <v>2.5038494543220519E-5</v>
      </c>
      <c r="I293" s="90">
        <v>7.4999999999999997E-2</v>
      </c>
      <c r="J293" s="89">
        <f t="shared" si="17"/>
        <v>2.4641542800462147E-5</v>
      </c>
      <c r="L293" s="91"/>
    </row>
    <row r="294" spans="1:12" x14ac:dyDescent="0.2">
      <c r="A294" s="79" t="s">
        <v>484</v>
      </c>
      <c r="B294" s="88" t="s">
        <v>486</v>
      </c>
      <c r="C294" s="165">
        <v>253.684</v>
      </c>
      <c r="D294" s="165">
        <v>31.2</v>
      </c>
      <c r="E294" s="165">
        <f t="shared" si="18"/>
        <v>7914.9407999999994</v>
      </c>
      <c r="F294" s="89">
        <f t="shared" si="19"/>
        <v>2.5822825926580923E-4</v>
      </c>
      <c r="G294" s="90">
        <v>1.6666666666666666E-2</v>
      </c>
      <c r="H294" s="89">
        <f t="shared" si="16"/>
        <v>4.3038043210968202E-6</v>
      </c>
      <c r="I294" s="90">
        <v>8.5000000000000006E-2</v>
      </c>
      <c r="J294" s="89">
        <f t="shared" si="17"/>
        <v>2.1949402037593784E-5</v>
      </c>
      <c r="L294" s="91"/>
    </row>
    <row r="295" spans="1:12" x14ac:dyDescent="0.2">
      <c r="A295" s="79" t="s">
        <v>484</v>
      </c>
      <c r="B295" s="88" t="s">
        <v>485</v>
      </c>
      <c r="C295" s="165">
        <v>235.58099999999999</v>
      </c>
      <c r="D295" s="165">
        <v>28.88</v>
      </c>
      <c r="E295" s="165">
        <f t="shared" si="18"/>
        <v>6803.579279999999</v>
      </c>
      <c r="F295" s="89" t="str">
        <f t="shared" si="19"/>
        <v/>
      </c>
      <c r="G295" s="90">
        <v>1.8005540166204988E-2</v>
      </c>
      <c r="H295" s="89" t="str">
        <f t="shared" si="16"/>
        <v/>
      </c>
      <c r="I295" s="90" t="s">
        <v>138</v>
      </c>
      <c r="J295" s="89" t="str">
        <f t="shared" si="17"/>
        <v/>
      </c>
      <c r="L295" s="91"/>
    </row>
    <row r="296" spans="1:12" x14ac:dyDescent="0.2">
      <c r="A296" s="79" t="s">
        <v>902</v>
      </c>
      <c r="B296" s="88" t="s">
        <v>903</v>
      </c>
      <c r="C296" s="165">
        <v>318.64</v>
      </c>
      <c r="D296" s="165">
        <v>66.959999999999994</v>
      </c>
      <c r="E296" s="165">
        <f t="shared" si="18"/>
        <v>21336.134399999995</v>
      </c>
      <c r="F296" s="89">
        <f t="shared" si="19"/>
        <v>6.9610032276847228E-4</v>
      </c>
      <c r="G296" s="90">
        <v>4.1218637992831542E-2</v>
      </c>
      <c r="H296" s="89">
        <f t="shared" si="16"/>
        <v>2.8692307210886849E-5</v>
      </c>
      <c r="I296" s="90">
        <v>0.09</v>
      </c>
      <c r="J296" s="89">
        <f t="shared" si="17"/>
        <v>6.2649029049162506E-5</v>
      </c>
      <c r="L296" s="91"/>
    </row>
    <row r="297" spans="1:12" x14ac:dyDescent="0.2">
      <c r="A297" s="79" t="s">
        <v>733</v>
      </c>
      <c r="B297" s="88" t="s">
        <v>734</v>
      </c>
      <c r="C297" s="165">
        <v>425.42399999999998</v>
      </c>
      <c r="D297" s="165">
        <v>16.48</v>
      </c>
      <c r="E297" s="165">
        <f t="shared" si="18"/>
        <v>7010.9875199999997</v>
      </c>
      <c r="F297" s="89" t="str">
        <f t="shared" si="19"/>
        <v/>
      </c>
      <c r="G297" s="90" t="s">
        <v>138</v>
      </c>
      <c r="H297" s="89" t="str">
        <f t="shared" si="16"/>
        <v/>
      </c>
      <c r="I297" s="90" t="s">
        <v>138</v>
      </c>
      <c r="J297" s="89" t="str">
        <f t="shared" si="17"/>
        <v/>
      </c>
      <c r="L297" s="91"/>
    </row>
    <row r="298" spans="1:12" x14ac:dyDescent="0.2">
      <c r="A298" s="79" t="s">
        <v>984</v>
      </c>
      <c r="B298" s="88" t="s">
        <v>985</v>
      </c>
      <c r="C298" s="165">
        <v>1556.9649999999999</v>
      </c>
      <c r="D298" s="165">
        <v>33.06</v>
      </c>
      <c r="E298" s="165">
        <f t="shared" si="18"/>
        <v>51473.262900000002</v>
      </c>
      <c r="F298" s="89">
        <f t="shared" si="19"/>
        <v>1.6793367648938525E-3</v>
      </c>
      <c r="G298" s="90">
        <v>5.8076225045372042E-2</v>
      </c>
      <c r="H298" s="89">
        <f t="shared" si="16"/>
        <v>9.752953988494241E-5</v>
      </c>
      <c r="I298" s="90">
        <v>0.04</v>
      </c>
      <c r="J298" s="89">
        <f t="shared" si="17"/>
        <v>6.7173470595754099E-5</v>
      </c>
      <c r="L298" s="91"/>
    </row>
    <row r="299" spans="1:12" x14ac:dyDescent="0.2">
      <c r="A299" s="79" t="s">
        <v>203</v>
      </c>
      <c r="B299" s="88" t="s">
        <v>204</v>
      </c>
      <c r="C299" s="165">
        <v>124.59</v>
      </c>
      <c r="D299" s="165">
        <v>66.13</v>
      </c>
      <c r="E299" s="165">
        <f t="shared" si="18"/>
        <v>8239.1366999999991</v>
      </c>
      <c r="F299" s="89">
        <f t="shared" si="19"/>
        <v>2.6880528631294926E-4</v>
      </c>
      <c r="G299" s="90">
        <v>1.814607591108423E-2</v>
      </c>
      <c r="H299" s="89">
        <f t="shared" si="16"/>
        <v>4.8777611307355079E-6</v>
      </c>
      <c r="I299" s="90">
        <v>9.5000000000000001E-2</v>
      </c>
      <c r="J299" s="89">
        <f t="shared" si="17"/>
        <v>2.553650219973018E-5</v>
      </c>
      <c r="L299" s="91"/>
    </row>
    <row r="300" spans="1:12" x14ac:dyDescent="0.2">
      <c r="A300" s="79" t="s">
        <v>1218</v>
      </c>
      <c r="B300" s="88" t="s">
        <v>1219</v>
      </c>
      <c r="C300" s="165">
        <v>639.43899999999996</v>
      </c>
      <c r="D300" s="165">
        <v>17.68</v>
      </c>
      <c r="E300" s="165">
        <f t="shared" si="18"/>
        <v>11305.281519999999</v>
      </c>
      <c r="F300" s="89">
        <f t="shared" si="19"/>
        <v>3.6883954551113278E-4</v>
      </c>
      <c r="G300" s="90">
        <v>2.828054298642534E-2</v>
      </c>
      <c r="H300" s="89">
        <f t="shared" si="16"/>
        <v>1.0430982621921176E-5</v>
      </c>
      <c r="I300" s="90">
        <v>0.105</v>
      </c>
      <c r="J300" s="89">
        <f t="shared" si="17"/>
        <v>3.8728152278668942E-5</v>
      </c>
      <c r="L300" s="91"/>
    </row>
    <row r="301" spans="1:12" x14ac:dyDescent="0.2">
      <c r="A301" s="79" t="s">
        <v>948</v>
      </c>
      <c r="B301" s="88" t="s">
        <v>949</v>
      </c>
      <c r="C301" s="165">
        <v>224.29499999999999</v>
      </c>
      <c r="D301" s="165">
        <v>104.87</v>
      </c>
      <c r="E301" s="165">
        <f t="shared" si="18"/>
        <v>23521.816650000001</v>
      </c>
      <c r="F301" s="89">
        <f t="shared" si="19"/>
        <v>7.6740912178383306E-4</v>
      </c>
      <c r="G301" s="90">
        <v>4.6533803757032512E-2</v>
      </c>
      <c r="H301" s="89">
        <f t="shared" si="16"/>
        <v>3.571046547444555E-5</v>
      </c>
      <c r="I301" s="90">
        <v>0.02</v>
      </c>
      <c r="J301" s="89">
        <f t="shared" si="17"/>
        <v>1.5348182435676662E-5</v>
      </c>
      <c r="L301" s="91"/>
    </row>
    <row r="302" spans="1:12" x14ac:dyDescent="0.2">
      <c r="A302" s="79" t="s">
        <v>1023</v>
      </c>
      <c r="B302" s="88" t="s">
        <v>1024</v>
      </c>
      <c r="C302" s="165">
        <v>405.05900000000003</v>
      </c>
      <c r="D302" s="165">
        <v>152.44</v>
      </c>
      <c r="E302" s="165">
        <f t="shared" si="18"/>
        <v>61747.193960000004</v>
      </c>
      <c r="F302" s="89">
        <f t="shared" si="19"/>
        <v>2.0145280696021242E-3</v>
      </c>
      <c r="G302" s="90">
        <v>1.8367882445552347E-2</v>
      </c>
      <c r="H302" s="89">
        <f t="shared" si="16"/>
        <v>3.7002614765717312E-5</v>
      </c>
      <c r="I302" s="90">
        <v>6.5000000000000002E-2</v>
      </c>
      <c r="J302" s="89">
        <f t="shared" si="17"/>
        <v>1.3094432452413808E-4</v>
      </c>
      <c r="L302" s="91"/>
    </row>
    <row r="303" spans="1:12" x14ac:dyDescent="0.2">
      <c r="A303" s="79" t="s">
        <v>906</v>
      </c>
      <c r="B303" s="88" t="s">
        <v>907</v>
      </c>
      <c r="C303" s="165">
        <v>183.30099999999999</v>
      </c>
      <c r="D303" s="165">
        <v>251.33</v>
      </c>
      <c r="E303" s="165">
        <f t="shared" si="18"/>
        <v>46069.040329999996</v>
      </c>
      <c r="F303" s="89">
        <f t="shared" si="19"/>
        <v>1.5030217396524636E-3</v>
      </c>
      <c r="G303" s="90">
        <v>1.4164644093422989E-2</v>
      </c>
      <c r="H303" s="89">
        <f t="shared" si="16"/>
        <v>2.1289768006854614E-5</v>
      </c>
      <c r="I303" s="90">
        <v>5.5E-2</v>
      </c>
      <c r="J303" s="89">
        <f t="shared" si="17"/>
        <v>8.2666195680885501E-5</v>
      </c>
      <c r="L303" s="91"/>
    </row>
    <row r="304" spans="1:12" x14ac:dyDescent="0.2">
      <c r="A304" s="79" t="s">
        <v>1044</v>
      </c>
      <c r="B304" s="88" t="s">
        <v>1045</v>
      </c>
      <c r="C304" s="165">
        <v>211.71600000000001</v>
      </c>
      <c r="D304" s="165">
        <v>34.159999999999997</v>
      </c>
      <c r="E304" s="165">
        <f t="shared" si="18"/>
        <v>7232.2185599999993</v>
      </c>
      <c r="F304" s="89">
        <f t="shared" si="19"/>
        <v>2.359541601850866E-4</v>
      </c>
      <c r="G304" s="90">
        <v>1.6393442622950824E-2</v>
      </c>
      <c r="H304" s="89">
        <f t="shared" si="16"/>
        <v>3.8681009866407646E-6</v>
      </c>
      <c r="I304" s="90">
        <v>0.12</v>
      </c>
      <c r="J304" s="89">
        <f t="shared" si="17"/>
        <v>2.8314499222210392E-5</v>
      </c>
      <c r="L304" s="91"/>
    </row>
    <row r="305" spans="1:12" x14ac:dyDescent="0.2">
      <c r="A305" s="79" t="s">
        <v>1054</v>
      </c>
      <c r="B305" s="88" t="s">
        <v>1055</v>
      </c>
      <c r="C305" s="165">
        <v>148.14500000000001</v>
      </c>
      <c r="D305" s="165">
        <v>34.89</v>
      </c>
      <c r="E305" s="165">
        <f t="shared" si="18"/>
        <v>5168.7790500000001</v>
      </c>
      <c r="F305" s="89">
        <f t="shared" si="19"/>
        <v>1.6863358177120961E-4</v>
      </c>
      <c r="G305" s="90">
        <v>4.7004872456291195E-2</v>
      </c>
      <c r="H305" s="89">
        <f t="shared" si="16"/>
        <v>7.92660000300326E-6</v>
      </c>
      <c r="I305" s="90">
        <v>6.5000000000000002E-2</v>
      </c>
      <c r="J305" s="89">
        <f t="shared" si="17"/>
        <v>1.0961182815128625E-5</v>
      </c>
      <c r="L305" s="91"/>
    </row>
    <row r="306" spans="1:12" x14ac:dyDescent="0.2">
      <c r="A306" s="79" t="s">
        <v>175</v>
      </c>
      <c r="B306" s="88" t="s">
        <v>176</v>
      </c>
      <c r="C306" s="165">
        <v>127.224</v>
      </c>
      <c r="D306" s="165">
        <v>37.08</v>
      </c>
      <c r="E306" s="165">
        <f t="shared" si="18"/>
        <v>4717.4659199999996</v>
      </c>
      <c r="F306" s="89" t="str">
        <f t="shared" si="19"/>
        <v/>
      </c>
      <c r="G306" s="90" t="s">
        <v>138</v>
      </c>
      <c r="H306" s="89" t="str">
        <f t="shared" si="16"/>
        <v/>
      </c>
      <c r="I306" s="90" t="s">
        <v>138</v>
      </c>
      <c r="J306" s="89" t="str">
        <f t="shared" si="17"/>
        <v/>
      </c>
      <c r="L306" s="91"/>
    </row>
    <row r="307" spans="1:12" x14ac:dyDescent="0.2">
      <c r="A307" s="79" t="s">
        <v>594</v>
      </c>
      <c r="B307" s="88" t="s">
        <v>595</v>
      </c>
      <c r="C307" s="165">
        <v>448.62099999999998</v>
      </c>
      <c r="D307" s="165">
        <v>14.52</v>
      </c>
      <c r="E307" s="165">
        <f t="shared" si="18"/>
        <v>6513.9769199999992</v>
      </c>
      <c r="F307" s="89">
        <f t="shared" si="19"/>
        <v>2.1252122579985152E-4</v>
      </c>
      <c r="G307" s="90">
        <v>5.5096418732782371E-2</v>
      </c>
      <c r="H307" s="89">
        <f t="shared" si="16"/>
        <v>1.1709158446272811E-5</v>
      </c>
      <c r="I307" s="90">
        <v>6.5000000000000002E-2</v>
      </c>
      <c r="J307" s="89">
        <f t="shared" si="17"/>
        <v>1.3813879676990349E-5</v>
      </c>
      <c r="L307" s="91"/>
    </row>
    <row r="308" spans="1:12" x14ac:dyDescent="0.2">
      <c r="A308" s="79" t="s">
        <v>576</v>
      </c>
      <c r="B308" s="88" t="s">
        <v>577</v>
      </c>
      <c r="C308" s="165">
        <v>280.25900000000001</v>
      </c>
      <c r="D308" s="165">
        <v>510.94</v>
      </c>
      <c r="E308" s="165">
        <f t="shared" si="18"/>
        <v>143195.53346000001</v>
      </c>
      <c r="F308" s="89">
        <f t="shared" si="19"/>
        <v>4.6718142654983271E-3</v>
      </c>
      <c r="G308" s="90">
        <v>7.0458370845891891E-3</v>
      </c>
      <c r="H308" s="89">
        <f t="shared" si="16"/>
        <v>3.2916842204160918E-5</v>
      </c>
      <c r="I308" s="90">
        <v>0.14499999999999999</v>
      </c>
      <c r="J308" s="89">
        <f t="shared" si="17"/>
        <v>6.7741306849725743E-4</v>
      </c>
      <c r="L308" s="91"/>
    </row>
    <row r="309" spans="1:12" x14ac:dyDescent="0.2">
      <c r="A309" s="79" t="s">
        <v>717</v>
      </c>
      <c r="B309" s="88" t="s">
        <v>718</v>
      </c>
      <c r="C309" s="165">
        <v>1656.9670000000001</v>
      </c>
      <c r="D309" s="165">
        <v>81.67</v>
      </c>
      <c r="E309" s="165">
        <f t="shared" si="18"/>
        <v>135324.49489</v>
      </c>
      <c r="F309" s="89">
        <f t="shared" si="19"/>
        <v>4.415018334877451E-3</v>
      </c>
      <c r="G309" s="90">
        <v>4.1630953838618832E-2</v>
      </c>
      <c r="H309" s="89">
        <f t="shared" si="16"/>
        <v>1.8380142449593895E-4</v>
      </c>
      <c r="I309" s="90">
        <v>7.4999999999999997E-2</v>
      </c>
      <c r="J309" s="89">
        <f t="shared" si="17"/>
        <v>3.311263751158088E-4</v>
      </c>
      <c r="L309" s="91"/>
    </row>
    <row r="310" spans="1:12" x14ac:dyDescent="0.2">
      <c r="A310" s="79" t="s">
        <v>673</v>
      </c>
      <c r="B310" s="88" t="s">
        <v>674</v>
      </c>
      <c r="C310" s="165">
        <v>544.33399999999995</v>
      </c>
      <c r="D310" s="165">
        <v>78.05</v>
      </c>
      <c r="E310" s="165">
        <f t="shared" si="18"/>
        <v>42485.268699999993</v>
      </c>
      <c r="F310" s="89">
        <f t="shared" si="19"/>
        <v>1.3860996889378085E-3</v>
      </c>
      <c r="G310" s="90">
        <v>2.1012171684817425E-2</v>
      </c>
      <c r="H310" s="89">
        <f t="shared" si="16"/>
        <v>2.9124964636233258E-5</v>
      </c>
      <c r="I310" s="90">
        <v>0.1</v>
      </c>
      <c r="J310" s="89">
        <f t="shared" si="17"/>
        <v>1.3860996889378087E-4</v>
      </c>
      <c r="L310" s="91"/>
    </row>
    <row r="311" spans="1:12" x14ac:dyDescent="0.2">
      <c r="A311" s="79" t="s">
        <v>283</v>
      </c>
      <c r="B311" s="88" t="s">
        <v>284</v>
      </c>
      <c r="C311" s="165">
        <v>410.73500000000001</v>
      </c>
      <c r="D311" s="165">
        <v>208.18</v>
      </c>
      <c r="E311" s="165">
        <f t="shared" si="18"/>
        <v>85506.812300000005</v>
      </c>
      <c r="F311" s="89">
        <f t="shared" si="19"/>
        <v>2.7896955711402527E-3</v>
      </c>
      <c r="G311" s="90">
        <v>1.6524161783072342E-2</v>
      </c>
      <c r="H311" s="89">
        <f t="shared" si="16"/>
        <v>4.6097380943041932E-5</v>
      </c>
      <c r="I311" s="90">
        <v>0.15</v>
      </c>
      <c r="J311" s="89">
        <f t="shared" si="17"/>
        <v>4.1845433567103791E-4</v>
      </c>
      <c r="L311" s="91"/>
    </row>
    <row r="312" spans="1:12" x14ac:dyDescent="0.2">
      <c r="A312" s="79" t="s">
        <v>540</v>
      </c>
      <c r="B312" s="88" t="s">
        <v>541</v>
      </c>
      <c r="C312" s="165">
        <v>244.94200000000001</v>
      </c>
      <c r="D312" s="165">
        <v>69.400000000000006</v>
      </c>
      <c r="E312" s="165">
        <f t="shared" si="18"/>
        <v>16998.974800000004</v>
      </c>
      <c r="F312" s="89" t="str">
        <f t="shared" si="19"/>
        <v/>
      </c>
      <c r="G312" s="90" t="s">
        <v>138</v>
      </c>
      <c r="H312" s="89" t="str">
        <f t="shared" si="16"/>
        <v/>
      </c>
      <c r="I312" s="90">
        <v>0.25</v>
      </c>
      <c r="J312" s="89" t="str">
        <f t="shared" si="17"/>
        <v/>
      </c>
      <c r="L312" s="91"/>
    </row>
    <row r="313" spans="1:12" x14ac:dyDescent="0.2">
      <c r="A313" s="79" t="s">
        <v>304</v>
      </c>
      <c r="B313" s="88" t="s">
        <v>305</v>
      </c>
      <c r="C313" s="165">
        <v>472.29399999999998</v>
      </c>
      <c r="D313" s="165">
        <v>26.8</v>
      </c>
      <c r="E313" s="165">
        <f t="shared" si="18"/>
        <v>12657.4792</v>
      </c>
      <c r="F313" s="89">
        <f t="shared" si="19"/>
        <v>4.1295556127333104E-4</v>
      </c>
      <c r="G313" s="90">
        <v>6.2686567164179099E-2</v>
      </c>
      <c r="H313" s="89">
        <f t="shared" si="16"/>
        <v>2.5886766527581943E-5</v>
      </c>
      <c r="I313" s="90">
        <v>7.4999999999999997E-2</v>
      </c>
      <c r="J313" s="89">
        <f t="shared" si="17"/>
        <v>3.0971667095499824E-5</v>
      </c>
      <c r="L313" s="91"/>
    </row>
    <row r="314" spans="1:12" x14ac:dyDescent="0.2">
      <c r="A314" s="79" t="s">
        <v>782</v>
      </c>
      <c r="B314" s="88" t="s">
        <v>783</v>
      </c>
      <c r="C314" s="165">
        <v>60.258000000000003</v>
      </c>
      <c r="D314" s="165">
        <v>908.86</v>
      </c>
      <c r="E314" s="165">
        <f t="shared" si="18"/>
        <v>54766.085880000006</v>
      </c>
      <c r="F314" s="89">
        <f t="shared" si="19"/>
        <v>1.7867664940202986E-3</v>
      </c>
      <c r="G314" s="90" t="s">
        <v>138</v>
      </c>
      <c r="H314" s="89" t="str">
        <f t="shared" si="16"/>
        <v/>
      </c>
      <c r="I314" s="90">
        <v>0.12</v>
      </c>
      <c r="J314" s="89">
        <f t="shared" si="17"/>
        <v>2.1441197928243581E-4</v>
      </c>
      <c r="L314" s="91"/>
    </row>
    <row r="315" spans="1:12" x14ac:dyDescent="0.2">
      <c r="A315" s="79" t="s">
        <v>177</v>
      </c>
      <c r="B315" s="88" t="s">
        <v>178</v>
      </c>
      <c r="C315" s="165">
        <v>261.57400000000001</v>
      </c>
      <c r="D315" s="165">
        <v>111.41</v>
      </c>
      <c r="E315" s="165">
        <f t="shared" si="18"/>
        <v>29141.959340000001</v>
      </c>
      <c r="F315" s="89">
        <f t="shared" si="19"/>
        <v>9.5076863139180923E-4</v>
      </c>
      <c r="G315" s="90">
        <v>3.1954043622655061E-2</v>
      </c>
      <c r="H315" s="89">
        <f t="shared" si="16"/>
        <v>3.0380902322545923E-5</v>
      </c>
      <c r="I315" s="90">
        <v>0.105</v>
      </c>
      <c r="J315" s="89">
        <f t="shared" si="17"/>
        <v>9.9830706296139967E-5</v>
      </c>
      <c r="L315" s="91"/>
    </row>
    <row r="316" spans="1:12" x14ac:dyDescent="0.2">
      <c r="A316" s="79" t="s">
        <v>438</v>
      </c>
      <c r="B316" s="88" t="s">
        <v>439</v>
      </c>
      <c r="C316" s="165">
        <v>379.03199999999998</v>
      </c>
      <c r="D316" s="165">
        <v>58.71</v>
      </c>
      <c r="E316" s="165">
        <f t="shared" si="18"/>
        <v>22252.968720000001</v>
      </c>
      <c r="F316" s="89" t="str">
        <f t="shared" si="19"/>
        <v/>
      </c>
      <c r="G316" s="90">
        <v>4.513711463123829E-2</v>
      </c>
      <c r="H316" s="89" t="str">
        <f t="shared" si="16"/>
        <v/>
      </c>
      <c r="I316" s="90">
        <v>-0.05</v>
      </c>
      <c r="J316" s="89" t="str">
        <f t="shared" si="17"/>
        <v/>
      </c>
      <c r="L316" s="91"/>
    </row>
    <row r="317" spans="1:12" x14ac:dyDescent="0.2">
      <c r="A317" s="79" t="s">
        <v>269</v>
      </c>
      <c r="B317" s="88" t="s">
        <v>270</v>
      </c>
      <c r="C317" s="165">
        <v>235.06299999999999</v>
      </c>
      <c r="D317" s="165">
        <v>40.369999999999997</v>
      </c>
      <c r="E317" s="165">
        <f t="shared" si="18"/>
        <v>9489.493309999998</v>
      </c>
      <c r="F317" s="89">
        <f t="shared" si="19"/>
        <v>3.0959869450392373E-4</v>
      </c>
      <c r="G317" s="90">
        <v>1.0899182561307903E-2</v>
      </c>
      <c r="H317" s="89">
        <f t="shared" si="16"/>
        <v>3.3743726921408585E-6</v>
      </c>
      <c r="I317" s="90">
        <v>7.0000000000000007E-2</v>
      </c>
      <c r="J317" s="89">
        <f t="shared" si="17"/>
        <v>2.1671908615274664E-5</v>
      </c>
      <c r="L317" s="91"/>
    </row>
    <row r="318" spans="1:12" x14ac:dyDescent="0.2">
      <c r="A318" s="79" t="s">
        <v>1220</v>
      </c>
      <c r="B318" s="88" t="s">
        <v>1221</v>
      </c>
      <c r="C318" s="165">
        <v>1397.259</v>
      </c>
      <c r="D318" s="165">
        <v>31.57</v>
      </c>
      <c r="E318" s="165">
        <f t="shared" si="18"/>
        <v>44111.466630000003</v>
      </c>
      <c r="F318" s="89">
        <f t="shared" si="19"/>
        <v>1.4391550776383234E-3</v>
      </c>
      <c r="G318" s="90">
        <v>2.7241051631295532E-2</v>
      </c>
      <c r="H318" s="89">
        <f t="shared" si="16"/>
        <v>3.9204097775386697E-5</v>
      </c>
      <c r="I318" s="90">
        <v>0.125</v>
      </c>
      <c r="J318" s="89">
        <f t="shared" si="17"/>
        <v>1.7989438470479043E-4</v>
      </c>
      <c r="L318" s="91"/>
    </row>
    <row r="319" spans="1:12" x14ac:dyDescent="0.2">
      <c r="A319" s="79" t="s">
        <v>774</v>
      </c>
      <c r="B319" s="88" t="s">
        <v>775</v>
      </c>
      <c r="C319" s="165">
        <v>255.56800000000001</v>
      </c>
      <c r="D319" s="165">
        <v>17.36</v>
      </c>
      <c r="E319" s="165">
        <f t="shared" si="18"/>
        <v>4436.6604800000005</v>
      </c>
      <c r="F319" s="89" t="str">
        <f t="shared" si="19"/>
        <v/>
      </c>
      <c r="G319" s="90">
        <v>6.4516129032258077E-2</v>
      </c>
      <c r="H319" s="89" t="str">
        <f t="shared" si="16"/>
        <v/>
      </c>
      <c r="I319" s="90" t="s">
        <v>138</v>
      </c>
      <c r="J319" s="89" t="str">
        <f t="shared" si="17"/>
        <v/>
      </c>
      <c r="L319" s="91"/>
    </row>
    <row r="320" spans="1:12" x14ac:dyDescent="0.2">
      <c r="A320" s="79" t="s">
        <v>552</v>
      </c>
      <c r="B320" s="88" t="s">
        <v>553</v>
      </c>
      <c r="C320" s="165">
        <v>711.60500000000002</v>
      </c>
      <c r="D320" s="165">
        <v>16.07</v>
      </c>
      <c r="E320" s="165">
        <f t="shared" si="18"/>
        <v>11435.49235</v>
      </c>
      <c r="F320" s="89" t="str">
        <f t="shared" si="19"/>
        <v/>
      </c>
      <c r="G320" s="90">
        <v>4.4803982576228994E-2</v>
      </c>
      <c r="H320" s="89" t="str">
        <f t="shared" si="16"/>
        <v/>
      </c>
      <c r="I320" s="90">
        <v>0.51</v>
      </c>
      <c r="J320" s="89" t="str">
        <f t="shared" si="17"/>
        <v/>
      </c>
      <c r="L320" s="91"/>
    </row>
    <row r="321" spans="1:12" x14ac:dyDescent="0.2">
      <c r="A321" s="79" t="s">
        <v>572</v>
      </c>
      <c r="B321" s="88" t="s">
        <v>573</v>
      </c>
      <c r="C321" s="165">
        <v>224.08799999999999</v>
      </c>
      <c r="D321" s="165">
        <v>57.77</v>
      </c>
      <c r="E321" s="165">
        <f t="shared" si="18"/>
        <v>12945.563760000001</v>
      </c>
      <c r="F321" s="89" t="str">
        <f t="shared" si="19"/>
        <v/>
      </c>
      <c r="G321" s="90" t="s">
        <v>138</v>
      </c>
      <c r="H321" s="89" t="str">
        <f t="shared" si="16"/>
        <v/>
      </c>
      <c r="I321" s="90">
        <v>0.32</v>
      </c>
      <c r="J321" s="89" t="str">
        <f t="shared" si="17"/>
        <v/>
      </c>
      <c r="L321" s="91"/>
    </row>
    <row r="322" spans="1:12" x14ac:dyDescent="0.2">
      <c r="A322" s="79" t="s">
        <v>895</v>
      </c>
      <c r="B322" s="88" t="s">
        <v>896</v>
      </c>
      <c r="C322" s="165">
        <v>327.19099999999997</v>
      </c>
      <c r="D322" s="165">
        <v>108.03</v>
      </c>
      <c r="E322" s="165">
        <f t="shared" si="18"/>
        <v>35346.443729999999</v>
      </c>
      <c r="F322" s="89">
        <f t="shared" si="19"/>
        <v>1.1531925337501926E-3</v>
      </c>
      <c r="G322" s="90">
        <v>7.0350828473572158E-2</v>
      </c>
      <c r="H322" s="89">
        <f t="shared" si="16"/>
        <v>8.1128050138863872E-5</v>
      </c>
      <c r="I322" s="90">
        <v>3.5000000000000003E-2</v>
      </c>
      <c r="J322" s="89">
        <f t="shared" si="17"/>
        <v>4.0361738681256749E-5</v>
      </c>
      <c r="L322" s="91"/>
    </row>
    <row r="323" spans="1:12" x14ac:dyDescent="0.2">
      <c r="A323" s="79" t="s">
        <v>426</v>
      </c>
      <c r="B323" s="88" t="s">
        <v>427</v>
      </c>
      <c r="C323" s="165">
        <v>118.556</v>
      </c>
      <c r="D323" s="165">
        <v>76.72</v>
      </c>
      <c r="E323" s="165">
        <f t="shared" si="18"/>
        <v>9095.6163199999992</v>
      </c>
      <c r="F323" s="89">
        <f t="shared" si="19"/>
        <v>2.9674829270527023E-4</v>
      </c>
      <c r="G323" s="90">
        <v>4.1188738269030245E-2</v>
      </c>
      <c r="H323" s="89">
        <f t="shared" si="16"/>
        <v>1.2222687760018952E-5</v>
      </c>
      <c r="I323" s="90">
        <v>0.06</v>
      </c>
      <c r="J323" s="89">
        <f t="shared" si="17"/>
        <v>1.7804897562316213E-5</v>
      </c>
      <c r="L323" s="91"/>
    </row>
    <row r="324" spans="1:12" x14ac:dyDescent="0.2">
      <c r="A324" s="79" t="s">
        <v>218</v>
      </c>
      <c r="B324" s="88" t="s">
        <v>219</v>
      </c>
      <c r="C324" s="165">
        <v>142.01599999999999</v>
      </c>
      <c r="D324" s="165">
        <v>171.74</v>
      </c>
      <c r="E324" s="165">
        <f t="shared" si="18"/>
        <v>24389.827839999998</v>
      </c>
      <c r="F324" s="89">
        <f t="shared" si="19"/>
        <v>7.9572835047812005E-4</v>
      </c>
      <c r="G324" s="90">
        <v>3.8430185163619422E-2</v>
      </c>
      <c r="H324" s="89">
        <f t="shared" si="16"/>
        <v>3.0579987848815606E-5</v>
      </c>
      <c r="I324" s="90">
        <v>0.06</v>
      </c>
      <c r="J324" s="89">
        <f t="shared" si="17"/>
        <v>4.7743701028687201E-5</v>
      </c>
      <c r="L324" s="91"/>
    </row>
    <row r="325" spans="1:12" x14ac:dyDescent="0.2">
      <c r="A325" s="79" t="s">
        <v>831</v>
      </c>
      <c r="B325" s="88" t="s">
        <v>832</v>
      </c>
      <c r="C325" s="165">
        <v>363</v>
      </c>
      <c r="D325" s="165">
        <v>94.89</v>
      </c>
      <c r="E325" s="165">
        <f t="shared" si="18"/>
        <v>34445.07</v>
      </c>
      <c r="F325" s="89">
        <f t="shared" si="19"/>
        <v>1.1237848382124284E-3</v>
      </c>
      <c r="G325" s="90">
        <v>5.2692591421646118E-2</v>
      </c>
      <c r="H325" s="89">
        <f t="shared" si="16"/>
        <v>5.9215135325768171E-5</v>
      </c>
      <c r="I325" s="90">
        <v>0.03</v>
      </c>
      <c r="J325" s="89">
        <f t="shared" si="17"/>
        <v>3.3713545146372848E-5</v>
      </c>
      <c r="L325" s="91"/>
    </row>
    <row r="326" spans="1:12" x14ac:dyDescent="0.2">
      <c r="A326" s="79" t="s">
        <v>980</v>
      </c>
      <c r="B326" s="88" t="s">
        <v>981</v>
      </c>
      <c r="C326" s="165">
        <v>723.27599999999995</v>
      </c>
      <c r="D326" s="165">
        <v>155.87</v>
      </c>
      <c r="E326" s="165">
        <f t="shared" si="18"/>
        <v>112737.03012</v>
      </c>
      <c r="F326" s="89">
        <f t="shared" si="19"/>
        <v>3.6780928345900837E-3</v>
      </c>
      <c r="G326" s="90">
        <v>4.1573105793289281E-2</v>
      </c>
      <c r="H326" s="89">
        <f t="shared" si="16"/>
        <v>1.5290974252995279E-4</v>
      </c>
      <c r="I326" s="90">
        <v>7.4999999999999997E-2</v>
      </c>
      <c r="J326" s="89">
        <f t="shared" si="17"/>
        <v>2.7585696259425625E-4</v>
      </c>
      <c r="L326" s="91"/>
    </row>
    <row r="327" spans="1:12" x14ac:dyDescent="0.2">
      <c r="A327" s="79" t="s">
        <v>1010</v>
      </c>
      <c r="B327" s="88" t="s">
        <v>1011</v>
      </c>
      <c r="C327" s="165">
        <v>863.26099999999997</v>
      </c>
      <c r="D327" s="165">
        <v>22.24</v>
      </c>
      <c r="E327" s="165">
        <f t="shared" si="18"/>
        <v>19198.924639999997</v>
      </c>
      <c r="F327" s="89">
        <f t="shared" si="19"/>
        <v>6.2637295904508254E-4</v>
      </c>
      <c r="G327" s="90">
        <v>8.6330935251798566E-2</v>
      </c>
      <c r="H327" s="89">
        <f t="shared" si="16"/>
        <v>5.4075363370798498E-5</v>
      </c>
      <c r="I327" s="90">
        <v>0.01</v>
      </c>
      <c r="J327" s="89">
        <f t="shared" si="17"/>
        <v>6.2637295904508255E-6</v>
      </c>
      <c r="L327" s="91"/>
    </row>
    <row r="328" spans="1:12" x14ac:dyDescent="0.2">
      <c r="A328" s="79" t="s">
        <v>900</v>
      </c>
      <c r="B328" s="88" t="s">
        <v>901</v>
      </c>
      <c r="C328" s="165">
        <v>98.781000000000006</v>
      </c>
      <c r="D328" s="165">
        <v>219.42</v>
      </c>
      <c r="E328" s="165">
        <f t="shared" si="18"/>
        <v>21674.527020000001</v>
      </c>
      <c r="F328" s="89">
        <f t="shared" si="19"/>
        <v>7.0714052375279275E-4</v>
      </c>
      <c r="G328" s="90">
        <v>9.4795369610792095E-3</v>
      </c>
      <c r="H328" s="89">
        <f t="shared" si="16"/>
        <v>6.7033647315915095E-6</v>
      </c>
      <c r="I328" s="90">
        <v>0.1</v>
      </c>
      <c r="J328" s="89">
        <f t="shared" si="17"/>
        <v>7.0714052375279272E-5</v>
      </c>
      <c r="L328" s="91"/>
    </row>
    <row r="329" spans="1:12" x14ac:dyDescent="0.2">
      <c r="A329" s="79" t="s">
        <v>675</v>
      </c>
      <c r="B329" s="88" t="s">
        <v>676</v>
      </c>
      <c r="C329" s="165">
        <v>134.90199999999999</v>
      </c>
      <c r="D329" s="165">
        <v>434.85</v>
      </c>
      <c r="E329" s="165">
        <f t="shared" si="18"/>
        <v>58662.134699999995</v>
      </c>
      <c r="F329" s="89">
        <f t="shared" si="19"/>
        <v>1.9138767188754493E-3</v>
      </c>
      <c r="G329" s="90">
        <v>5.7031160170173617E-3</v>
      </c>
      <c r="H329" s="89">
        <f t="shared" si="16"/>
        <v>1.091506097001521E-5</v>
      </c>
      <c r="I329" s="90">
        <v>0.09</v>
      </c>
      <c r="J329" s="89">
        <f t="shared" si="17"/>
        <v>1.7224890469879042E-4</v>
      </c>
      <c r="L329" s="91"/>
    </row>
    <row r="330" spans="1:12" x14ac:dyDescent="0.2">
      <c r="A330" s="79" t="s">
        <v>646</v>
      </c>
      <c r="B330" s="88" t="s">
        <v>647</v>
      </c>
      <c r="C330" s="165">
        <v>251.83099999999999</v>
      </c>
      <c r="D330" s="165">
        <v>408.96</v>
      </c>
      <c r="E330" s="165">
        <f t="shared" si="18"/>
        <v>102988.80575999999</v>
      </c>
      <c r="F330" s="89">
        <f t="shared" si="19"/>
        <v>3.3600529311942984E-3</v>
      </c>
      <c r="G330" s="90">
        <v>2.9342723004694836E-2</v>
      </c>
      <c r="H330" s="89">
        <f t="shared" si="16"/>
        <v>9.8593102441147249E-5</v>
      </c>
      <c r="I330" s="90">
        <v>7.0000000000000007E-2</v>
      </c>
      <c r="J330" s="89">
        <f t="shared" si="17"/>
        <v>2.352037051836009E-4</v>
      </c>
      <c r="L330" s="91"/>
    </row>
    <row r="331" spans="1:12" x14ac:dyDescent="0.2">
      <c r="A331" s="79" t="s">
        <v>1425</v>
      </c>
      <c r="B331" s="88" t="s">
        <v>1426</v>
      </c>
      <c r="C331" s="165">
        <v>202.17500000000001</v>
      </c>
      <c r="D331" s="165">
        <v>179.97</v>
      </c>
      <c r="E331" s="165">
        <f t="shared" si="18"/>
        <v>36385.43475</v>
      </c>
      <c r="F331" s="89">
        <f t="shared" si="19"/>
        <v>1.1870900510237783E-3</v>
      </c>
      <c r="G331" s="90">
        <v>1.0779574373506696E-2</v>
      </c>
      <c r="H331" s="89">
        <f t="shared" si="16"/>
        <v>1.2796325493060677E-5</v>
      </c>
      <c r="I331" s="90">
        <v>0.09</v>
      </c>
      <c r="J331" s="89">
        <f t="shared" si="17"/>
        <v>1.0683810459214004E-4</v>
      </c>
      <c r="L331" s="91"/>
    </row>
    <row r="332" spans="1:12" x14ac:dyDescent="0.2">
      <c r="A332" s="79" t="s">
        <v>334</v>
      </c>
      <c r="B332" s="88" t="s">
        <v>335</v>
      </c>
      <c r="C332" s="165">
        <v>381.44099999999997</v>
      </c>
      <c r="D332" s="165">
        <v>97.05</v>
      </c>
      <c r="E332" s="165">
        <f t="shared" si="18"/>
        <v>37018.849049999997</v>
      </c>
      <c r="F332" s="89">
        <f t="shared" si="19"/>
        <v>1.2077554579062999E-3</v>
      </c>
      <c r="G332" s="90">
        <v>2.472952086553323E-2</v>
      </c>
      <c r="H332" s="89">
        <f t="shared" si="16"/>
        <v>2.9867213796755484E-5</v>
      </c>
      <c r="I332" s="90">
        <v>0.04</v>
      </c>
      <c r="J332" s="89">
        <f t="shared" si="17"/>
        <v>4.8310218316251995E-5</v>
      </c>
      <c r="L332" s="91"/>
    </row>
    <row r="333" spans="1:12" x14ac:dyDescent="0.2">
      <c r="A333" s="79" t="s">
        <v>1008</v>
      </c>
      <c r="B333" s="88" t="s">
        <v>1009</v>
      </c>
      <c r="C333" s="165">
        <v>59.103000000000002</v>
      </c>
      <c r="D333" s="165">
        <v>274.20999999999998</v>
      </c>
      <c r="E333" s="165">
        <f t="shared" si="18"/>
        <v>16206.633629999998</v>
      </c>
      <c r="F333" s="89">
        <f t="shared" si="19"/>
        <v>5.2874821133641614E-4</v>
      </c>
      <c r="G333" s="90" t="s">
        <v>138</v>
      </c>
      <c r="H333" s="89" t="str">
        <f t="shared" si="16"/>
        <v/>
      </c>
      <c r="I333" s="90">
        <v>0.1</v>
      </c>
      <c r="J333" s="89">
        <f t="shared" si="17"/>
        <v>5.2874821133641614E-5</v>
      </c>
      <c r="L333" s="91"/>
    </row>
    <row r="334" spans="1:12" x14ac:dyDescent="0.2">
      <c r="A334" s="79" t="s">
        <v>737</v>
      </c>
      <c r="B334" s="88" t="s">
        <v>738</v>
      </c>
      <c r="C334" s="165">
        <v>57.014000000000003</v>
      </c>
      <c r="D334" s="165">
        <v>223.17</v>
      </c>
      <c r="E334" s="165">
        <f t="shared" si="18"/>
        <v>12723.81438</v>
      </c>
      <c r="F334" s="89">
        <f t="shared" si="19"/>
        <v>4.1511977430945182E-4</v>
      </c>
      <c r="G334" s="90">
        <v>1.2188018102791595E-2</v>
      </c>
      <c r="H334" s="89">
        <f t="shared" si="16"/>
        <v>5.0594873241103597E-6</v>
      </c>
      <c r="I334" s="90">
        <v>0.09</v>
      </c>
      <c r="J334" s="89">
        <f t="shared" si="17"/>
        <v>3.7360779687850661E-5</v>
      </c>
      <c r="L334" s="91"/>
    </row>
    <row r="335" spans="1:12" x14ac:dyDescent="0.2">
      <c r="A335" s="79" t="s">
        <v>394</v>
      </c>
      <c r="B335" s="88" t="s">
        <v>395</v>
      </c>
      <c r="C335" s="165">
        <v>220.006</v>
      </c>
      <c r="D335" s="165">
        <v>106.45</v>
      </c>
      <c r="E335" s="165">
        <f t="shared" si="18"/>
        <v>23419.6387</v>
      </c>
      <c r="F335" s="89">
        <f t="shared" si="19"/>
        <v>7.6407552336148611E-4</v>
      </c>
      <c r="G335" s="90" t="s">
        <v>138</v>
      </c>
      <c r="H335" s="89" t="str">
        <f t="shared" si="16"/>
        <v/>
      </c>
      <c r="I335" s="90">
        <v>0.09</v>
      </c>
      <c r="J335" s="89">
        <f t="shared" si="17"/>
        <v>6.8766797102533744E-5</v>
      </c>
      <c r="L335" s="91"/>
    </row>
    <row r="336" spans="1:12" x14ac:dyDescent="0.2">
      <c r="A336" s="79" t="s">
        <v>402</v>
      </c>
      <c r="B336" s="88" t="s">
        <v>403</v>
      </c>
      <c r="C336" s="165">
        <v>120.315</v>
      </c>
      <c r="D336" s="165">
        <v>143.22</v>
      </c>
      <c r="E336" s="165">
        <f t="shared" si="18"/>
        <v>17231.514299999999</v>
      </c>
      <c r="F336" s="89">
        <f t="shared" si="19"/>
        <v>5.6218537253025305E-4</v>
      </c>
      <c r="G336" s="90">
        <v>3.6587068845133366E-2</v>
      </c>
      <c r="H336" s="89">
        <f t="shared" si="16"/>
        <v>2.0568714928491316E-5</v>
      </c>
      <c r="I336" s="90">
        <v>0.15</v>
      </c>
      <c r="J336" s="89">
        <f t="shared" si="17"/>
        <v>8.4327805879537955E-5</v>
      </c>
      <c r="L336" s="91"/>
    </row>
    <row r="337" spans="1:12" x14ac:dyDescent="0.2">
      <c r="A337" s="79" t="s">
        <v>447</v>
      </c>
      <c r="B337" s="88" t="s">
        <v>42</v>
      </c>
      <c r="C337" s="165">
        <v>229.583</v>
      </c>
      <c r="D337" s="165">
        <v>50.7</v>
      </c>
      <c r="E337" s="165">
        <f t="shared" si="18"/>
        <v>11639.858100000001</v>
      </c>
      <c r="F337" s="89">
        <f t="shared" si="19"/>
        <v>3.7975524659186716E-4</v>
      </c>
      <c r="G337" s="90">
        <v>4.8323471400394481E-2</v>
      </c>
      <c r="H337" s="89">
        <f t="shared" si="16"/>
        <v>1.8351091797831846E-5</v>
      </c>
      <c r="I337" s="90">
        <v>7.4999999999999997E-2</v>
      </c>
      <c r="J337" s="89">
        <f t="shared" si="17"/>
        <v>2.8481643494390037E-5</v>
      </c>
      <c r="L337" s="91"/>
    </row>
    <row r="338" spans="1:12" x14ac:dyDescent="0.2">
      <c r="A338" s="79" t="s">
        <v>727</v>
      </c>
      <c r="B338" s="88" t="s">
        <v>728</v>
      </c>
      <c r="C338" s="165">
        <v>278.08699999999999</v>
      </c>
      <c r="D338" s="165">
        <v>39.174999999999997</v>
      </c>
      <c r="E338" s="165">
        <f t="shared" si="18"/>
        <v>10894.058224999999</v>
      </c>
      <c r="F338" s="89">
        <f t="shared" si="19"/>
        <v>3.5542321324527425E-4</v>
      </c>
      <c r="G338" s="90" t="s">
        <v>138</v>
      </c>
      <c r="H338" s="89" t="str">
        <f t="shared" si="16"/>
        <v/>
      </c>
      <c r="I338" s="90">
        <v>0.16500000000000001</v>
      </c>
      <c r="J338" s="89">
        <f t="shared" si="17"/>
        <v>5.8644830185470251E-5</v>
      </c>
      <c r="L338" s="91"/>
    </row>
    <row r="339" spans="1:12" x14ac:dyDescent="0.2">
      <c r="A339" s="79" t="s">
        <v>400</v>
      </c>
      <c r="B339" s="88" t="s">
        <v>401</v>
      </c>
      <c r="C339" s="165">
        <v>35.094000000000001</v>
      </c>
      <c r="D339" s="165">
        <v>378.79</v>
      </c>
      <c r="E339" s="165">
        <f t="shared" si="18"/>
        <v>13293.256260000002</v>
      </c>
      <c r="F339" s="89">
        <f t="shared" si="19"/>
        <v>4.3369805419064188E-4</v>
      </c>
      <c r="G339" s="90">
        <v>1.2777528445840703E-2</v>
      </c>
      <c r="H339" s="89">
        <f t="shared" ref="H339:H402" si="20">IFERROR($G339*$F339,"")</f>
        <v>5.5415892243266891E-6</v>
      </c>
      <c r="I339" s="90">
        <v>0.12</v>
      </c>
      <c r="J339" s="89">
        <f t="shared" ref="J339:J402" si="21">IFERROR($I339*$F339,"")</f>
        <v>5.2043766502877022E-5</v>
      </c>
      <c r="L339" s="91"/>
    </row>
    <row r="340" spans="1:12" x14ac:dyDescent="0.2">
      <c r="A340" s="79" t="s">
        <v>763</v>
      </c>
      <c r="B340" s="88" t="s">
        <v>764</v>
      </c>
      <c r="C340" s="165">
        <v>3.2639999999999998</v>
      </c>
      <c r="D340" s="165">
        <v>5963.3</v>
      </c>
      <c r="E340" s="165">
        <f t="shared" ref="E340:E403" si="22">IFERROR(C340*D340,"")</f>
        <v>19464.211199999998</v>
      </c>
      <c r="F340" s="89">
        <f t="shared" ref="F340:F403" si="23">IF(AND(ISNUMBER($I340)), IF(AND($I340&lt;=20%,$I340&gt;0%), $E340/SUMIFS($E$19:$E$521,$I$19:$I$521, "&gt;"&amp;0%,$I$19:$I$521, "&lt;="&amp;20%),""),"")</f>
        <v>6.3502804419687732E-4</v>
      </c>
      <c r="G340" s="90" t="s">
        <v>138</v>
      </c>
      <c r="H340" s="89" t="str">
        <f t="shared" si="20"/>
        <v/>
      </c>
      <c r="I340" s="90">
        <v>3.5000000000000003E-2</v>
      </c>
      <c r="J340" s="89">
        <f t="shared" si="21"/>
        <v>2.2225981546890707E-5</v>
      </c>
      <c r="L340" s="91"/>
    </row>
    <row r="341" spans="1:12" x14ac:dyDescent="0.2">
      <c r="A341" s="79" t="s">
        <v>755</v>
      </c>
      <c r="B341" s="88" t="s">
        <v>756</v>
      </c>
      <c r="C341" s="165">
        <v>208.791</v>
      </c>
      <c r="D341" s="165">
        <v>75.88</v>
      </c>
      <c r="E341" s="165">
        <f t="shared" si="22"/>
        <v>15843.061079999999</v>
      </c>
      <c r="F341" s="89">
        <f t="shared" si="23"/>
        <v>5.1688650458766433E-4</v>
      </c>
      <c r="G341" s="90">
        <v>2.6357406431207171E-2</v>
      </c>
      <c r="H341" s="89">
        <f t="shared" si="20"/>
        <v>1.3623787680223099E-5</v>
      </c>
      <c r="I341" s="90">
        <v>0.08</v>
      </c>
      <c r="J341" s="89">
        <f t="shared" si="21"/>
        <v>4.1350920367013147E-5</v>
      </c>
      <c r="L341" s="91"/>
    </row>
    <row r="342" spans="1:12" x14ac:dyDescent="0.2">
      <c r="A342" s="79" t="s">
        <v>411</v>
      </c>
      <c r="B342" s="88" t="s">
        <v>412</v>
      </c>
      <c r="C342" s="165">
        <v>205.17400000000001</v>
      </c>
      <c r="D342" s="165">
        <v>20.83</v>
      </c>
      <c r="E342" s="165">
        <f t="shared" si="22"/>
        <v>4273.7744199999997</v>
      </c>
      <c r="F342" s="89">
        <f t="shared" si="23"/>
        <v>1.3943368078903932E-4</v>
      </c>
      <c r="G342" s="90" t="s">
        <v>138</v>
      </c>
      <c r="H342" s="89" t="str">
        <f t="shared" si="20"/>
        <v/>
      </c>
      <c r="I342" s="90">
        <v>0.09</v>
      </c>
      <c r="J342" s="89">
        <f t="shared" si="21"/>
        <v>1.2549031271013539E-5</v>
      </c>
      <c r="L342" s="91"/>
    </row>
    <row r="343" spans="1:12" x14ac:dyDescent="0.2">
      <c r="A343" s="79" t="s">
        <v>772</v>
      </c>
      <c r="B343" s="88" t="s">
        <v>773</v>
      </c>
      <c r="C343" s="165">
        <v>109.268</v>
      </c>
      <c r="D343" s="165">
        <v>409.14</v>
      </c>
      <c r="E343" s="165">
        <f t="shared" si="22"/>
        <v>44705.909520000001</v>
      </c>
      <c r="F343" s="89">
        <f t="shared" si="23"/>
        <v>1.4585490259439932E-3</v>
      </c>
      <c r="G343" s="90">
        <v>3.9106418340910205E-3</v>
      </c>
      <c r="H343" s="89">
        <f t="shared" si="20"/>
        <v>5.7038628379292895E-6</v>
      </c>
      <c r="I343" s="90">
        <v>0.09</v>
      </c>
      <c r="J343" s="89">
        <f t="shared" si="21"/>
        <v>1.3126941233495938E-4</v>
      </c>
      <c r="L343" s="91"/>
    </row>
    <row r="344" spans="1:12" x14ac:dyDescent="0.2">
      <c r="A344" s="79" t="s">
        <v>407</v>
      </c>
      <c r="B344" s="88" t="s">
        <v>408</v>
      </c>
      <c r="C344" s="165">
        <v>91.3</v>
      </c>
      <c r="D344" s="165">
        <v>94.53</v>
      </c>
      <c r="E344" s="165">
        <f t="shared" si="22"/>
        <v>8630.5889999999999</v>
      </c>
      <c r="F344" s="89">
        <f t="shared" si="23"/>
        <v>2.8157658158462049E-4</v>
      </c>
      <c r="G344" s="90" t="s">
        <v>138</v>
      </c>
      <c r="H344" s="89" t="str">
        <f t="shared" si="20"/>
        <v/>
      </c>
      <c r="I344" s="90">
        <v>7.0000000000000007E-2</v>
      </c>
      <c r="J344" s="89">
        <f t="shared" si="21"/>
        <v>1.9710360710923437E-5</v>
      </c>
      <c r="L344" s="91"/>
    </row>
    <row r="345" spans="1:12" x14ac:dyDescent="0.2">
      <c r="A345" s="79" t="s">
        <v>534</v>
      </c>
      <c r="B345" s="88" t="s">
        <v>535</v>
      </c>
      <c r="C345" s="165">
        <v>305.81700000000001</v>
      </c>
      <c r="D345" s="165">
        <v>70.91</v>
      </c>
      <c r="E345" s="165">
        <f t="shared" si="22"/>
        <v>21685.483469999999</v>
      </c>
      <c r="F345" s="89">
        <f t="shared" si="23"/>
        <v>7.0749798252383396E-4</v>
      </c>
      <c r="G345" s="90">
        <v>2.397405161472289E-2</v>
      </c>
      <c r="H345" s="89">
        <f t="shared" si="20"/>
        <v>1.696159315033871E-5</v>
      </c>
      <c r="I345" s="90">
        <v>0.08</v>
      </c>
      <c r="J345" s="89">
        <f t="shared" si="21"/>
        <v>5.6599838601906719E-5</v>
      </c>
      <c r="L345" s="91"/>
    </row>
    <row r="346" spans="1:12" x14ac:dyDescent="0.2">
      <c r="A346" s="79" t="s">
        <v>586</v>
      </c>
      <c r="B346" s="88" t="s">
        <v>587</v>
      </c>
      <c r="C346" s="165">
        <v>291.85199999999998</v>
      </c>
      <c r="D346" s="165">
        <v>59.45</v>
      </c>
      <c r="E346" s="165">
        <f t="shared" si="22"/>
        <v>17350.6014</v>
      </c>
      <c r="F346" s="89">
        <f t="shared" si="23"/>
        <v>5.660706390548004E-4</v>
      </c>
      <c r="G346" s="90">
        <v>4.3734230445752732E-2</v>
      </c>
      <c r="H346" s="89">
        <f t="shared" si="20"/>
        <v>2.4756663776997158E-5</v>
      </c>
      <c r="I346" s="90">
        <v>0.04</v>
      </c>
      <c r="J346" s="89">
        <f t="shared" si="21"/>
        <v>2.2642825562192018E-5</v>
      </c>
      <c r="L346" s="91"/>
    </row>
    <row r="347" spans="1:12" x14ac:dyDescent="0.2">
      <c r="A347" s="79" t="s">
        <v>424</v>
      </c>
      <c r="B347" s="88" t="s">
        <v>425</v>
      </c>
      <c r="C347" s="165">
        <v>232.297</v>
      </c>
      <c r="D347" s="165">
        <v>144.55000000000001</v>
      </c>
      <c r="E347" s="165">
        <f t="shared" si="22"/>
        <v>33578.531350000005</v>
      </c>
      <c r="F347" s="89">
        <f t="shared" si="23"/>
        <v>1.0955136517525066E-3</v>
      </c>
      <c r="G347" s="90">
        <v>1.8263576617087513E-2</v>
      </c>
      <c r="H347" s="89">
        <f t="shared" si="20"/>
        <v>2.0007997513847232E-5</v>
      </c>
      <c r="I347" s="90">
        <v>0.08</v>
      </c>
      <c r="J347" s="89">
        <f t="shared" si="21"/>
        <v>8.7641092140200522E-5</v>
      </c>
      <c r="L347" s="91"/>
    </row>
    <row r="348" spans="1:12" x14ac:dyDescent="0.2">
      <c r="A348" s="79" t="s">
        <v>294</v>
      </c>
      <c r="B348" s="88" t="s">
        <v>295</v>
      </c>
      <c r="C348" s="165">
        <v>271.79000000000002</v>
      </c>
      <c r="D348" s="165">
        <v>234.3</v>
      </c>
      <c r="E348" s="165">
        <f t="shared" si="22"/>
        <v>63680.397000000004</v>
      </c>
      <c r="F348" s="89">
        <f t="shared" si="23"/>
        <v>2.0775996286245958E-3</v>
      </c>
      <c r="G348" s="90" t="s">
        <v>138</v>
      </c>
      <c r="H348" s="89" t="str">
        <f t="shared" si="20"/>
        <v/>
      </c>
      <c r="I348" s="90">
        <v>0.12</v>
      </c>
      <c r="J348" s="89">
        <f t="shared" si="21"/>
        <v>2.4931195543495148E-4</v>
      </c>
      <c r="L348" s="91"/>
    </row>
    <row r="349" spans="1:12" x14ac:dyDescent="0.2">
      <c r="A349" s="79" t="s">
        <v>966</v>
      </c>
      <c r="B349" s="88" t="s">
        <v>967</v>
      </c>
      <c r="C349" s="165">
        <v>42.078000000000003</v>
      </c>
      <c r="D349" s="165">
        <v>386.14</v>
      </c>
      <c r="E349" s="165">
        <f t="shared" si="22"/>
        <v>16247.99892</v>
      </c>
      <c r="F349" s="89">
        <f t="shared" si="23"/>
        <v>5.3009777125109369E-4</v>
      </c>
      <c r="G349" s="90" t="s">
        <v>138</v>
      </c>
      <c r="H349" s="89" t="str">
        <f t="shared" si="20"/>
        <v/>
      </c>
      <c r="I349" s="90">
        <v>0.105</v>
      </c>
      <c r="J349" s="89">
        <f t="shared" si="21"/>
        <v>5.5660265981364835E-5</v>
      </c>
      <c r="L349" s="91"/>
    </row>
    <row r="350" spans="1:12" x14ac:dyDescent="0.2">
      <c r="A350" s="79" t="s">
        <v>972</v>
      </c>
      <c r="B350" s="88" t="s">
        <v>973</v>
      </c>
      <c r="C350" s="165">
        <v>62.14</v>
      </c>
      <c r="D350" s="165">
        <v>125.73</v>
      </c>
      <c r="E350" s="165">
        <f t="shared" si="22"/>
        <v>7812.8622000000005</v>
      </c>
      <c r="F350" s="89">
        <f t="shared" si="23"/>
        <v>2.5489790217883134E-4</v>
      </c>
      <c r="G350" s="90">
        <v>6.3628410085103003E-3</v>
      </c>
      <c r="H350" s="89">
        <f t="shared" si="20"/>
        <v>1.6218748249667151E-6</v>
      </c>
      <c r="I350" s="90">
        <v>0.06</v>
      </c>
      <c r="J350" s="89">
        <f t="shared" si="21"/>
        <v>1.5293874130729881E-5</v>
      </c>
      <c r="L350" s="91"/>
    </row>
    <row r="351" spans="1:12" x14ac:dyDescent="0.2">
      <c r="A351" s="79" t="s">
        <v>910</v>
      </c>
      <c r="B351" s="88" t="s">
        <v>911</v>
      </c>
      <c r="C351" s="165">
        <v>159.393</v>
      </c>
      <c r="D351" s="165">
        <v>98.59</v>
      </c>
      <c r="E351" s="165">
        <f t="shared" si="22"/>
        <v>15714.55587</v>
      </c>
      <c r="F351" s="89">
        <f t="shared" si="23"/>
        <v>5.1269396827900531E-4</v>
      </c>
      <c r="G351" s="90">
        <v>2.7589004970078101E-2</v>
      </c>
      <c r="H351" s="89">
        <f t="shared" si="20"/>
        <v>1.4144716438978542E-5</v>
      </c>
      <c r="I351" s="90">
        <v>3.5000000000000003E-2</v>
      </c>
      <c r="J351" s="89">
        <f t="shared" si="21"/>
        <v>1.7944288889765188E-5</v>
      </c>
      <c r="L351" s="91"/>
    </row>
    <row r="352" spans="1:12" x14ac:dyDescent="0.2">
      <c r="A352" s="79" t="s">
        <v>384</v>
      </c>
      <c r="B352" s="88" t="s">
        <v>385</v>
      </c>
      <c r="C352" s="165">
        <v>112.235</v>
      </c>
      <c r="D352" s="165">
        <v>121.86</v>
      </c>
      <c r="E352" s="165">
        <f t="shared" si="22"/>
        <v>13676.9571</v>
      </c>
      <c r="F352" s="89">
        <f t="shared" si="23"/>
        <v>4.4621645483263129E-4</v>
      </c>
      <c r="G352" s="90">
        <v>2.3305432463482684E-2</v>
      </c>
      <c r="H352" s="89">
        <f t="shared" si="20"/>
        <v>1.0399267452196561E-5</v>
      </c>
      <c r="I352" s="90">
        <v>0.04</v>
      </c>
      <c r="J352" s="89">
        <f t="shared" si="21"/>
        <v>1.7848658193305251E-5</v>
      </c>
      <c r="L352" s="91"/>
    </row>
    <row r="353" spans="1:12" x14ac:dyDescent="0.2">
      <c r="A353" s="79" t="s">
        <v>216</v>
      </c>
      <c r="B353" s="88" t="s">
        <v>217</v>
      </c>
      <c r="C353" s="165">
        <v>786.798</v>
      </c>
      <c r="D353" s="165">
        <v>93.63</v>
      </c>
      <c r="E353" s="165">
        <f t="shared" si="22"/>
        <v>73667.896739999996</v>
      </c>
      <c r="F353" s="89">
        <f t="shared" si="23"/>
        <v>2.4034459915282733E-3</v>
      </c>
      <c r="G353" s="90">
        <v>1.0573534123678308E-2</v>
      </c>
      <c r="H353" s="89">
        <f t="shared" si="20"/>
        <v>2.5412918205842041E-5</v>
      </c>
      <c r="I353" s="90">
        <v>0.13500000000000001</v>
      </c>
      <c r="J353" s="89">
        <f t="shared" si="21"/>
        <v>3.2446520885631692E-4</v>
      </c>
      <c r="L353" s="91"/>
    </row>
    <row r="354" spans="1:12" x14ac:dyDescent="0.2">
      <c r="A354" s="79" t="s">
        <v>864</v>
      </c>
      <c r="B354" s="88" t="s">
        <v>865</v>
      </c>
      <c r="C354" s="165">
        <v>114.86</v>
      </c>
      <c r="D354" s="165">
        <v>285.87</v>
      </c>
      <c r="E354" s="165">
        <f t="shared" si="22"/>
        <v>32835.028200000001</v>
      </c>
      <c r="F354" s="89">
        <f t="shared" si="23"/>
        <v>1.0712565500211647E-3</v>
      </c>
      <c r="G354" s="90">
        <v>1.6511001504180219E-2</v>
      </c>
      <c r="H354" s="89">
        <f t="shared" si="20"/>
        <v>1.7687518508762363E-5</v>
      </c>
      <c r="I354" s="90">
        <v>9.5000000000000001E-2</v>
      </c>
      <c r="J354" s="89">
        <f t="shared" si="21"/>
        <v>1.0176937225201065E-4</v>
      </c>
      <c r="L354" s="91"/>
    </row>
    <row r="355" spans="1:12" x14ac:dyDescent="0.2">
      <c r="A355" s="79" t="s">
        <v>614</v>
      </c>
      <c r="B355" s="88" t="s">
        <v>615</v>
      </c>
      <c r="C355" s="165">
        <v>1228.2950000000001</v>
      </c>
      <c r="D355" s="165">
        <v>33.64</v>
      </c>
      <c r="E355" s="165">
        <f t="shared" si="22"/>
        <v>41319.843800000002</v>
      </c>
      <c r="F355" s="89">
        <f t="shared" si="23"/>
        <v>1.3480772133645197E-3</v>
      </c>
      <c r="G355" s="90">
        <v>4.7562425683709872E-2</v>
      </c>
      <c r="H355" s="89">
        <f t="shared" si="20"/>
        <v>6.4117822276552657E-5</v>
      </c>
      <c r="I355" s="90">
        <v>0.06</v>
      </c>
      <c r="J355" s="89">
        <f t="shared" si="21"/>
        <v>8.0884632801871172E-5</v>
      </c>
      <c r="L355" s="91"/>
    </row>
    <row r="356" spans="1:12" x14ac:dyDescent="0.2">
      <c r="A356" s="79" t="s">
        <v>193</v>
      </c>
      <c r="B356" s="88" t="s">
        <v>194</v>
      </c>
      <c r="C356" s="165">
        <v>466.15600000000001</v>
      </c>
      <c r="D356" s="165">
        <v>164.45</v>
      </c>
      <c r="E356" s="165">
        <f t="shared" si="22"/>
        <v>76659.354200000002</v>
      </c>
      <c r="F356" s="89">
        <f t="shared" si="23"/>
        <v>2.5010435443190053E-3</v>
      </c>
      <c r="G356" s="90">
        <v>3.9404074186682889E-2</v>
      </c>
      <c r="H356" s="89">
        <f t="shared" si="20"/>
        <v>9.8551305364470403E-5</v>
      </c>
      <c r="I356" s="90">
        <v>0.05</v>
      </c>
      <c r="J356" s="89">
        <f t="shared" si="21"/>
        <v>1.2505217721595028E-4</v>
      </c>
      <c r="L356" s="91"/>
    </row>
    <row r="357" spans="1:12" x14ac:dyDescent="0.2">
      <c r="A357" s="79" t="s">
        <v>853</v>
      </c>
      <c r="B357" s="88" t="s">
        <v>854</v>
      </c>
      <c r="C357" s="165">
        <v>106.741</v>
      </c>
      <c r="D357" s="165">
        <v>822.96</v>
      </c>
      <c r="E357" s="165">
        <f t="shared" si="22"/>
        <v>87843.573360000009</v>
      </c>
      <c r="F357" s="89">
        <f t="shared" si="23"/>
        <v>2.8659333796206307E-3</v>
      </c>
      <c r="G357" s="90" t="s">
        <v>138</v>
      </c>
      <c r="H357" s="89" t="str">
        <f t="shared" si="20"/>
        <v/>
      </c>
      <c r="I357" s="90">
        <v>1.4999999999999999E-2</v>
      </c>
      <c r="J357" s="89">
        <f t="shared" si="21"/>
        <v>4.2989000694309456E-5</v>
      </c>
      <c r="L357" s="91"/>
    </row>
    <row r="358" spans="1:12" x14ac:dyDescent="0.2">
      <c r="A358" s="79" t="s">
        <v>195</v>
      </c>
      <c r="B358" s="88" t="s">
        <v>196</v>
      </c>
      <c r="C358" s="165">
        <v>10317.751</v>
      </c>
      <c r="D358" s="165">
        <v>127.12</v>
      </c>
      <c r="E358" s="165">
        <f t="shared" si="22"/>
        <v>1311592.50712</v>
      </c>
      <c r="F358" s="89">
        <f t="shared" si="23"/>
        <v>4.2791254986983114E-2</v>
      </c>
      <c r="G358" s="90" t="s">
        <v>138</v>
      </c>
      <c r="H358" s="89" t="str">
        <f t="shared" si="20"/>
        <v/>
      </c>
      <c r="I358" s="90">
        <v>0.19500000000000001</v>
      </c>
      <c r="J358" s="89">
        <f t="shared" si="21"/>
        <v>8.3442947224617071E-3</v>
      </c>
      <c r="L358" s="91"/>
    </row>
    <row r="359" spans="1:12" x14ac:dyDescent="0.2">
      <c r="A359" s="79" t="s">
        <v>601</v>
      </c>
      <c r="B359" s="88" t="s">
        <v>602</v>
      </c>
      <c r="C359" s="165">
        <v>72.935000000000002</v>
      </c>
      <c r="D359" s="165">
        <v>151.13999999999999</v>
      </c>
      <c r="E359" s="165">
        <f t="shared" si="22"/>
        <v>11023.3959</v>
      </c>
      <c r="F359" s="89">
        <f t="shared" si="23"/>
        <v>3.5964290907328813E-4</v>
      </c>
      <c r="G359" s="90">
        <v>1.3762074897446078E-2</v>
      </c>
      <c r="H359" s="89">
        <f t="shared" si="20"/>
        <v>4.9494326510019807E-6</v>
      </c>
      <c r="I359" s="90">
        <v>7.0000000000000007E-2</v>
      </c>
      <c r="J359" s="89">
        <f t="shared" si="21"/>
        <v>2.5175003635130173E-5</v>
      </c>
      <c r="L359" s="91"/>
    </row>
    <row r="360" spans="1:12" x14ac:dyDescent="0.2">
      <c r="A360" s="79" t="s">
        <v>860</v>
      </c>
      <c r="B360" s="88" t="s">
        <v>861</v>
      </c>
      <c r="C360" s="165">
        <v>40.387999999999998</v>
      </c>
      <c r="D360" s="165">
        <v>116.09</v>
      </c>
      <c r="E360" s="165">
        <f t="shared" si="22"/>
        <v>4688.6429200000002</v>
      </c>
      <c r="F360" s="89">
        <f t="shared" si="23"/>
        <v>1.52968939395044E-4</v>
      </c>
      <c r="G360" s="90">
        <v>2.584201912309415E-2</v>
      </c>
      <c r="H360" s="89">
        <f t="shared" si="20"/>
        <v>3.9530262570861576E-6</v>
      </c>
      <c r="I360" s="90">
        <v>0.125</v>
      </c>
      <c r="J360" s="89">
        <f t="shared" si="21"/>
        <v>1.91211174243805E-5</v>
      </c>
      <c r="L360" s="91"/>
    </row>
    <row r="361" spans="1:12" x14ac:dyDescent="0.2">
      <c r="A361" s="79" t="s">
        <v>271</v>
      </c>
      <c r="B361" s="88" t="s">
        <v>272</v>
      </c>
      <c r="C361" s="165">
        <v>156.86500000000001</v>
      </c>
      <c r="D361" s="165">
        <v>59.48</v>
      </c>
      <c r="E361" s="165">
        <f t="shared" si="22"/>
        <v>9330.3302000000003</v>
      </c>
      <c r="F361" s="89" t="str">
        <f t="shared" si="23"/>
        <v/>
      </c>
      <c r="G361" s="90">
        <v>6.5904505716207137E-2</v>
      </c>
      <c r="H361" s="89" t="str">
        <f t="shared" si="20"/>
        <v/>
      </c>
      <c r="I361" s="90">
        <v>-0.01</v>
      </c>
      <c r="J361" s="89" t="str">
        <f t="shared" si="21"/>
        <v/>
      </c>
      <c r="L361" s="91"/>
    </row>
    <row r="362" spans="1:12" x14ac:dyDescent="0.2">
      <c r="A362" s="79" t="s">
        <v>209</v>
      </c>
      <c r="B362" s="88" t="s">
        <v>210</v>
      </c>
      <c r="C362" s="165">
        <v>596.45399999999995</v>
      </c>
      <c r="D362" s="165">
        <v>83.99</v>
      </c>
      <c r="E362" s="165">
        <f t="shared" si="22"/>
        <v>50096.17145999999</v>
      </c>
      <c r="F362" s="89">
        <f t="shared" si="23"/>
        <v>1.6344085797833524E-3</v>
      </c>
      <c r="G362" s="90">
        <v>1.0001190617930707E-2</v>
      </c>
      <c r="H362" s="89">
        <f t="shared" si="20"/>
        <v>1.6346031753994713E-5</v>
      </c>
      <c r="I362" s="90">
        <v>0.125</v>
      </c>
      <c r="J362" s="89">
        <f t="shared" si="21"/>
        <v>2.0430107247291904E-4</v>
      </c>
      <c r="L362" s="91"/>
    </row>
    <row r="363" spans="1:12" x14ac:dyDescent="0.2">
      <c r="A363" s="79" t="s">
        <v>558</v>
      </c>
      <c r="B363" s="88" t="s">
        <v>559</v>
      </c>
      <c r="C363" s="165">
        <v>412.20800000000003</v>
      </c>
      <c r="D363" s="165">
        <v>46.25</v>
      </c>
      <c r="E363" s="165">
        <f t="shared" si="22"/>
        <v>19064.620000000003</v>
      </c>
      <c r="F363" s="89">
        <f t="shared" si="23"/>
        <v>6.2199121390322121E-4</v>
      </c>
      <c r="G363" s="90">
        <v>4.3243243243243244E-3</v>
      </c>
      <c r="H363" s="89">
        <f t="shared" si="20"/>
        <v>2.6896917357977132E-6</v>
      </c>
      <c r="I363" s="90">
        <v>0.12</v>
      </c>
      <c r="J363" s="89">
        <f t="shared" si="21"/>
        <v>7.4638945668386547E-5</v>
      </c>
      <c r="L363" s="91"/>
    </row>
    <row r="364" spans="1:12" x14ac:dyDescent="0.2">
      <c r="A364" s="79" t="s">
        <v>841</v>
      </c>
      <c r="B364" s="88" t="s">
        <v>842</v>
      </c>
      <c r="C364" s="165">
        <v>233.14099999999999</v>
      </c>
      <c r="D364" s="165">
        <v>229.55</v>
      </c>
      <c r="E364" s="165">
        <f t="shared" si="22"/>
        <v>53517.51655</v>
      </c>
      <c r="F364" s="89">
        <f t="shared" si="23"/>
        <v>1.7460313965880373E-3</v>
      </c>
      <c r="G364" s="90">
        <v>3.2062731431060768E-2</v>
      </c>
      <c r="H364" s="89">
        <f t="shared" si="20"/>
        <v>5.5982535739002193E-5</v>
      </c>
      <c r="I364" s="90">
        <v>8.5000000000000006E-2</v>
      </c>
      <c r="J364" s="89">
        <f t="shared" si="21"/>
        <v>1.4841266870998317E-4</v>
      </c>
      <c r="L364" s="91"/>
    </row>
    <row r="365" spans="1:12" x14ac:dyDescent="0.2">
      <c r="A365" s="79" t="s">
        <v>990</v>
      </c>
      <c r="B365" s="88" t="s">
        <v>991</v>
      </c>
      <c r="C365" s="165">
        <v>353.13299999999998</v>
      </c>
      <c r="D365" s="165">
        <v>141.71</v>
      </c>
      <c r="E365" s="165">
        <f t="shared" si="22"/>
        <v>50042.477429999999</v>
      </c>
      <c r="F365" s="89">
        <f t="shared" si="23"/>
        <v>1.6326567895615148E-3</v>
      </c>
      <c r="G365" s="90">
        <v>2.87911932820549E-2</v>
      </c>
      <c r="H365" s="89">
        <f t="shared" si="20"/>
        <v>4.7006137191524807E-5</v>
      </c>
      <c r="I365" s="90">
        <v>1.4999999999999999E-2</v>
      </c>
      <c r="J365" s="89">
        <f t="shared" si="21"/>
        <v>2.448985184342272E-5</v>
      </c>
      <c r="L365" s="91"/>
    </row>
    <row r="366" spans="1:12" x14ac:dyDescent="0.2">
      <c r="A366" s="79" t="s">
        <v>892</v>
      </c>
      <c r="B366" s="88" t="s">
        <v>893</v>
      </c>
      <c r="C366" s="165">
        <v>152.084</v>
      </c>
      <c r="D366" s="165">
        <v>458.97</v>
      </c>
      <c r="E366" s="165">
        <f t="shared" si="22"/>
        <v>69801.993480000005</v>
      </c>
      <c r="F366" s="89">
        <f t="shared" si="23"/>
        <v>2.277319278196467E-3</v>
      </c>
      <c r="G366" s="90" t="s">
        <v>138</v>
      </c>
      <c r="H366" s="89" t="str">
        <f t="shared" si="20"/>
        <v/>
      </c>
      <c r="I366" s="90">
        <v>0.15</v>
      </c>
      <c r="J366" s="89">
        <f t="shared" si="21"/>
        <v>3.4159789172947007E-4</v>
      </c>
      <c r="L366" s="91"/>
    </row>
    <row r="367" spans="1:12" x14ac:dyDescent="0.2">
      <c r="A367" s="79" t="s">
        <v>445</v>
      </c>
      <c r="B367" s="88" t="s">
        <v>446</v>
      </c>
      <c r="C367" s="165">
        <v>123.014</v>
      </c>
      <c r="D367" s="165">
        <v>64.58</v>
      </c>
      <c r="E367" s="165">
        <f t="shared" si="22"/>
        <v>7944.2441199999994</v>
      </c>
      <c r="F367" s="89">
        <f t="shared" si="23"/>
        <v>2.591842923563295E-4</v>
      </c>
      <c r="G367" s="90" t="s">
        <v>138</v>
      </c>
      <c r="H367" s="89" t="str">
        <f t="shared" si="20"/>
        <v/>
      </c>
      <c r="I367" s="90">
        <v>0.1</v>
      </c>
      <c r="J367" s="89">
        <f t="shared" si="21"/>
        <v>2.591842923563295E-5</v>
      </c>
      <c r="L367" s="91"/>
    </row>
    <row r="368" spans="1:12" x14ac:dyDescent="0.2">
      <c r="A368" s="79" t="s">
        <v>308</v>
      </c>
      <c r="B368" s="88" t="s">
        <v>309</v>
      </c>
      <c r="C368" s="165">
        <v>116.43899999999999</v>
      </c>
      <c r="D368" s="165">
        <v>86.13</v>
      </c>
      <c r="E368" s="165">
        <f t="shared" si="22"/>
        <v>10028.89107</v>
      </c>
      <c r="F368" s="89">
        <f t="shared" si="23"/>
        <v>3.2719677238426335E-4</v>
      </c>
      <c r="G368" s="90">
        <v>2.8329269708580053E-2</v>
      </c>
      <c r="H368" s="89">
        <f t="shared" si="20"/>
        <v>9.2692456126506746E-6</v>
      </c>
      <c r="I368" s="90">
        <v>0.06</v>
      </c>
      <c r="J368" s="89">
        <f t="shared" si="21"/>
        <v>1.9631806343055801E-5</v>
      </c>
      <c r="L368" s="91"/>
    </row>
    <row r="369" spans="1:12" x14ac:dyDescent="0.2">
      <c r="A369" s="79" t="s">
        <v>145</v>
      </c>
      <c r="B369" s="88" t="s">
        <v>146</v>
      </c>
      <c r="C369" s="165">
        <v>630.79499999999996</v>
      </c>
      <c r="D369" s="165">
        <v>307.11</v>
      </c>
      <c r="E369" s="165">
        <f t="shared" si="22"/>
        <v>193723.45244999998</v>
      </c>
      <c r="F369" s="89">
        <f t="shared" si="23"/>
        <v>6.3203087893122668E-3</v>
      </c>
      <c r="G369" s="90">
        <v>1.6801797401582493E-2</v>
      </c>
      <c r="H369" s="89">
        <f t="shared" si="20"/>
        <v>1.0619254779346584E-4</v>
      </c>
      <c r="I369" s="90">
        <v>0.125</v>
      </c>
      <c r="J369" s="89">
        <f t="shared" si="21"/>
        <v>7.9003859866403335E-4</v>
      </c>
      <c r="L369" s="91"/>
    </row>
    <row r="370" spans="1:12" x14ac:dyDescent="0.2">
      <c r="A370" s="79" t="s">
        <v>922</v>
      </c>
      <c r="B370" s="88" t="s">
        <v>923</v>
      </c>
      <c r="C370" s="165">
        <v>55.183</v>
      </c>
      <c r="D370" s="165">
        <v>843.13</v>
      </c>
      <c r="E370" s="165">
        <f t="shared" si="22"/>
        <v>46526.442790000001</v>
      </c>
      <c r="F370" s="89" t="str">
        <f t="shared" si="23"/>
        <v/>
      </c>
      <c r="G370" s="90" t="s">
        <v>138</v>
      </c>
      <c r="H370" s="89" t="str">
        <f t="shared" si="20"/>
        <v/>
      </c>
      <c r="I370" s="90">
        <v>0.26</v>
      </c>
      <c r="J370" s="89" t="str">
        <f t="shared" si="21"/>
        <v/>
      </c>
      <c r="L370" s="91"/>
    </row>
    <row r="371" spans="1:12" x14ac:dyDescent="0.2">
      <c r="A371" s="79" t="s">
        <v>1048</v>
      </c>
      <c r="B371" s="88" t="s">
        <v>1049</v>
      </c>
      <c r="C371" s="165">
        <v>280.21100000000001</v>
      </c>
      <c r="D371" s="165">
        <v>124.94</v>
      </c>
      <c r="E371" s="165">
        <f t="shared" si="22"/>
        <v>35009.562340000004</v>
      </c>
      <c r="F371" s="89">
        <f t="shared" si="23"/>
        <v>1.1422016372776955E-3</v>
      </c>
      <c r="G371" s="90">
        <v>1.9369297262686089E-2</v>
      </c>
      <c r="H371" s="89">
        <f t="shared" si="20"/>
        <v>2.2123643046358435E-5</v>
      </c>
      <c r="I371" s="90">
        <v>0.115</v>
      </c>
      <c r="J371" s="89">
        <f t="shared" si="21"/>
        <v>1.3135318828693499E-4</v>
      </c>
      <c r="L371" s="91"/>
    </row>
    <row r="372" spans="1:12" x14ac:dyDescent="0.2">
      <c r="A372" s="79" t="s">
        <v>815</v>
      </c>
      <c r="B372" s="88" t="s">
        <v>816</v>
      </c>
      <c r="C372" s="165">
        <v>923.86199999999997</v>
      </c>
      <c r="D372" s="165">
        <v>112.21</v>
      </c>
      <c r="E372" s="165">
        <f t="shared" si="22"/>
        <v>103666.55501999999</v>
      </c>
      <c r="F372" s="89">
        <f t="shared" si="23"/>
        <v>3.3821647847192787E-3</v>
      </c>
      <c r="G372" s="90">
        <v>3.1013278673914981E-2</v>
      </c>
      <c r="H372" s="89">
        <f t="shared" si="20"/>
        <v>1.0489201898960066E-4</v>
      </c>
      <c r="I372" s="90">
        <v>2.5000000000000001E-2</v>
      </c>
      <c r="J372" s="89">
        <f t="shared" si="21"/>
        <v>8.4554119617981973E-5</v>
      </c>
      <c r="L372" s="91"/>
    </row>
    <row r="373" spans="1:12" x14ac:dyDescent="0.2">
      <c r="A373" s="79" t="s">
        <v>471</v>
      </c>
      <c r="B373" s="88" t="s">
        <v>472</v>
      </c>
      <c r="C373" s="165">
        <v>573.36199999999997</v>
      </c>
      <c r="D373" s="165">
        <v>34.18</v>
      </c>
      <c r="E373" s="165">
        <f t="shared" si="22"/>
        <v>19597.513159999999</v>
      </c>
      <c r="F373" s="89">
        <f t="shared" si="23"/>
        <v>6.3937707648370392E-4</v>
      </c>
      <c r="G373" s="90">
        <v>4.7981275599765942E-2</v>
      </c>
      <c r="H373" s="89">
        <f t="shared" si="20"/>
        <v>3.0678127718937226E-5</v>
      </c>
      <c r="I373" s="90">
        <v>0.04</v>
      </c>
      <c r="J373" s="89">
        <f t="shared" si="21"/>
        <v>2.5575083059348158E-5</v>
      </c>
      <c r="L373" s="91"/>
    </row>
    <row r="374" spans="1:12" x14ac:dyDescent="0.2">
      <c r="A374" s="79" t="s">
        <v>996</v>
      </c>
      <c r="B374" s="88" t="s">
        <v>997</v>
      </c>
      <c r="C374" s="165">
        <v>103.134</v>
      </c>
      <c r="D374" s="165">
        <v>202.53</v>
      </c>
      <c r="E374" s="165">
        <f t="shared" si="22"/>
        <v>20887.729019999999</v>
      </c>
      <c r="F374" s="89">
        <f t="shared" si="23"/>
        <v>6.8147090940345726E-4</v>
      </c>
      <c r="G374" s="90" t="s">
        <v>138</v>
      </c>
      <c r="H374" s="89" t="str">
        <f t="shared" si="20"/>
        <v/>
      </c>
      <c r="I374" s="90">
        <v>0.13</v>
      </c>
      <c r="J374" s="89">
        <f t="shared" si="21"/>
        <v>8.8591218222449448E-5</v>
      </c>
      <c r="L374" s="91"/>
    </row>
    <row r="375" spans="1:12" x14ac:dyDescent="0.2">
      <c r="A375" s="79" t="s">
        <v>839</v>
      </c>
      <c r="B375" s="88" t="s">
        <v>840</v>
      </c>
      <c r="C375" s="165">
        <v>145.19900000000001</v>
      </c>
      <c r="D375" s="165">
        <v>187.07</v>
      </c>
      <c r="E375" s="165">
        <f t="shared" si="22"/>
        <v>27162.376930000002</v>
      </c>
      <c r="F375" s="89">
        <f t="shared" si="23"/>
        <v>8.8618392599420029E-4</v>
      </c>
      <c r="G375" s="90">
        <v>1.7105896188592507E-3</v>
      </c>
      <c r="H375" s="89">
        <f t="shared" si="20"/>
        <v>1.5158970242056136E-6</v>
      </c>
      <c r="I375" s="90">
        <v>0.15</v>
      </c>
      <c r="J375" s="89">
        <f t="shared" si="21"/>
        <v>1.3292758889913003E-4</v>
      </c>
      <c r="L375" s="91"/>
    </row>
    <row r="376" spans="1:12" x14ac:dyDescent="0.2">
      <c r="A376" s="79" t="s">
        <v>550</v>
      </c>
      <c r="B376" s="88" t="s">
        <v>551</v>
      </c>
      <c r="C376" s="165">
        <v>130.58500000000001</v>
      </c>
      <c r="D376" s="165">
        <v>74.25</v>
      </c>
      <c r="E376" s="165">
        <f t="shared" si="22"/>
        <v>9695.9362500000007</v>
      </c>
      <c r="F376" s="89">
        <f t="shared" si="23"/>
        <v>3.1633398190290422E-4</v>
      </c>
      <c r="G376" s="90" t="s">
        <v>138</v>
      </c>
      <c r="H376" s="89" t="str">
        <f t="shared" si="20"/>
        <v/>
      </c>
      <c r="I376" s="90">
        <v>0.09</v>
      </c>
      <c r="J376" s="89">
        <f t="shared" si="21"/>
        <v>2.847005837126138E-5</v>
      </c>
      <c r="L376" s="91"/>
    </row>
    <row r="377" spans="1:12" x14ac:dyDescent="0.2">
      <c r="A377" s="79" t="s">
        <v>157</v>
      </c>
      <c r="B377" s="88" t="s">
        <v>27</v>
      </c>
      <c r="C377" s="165">
        <v>262.47500000000002</v>
      </c>
      <c r="D377" s="165">
        <v>74.83</v>
      </c>
      <c r="E377" s="165">
        <f t="shared" si="22"/>
        <v>19641.004250000002</v>
      </c>
      <c r="F377" s="89">
        <f t="shared" si="23"/>
        <v>6.4079599151390515E-4</v>
      </c>
      <c r="G377" s="90">
        <v>3.3676333021515438E-2</v>
      </c>
      <c r="H377" s="89">
        <f t="shared" si="20"/>
        <v>2.1579659209074451E-5</v>
      </c>
      <c r="I377" s="90">
        <v>6.5000000000000002E-2</v>
      </c>
      <c r="J377" s="89">
        <f t="shared" si="21"/>
        <v>4.165173944840384E-5</v>
      </c>
      <c r="L377" s="91"/>
    </row>
    <row r="378" spans="1:12" x14ac:dyDescent="0.2">
      <c r="A378" s="79" t="s">
        <v>199</v>
      </c>
      <c r="B378" s="88" t="s">
        <v>200</v>
      </c>
      <c r="C378" s="165">
        <v>86.790999999999997</v>
      </c>
      <c r="D378" s="165">
        <v>297.55</v>
      </c>
      <c r="E378" s="165">
        <f t="shared" si="22"/>
        <v>25824.662049999999</v>
      </c>
      <c r="F378" s="89">
        <f t="shared" si="23"/>
        <v>8.4254041764902454E-4</v>
      </c>
      <c r="G378" s="90" t="s">
        <v>138</v>
      </c>
      <c r="H378" s="89" t="str">
        <f t="shared" si="20"/>
        <v/>
      </c>
      <c r="I378" s="90">
        <v>8.5000000000000006E-2</v>
      </c>
      <c r="J378" s="89">
        <f t="shared" si="21"/>
        <v>7.1615935500167089E-5</v>
      </c>
      <c r="L378" s="91"/>
    </row>
    <row r="379" spans="1:12" x14ac:dyDescent="0.2">
      <c r="A379" s="79" t="s">
        <v>467</v>
      </c>
      <c r="B379" s="88" t="s">
        <v>468</v>
      </c>
      <c r="C379" s="165">
        <v>38.146000000000001</v>
      </c>
      <c r="D379" s="165">
        <v>437.26</v>
      </c>
      <c r="E379" s="165">
        <f t="shared" si="22"/>
        <v>16679.719959999999</v>
      </c>
      <c r="F379" s="89">
        <f t="shared" si="23"/>
        <v>5.4418285103433408E-4</v>
      </c>
      <c r="G379" s="90">
        <v>8.9649178978182323E-3</v>
      </c>
      <c r="H379" s="89">
        <f t="shared" si="20"/>
        <v>4.878554580923455E-6</v>
      </c>
      <c r="I379" s="90">
        <v>0.105</v>
      </c>
      <c r="J379" s="89">
        <f t="shared" si="21"/>
        <v>5.7139199358605073E-5</v>
      </c>
      <c r="L379" s="91"/>
    </row>
    <row r="380" spans="1:12" x14ac:dyDescent="0.2">
      <c r="A380" s="79" t="s">
        <v>761</v>
      </c>
      <c r="B380" s="88" t="s">
        <v>762</v>
      </c>
      <c r="C380" s="165">
        <v>2470</v>
      </c>
      <c r="D380" s="165">
        <v>434.99</v>
      </c>
      <c r="E380" s="165">
        <f t="shared" si="22"/>
        <v>1074425.3</v>
      </c>
      <c r="F380" s="89" t="str">
        <f t="shared" si="23"/>
        <v/>
      </c>
      <c r="G380" s="90">
        <v>3.6782454769075152E-4</v>
      </c>
      <c r="H380" s="89" t="str">
        <f t="shared" si="20"/>
        <v/>
      </c>
      <c r="I380" s="90">
        <v>0.4</v>
      </c>
      <c r="J380" s="89" t="str">
        <f t="shared" si="21"/>
        <v/>
      </c>
      <c r="L380" s="91"/>
    </row>
    <row r="381" spans="1:12" x14ac:dyDescent="0.2">
      <c r="A381" s="79" t="s">
        <v>883</v>
      </c>
      <c r="B381" s="88" t="s">
        <v>884</v>
      </c>
      <c r="C381" s="165">
        <v>144.41</v>
      </c>
      <c r="D381" s="165">
        <v>32.86</v>
      </c>
      <c r="E381" s="165">
        <f t="shared" si="22"/>
        <v>4745.3126000000002</v>
      </c>
      <c r="F381" s="89">
        <f t="shared" si="23"/>
        <v>1.5481781144466823E-4</v>
      </c>
      <c r="G381" s="90">
        <v>2.434570906877663E-2</v>
      </c>
      <c r="H381" s="89">
        <f t="shared" si="20"/>
        <v>3.7691493960966097E-6</v>
      </c>
      <c r="I381" s="90">
        <v>7.4999999999999997E-2</v>
      </c>
      <c r="J381" s="89">
        <f t="shared" si="21"/>
        <v>1.1611335858350116E-5</v>
      </c>
      <c r="L381" s="91"/>
    </row>
    <row r="382" spans="1:12" x14ac:dyDescent="0.2">
      <c r="A382" s="79" t="s">
        <v>362</v>
      </c>
      <c r="B382" s="88" t="s">
        <v>363</v>
      </c>
      <c r="C382" s="165">
        <v>505.041</v>
      </c>
      <c r="D382" s="165">
        <v>67.739999999999995</v>
      </c>
      <c r="E382" s="165">
        <f t="shared" si="22"/>
        <v>34211.477339999998</v>
      </c>
      <c r="F382" s="89">
        <f t="shared" si="23"/>
        <v>1.116163779825097E-3</v>
      </c>
      <c r="G382" s="90">
        <v>1.7124298789489224E-2</v>
      </c>
      <c r="H382" s="89">
        <f t="shared" si="20"/>
        <v>1.9113522063730623E-5</v>
      </c>
      <c r="I382" s="90">
        <v>0.08</v>
      </c>
      <c r="J382" s="89">
        <f t="shared" si="21"/>
        <v>8.9293102386007753E-5</v>
      </c>
      <c r="L382" s="91"/>
    </row>
    <row r="383" spans="1:12" x14ac:dyDescent="0.2">
      <c r="A383" s="79" t="s">
        <v>588</v>
      </c>
      <c r="B383" s="88" t="s">
        <v>589</v>
      </c>
      <c r="C383" s="165">
        <v>351.35500000000002</v>
      </c>
      <c r="D383" s="165">
        <v>292.29000000000002</v>
      </c>
      <c r="E383" s="165">
        <f t="shared" si="22"/>
        <v>102697.55295000001</v>
      </c>
      <c r="F383" s="89">
        <f t="shared" si="23"/>
        <v>3.3505506862586739E-3</v>
      </c>
      <c r="G383" s="90" t="s">
        <v>138</v>
      </c>
      <c r="H383" s="89" t="str">
        <f t="shared" si="20"/>
        <v/>
      </c>
      <c r="I383" s="90">
        <v>0.125</v>
      </c>
      <c r="J383" s="89">
        <f t="shared" si="21"/>
        <v>4.1881883578233424E-4</v>
      </c>
      <c r="L383" s="91"/>
    </row>
    <row r="384" spans="1:12" x14ac:dyDescent="0.2">
      <c r="A384" s="79" t="s">
        <v>960</v>
      </c>
      <c r="B384" s="88" t="s">
        <v>961</v>
      </c>
      <c r="C384" s="165">
        <v>169.83099999999999</v>
      </c>
      <c r="D384" s="165">
        <v>140.38999999999999</v>
      </c>
      <c r="E384" s="165">
        <f t="shared" si="22"/>
        <v>23842.574089999995</v>
      </c>
      <c r="F384" s="89" t="str">
        <f t="shared" si="23"/>
        <v/>
      </c>
      <c r="G384" s="90" t="s">
        <v>138</v>
      </c>
      <c r="H384" s="89" t="str">
        <f t="shared" si="20"/>
        <v/>
      </c>
      <c r="I384" s="90" t="s">
        <v>138</v>
      </c>
      <c r="J384" s="89" t="str">
        <f t="shared" si="21"/>
        <v/>
      </c>
      <c r="L384" s="91"/>
    </row>
    <row r="385" spans="1:12" x14ac:dyDescent="0.2">
      <c r="A385" s="79" t="s">
        <v>872</v>
      </c>
      <c r="B385" s="88" t="s">
        <v>873</v>
      </c>
      <c r="C385" s="165">
        <v>316.32600000000002</v>
      </c>
      <c r="D385" s="165">
        <v>142.51</v>
      </c>
      <c r="E385" s="165">
        <f t="shared" si="22"/>
        <v>45079.618260000003</v>
      </c>
      <c r="F385" s="89">
        <f t="shared" si="23"/>
        <v>1.4707414301376694E-3</v>
      </c>
      <c r="G385" s="90">
        <v>1.5016490070872222E-2</v>
      </c>
      <c r="H385" s="89">
        <f t="shared" si="20"/>
        <v>2.2085374082482726E-5</v>
      </c>
      <c r="I385" s="90">
        <v>0.125</v>
      </c>
      <c r="J385" s="89">
        <f t="shared" si="21"/>
        <v>1.8384267876720868E-4</v>
      </c>
      <c r="L385" s="91"/>
    </row>
    <row r="386" spans="1:12" x14ac:dyDescent="0.2">
      <c r="A386" s="79" t="s">
        <v>417</v>
      </c>
      <c r="B386" s="88" t="s">
        <v>418</v>
      </c>
      <c r="C386" s="165">
        <v>532.15700000000004</v>
      </c>
      <c r="D386" s="165">
        <v>44.09</v>
      </c>
      <c r="E386" s="165">
        <f t="shared" si="22"/>
        <v>23462.802130000004</v>
      </c>
      <c r="F386" s="89">
        <f t="shared" si="23"/>
        <v>7.6548374834692671E-4</v>
      </c>
      <c r="G386" s="90">
        <v>2.2680880018144702E-2</v>
      </c>
      <c r="H386" s="89">
        <f t="shared" si="20"/>
        <v>1.7361845052096318E-5</v>
      </c>
      <c r="I386" s="90">
        <v>9.5000000000000001E-2</v>
      </c>
      <c r="J386" s="89">
        <f t="shared" si="21"/>
        <v>7.2720956092958041E-5</v>
      </c>
      <c r="L386" s="91"/>
    </row>
    <row r="387" spans="1:12" x14ac:dyDescent="0.2">
      <c r="A387" s="79" t="s">
        <v>518</v>
      </c>
      <c r="B387" s="88" t="s">
        <v>519</v>
      </c>
      <c r="C387" s="165">
        <v>329.67099999999999</v>
      </c>
      <c r="D387" s="165">
        <v>323.57</v>
      </c>
      <c r="E387" s="165">
        <f t="shared" si="22"/>
        <v>106671.64546999999</v>
      </c>
      <c r="F387" s="89">
        <f t="shared" si="23"/>
        <v>3.4802071195197876E-3</v>
      </c>
      <c r="G387" s="90">
        <v>3.3995735080508085E-2</v>
      </c>
      <c r="H387" s="89">
        <f t="shared" si="20"/>
        <v>1.1831219926049285E-4</v>
      </c>
      <c r="I387" s="90">
        <v>0.05</v>
      </c>
      <c r="J387" s="89">
        <f t="shared" si="21"/>
        <v>1.740103559759894E-4</v>
      </c>
      <c r="L387" s="91"/>
    </row>
    <row r="388" spans="1:12" x14ac:dyDescent="0.2">
      <c r="A388" s="79" t="s">
        <v>875</v>
      </c>
      <c r="B388" s="88" t="s">
        <v>876</v>
      </c>
      <c r="C388" s="165">
        <v>108.383</v>
      </c>
      <c r="D388" s="165">
        <v>200.17</v>
      </c>
      <c r="E388" s="165">
        <f t="shared" si="22"/>
        <v>21695.025109999999</v>
      </c>
      <c r="F388" s="89" t="str">
        <f t="shared" si="23"/>
        <v/>
      </c>
      <c r="G388" s="90">
        <v>1.6985562272068742E-2</v>
      </c>
      <c r="H388" s="89" t="str">
        <f t="shared" si="20"/>
        <v/>
      </c>
      <c r="I388" s="90">
        <v>0.23499999999999999</v>
      </c>
      <c r="J388" s="89" t="str">
        <f t="shared" si="21"/>
        <v/>
      </c>
      <c r="L388" s="91"/>
    </row>
    <row r="389" spans="1:12" x14ac:dyDescent="0.2">
      <c r="A389" s="79" t="s">
        <v>1427</v>
      </c>
      <c r="B389" s="88" t="s">
        <v>899</v>
      </c>
      <c r="C389" s="165">
        <v>629.30700000000002</v>
      </c>
      <c r="D389" s="165">
        <v>68.03</v>
      </c>
      <c r="E389" s="165">
        <f t="shared" si="22"/>
        <v>42811.755210000003</v>
      </c>
      <c r="F389" s="89">
        <f t="shared" si="23"/>
        <v>1.3967514480957635E-3</v>
      </c>
      <c r="G389" s="90">
        <v>3.498456563280905E-2</v>
      </c>
      <c r="H389" s="89">
        <f t="shared" si="20"/>
        <v>4.8864742708627325E-5</v>
      </c>
      <c r="I389" s="90">
        <v>7.0000000000000007E-2</v>
      </c>
      <c r="J389" s="89">
        <f t="shared" si="21"/>
        <v>9.7772601366703449E-5</v>
      </c>
      <c r="L389" s="91"/>
    </row>
    <row r="390" spans="1:12" x14ac:dyDescent="0.2">
      <c r="A390" s="79" t="s">
        <v>677</v>
      </c>
      <c r="B390" s="88" t="s">
        <v>678</v>
      </c>
      <c r="C390" s="165">
        <v>183.5</v>
      </c>
      <c r="D390" s="165">
        <v>316.17</v>
      </c>
      <c r="E390" s="165">
        <f t="shared" si="22"/>
        <v>58017.195</v>
      </c>
      <c r="F390" s="89">
        <f t="shared" si="23"/>
        <v>1.8928352909897963E-3</v>
      </c>
      <c r="G390" s="90">
        <v>9.7415947117057283E-3</v>
      </c>
      <c r="H390" s="89">
        <f t="shared" si="20"/>
        <v>1.8439234260836174E-5</v>
      </c>
      <c r="I390" s="90">
        <v>0.16</v>
      </c>
      <c r="J390" s="89">
        <f t="shared" si="21"/>
        <v>3.028536465583674E-4</v>
      </c>
      <c r="L390" s="91"/>
    </row>
    <row r="391" spans="1:12" x14ac:dyDescent="0.2">
      <c r="A391" s="79" t="s">
        <v>1222</v>
      </c>
      <c r="B391" s="88" t="s">
        <v>1223</v>
      </c>
      <c r="C391" s="165">
        <v>431.529</v>
      </c>
      <c r="D391" s="165">
        <v>92.95</v>
      </c>
      <c r="E391" s="165">
        <f t="shared" si="22"/>
        <v>40110.62055</v>
      </c>
      <c r="F391" s="89">
        <f t="shared" si="23"/>
        <v>1.3086257982748142E-3</v>
      </c>
      <c r="G391" s="90" t="s">
        <v>138</v>
      </c>
      <c r="H391" s="89" t="str">
        <f t="shared" si="20"/>
        <v/>
      </c>
      <c r="I391" s="90">
        <v>0.13</v>
      </c>
      <c r="J391" s="89">
        <f t="shared" si="21"/>
        <v>1.7012135377572586E-4</v>
      </c>
      <c r="L391" s="91"/>
    </row>
    <row r="392" spans="1:12" x14ac:dyDescent="0.2">
      <c r="A392" s="79" t="s">
        <v>253</v>
      </c>
      <c r="B392" s="88" t="s">
        <v>254</v>
      </c>
      <c r="C392" s="165">
        <v>35.692</v>
      </c>
      <c r="D392" s="165">
        <v>3083.95</v>
      </c>
      <c r="E392" s="165">
        <f t="shared" si="22"/>
        <v>110072.3434</v>
      </c>
      <c r="F392" s="89" t="str">
        <f t="shared" si="23"/>
        <v/>
      </c>
      <c r="G392" s="90" t="s">
        <v>138</v>
      </c>
      <c r="H392" s="89" t="str">
        <f t="shared" si="20"/>
        <v/>
      </c>
      <c r="I392" s="90">
        <v>0.22</v>
      </c>
      <c r="J392" s="89" t="str">
        <f t="shared" si="21"/>
        <v/>
      </c>
      <c r="L392" s="91"/>
    </row>
    <row r="393" spans="1:12" x14ac:dyDescent="0.2">
      <c r="A393" s="79" t="s">
        <v>473</v>
      </c>
      <c r="B393" s="88" t="s">
        <v>474</v>
      </c>
      <c r="C393" s="165">
        <v>59.305999999999997</v>
      </c>
      <c r="D393" s="165">
        <v>161.13999999999999</v>
      </c>
      <c r="E393" s="165">
        <f t="shared" si="22"/>
        <v>9556.5688399999981</v>
      </c>
      <c r="F393" s="89">
        <f t="shared" si="23"/>
        <v>3.1178706176893621E-4</v>
      </c>
      <c r="G393" s="90" t="s">
        <v>138</v>
      </c>
      <c r="H393" s="89" t="str">
        <f t="shared" si="20"/>
        <v/>
      </c>
      <c r="I393" s="90">
        <v>0.1</v>
      </c>
      <c r="J393" s="89">
        <f t="shared" si="21"/>
        <v>3.1178706176893625E-5</v>
      </c>
      <c r="L393" s="91"/>
    </row>
    <row r="394" spans="1:12" x14ac:dyDescent="0.2">
      <c r="A394" s="79" t="s">
        <v>169</v>
      </c>
      <c r="B394" s="88" t="s">
        <v>170</v>
      </c>
      <c r="C394" s="165">
        <v>151.71299999999999</v>
      </c>
      <c r="D394" s="165">
        <v>106.54</v>
      </c>
      <c r="E394" s="165">
        <f t="shared" si="22"/>
        <v>16163.50302</v>
      </c>
      <c r="F394" s="89">
        <f t="shared" si="23"/>
        <v>5.2734105711722454E-4</v>
      </c>
      <c r="G394" s="90" t="s">
        <v>138</v>
      </c>
      <c r="H394" s="89" t="str">
        <f t="shared" si="20"/>
        <v/>
      </c>
      <c r="I394" s="90">
        <v>0.05</v>
      </c>
      <c r="J394" s="89">
        <f t="shared" si="21"/>
        <v>2.6367052855861228E-5</v>
      </c>
      <c r="L394" s="91"/>
    </row>
    <row r="395" spans="1:12" x14ac:dyDescent="0.2">
      <c r="A395" s="79" t="s">
        <v>348</v>
      </c>
      <c r="B395" s="88" t="s">
        <v>349</v>
      </c>
      <c r="C395" s="165">
        <v>51.271000000000001</v>
      </c>
      <c r="D395" s="165">
        <v>195.98</v>
      </c>
      <c r="E395" s="165">
        <f t="shared" si="22"/>
        <v>10048.09058</v>
      </c>
      <c r="F395" s="89">
        <f t="shared" si="23"/>
        <v>3.2782316444092364E-4</v>
      </c>
      <c r="G395" s="90" t="s">
        <v>138</v>
      </c>
      <c r="H395" s="89" t="str">
        <f t="shared" si="20"/>
        <v/>
      </c>
      <c r="I395" s="90">
        <v>0.08</v>
      </c>
      <c r="J395" s="89">
        <f t="shared" si="21"/>
        <v>2.6225853155273893E-5</v>
      </c>
      <c r="L395" s="91"/>
    </row>
    <row r="396" spans="1:12" x14ac:dyDescent="0.2">
      <c r="A396" s="79" t="s">
        <v>691</v>
      </c>
      <c r="B396" s="88" t="s">
        <v>692</v>
      </c>
      <c r="C396" s="165">
        <v>37.677</v>
      </c>
      <c r="D396" s="165">
        <v>213.64</v>
      </c>
      <c r="E396" s="165">
        <f t="shared" si="22"/>
        <v>8049.3142799999996</v>
      </c>
      <c r="F396" s="89">
        <f t="shared" si="23"/>
        <v>2.6261225034150866E-4</v>
      </c>
      <c r="G396" s="90">
        <v>1.3480621606440741E-2</v>
      </c>
      <c r="H396" s="89">
        <f t="shared" si="20"/>
        <v>3.5401763760697666E-6</v>
      </c>
      <c r="I396" s="90">
        <v>0.105</v>
      </c>
      <c r="J396" s="89">
        <f t="shared" si="21"/>
        <v>2.7574286285858407E-5</v>
      </c>
      <c r="L396" s="91"/>
    </row>
    <row r="397" spans="1:12" x14ac:dyDescent="0.2">
      <c r="A397" s="79" t="s">
        <v>409</v>
      </c>
      <c r="B397" s="88" t="s">
        <v>410</v>
      </c>
      <c r="C397" s="165">
        <v>640.70000000000005</v>
      </c>
      <c r="D397" s="165">
        <v>47.7</v>
      </c>
      <c r="E397" s="165">
        <f t="shared" si="22"/>
        <v>30561.390000000003</v>
      </c>
      <c r="F397" s="89">
        <f t="shared" si="23"/>
        <v>9.9707815129122779E-4</v>
      </c>
      <c r="G397" s="90">
        <v>4.1090146750524109E-2</v>
      </c>
      <c r="H397" s="89">
        <f t="shared" si="20"/>
        <v>4.0970087558297827E-5</v>
      </c>
      <c r="I397" s="90">
        <v>0.105</v>
      </c>
      <c r="J397" s="89">
        <f t="shared" si="21"/>
        <v>1.0469320588557891E-4</v>
      </c>
      <c r="L397" s="91"/>
    </row>
    <row r="398" spans="1:12" x14ac:dyDescent="0.2">
      <c r="A398" s="79" t="s">
        <v>926</v>
      </c>
      <c r="B398" s="88" t="s">
        <v>927</v>
      </c>
      <c r="C398" s="165">
        <v>158.24</v>
      </c>
      <c r="D398" s="165">
        <v>68.069999999999993</v>
      </c>
      <c r="E398" s="165">
        <f t="shared" si="22"/>
        <v>10771.3968</v>
      </c>
      <c r="F398" s="89">
        <f t="shared" si="23"/>
        <v>3.5142133287027343E-4</v>
      </c>
      <c r="G398" s="90">
        <v>4.7010430439253714E-3</v>
      </c>
      <c r="H398" s="89">
        <f t="shared" si="20"/>
        <v>1.6520468123767814E-6</v>
      </c>
      <c r="I398" s="90">
        <v>0.13</v>
      </c>
      <c r="J398" s="89">
        <f t="shared" si="21"/>
        <v>4.5684773273135545E-5</v>
      </c>
      <c r="L398" s="91"/>
    </row>
    <row r="399" spans="1:12" x14ac:dyDescent="0.2">
      <c r="A399" s="79" t="s">
        <v>509</v>
      </c>
      <c r="B399" s="88" t="s">
        <v>511</v>
      </c>
      <c r="C399" s="165">
        <v>5933</v>
      </c>
      <c r="D399" s="165">
        <v>130.86000000000001</v>
      </c>
      <c r="E399" s="165">
        <f t="shared" si="22"/>
        <v>776392.38000000012</v>
      </c>
      <c r="F399" s="89" t="str">
        <f t="shared" si="23"/>
        <v/>
      </c>
      <c r="G399" s="90" t="s">
        <v>138</v>
      </c>
      <c r="H399" s="89" t="str">
        <f t="shared" si="20"/>
        <v/>
      </c>
      <c r="I399" s="90" t="s">
        <v>138</v>
      </c>
      <c r="J399" s="89" t="str">
        <f t="shared" si="21"/>
        <v/>
      </c>
      <c r="L399" s="91"/>
    </row>
    <row r="400" spans="1:12" x14ac:dyDescent="0.2">
      <c r="A400" s="79" t="s">
        <v>934</v>
      </c>
      <c r="B400" s="88" t="s">
        <v>935</v>
      </c>
      <c r="C400" s="165">
        <v>46.991999999999997</v>
      </c>
      <c r="D400" s="165">
        <v>196.41</v>
      </c>
      <c r="E400" s="165">
        <f t="shared" si="22"/>
        <v>9229.6987199999985</v>
      </c>
      <c r="F400" s="89">
        <f t="shared" si="23"/>
        <v>3.0112278717403263E-4</v>
      </c>
      <c r="G400" s="90">
        <v>6.9242910238786221E-3</v>
      </c>
      <c r="H400" s="89">
        <f t="shared" si="20"/>
        <v>2.0850618123144666E-6</v>
      </c>
      <c r="I400" s="90">
        <v>0.1</v>
      </c>
      <c r="J400" s="89">
        <f t="shared" si="21"/>
        <v>3.0112278717403265E-5</v>
      </c>
      <c r="L400" s="91"/>
    </row>
    <row r="401" spans="1:12" x14ac:dyDescent="0.2">
      <c r="A401" s="79" t="s">
        <v>1428</v>
      </c>
      <c r="B401" s="88" t="s">
        <v>1429</v>
      </c>
      <c r="C401" s="165">
        <v>150.642</v>
      </c>
      <c r="D401" s="165">
        <v>108.25</v>
      </c>
      <c r="E401" s="165">
        <f t="shared" si="22"/>
        <v>16306.996499999999</v>
      </c>
      <c r="F401" s="89">
        <f t="shared" si="23"/>
        <v>5.3202259201340384E-4</v>
      </c>
      <c r="G401" s="90">
        <v>2.4480369515011546E-2</v>
      </c>
      <c r="H401" s="89">
        <f t="shared" si="20"/>
        <v>1.3024109642822356E-5</v>
      </c>
      <c r="I401" s="90">
        <v>1.4999999999999999E-2</v>
      </c>
      <c r="J401" s="89">
        <f t="shared" si="21"/>
        <v>7.9803388802010577E-6</v>
      </c>
      <c r="L401" s="91"/>
    </row>
    <row r="402" spans="1:12" x14ac:dyDescent="0.2">
      <c r="A402" s="79" t="s">
        <v>742</v>
      </c>
      <c r="B402" s="88" t="s">
        <v>743</v>
      </c>
      <c r="C402" s="165">
        <v>443.14699999999999</v>
      </c>
      <c r="D402" s="165">
        <v>377.6</v>
      </c>
      <c r="E402" s="165">
        <f t="shared" si="22"/>
        <v>167332.30720000001</v>
      </c>
      <c r="F402" s="89">
        <f t="shared" si="23"/>
        <v>5.4592866199564809E-3</v>
      </c>
      <c r="G402" s="90" t="s">
        <v>138</v>
      </c>
      <c r="H402" s="89" t="str">
        <f t="shared" si="20"/>
        <v/>
      </c>
      <c r="I402" s="90">
        <v>0.13</v>
      </c>
      <c r="J402" s="89">
        <f t="shared" si="21"/>
        <v>7.0970726059434251E-4</v>
      </c>
      <c r="L402" s="91"/>
    </row>
    <row r="403" spans="1:12" x14ac:dyDescent="0.2">
      <c r="A403" s="79" t="s">
        <v>179</v>
      </c>
      <c r="B403" s="88" t="s">
        <v>180</v>
      </c>
      <c r="C403" s="165">
        <v>87.78</v>
      </c>
      <c r="D403" s="165">
        <v>104.2</v>
      </c>
      <c r="E403" s="165">
        <f t="shared" si="22"/>
        <v>9146.6759999999995</v>
      </c>
      <c r="F403" s="89">
        <f t="shared" si="23"/>
        <v>2.9841413615479663E-4</v>
      </c>
      <c r="G403" s="90">
        <v>1.7274472168905951E-2</v>
      </c>
      <c r="H403" s="89">
        <f t="shared" ref="H403:H466" si="24">IFERROR($G403*$F403,"")</f>
        <v>5.1549466898141459E-6</v>
      </c>
      <c r="I403" s="90">
        <v>0.105</v>
      </c>
      <c r="J403" s="89">
        <f t="shared" ref="J403:J466" si="25">IFERROR($I403*$F403,"")</f>
        <v>3.1333484296253646E-5</v>
      </c>
      <c r="L403" s="91"/>
    </row>
    <row r="404" spans="1:12" x14ac:dyDescent="0.2">
      <c r="A404" s="79" t="s">
        <v>1012</v>
      </c>
      <c r="B404" s="88" t="s">
        <v>1013</v>
      </c>
      <c r="C404" s="165">
        <v>2437.384</v>
      </c>
      <c r="D404" s="165">
        <v>10.86</v>
      </c>
      <c r="E404" s="165">
        <f t="shared" ref="E404:E467" si="26">IFERROR(C404*D404,"")</f>
        <v>26469.990239999999</v>
      </c>
      <c r="F404" s="89" t="str">
        <f t="shared" ref="F404:F467" si="27">IF(AND(ISNUMBER($I404)), IF(AND($I404&lt;=20%,$I404&gt;0%), $E404/SUMIFS($E$19:$E$521,$I$19:$I$521, "&gt;"&amp;0%,$I$19:$I$521, "&lt;="&amp;20%),""),"")</f>
        <v/>
      </c>
      <c r="G404" s="90" t="s">
        <v>138</v>
      </c>
      <c r="H404" s="89" t="str">
        <f t="shared" si="24"/>
        <v/>
      </c>
      <c r="I404" s="90" t="s">
        <v>138</v>
      </c>
      <c r="J404" s="89" t="str">
        <f t="shared" si="25"/>
        <v/>
      </c>
      <c r="L404" s="91"/>
    </row>
    <row r="405" spans="1:12" x14ac:dyDescent="0.2">
      <c r="A405" s="79" t="s">
        <v>134</v>
      </c>
      <c r="B405" s="88" t="s">
        <v>135</v>
      </c>
      <c r="C405" s="165">
        <v>292.58699999999999</v>
      </c>
      <c r="D405" s="165">
        <v>111.595</v>
      </c>
      <c r="E405" s="165">
        <f t="shared" si="26"/>
        <v>32651.246264999998</v>
      </c>
      <c r="F405" s="89">
        <f t="shared" si="27"/>
        <v>1.0652605874032824E-3</v>
      </c>
      <c r="G405" s="90">
        <v>8.0648774586675031E-3</v>
      </c>
      <c r="H405" s="89">
        <f t="shared" si="24"/>
        <v>8.5911960989556362E-6</v>
      </c>
      <c r="I405" s="90">
        <v>0.13500000000000001</v>
      </c>
      <c r="J405" s="89">
        <f t="shared" si="25"/>
        <v>1.4381017929944312E-4</v>
      </c>
      <c r="L405" s="91"/>
    </row>
    <row r="406" spans="1:12" x14ac:dyDescent="0.2">
      <c r="A406" s="79" t="s">
        <v>946</v>
      </c>
      <c r="B406" s="88" t="s">
        <v>947</v>
      </c>
      <c r="C406" s="165">
        <v>248.322</v>
      </c>
      <c r="D406" s="165">
        <v>53.86</v>
      </c>
      <c r="E406" s="165">
        <f t="shared" si="26"/>
        <v>13374.62292</v>
      </c>
      <c r="F406" s="89">
        <f t="shared" si="27"/>
        <v>4.3635267555863398E-4</v>
      </c>
      <c r="G406" s="90" t="s">
        <v>138</v>
      </c>
      <c r="H406" s="89" t="str">
        <f t="shared" si="24"/>
        <v/>
      </c>
      <c r="I406" s="90">
        <v>5.5E-2</v>
      </c>
      <c r="J406" s="89">
        <f t="shared" si="25"/>
        <v>2.3999397155724867E-5</v>
      </c>
      <c r="L406" s="91"/>
    </row>
    <row r="407" spans="1:12" x14ac:dyDescent="0.2">
      <c r="A407" s="79" t="s">
        <v>1224</v>
      </c>
      <c r="B407" s="88" t="s">
        <v>1225</v>
      </c>
      <c r="C407" s="165">
        <v>235.648</v>
      </c>
      <c r="D407" s="165">
        <v>435.42</v>
      </c>
      <c r="E407" s="165">
        <f t="shared" si="26"/>
        <v>102605.85215999999</v>
      </c>
      <c r="F407" s="89">
        <f t="shared" si="27"/>
        <v>3.3475589095703371E-3</v>
      </c>
      <c r="G407" s="90">
        <v>1.3596068164071471E-2</v>
      </c>
      <c r="H407" s="89">
        <f t="shared" si="24"/>
        <v>4.5513639117763069E-5</v>
      </c>
      <c r="I407" s="90">
        <v>0.125</v>
      </c>
      <c r="J407" s="89">
        <f t="shared" si="25"/>
        <v>4.1844486369629213E-4</v>
      </c>
      <c r="L407" s="91"/>
    </row>
    <row r="408" spans="1:12" x14ac:dyDescent="0.2">
      <c r="A408" s="79" t="s">
        <v>323</v>
      </c>
      <c r="B408" s="88" t="s">
        <v>324</v>
      </c>
      <c r="C408" s="165">
        <v>359.74599999999998</v>
      </c>
      <c r="D408" s="165">
        <v>200.22</v>
      </c>
      <c r="E408" s="165">
        <f t="shared" si="26"/>
        <v>72028.344119999994</v>
      </c>
      <c r="F408" s="89">
        <f t="shared" si="27"/>
        <v>2.349954900472065E-3</v>
      </c>
      <c r="G408" s="90">
        <v>2.1975826590750178E-2</v>
      </c>
      <c r="H408" s="89">
        <f t="shared" si="24"/>
        <v>5.1642201388857696E-5</v>
      </c>
      <c r="I408" s="90">
        <v>7.4999999999999997E-2</v>
      </c>
      <c r="J408" s="89">
        <f t="shared" si="25"/>
        <v>1.7624661753540486E-4</v>
      </c>
      <c r="L408" s="91"/>
    </row>
    <row r="409" spans="1:12" x14ac:dyDescent="0.2">
      <c r="A409" s="79" t="s">
        <v>605</v>
      </c>
      <c r="B409" s="88" t="s">
        <v>606</v>
      </c>
      <c r="C409" s="165">
        <v>321.36</v>
      </c>
      <c r="D409" s="165">
        <v>27.79</v>
      </c>
      <c r="E409" s="165">
        <f t="shared" si="26"/>
        <v>8930.5944</v>
      </c>
      <c r="F409" s="89">
        <f t="shared" si="27"/>
        <v>2.9136438343556331E-4</v>
      </c>
      <c r="G409" s="90">
        <v>3.166606693055056E-2</v>
      </c>
      <c r="H409" s="89">
        <f t="shared" si="24"/>
        <v>9.2263640670491445E-6</v>
      </c>
      <c r="I409" s="90">
        <v>0.105</v>
      </c>
      <c r="J409" s="89">
        <f t="shared" si="25"/>
        <v>3.0593260260734144E-5</v>
      </c>
      <c r="L409" s="91"/>
    </row>
    <row r="410" spans="1:12" x14ac:dyDescent="0.2">
      <c r="A410" s="79" t="s">
        <v>257</v>
      </c>
      <c r="B410" s="88" t="s">
        <v>258</v>
      </c>
      <c r="C410" s="165">
        <v>149.303</v>
      </c>
      <c r="D410" s="165">
        <v>646.49</v>
      </c>
      <c r="E410" s="165">
        <f t="shared" si="26"/>
        <v>96522.896469999992</v>
      </c>
      <c r="F410" s="89">
        <f t="shared" si="27"/>
        <v>3.1490999319593168E-3</v>
      </c>
      <c r="G410" s="90">
        <v>3.0936286717505299E-2</v>
      </c>
      <c r="H410" s="89">
        <f t="shared" si="24"/>
        <v>9.7421458397169847E-5</v>
      </c>
      <c r="I410" s="90">
        <v>7.4999999999999997E-2</v>
      </c>
      <c r="J410" s="89">
        <f t="shared" si="25"/>
        <v>2.3618249489694876E-4</v>
      </c>
      <c r="L410" s="91"/>
    </row>
    <row r="411" spans="1:12" x14ac:dyDescent="0.2">
      <c r="A411" s="79" t="s">
        <v>404</v>
      </c>
      <c r="B411" s="88" t="s">
        <v>405</v>
      </c>
      <c r="C411" s="165">
        <v>206.10900000000001</v>
      </c>
      <c r="D411" s="165">
        <v>99.28</v>
      </c>
      <c r="E411" s="165">
        <f t="shared" si="26"/>
        <v>20462.501520000002</v>
      </c>
      <c r="F411" s="89">
        <f t="shared" si="27"/>
        <v>6.6759768408294049E-4</v>
      </c>
      <c r="G411" s="90">
        <v>3.8376309427880742E-2</v>
      </c>
      <c r="H411" s="89">
        <f t="shared" si="24"/>
        <v>2.56199352977035E-5</v>
      </c>
      <c r="I411" s="90">
        <v>4.4999999999999998E-2</v>
      </c>
      <c r="J411" s="89">
        <f t="shared" si="25"/>
        <v>3.0041895783732323E-5</v>
      </c>
      <c r="L411" s="91"/>
    </row>
    <row r="412" spans="1:12" x14ac:dyDescent="0.2">
      <c r="A412" s="79" t="s">
        <v>298</v>
      </c>
      <c r="B412" s="88" t="s">
        <v>299</v>
      </c>
      <c r="C412" s="165">
        <v>108.852</v>
      </c>
      <c r="D412" s="165">
        <v>125.52</v>
      </c>
      <c r="E412" s="165">
        <f t="shared" si="26"/>
        <v>13663.10304</v>
      </c>
      <c r="F412" s="89">
        <f t="shared" si="27"/>
        <v>4.4576446032149557E-4</v>
      </c>
      <c r="G412" s="90">
        <v>2.2307202039515615E-2</v>
      </c>
      <c r="H412" s="89">
        <f t="shared" si="24"/>
        <v>9.9437578784272429E-6</v>
      </c>
      <c r="I412" s="90">
        <v>6.5000000000000002E-2</v>
      </c>
      <c r="J412" s="89">
        <f t="shared" si="25"/>
        <v>2.8974689920897214E-5</v>
      </c>
      <c r="L412" s="91"/>
    </row>
    <row r="413" spans="1:12" x14ac:dyDescent="0.2">
      <c r="A413" s="79" t="s">
        <v>735</v>
      </c>
      <c r="B413" s="88" t="s">
        <v>736</v>
      </c>
      <c r="C413" s="165">
        <v>491.31599999999997</v>
      </c>
      <c r="D413" s="165">
        <v>48.59</v>
      </c>
      <c r="E413" s="165">
        <f t="shared" si="26"/>
        <v>23873.044440000001</v>
      </c>
      <c r="F413" s="89">
        <f t="shared" si="27"/>
        <v>7.7886807556621349E-4</v>
      </c>
      <c r="G413" s="90">
        <v>1.8110722370858201E-2</v>
      </c>
      <c r="H413" s="89">
        <f t="shared" si="24"/>
        <v>1.4105863480104299E-5</v>
      </c>
      <c r="I413" s="90">
        <v>0.06</v>
      </c>
      <c r="J413" s="89">
        <f t="shared" si="25"/>
        <v>4.6732084533972811E-5</v>
      </c>
      <c r="L413" s="91"/>
    </row>
    <row r="414" spans="1:12" x14ac:dyDescent="0.2">
      <c r="A414" s="79" t="s">
        <v>817</v>
      </c>
      <c r="B414" s="88" t="s">
        <v>818</v>
      </c>
      <c r="C414" s="165">
        <v>1552.345</v>
      </c>
      <c r="D414" s="165">
        <v>92.58</v>
      </c>
      <c r="E414" s="165">
        <f t="shared" si="26"/>
        <v>143716.10010000001</v>
      </c>
      <c r="F414" s="89">
        <f t="shared" si="27"/>
        <v>4.6887979702000798E-3</v>
      </c>
      <c r="G414" s="90">
        <v>5.6167638798876651E-2</v>
      </c>
      <c r="H414" s="89">
        <f t="shared" si="24"/>
        <v>2.6335871079110408E-4</v>
      </c>
      <c r="I414" s="90">
        <v>0.05</v>
      </c>
      <c r="J414" s="89">
        <f t="shared" si="25"/>
        <v>2.34439898510004E-4</v>
      </c>
      <c r="L414" s="91"/>
    </row>
    <row r="415" spans="1:12" x14ac:dyDescent="0.2">
      <c r="A415" s="79" t="s">
        <v>584</v>
      </c>
      <c r="B415" s="88" t="s">
        <v>585</v>
      </c>
      <c r="C415" s="165">
        <v>404.399</v>
      </c>
      <c r="D415" s="165">
        <v>63.72</v>
      </c>
      <c r="E415" s="165">
        <f t="shared" si="26"/>
        <v>25768.30428</v>
      </c>
      <c r="F415" s="89">
        <f t="shared" si="27"/>
        <v>8.4070172179381332E-4</v>
      </c>
      <c r="G415" s="90">
        <v>1.2554927809165098E-3</v>
      </c>
      <c r="H415" s="89">
        <f t="shared" si="24"/>
        <v>1.0554949426162126E-6</v>
      </c>
      <c r="I415" s="90">
        <v>0.12</v>
      </c>
      <c r="J415" s="89">
        <f t="shared" si="25"/>
        <v>1.008842066152576E-4</v>
      </c>
      <c r="L415" s="91"/>
    </row>
    <row r="416" spans="1:12" x14ac:dyDescent="0.2">
      <c r="A416" s="79" t="s">
        <v>350</v>
      </c>
      <c r="B416" s="88" t="s">
        <v>351</v>
      </c>
      <c r="C416" s="165">
        <v>973</v>
      </c>
      <c r="D416" s="165">
        <v>202.78</v>
      </c>
      <c r="E416" s="165">
        <f t="shared" si="26"/>
        <v>197304.94</v>
      </c>
      <c r="F416" s="89">
        <f t="shared" si="27"/>
        <v>6.437156320960093E-3</v>
      </c>
      <c r="G416" s="90" t="s">
        <v>138</v>
      </c>
      <c r="H416" s="89" t="str">
        <f t="shared" si="24"/>
        <v/>
      </c>
      <c r="I416" s="90">
        <v>0.18</v>
      </c>
      <c r="J416" s="89">
        <f t="shared" si="25"/>
        <v>1.1586881377728168E-3</v>
      </c>
      <c r="L416" s="91"/>
    </row>
    <row r="417" spans="1:12" x14ac:dyDescent="0.2">
      <c r="A417" s="79" t="s">
        <v>536</v>
      </c>
      <c r="B417" s="88" t="s">
        <v>537</v>
      </c>
      <c r="C417" s="165">
        <v>39.868000000000002</v>
      </c>
      <c r="D417" s="165">
        <v>204.58</v>
      </c>
      <c r="E417" s="165">
        <f t="shared" si="26"/>
        <v>8156.1954400000013</v>
      </c>
      <c r="F417" s="89">
        <f t="shared" si="27"/>
        <v>2.6609929296033796E-4</v>
      </c>
      <c r="G417" s="90">
        <v>2.4244794212532991E-2</v>
      </c>
      <c r="H417" s="89">
        <f t="shared" si="24"/>
        <v>6.4515225979239229E-6</v>
      </c>
      <c r="I417" s="90">
        <v>0.1</v>
      </c>
      <c r="J417" s="89">
        <f t="shared" si="25"/>
        <v>2.6609929296033797E-5</v>
      </c>
      <c r="L417" s="91"/>
    </row>
    <row r="418" spans="1:12" x14ac:dyDescent="0.2">
      <c r="A418" s="79" t="s">
        <v>868</v>
      </c>
      <c r="B418" s="88" t="s">
        <v>869</v>
      </c>
      <c r="C418" s="165">
        <v>106.711</v>
      </c>
      <c r="D418" s="165">
        <v>484.28</v>
      </c>
      <c r="E418" s="165">
        <f t="shared" si="26"/>
        <v>51678.003079999995</v>
      </c>
      <c r="F418" s="89">
        <f t="shared" si="27"/>
        <v>1.6860164990345255E-3</v>
      </c>
      <c r="G418" s="90">
        <v>5.6372346576360789E-3</v>
      </c>
      <c r="H418" s="89">
        <f t="shared" si="24"/>
        <v>9.5044706417036734E-6</v>
      </c>
      <c r="I418" s="90">
        <v>0.08</v>
      </c>
      <c r="J418" s="89">
        <f t="shared" si="25"/>
        <v>1.3488131992276205E-4</v>
      </c>
      <c r="L418" s="91"/>
    </row>
    <row r="419" spans="1:12" x14ac:dyDescent="0.2">
      <c r="A419" s="79" t="s">
        <v>683</v>
      </c>
      <c r="B419" s="88" t="s">
        <v>684</v>
      </c>
      <c r="C419" s="165">
        <v>752.02200000000005</v>
      </c>
      <c r="D419" s="165">
        <v>62.91</v>
      </c>
      <c r="E419" s="165">
        <f t="shared" si="26"/>
        <v>47309.704019999997</v>
      </c>
      <c r="F419" s="89">
        <f t="shared" si="27"/>
        <v>1.5434989122679549E-3</v>
      </c>
      <c r="G419" s="90">
        <v>3.306310602447942E-2</v>
      </c>
      <c r="H419" s="89">
        <f t="shared" si="24"/>
        <v>5.103286818498405E-5</v>
      </c>
      <c r="I419" s="90">
        <v>7.4999999999999997E-2</v>
      </c>
      <c r="J419" s="89">
        <f t="shared" si="25"/>
        <v>1.1576241842009661E-4</v>
      </c>
      <c r="L419" s="91"/>
    </row>
    <row r="420" spans="1:12" x14ac:dyDescent="0.2">
      <c r="A420" s="79" t="s">
        <v>944</v>
      </c>
      <c r="B420" s="88" t="s">
        <v>945</v>
      </c>
      <c r="C420" s="165">
        <v>227.43899999999999</v>
      </c>
      <c r="D420" s="165">
        <v>28.75</v>
      </c>
      <c r="E420" s="165">
        <f t="shared" si="26"/>
        <v>6538.8712500000001</v>
      </c>
      <c r="F420" s="89">
        <f t="shared" si="27"/>
        <v>2.133334137446418E-4</v>
      </c>
      <c r="G420" s="90">
        <v>4.8695652173913043E-2</v>
      </c>
      <c r="H420" s="89">
        <f t="shared" si="24"/>
        <v>1.0388409712782557E-5</v>
      </c>
      <c r="I420" s="90">
        <v>0.12</v>
      </c>
      <c r="J420" s="89">
        <f t="shared" si="25"/>
        <v>2.5600009649357016E-5</v>
      </c>
      <c r="L420" s="91"/>
    </row>
    <row r="421" spans="1:12" x14ac:dyDescent="0.2">
      <c r="A421" s="79" t="s">
        <v>354</v>
      </c>
      <c r="B421" s="88" t="s">
        <v>355</v>
      </c>
      <c r="C421" s="165">
        <v>2006.33</v>
      </c>
      <c r="D421" s="165">
        <v>30.75</v>
      </c>
      <c r="E421" s="165">
        <f t="shared" si="26"/>
        <v>61694.647499999999</v>
      </c>
      <c r="F421" s="89">
        <f t="shared" si="27"/>
        <v>2.0128137193322674E-3</v>
      </c>
      <c r="G421" s="90">
        <v>1.4308943089430894E-2</v>
      </c>
      <c r="H421" s="89">
        <f t="shared" si="24"/>
        <v>2.8801236959551144E-5</v>
      </c>
      <c r="I421" s="90">
        <v>8.5000000000000006E-2</v>
      </c>
      <c r="J421" s="89">
        <f t="shared" si="25"/>
        <v>1.7108916614324275E-4</v>
      </c>
      <c r="L421" s="91"/>
    </row>
    <row r="422" spans="1:12" x14ac:dyDescent="0.2">
      <c r="A422" s="79" t="s">
        <v>448</v>
      </c>
      <c r="B422" s="88" t="s">
        <v>449</v>
      </c>
      <c r="C422" s="165">
        <v>607.91600000000005</v>
      </c>
      <c r="D422" s="165">
        <v>69.28</v>
      </c>
      <c r="E422" s="165">
        <f t="shared" si="26"/>
        <v>42116.420480000008</v>
      </c>
      <c r="F422" s="89">
        <f t="shared" si="27"/>
        <v>1.3740658612452642E-3</v>
      </c>
      <c r="G422" s="90" t="s">
        <v>138</v>
      </c>
      <c r="H422" s="89" t="str">
        <f t="shared" si="24"/>
        <v/>
      </c>
      <c r="I422" s="90">
        <v>0.105</v>
      </c>
      <c r="J422" s="89">
        <f t="shared" si="25"/>
        <v>1.4427691543075273E-4</v>
      </c>
      <c r="L422" s="91"/>
    </row>
    <row r="423" spans="1:12" x14ac:dyDescent="0.2">
      <c r="A423" s="79" t="s">
        <v>191</v>
      </c>
      <c r="B423" s="88" t="s">
        <v>192</v>
      </c>
      <c r="C423" s="165">
        <v>102.626</v>
      </c>
      <c r="D423" s="165">
        <v>329.68</v>
      </c>
      <c r="E423" s="165">
        <f t="shared" si="26"/>
        <v>33833.739679999999</v>
      </c>
      <c r="F423" s="89">
        <f t="shared" si="27"/>
        <v>1.1038399304286568E-3</v>
      </c>
      <c r="G423" s="90">
        <v>1.6379519534093667E-2</v>
      </c>
      <c r="H423" s="89">
        <f t="shared" si="24"/>
        <v>1.8080367702968778E-5</v>
      </c>
      <c r="I423" s="90">
        <v>0.11</v>
      </c>
      <c r="J423" s="89">
        <f t="shared" si="25"/>
        <v>1.2142239234715225E-4</v>
      </c>
      <c r="L423" s="91"/>
    </row>
    <row r="424" spans="1:12" x14ac:dyDescent="0.2">
      <c r="A424" s="79" t="s">
        <v>1052</v>
      </c>
      <c r="B424" s="88" t="s">
        <v>1053</v>
      </c>
      <c r="C424" s="165">
        <v>51.338000000000001</v>
      </c>
      <c r="D424" s="165">
        <v>236.53</v>
      </c>
      <c r="E424" s="165">
        <f t="shared" si="26"/>
        <v>12142.977140000001</v>
      </c>
      <c r="F424" s="89">
        <f t="shared" si="27"/>
        <v>3.9616971603460572E-4</v>
      </c>
      <c r="G424" s="90" t="s">
        <v>138</v>
      </c>
      <c r="H424" s="89" t="str">
        <f t="shared" si="24"/>
        <v/>
      </c>
      <c r="I424" s="90">
        <v>1.4999999999999999E-2</v>
      </c>
      <c r="J424" s="89">
        <f t="shared" si="25"/>
        <v>5.9425457405190853E-6</v>
      </c>
      <c r="L424" s="91"/>
    </row>
    <row r="425" spans="1:12" x14ac:dyDescent="0.2">
      <c r="A425" s="79" t="s">
        <v>1050</v>
      </c>
      <c r="B425" s="88" t="s">
        <v>1051</v>
      </c>
      <c r="C425" s="165">
        <v>208.964</v>
      </c>
      <c r="D425" s="165">
        <v>112.22</v>
      </c>
      <c r="E425" s="165">
        <f t="shared" si="26"/>
        <v>23449.94008</v>
      </c>
      <c r="F425" s="89">
        <f t="shared" si="27"/>
        <v>7.6506411857760605E-4</v>
      </c>
      <c r="G425" s="90">
        <v>8.5546248440563182E-3</v>
      </c>
      <c r="H425" s="89">
        <f t="shared" si="24"/>
        <v>6.5448365160800373E-6</v>
      </c>
      <c r="I425" s="90">
        <v>6.5000000000000002E-2</v>
      </c>
      <c r="J425" s="89">
        <f t="shared" si="25"/>
        <v>4.9729167707544396E-5</v>
      </c>
      <c r="L425" s="91"/>
    </row>
    <row r="426" spans="1:12" x14ac:dyDescent="0.2">
      <c r="A426" s="79" t="s">
        <v>346</v>
      </c>
      <c r="B426" s="88" t="s">
        <v>347</v>
      </c>
      <c r="C426" s="165">
        <v>106.771</v>
      </c>
      <c r="D426" s="165">
        <v>94.58</v>
      </c>
      <c r="E426" s="165">
        <f t="shared" si="26"/>
        <v>10098.401180000001</v>
      </c>
      <c r="F426" s="89" t="str">
        <f t="shared" si="27"/>
        <v/>
      </c>
      <c r="G426" s="90">
        <v>4.2292239374074857E-2</v>
      </c>
      <c r="H426" s="89" t="str">
        <f t="shared" si="24"/>
        <v/>
      </c>
      <c r="I426" s="90">
        <v>-0.03</v>
      </c>
      <c r="J426" s="89" t="str">
        <f t="shared" si="25"/>
        <v/>
      </c>
      <c r="L426" s="91"/>
    </row>
    <row r="427" spans="1:12" x14ac:dyDescent="0.2">
      <c r="A427" s="79" t="s">
        <v>287</v>
      </c>
      <c r="B427" s="88" t="s">
        <v>288</v>
      </c>
      <c r="C427" s="165">
        <v>309.83800000000002</v>
      </c>
      <c r="D427" s="165">
        <v>73.86</v>
      </c>
      <c r="E427" s="165">
        <f t="shared" si="26"/>
        <v>22884.634680000003</v>
      </c>
      <c r="F427" s="89">
        <f t="shared" si="27"/>
        <v>7.466207930892383E-4</v>
      </c>
      <c r="G427" s="90" t="s">
        <v>138</v>
      </c>
      <c r="H427" s="89" t="str">
        <f t="shared" si="24"/>
        <v/>
      </c>
      <c r="I427" s="90">
        <v>8.5000000000000006E-2</v>
      </c>
      <c r="J427" s="89">
        <f t="shared" si="25"/>
        <v>6.3462767412585257E-5</v>
      </c>
      <c r="L427" s="91"/>
    </row>
    <row r="428" spans="1:12" x14ac:dyDescent="0.2">
      <c r="A428" s="79" t="s">
        <v>663</v>
      </c>
      <c r="B428" s="88" t="s">
        <v>664</v>
      </c>
      <c r="C428" s="165">
        <v>934.84799999999996</v>
      </c>
      <c r="D428" s="165">
        <v>395.91</v>
      </c>
      <c r="E428" s="165">
        <f t="shared" si="26"/>
        <v>370115.67168000003</v>
      </c>
      <c r="F428" s="89">
        <f t="shared" si="27"/>
        <v>1.2075178834555804E-2</v>
      </c>
      <c r="G428" s="90">
        <v>5.7588845949837078E-3</v>
      </c>
      <c r="H428" s="89">
        <f t="shared" si="24"/>
        <v>6.9539561371996739E-5</v>
      </c>
      <c r="I428" s="90">
        <v>0.16</v>
      </c>
      <c r="J428" s="89">
        <f t="shared" si="25"/>
        <v>1.9320286135289285E-3</v>
      </c>
      <c r="L428" s="91"/>
    </row>
    <row r="429" spans="1:12" x14ac:dyDescent="0.2">
      <c r="A429" s="79" t="s">
        <v>624</v>
      </c>
      <c r="B429" s="88" t="s">
        <v>625</v>
      </c>
      <c r="C429" s="165">
        <v>158.66800000000001</v>
      </c>
      <c r="D429" s="165">
        <v>70.73</v>
      </c>
      <c r="E429" s="165">
        <f t="shared" si="26"/>
        <v>11222.587640000002</v>
      </c>
      <c r="F429" s="89" t="str">
        <f t="shared" si="27"/>
        <v/>
      </c>
      <c r="G429" s="90" t="s">
        <v>138</v>
      </c>
      <c r="H429" s="89" t="str">
        <f t="shared" si="24"/>
        <v/>
      </c>
      <c r="I429" s="90">
        <v>-3.5000000000000003E-2</v>
      </c>
      <c r="J429" s="89" t="str">
        <f t="shared" si="25"/>
        <v/>
      </c>
      <c r="L429" s="91"/>
    </row>
    <row r="430" spans="1:12" x14ac:dyDescent="0.2">
      <c r="A430" s="79" t="s">
        <v>562</v>
      </c>
      <c r="B430" s="88" t="s">
        <v>563</v>
      </c>
      <c r="C430" s="165">
        <v>594.93600000000004</v>
      </c>
      <c r="D430" s="165">
        <v>110.02</v>
      </c>
      <c r="E430" s="165">
        <f t="shared" si="26"/>
        <v>65454.858720000004</v>
      </c>
      <c r="F430" s="89">
        <f t="shared" si="27"/>
        <v>2.1354921855833812E-3</v>
      </c>
      <c r="G430" s="90">
        <v>1.5269950918014906E-2</v>
      </c>
      <c r="H430" s="89">
        <f t="shared" si="24"/>
        <v>3.2608860859662611E-5</v>
      </c>
      <c r="I430" s="90">
        <v>0.06</v>
      </c>
      <c r="J430" s="89">
        <f t="shared" si="25"/>
        <v>1.2812953113500286E-4</v>
      </c>
      <c r="L430" s="91"/>
    </row>
    <row r="431" spans="1:12" x14ac:dyDescent="0.2">
      <c r="A431" s="79" t="s">
        <v>475</v>
      </c>
      <c r="B431" s="88" t="s">
        <v>476</v>
      </c>
      <c r="C431" s="165">
        <v>592.46500000000003</v>
      </c>
      <c r="D431" s="165">
        <v>55.27</v>
      </c>
      <c r="E431" s="165">
        <f t="shared" si="26"/>
        <v>32745.540550000005</v>
      </c>
      <c r="F431" s="89" t="str">
        <f t="shared" si="27"/>
        <v/>
      </c>
      <c r="G431" s="90">
        <v>3.7633435860322056E-2</v>
      </c>
      <c r="H431" s="89" t="str">
        <f t="shared" si="24"/>
        <v/>
      </c>
      <c r="I431" s="90">
        <v>0.23499999999999999</v>
      </c>
      <c r="J431" s="89" t="str">
        <f t="shared" si="25"/>
        <v/>
      </c>
      <c r="L431" s="91"/>
    </row>
    <row r="432" spans="1:12" x14ac:dyDescent="0.2">
      <c r="A432" s="79" t="s">
        <v>325</v>
      </c>
      <c r="B432" s="88" t="s">
        <v>326</v>
      </c>
      <c r="C432" s="165">
        <v>27.588000000000001</v>
      </c>
      <c r="D432" s="165">
        <v>1831.83</v>
      </c>
      <c r="E432" s="165">
        <f t="shared" si="26"/>
        <v>50536.526039999997</v>
      </c>
      <c r="F432" s="89">
        <f t="shared" si="27"/>
        <v>1.6487753324257888E-3</v>
      </c>
      <c r="G432" s="90" t="s">
        <v>138</v>
      </c>
      <c r="H432" s="89" t="str">
        <f t="shared" si="24"/>
        <v/>
      </c>
      <c r="I432" s="90">
        <v>0.2</v>
      </c>
      <c r="J432" s="89">
        <f t="shared" si="25"/>
        <v>3.2975506648515781E-4</v>
      </c>
      <c r="L432" s="91"/>
    </row>
    <row r="433" spans="1:12" x14ac:dyDescent="0.2">
      <c r="A433" s="79" t="s">
        <v>1039</v>
      </c>
      <c r="B433" s="88" t="s">
        <v>1040</v>
      </c>
      <c r="C433" s="165">
        <v>113.93600000000001</v>
      </c>
      <c r="D433" s="165">
        <v>92.41</v>
      </c>
      <c r="E433" s="165">
        <f t="shared" si="26"/>
        <v>10528.82576</v>
      </c>
      <c r="F433" s="89" t="str">
        <f t="shared" si="27"/>
        <v/>
      </c>
      <c r="G433" s="90">
        <v>1.0821339681852614E-2</v>
      </c>
      <c r="H433" s="89" t="str">
        <f t="shared" si="24"/>
        <v/>
      </c>
      <c r="I433" s="90">
        <v>0.27</v>
      </c>
      <c r="J433" s="89" t="str">
        <f t="shared" si="25"/>
        <v/>
      </c>
      <c r="L433" s="91"/>
    </row>
    <row r="434" spans="1:12" x14ac:dyDescent="0.2">
      <c r="A434" s="79" t="s">
        <v>661</v>
      </c>
      <c r="B434" s="88" t="s">
        <v>662</v>
      </c>
      <c r="C434" s="165">
        <v>230.15100000000001</v>
      </c>
      <c r="D434" s="165">
        <v>83.04</v>
      </c>
      <c r="E434" s="165">
        <f t="shared" si="26"/>
        <v>19111.739040000004</v>
      </c>
      <c r="F434" s="89" t="str">
        <f t="shared" si="27"/>
        <v/>
      </c>
      <c r="G434" s="90" t="s">
        <v>138</v>
      </c>
      <c r="H434" s="89" t="str">
        <f t="shared" si="24"/>
        <v/>
      </c>
      <c r="I434" s="90" t="s">
        <v>138</v>
      </c>
      <c r="J434" s="89" t="str">
        <f t="shared" si="25"/>
        <v/>
      </c>
      <c r="L434" s="91"/>
    </row>
    <row r="435" spans="1:12" x14ac:dyDescent="0.2">
      <c r="A435" s="79" t="s">
        <v>165</v>
      </c>
      <c r="B435" s="88" t="s">
        <v>166</v>
      </c>
      <c r="C435" s="165">
        <v>53.023000000000003</v>
      </c>
      <c r="D435" s="165">
        <v>143.58000000000001</v>
      </c>
      <c r="E435" s="165">
        <f t="shared" si="26"/>
        <v>7613.0423400000009</v>
      </c>
      <c r="F435" s="89">
        <f t="shared" si="27"/>
        <v>2.4837869553934042E-4</v>
      </c>
      <c r="G435" s="90">
        <v>1.9501323304081344E-2</v>
      </c>
      <c r="H435" s="89">
        <f t="shared" si="24"/>
        <v>4.8437132435586646E-6</v>
      </c>
      <c r="I435" s="90">
        <v>0.105</v>
      </c>
      <c r="J435" s="89">
        <f t="shared" si="25"/>
        <v>2.6079763031630744E-5</v>
      </c>
      <c r="L435" s="91"/>
    </row>
    <row r="436" spans="1:12" x14ac:dyDescent="0.2">
      <c r="A436" s="79" t="s">
        <v>751</v>
      </c>
      <c r="B436" s="88" t="s">
        <v>752</v>
      </c>
      <c r="C436" s="165">
        <v>229.11699999999999</v>
      </c>
      <c r="D436" s="165">
        <v>38.520000000000003</v>
      </c>
      <c r="E436" s="165">
        <f t="shared" si="26"/>
        <v>8825.5868399999999</v>
      </c>
      <c r="F436" s="89" t="str">
        <f t="shared" si="27"/>
        <v/>
      </c>
      <c r="G436" s="90">
        <v>3.9200415368639663E-2</v>
      </c>
      <c r="H436" s="89" t="str">
        <f t="shared" si="24"/>
        <v/>
      </c>
      <c r="I436" s="90">
        <v>-2.5000000000000001E-2</v>
      </c>
      <c r="J436" s="89" t="str">
        <f t="shared" si="25"/>
        <v/>
      </c>
      <c r="L436" s="91"/>
    </row>
    <row r="437" spans="1:12" x14ac:dyDescent="0.2">
      <c r="A437" s="79" t="s">
        <v>699</v>
      </c>
      <c r="B437" s="88" t="s">
        <v>700</v>
      </c>
      <c r="C437" s="165">
        <v>1047.518</v>
      </c>
      <c r="D437" s="165">
        <v>52.95</v>
      </c>
      <c r="E437" s="165">
        <f t="shared" si="26"/>
        <v>55466.078100000006</v>
      </c>
      <c r="F437" s="89">
        <f t="shared" si="27"/>
        <v>1.8096040334331276E-3</v>
      </c>
      <c r="G437" s="90" t="s">
        <v>138</v>
      </c>
      <c r="H437" s="89" t="str">
        <f t="shared" si="24"/>
        <v/>
      </c>
      <c r="I437" s="90">
        <v>0.11</v>
      </c>
      <c r="J437" s="89">
        <f t="shared" si="25"/>
        <v>1.9905644367764405E-4</v>
      </c>
      <c r="L437" s="91"/>
    </row>
    <row r="438" spans="1:12" x14ac:dyDescent="0.2">
      <c r="A438" s="79" t="s">
        <v>855</v>
      </c>
      <c r="B438" s="88" t="s">
        <v>856</v>
      </c>
      <c r="C438" s="165">
        <v>938.37699999999995</v>
      </c>
      <c r="D438" s="165">
        <v>17.2</v>
      </c>
      <c r="E438" s="165">
        <f t="shared" si="26"/>
        <v>16140.084399999998</v>
      </c>
      <c r="F438" s="89">
        <f t="shared" si="27"/>
        <v>5.2657701482937717E-4</v>
      </c>
      <c r="G438" s="90">
        <v>5.5813953488372092E-2</v>
      </c>
      <c r="H438" s="89">
        <f t="shared" si="24"/>
        <v>2.9390345013732679E-5</v>
      </c>
      <c r="I438" s="90">
        <v>0.115</v>
      </c>
      <c r="J438" s="89">
        <f t="shared" si="25"/>
        <v>6.0556356705378377E-5</v>
      </c>
      <c r="L438" s="91"/>
    </row>
    <row r="439" spans="1:12" x14ac:dyDescent="0.2">
      <c r="A439" s="79" t="s">
        <v>255</v>
      </c>
      <c r="B439" s="88" t="s">
        <v>256</v>
      </c>
      <c r="C439" s="165">
        <v>1009.654</v>
      </c>
      <c r="D439" s="165">
        <v>35.32</v>
      </c>
      <c r="E439" s="165">
        <f t="shared" si="26"/>
        <v>35660.97928</v>
      </c>
      <c r="F439" s="89" t="str">
        <f t="shared" si="27"/>
        <v/>
      </c>
      <c r="G439" s="90">
        <v>2.2650056625141565E-2</v>
      </c>
      <c r="H439" s="89" t="str">
        <f t="shared" si="24"/>
        <v/>
      </c>
      <c r="I439" s="90" t="s">
        <v>138</v>
      </c>
      <c r="J439" s="89" t="str">
        <f t="shared" si="25"/>
        <v/>
      </c>
      <c r="L439" s="91"/>
    </row>
    <row r="440" spans="1:12" x14ac:dyDescent="0.2">
      <c r="A440" s="79" t="s">
        <v>705</v>
      </c>
      <c r="B440" s="88" t="s">
        <v>706</v>
      </c>
      <c r="C440" s="165">
        <v>332.28</v>
      </c>
      <c r="D440" s="165">
        <v>35.6</v>
      </c>
      <c r="E440" s="165">
        <f t="shared" si="26"/>
        <v>11829.168</v>
      </c>
      <c r="F440" s="89">
        <f t="shared" si="27"/>
        <v>3.8593156138360681E-4</v>
      </c>
      <c r="G440" s="90">
        <v>2.247191011235955E-2</v>
      </c>
      <c r="H440" s="89">
        <f t="shared" si="24"/>
        <v>8.6726193569349839E-6</v>
      </c>
      <c r="I440" s="90">
        <v>1.4999999999999999E-2</v>
      </c>
      <c r="J440" s="89">
        <f t="shared" si="25"/>
        <v>5.7889734207541021E-6</v>
      </c>
      <c r="L440" s="91"/>
    </row>
    <row r="441" spans="1:12" x14ac:dyDescent="0.2">
      <c r="A441" s="79" t="s">
        <v>454</v>
      </c>
      <c r="B441" s="88" t="s">
        <v>455</v>
      </c>
      <c r="C441" s="165">
        <v>137.84100000000001</v>
      </c>
      <c r="D441" s="165">
        <v>103.07</v>
      </c>
      <c r="E441" s="165">
        <f t="shared" si="26"/>
        <v>14207.27187</v>
      </c>
      <c r="F441" s="89" t="str">
        <f t="shared" si="27"/>
        <v/>
      </c>
      <c r="G441" s="90" t="s">
        <v>138</v>
      </c>
      <c r="H441" s="89" t="str">
        <f t="shared" si="24"/>
        <v/>
      </c>
      <c r="I441" s="90" t="s">
        <v>138</v>
      </c>
      <c r="J441" s="89" t="str">
        <f t="shared" si="25"/>
        <v/>
      </c>
      <c r="L441" s="91"/>
    </row>
    <row r="442" spans="1:12" x14ac:dyDescent="0.2">
      <c r="A442" s="79" t="s">
        <v>302</v>
      </c>
      <c r="B442" s="88" t="s">
        <v>303</v>
      </c>
      <c r="C442" s="165">
        <v>192.94800000000001</v>
      </c>
      <c r="D442" s="165">
        <v>85.74</v>
      </c>
      <c r="E442" s="165">
        <f t="shared" si="26"/>
        <v>16543.361519999999</v>
      </c>
      <c r="F442" s="89">
        <f t="shared" si="27"/>
        <v>5.3973409980711065E-4</v>
      </c>
      <c r="G442" s="90">
        <v>1.866106834616282E-2</v>
      </c>
      <c r="H442" s="89">
        <f t="shared" si="24"/>
        <v>1.0072014925255157E-5</v>
      </c>
      <c r="I442" s="90">
        <v>0.09</v>
      </c>
      <c r="J442" s="89">
        <f t="shared" si="25"/>
        <v>4.8576068982639957E-5</v>
      </c>
      <c r="L442" s="91"/>
    </row>
    <row r="443" spans="1:12" x14ac:dyDescent="0.2">
      <c r="A443" s="79" t="s">
        <v>205</v>
      </c>
      <c r="B443" s="88" t="s">
        <v>206</v>
      </c>
      <c r="C443" s="165">
        <v>307.26499999999999</v>
      </c>
      <c r="D443" s="165">
        <v>41.1</v>
      </c>
      <c r="E443" s="165">
        <f t="shared" si="26"/>
        <v>12628.5915</v>
      </c>
      <c r="F443" s="89" t="str">
        <f t="shared" si="27"/>
        <v/>
      </c>
      <c r="G443" s="90">
        <v>2.4330900243309E-2</v>
      </c>
      <c r="H443" s="89" t="str">
        <f t="shared" si="24"/>
        <v/>
      </c>
      <c r="I443" s="90">
        <v>0.21</v>
      </c>
      <c r="J443" s="89" t="str">
        <f t="shared" si="25"/>
        <v/>
      </c>
      <c r="L443" s="91"/>
    </row>
    <row r="444" spans="1:12" x14ac:dyDescent="0.2">
      <c r="A444" s="79" t="s">
        <v>632</v>
      </c>
      <c r="B444" s="88" t="s">
        <v>633</v>
      </c>
      <c r="C444" s="165">
        <v>137.351</v>
      </c>
      <c r="D444" s="165">
        <v>92.16</v>
      </c>
      <c r="E444" s="165">
        <f t="shared" si="26"/>
        <v>12658.26816</v>
      </c>
      <c r="F444" s="89">
        <f t="shared" si="27"/>
        <v>4.1298130142383607E-4</v>
      </c>
      <c r="G444" s="90">
        <v>1.5625E-2</v>
      </c>
      <c r="H444" s="89">
        <f t="shared" si="24"/>
        <v>6.4528328347474386E-6</v>
      </c>
      <c r="I444" s="90">
        <v>7.0000000000000007E-2</v>
      </c>
      <c r="J444" s="89">
        <f t="shared" si="25"/>
        <v>2.8908691099668529E-5</v>
      </c>
      <c r="L444" s="91"/>
    </row>
    <row r="445" spans="1:12" x14ac:dyDescent="0.2">
      <c r="A445" s="79" t="s">
        <v>509</v>
      </c>
      <c r="B445" s="88" t="s">
        <v>510</v>
      </c>
      <c r="C445" s="165">
        <v>5801</v>
      </c>
      <c r="D445" s="165">
        <v>131.85</v>
      </c>
      <c r="E445" s="165">
        <f t="shared" si="26"/>
        <v>764861.85</v>
      </c>
      <c r="F445" s="89">
        <f t="shared" si="27"/>
        <v>2.4953938266263027E-2</v>
      </c>
      <c r="G445" s="90" t="s">
        <v>138</v>
      </c>
      <c r="H445" s="89" t="str">
        <f t="shared" si="24"/>
        <v/>
      </c>
      <c r="I445" s="90">
        <v>0.105</v>
      </c>
      <c r="J445" s="89">
        <f t="shared" si="25"/>
        <v>2.6201635179576178E-3</v>
      </c>
      <c r="L445" s="91"/>
    </row>
    <row r="446" spans="1:12" x14ac:dyDescent="0.2">
      <c r="A446" s="79" t="s">
        <v>1226</v>
      </c>
      <c r="B446" s="88" t="s">
        <v>1227</v>
      </c>
      <c r="C446" s="165">
        <v>106.831</v>
      </c>
      <c r="D446" s="165">
        <v>161.59</v>
      </c>
      <c r="E446" s="165">
        <f t="shared" si="26"/>
        <v>17262.82129</v>
      </c>
      <c r="F446" s="89" t="str">
        <f t="shared" si="27"/>
        <v/>
      </c>
      <c r="G446" s="90" t="s">
        <v>138</v>
      </c>
      <c r="H446" s="89" t="str">
        <f t="shared" si="24"/>
        <v/>
      </c>
      <c r="I446" s="90">
        <v>0.27500000000000002</v>
      </c>
      <c r="J446" s="89" t="str">
        <f t="shared" si="25"/>
        <v/>
      </c>
      <c r="L446" s="91"/>
    </row>
    <row r="447" spans="1:12" x14ac:dyDescent="0.2">
      <c r="A447" s="79" t="s">
        <v>928</v>
      </c>
      <c r="B447" s="88" t="s">
        <v>929</v>
      </c>
      <c r="C447" s="165">
        <v>313.93900000000002</v>
      </c>
      <c r="D447" s="165">
        <v>123.53</v>
      </c>
      <c r="E447" s="165">
        <f t="shared" si="26"/>
        <v>38780.884669999999</v>
      </c>
      <c r="F447" s="89">
        <f t="shared" si="27"/>
        <v>1.2652426081471396E-3</v>
      </c>
      <c r="G447" s="90">
        <v>1.9104670930138425E-2</v>
      </c>
      <c r="H447" s="89">
        <f t="shared" si="24"/>
        <v>2.4172043675441181E-5</v>
      </c>
      <c r="I447" s="90">
        <v>0.105</v>
      </c>
      <c r="J447" s="89">
        <f t="shared" si="25"/>
        <v>1.3285047385544965E-4</v>
      </c>
      <c r="L447" s="91"/>
    </row>
    <row r="448" spans="1:12" x14ac:dyDescent="0.2">
      <c r="A448" s="79" t="s">
        <v>380</v>
      </c>
      <c r="B448" s="88" t="s">
        <v>381</v>
      </c>
      <c r="C448" s="165">
        <v>249.94800000000001</v>
      </c>
      <c r="D448" s="165">
        <v>86.63</v>
      </c>
      <c r="E448" s="165">
        <f t="shared" si="26"/>
        <v>21652.99524</v>
      </c>
      <c r="F448" s="89">
        <f t="shared" si="27"/>
        <v>7.0643804041036591E-4</v>
      </c>
      <c r="G448" s="90">
        <v>3.2321366732078957E-2</v>
      </c>
      <c r="H448" s="89">
        <f t="shared" si="24"/>
        <v>2.2833042977594651E-5</v>
      </c>
      <c r="I448" s="90">
        <v>0.04</v>
      </c>
      <c r="J448" s="89">
        <f t="shared" si="25"/>
        <v>2.8257521616414637E-5</v>
      </c>
      <c r="L448" s="91"/>
    </row>
    <row r="449" spans="1:12" x14ac:dyDescent="0.2">
      <c r="A449" s="79" t="s">
        <v>640</v>
      </c>
      <c r="B449" s="88" t="s">
        <v>641</v>
      </c>
      <c r="C449" s="165">
        <v>487.94600000000003</v>
      </c>
      <c r="D449" s="165">
        <v>372.35</v>
      </c>
      <c r="E449" s="165">
        <f t="shared" si="26"/>
        <v>181686.69310000003</v>
      </c>
      <c r="F449" s="89">
        <f t="shared" si="27"/>
        <v>5.927604473172348E-3</v>
      </c>
      <c r="G449" s="90">
        <v>1.3696790653954611E-2</v>
      </c>
      <c r="H449" s="89">
        <f t="shared" si="24"/>
        <v>8.118915754848657E-5</v>
      </c>
      <c r="I449" s="90">
        <v>8.5000000000000006E-2</v>
      </c>
      <c r="J449" s="89">
        <f t="shared" si="25"/>
        <v>5.0384638021964967E-4</v>
      </c>
      <c r="L449" s="91"/>
    </row>
    <row r="450" spans="1:12" x14ac:dyDescent="0.2">
      <c r="A450" s="79" t="s">
        <v>986</v>
      </c>
      <c r="B450" s="88" t="s">
        <v>987</v>
      </c>
      <c r="C450" s="165">
        <v>1606.788</v>
      </c>
      <c r="D450" s="165">
        <v>230.01</v>
      </c>
      <c r="E450" s="165">
        <f t="shared" si="26"/>
        <v>369577.30787999998</v>
      </c>
      <c r="F450" s="89">
        <f t="shared" si="27"/>
        <v>1.2057614490053601E-2</v>
      </c>
      <c r="G450" s="90">
        <v>7.8257467066649277E-3</v>
      </c>
      <c r="H450" s="89">
        <f t="shared" si="24"/>
        <v>9.435983688577228E-5</v>
      </c>
      <c r="I450" s="90">
        <v>0.13500000000000001</v>
      </c>
      <c r="J450" s="89">
        <f t="shared" si="25"/>
        <v>1.6277779561572362E-3</v>
      </c>
      <c r="L450" s="91"/>
    </row>
    <row r="451" spans="1:12" x14ac:dyDescent="0.2">
      <c r="A451" s="79" t="s">
        <v>665</v>
      </c>
      <c r="B451" s="88" t="s">
        <v>666</v>
      </c>
      <c r="C451" s="165">
        <v>116.67700000000001</v>
      </c>
      <c r="D451" s="165">
        <v>128.65</v>
      </c>
      <c r="E451" s="165">
        <f t="shared" si="26"/>
        <v>15010.496050000002</v>
      </c>
      <c r="F451" s="89" t="str">
        <f t="shared" si="27"/>
        <v/>
      </c>
      <c r="G451" s="90">
        <v>4.3528954527788571E-2</v>
      </c>
      <c r="H451" s="89" t="str">
        <f t="shared" si="24"/>
        <v/>
      </c>
      <c r="I451" s="90">
        <v>-0.125</v>
      </c>
      <c r="J451" s="89" t="str">
        <f t="shared" si="25"/>
        <v/>
      </c>
      <c r="L451" s="91"/>
    </row>
    <row r="452" spans="1:12" x14ac:dyDescent="0.2">
      <c r="A452" s="79" t="s">
        <v>1046</v>
      </c>
      <c r="B452" s="88" t="s">
        <v>1047</v>
      </c>
      <c r="C452" s="165">
        <v>240.82900000000001</v>
      </c>
      <c r="D452" s="165">
        <v>91.03</v>
      </c>
      <c r="E452" s="165">
        <f t="shared" si="26"/>
        <v>21922.66387</v>
      </c>
      <c r="F452" s="89">
        <f t="shared" si="27"/>
        <v>7.1523609243161353E-4</v>
      </c>
      <c r="G452" s="90">
        <v>1.4500714050313085E-2</v>
      </c>
      <c r="H452" s="89">
        <f t="shared" si="24"/>
        <v>1.0371434054814126E-5</v>
      </c>
      <c r="I452" s="90">
        <v>0.06</v>
      </c>
      <c r="J452" s="89">
        <f t="shared" si="25"/>
        <v>4.2914165545896811E-5</v>
      </c>
      <c r="L452" s="91"/>
    </row>
    <row r="453" spans="1:12" x14ac:dyDescent="0.2">
      <c r="A453" s="79" t="s">
        <v>707</v>
      </c>
      <c r="B453" s="88" t="s">
        <v>708</v>
      </c>
      <c r="C453" s="165">
        <v>399.84399999999999</v>
      </c>
      <c r="D453" s="165">
        <v>151.34</v>
      </c>
      <c r="E453" s="165">
        <f t="shared" si="26"/>
        <v>60512.390959999997</v>
      </c>
      <c r="F453" s="89">
        <f t="shared" si="27"/>
        <v>1.9742421044529972E-3</v>
      </c>
      <c r="G453" s="90">
        <v>1.9822915290075328E-2</v>
      </c>
      <c r="H453" s="89">
        <f t="shared" si="24"/>
        <v>3.9135233998671809E-5</v>
      </c>
      <c r="I453" s="90">
        <v>0.14499999999999999</v>
      </c>
      <c r="J453" s="89">
        <f t="shared" si="25"/>
        <v>2.862651051456846E-4</v>
      </c>
      <c r="L453" s="91"/>
    </row>
    <row r="454" spans="1:12" x14ac:dyDescent="0.2">
      <c r="A454" s="79" t="s">
        <v>185</v>
      </c>
      <c r="B454" s="88" t="s">
        <v>186</v>
      </c>
      <c r="C454" s="165">
        <v>1615.671</v>
      </c>
      <c r="D454" s="165">
        <v>102.82</v>
      </c>
      <c r="E454" s="165">
        <f t="shared" si="26"/>
        <v>166123.29222</v>
      </c>
      <c r="F454" s="89" t="str">
        <f t="shared" si="27"/>
        <v/>
      </c>
      <c r="G454" s="90" t="s">
        <v>138</v>
      </c>
      <c r="H454" s="89" t="str">
        <f t="shared" si="24"/>
        <v/>
      </c>
      <c r="I454" s="90">
        <v>0.255</v>
      </c>
      <c r="J454" s="89" t="str">
        <f t="shared" si="25"/>
        <v/>
      </c>
      <c r="L454" s="91"/>
    </row>
    <row r="455" spans="1:12" x14ac:dyDescent="0.2">
      <c r="A455" s="79" t="s">
        <v>952</v>
      </c>
      <c r="B455" s="88" t="s">
        <v>953</v>
      </c>
      <c r="C455" s="165">
        <v>108.80800000000001</v>
      </c>
      <c r="D455" s="165">
        <v>203.05</v>
      </c>
      <c r="E455" s="165">
        <f t="shared" si="26"/>
        <v>22093.464400000004</v>
      </c>
      <c r="F455" s="89">
        <f t="shared" si="27"/>
        <v>7.2080853127330126E-4</v>
      </c>
      <c r="G455" s="90">
        <v>2.0290568825412459E-2</v>
      </c>
      <c r="H455" s="89">
        <f t="shared" si="24"/>
        <v>1.4625615113745388E-5</v>
      </c>
      <c r="I455" s="90">
        <v>0.13500000000000001</v>
      </c>
      <c r="J455" s="89">
        <f t="shared" si="25"/>
        <v>9.730915172189568E-5</v>
      </c>
      <c r="L455" s="91"/>
    </row>
    <row r="456" spans="1:12" x14ac:dyDescent="0.2">
      <c r="A456" s="79" t="s">
        <v>862</v>
      </c>
      <c r="B456" s="88" t="s">
        <v>863</v>
      </c>
      <c r="C456" s="165">
        <v>147.071</v>
      </c>
      <c r="D456" s="165">
        <v>147.87</v>
      </c>
      <c r="E456" s="165">
        <f t="shared" si="26"/>
        <v>21747.388770000001</v>
      </c>
      <c r="F456" s="89">
        <f t="shared" si="27"/>
        <v>7.0951766886922379E-4</v>
      </c>
      <c r="G456" s="90">
        <v>1.29843781700142E-2</v>
      </c>
      <c r="H456" s="89">
        <f t="shared" si="24"/>
        <v>9.2126457309049134E-6</v>
      </c>
      <c r="I456" s="90">
        <v>9.5000000000000001E-2</v>
      </c>
      <c r="J456" s="89">
        <f t="shared" si="25"/>
        <v>6.7404178542576266E-5</v>
      </c>
      <c r="L456" s="91"/>
    </row>
    <row r="457" spans="1:12" x14ac:dyDescent="0.2">
      <c r="A457" s="79" t="s">
        <v>729</v>
      </c>
      <c r="B457" s="88" t="s">
        <v>730</v>
      </c>
      <c r="C457" s="165">
        <v>21.864999999999998</v>
      </c>
      <c r="D457" s="165">
        <v>1108.07</v>
      </c>
      <c r="E457" s="165">
        <f t="shared" si="26"/>
        <v>24227.950549999998</v>
      </c>
      <c r="F457" s="89">
        <f t="shared" si="27"/>
        <v>7.9044703607948717E-4</v>
      </c>
      <c r="G457" s="90" t="s">
        <v>138</v>
      </c>
      <c r="H457" s="89" t="str">
        <f t="shared" si="24"/>
        <v/>
      </c>
      <c r="I457" s="90">
        <v>0.11</v>
      </c>
      <c r="J457" s="89">
        <f t="shared" si="25"/>
        <v>8.6949173968743583E-5</v>
      </c>
      <c r="L457" s="91"/>
    </row>
    <row r="458" spans="1:12" x14ac:dyDescent="0.2">
      <c r="A458" s="79" t="s">
        <v>1229</v>
      </c>
      <c r="B458" s="88" t="s">
        <v>1230</v>
      </c>
      <c r="C458" s="165">
        <v>1013.428</v>
      </c>
      <c r="D458" s="165">
        <v>29.1</v>
      </c>
      <c r="E458" s="165">
        <f t="shared" si="26"/>
        <v>29490.754800000002</v>
      </c>
      <c r="F458" s="89">
        <f t="shared" si="27"/>
        <v>9.6214822938900683E-4</v>
      </c>
      <c r="G458" s="90">
        <v>5.7044673539518892E-2</v>
      </c>
      <c r="H458" s="89">
        <f t="shared" si="24"/>
        <v>5.4885431642122029E-5</v>
      </c>
      <c r="I458" s="90">
        <v>0.08</v>
      </c>
      <c r="J458" s="89">
        <f t="shared" si="25"/>
        <v>7.6971858351120546E-5</v>
      </c>
      <c r="L458" s="91"/>
    </row>
    <row r="459" spans="1:12" x14ac:dyDescent="0.2">
      <c r="A459" s="79" t="s">
        <v>344</v>
      </c>
      <c r="B459" s="88" t="s">
        <v>345</v>
      </c>
      <c r="C459" s="165">
        <v>957.35599999999999</v>
      </c>
      <c r="D459" s="165">
        <v>43.09</v>
      </c>
      <c r="E459" s="165">
        <f t="shared" si="26"/>
        <v>41252.47004</v>
      </c>
      <c r="F459" s="89">
        <f t="shared" si="27"/>
        <v>1.3458791162208248E-3</v>
      </c>
      <c r="G459" s="90" t="s">
        <v>138</v>
      </c>
      <c r="H459" s="89" t="str">
        <f t="shared" si="24"/>
        <v/>
      </c>
      <c r="I459" s="90">
        <v>7.0000000000000007E-2</v>
      </c>
      <c r="J459" s="89">
        <f t="shared" si="25"/>
        <v>9.4211538135457741E-5</v>
      </c>
      <c r="L459" s="91"/>
    </row>
    <row r="460" spans="1:12" x14ac:dyDescent="0.2">
      <c r="A460" s="79" t="s">
        <v>1228</v>
      </c>
      <c r="B460" s="88" t="s">
        <v>596</v>
      </c>
      <c r="C460" s="165">
        <v>125.91800000000001</v>
      </c>
      <c r="D460" s="165">
        <v>136.5</v>
      </c>
      <c r="E460" s="165">
        <f t="shared" si="26"/>
        <v>17187.807000000001</v>
      </c>
      <c r="F460" s="89">
        <f t="shared" si="27"/>
        <v>5.6075940355822891E-4</v>
      </c>
      <c r="G460" s="90">
        <v>7.619047619047619E-3</v>
      </c>
      <c r="H460" s="89">
        <f t="shared" si="24"/>
        <v>4.272452598538887E-6</v>
      </c>
      <c r="I460" s="90">
        <v>0.11</v>
      </c>
      <c r="J460" s="89">
        <f t="shared" si="25"/>
        <v>6.1683534391405176E-5</v>
      </c>
      <c r="L460" s="91"/>
    </row>
    <row r="461" spans="1:12" x14ac:dyDescent="0.2">
      <c r="A461" s="79" t="s">
        <v>489</v>
      </c>
      <c r="B461" s="88" t="s">
        <v>490</v>
      </c>
      <c r="C461" s="165">
        <v>785.33699999999999</v>
      </c>
      <c r="D461" s="165">
        <v>58.68</v>
      </c>
      <c r="E461" s="165">
        <f t="shared" si="26"/>
        <v>46083.57516</v>
      </c>
      <c r="F461" s="89" t="str">
        <f t="shared" si="27"/>
        <v/>
      </c>
      <c r="G461" s="90" t="s">
        <v>138</v>
      </c>
      <c r="H461" s="89" t="str">
        <f t="shared" si="24"/>
        <v/>
      </c>
      <c r="I461" s="90">
        <v>0.24</v>
      </c>
      <c r="J461" s="89" t="str">
        <f t="shared" si="25"/>
        <v/>
      </c>
      <c r="L461" s="91"/>
    </row>
    <row r="462" spans="1:12" x14ac:dyDescent="0.2">
      <c r="A462" s="79" t="s">
        <v>171</v>
      </c>
      <c r="B462" s="88" t="s">
        <v>172</v>
      </c>
      <c r="C462" s="165">
        <v>117.34699999999999</v>
      </c>
      <c r="D462" s="165">
        <v>170.04</v>
      </c>
      <c r="E462" s="165">
        <f t="shared" si="26"/>
        <v>19953.683879999997</v>
      </c>
      <c r="F462" s="89" t="str">
        <f t="shared" si="27"/>
        <v/>
      </c>
      <c r="G462" s="90">
        <v>9.4095506939543654E-3</v>
      </c>
      <c r="H462" s="89" t="str">
        <f t="shared" si="24"/>
        <v/>
      </c>
      <c r="I462" s="90">
        <v>-4.4999999999999998E-2</v>
      </c>
      <c r="J462" s="89" t="str">
        <f t="shared" si="25"/>
        <v/>
      </c>
      <c r="L462" s="91"/>
    </row>
    <row r="463" spans="1:12" x14ac:dyDescent="0.2">
      <c r="A463" s="79" t="s">
        <v>713</v>
      </c>
      <c r="B463" s="88" t="s">
        <v>714</v>
      </c>
      <c r="C463" s="165">
        <v>380.59300000000002</v>
      </c>
      <c r="D463" s="165">
        <v>103.29</v>
      </c>
      <c r="E463" s="165">
        <f t="shared" si="26"/>
        <v>39311.450970000005</v>
      </c>
      <c r="F463" s="89" t="str">
        <f t="shared" si="27"/>
        <v/>
      </c>
      <c r="G463" s="90" t="s">
        <v>138</v>
      </c>
      <c r="H463" s="89" t="str">
        <f t="shared" si="24"/>
        <v/>
      </c>
      <c r="I463" s="90">
        <v>-0.2</v>
      </c>
      <c r="J463" s="89" t="str">
        <f t="shared" si="25"/>
        <v/>
      </c>
      <c r="L463" s="91"/>
    </row>
    <row r="464" spans="1:12" x14ac:dyDescent="0.2">
      <c r="A464" s="79" t="s">
        <v>440</v>
      </c>
      <c r="B464" s="88" t="s">
        <v>441</v>
      </c>
      <c r="C464" s="165">
        <v>64.183000000000007</v>
      </c>
      <c r="D464" s="165">
        <v>212.09</v>
      </c>
      <c r="E464" s="165">
        <f t="shared" si="26"/>
        <v>13612.572470000001</v>
      </c>
      <c r="F464" s="89">
        <f t="shared" si="27"/>
        <v>4.4411587930736989E-4</v>
      </c>
      <c r="G464" s="90">
        <v>4.3566410486114385E-2</v>
      </c>
      <c r="H464" s="89">
        <f t="shared" si="24"/>
        <v>1.9348534701306511E-5</v>
      </c>
      <c r="I464" s="90">
        <v>0.02</v>
      </c>
      <c r="J464" s="89">
        <f t="shared" si="25"/>
        <v>8.8823175861473987E-6</v>
      </c>
      <c r="L464" s="91"/>
    </row>
    <row r="465" spans="1:12" x14ac:dyDescent="0.2">
      <c r="A465" s="79" t="s">
        <v>1231</v>
      </c>
      <c r="B465" s="88" t="s">
        <v>1232</v>
      </c>
      <c r="C465" s="165">
        <v>408.33699999999999</v>
      </c>
      <c r="D465" s="165">
        <v>76.89</v>
      </c>
      <c r="E465" s="165">
        <f t="shared" si="26"/>
        <v>31397.031930000001</v>
      </c>
      <c r="F465" s="89">
        <f t="shared" si="27"/>
        <v>1.0243413193181347E-3</v>
      </c>
      <c r="G465" s="90" t="s">
        <v>138</v>
      </c>
      <c r="H465" s="89" t="str">
        <f t="shared" si="24"/>
        <v/>
      </c>
      <c r="I465" s="90">
        <v>0.14000000000000001</v>
      </c>
      <c r="J465" s="89">
        <f t="shared" si="25"/>
        <v>1.4340778470453886E-4</v>
      </c>
      <c r="L465" s="91"/>
    </row>
    <row r="466" spans="1:12" x14ac:dyDescent="0.2">
      <c r="A466" s="79" t="s">
        <v>770</v>
      </c>
      <c r="B466" s="88" t="s">
        <v>771</v>
      </c>
      <c r="C466" s="165">
        <v>708.78800000000001</v>
      </c>
      <c r="D466" s="165">
        <v>49.94</v>
      </c>
      <c r="E466" s="165">
        <f t="shared" si="26"/>
        <v>35396.872719999999</v>
      </c>
      <c r="F466" s="89">
        <f t="shared" si="27"/>
        <v>1.1548378006742653E-3</v>
      </c>
      <c r="G466" s="90">
        <v>6.151381657989588E-2</v>
      </c>
      <c r="H466" s="89">
        <f t="shared" si="24"/>
        <v>7.1038480650207115E-5</v>
      </c>
      <c r="I466" s="90">
        <v>5.5E-2</v>
      </c>
      <c r="J466" s="89">
        <f t="shared" si="25"/>
        <v>6.3516079037084596E-5</v>
      </c>
      <c r="L466" s="91"/>
    </row>
    <row r="467" spans="1:12" x14ac:dyDescent="0.2">
      <c r="A467" s="79" t="s">
        <v>1031</v>
      </c>
      <c r="B467" s="88" t="s">
        <v>1032</v>
      </c>
      <c r="C467" s="165">
        <v>256.40300000000002</v>
      </c>
      <c r="D467" s="165">
        <v>35.799999999999997</v>
      </c>
      <c r="E467" s="165">
        <f t="shared" si="26"/>
        <v>9179.2273999999998</v>
      </c>
      <c r="F467" s="89">
        <f t="shared" si="27"/>
        <v>2.9947613921597747E-4</v>
      </c>
      <c r="G467" s="90">
        <v>3.0726256983240229E-2</v>
      </c>
      <c r="H467" s="89">
        <f t="shared" ref="H467:H521" si="28">IFERROR($G467*$F467,"")</f>
        <v>9.2017808138987506E-6</v>
      </c>
      <c r="I467" s="90">
        <v>8.5000000000000006E-2</v>
      </c>
      <c r="J467" s="89">
        <f t="shared" ref="J467:J521" si="29">IFERROR($I467*$F467,"")</f>
        <v>2.5455471833358086E-5</v>
      </c>
      <c r="L467" s="91"/>
    </row>
    <row r="468" spans="1:12" x14ac:dyDescent="0.2">
      <c r="A468" s="79" t="s">
        <v>1006</v>
      </c>
      <c r="B468" s="88" t="s">
        <v>1007</v>
      </c>
      <c r="C468" s="165">
        <v>179.13</v>
      </c>
      <c r="D468" s="165">
        <v>106.27</v>
      </c>
      <c r="E468" s="165">
        <f t="shared" ref="E468:E521" si="30">IFERROR(C468*D468,"")</f>
        <v>19036.145099999998</v>
      </c>
      <c r="F468" s="89">
        <f t="shared" ref="F468:F521" si="31">IF(AND(ISNUMBER($I468)), IF(AND($I468&lt;=20%,$I468&gt;0%), $E468/SUMIFS($E$19:$E$521,$I$19:$I$521, "&gt;"&amp;0%,$I$19:$I$521, "&lt;="&amp;20%),""),"")</f>
        <v>6.2106220836223613E-4</v>
      </c>
      <c r="G468" s="90">
        <v>6.3987955208431365E-3</v>
      </c>
      <c r="H468" s="89">
        <f t="shared" si="28"/>
        <v>3.974050077033223E-6</v>
      </c>
      <c r="I468" s="90">
        <v>0.105</v>
      </c>
      <c r="J468" s="89">
        <f t="shared" si="29"/>
        <v>6.5211531878034789E-5</v>
      </c>
      <c r="L468" s="91"/>
    </row>
    <row r="469" spans="1:12" x14ac:dyDescent="0.2">
      <c r="A469" s="79" t="s">
        <v>825</v>
      </c>
      <c r="B469" s="88" t="s">
        <v>826</v>
      </c>
      <c r="C469" s="165">
        <v>39.052</v>
      </c>
      <c r="D469" s="165">
        <v>356.1</v>
      </c>
      <c r="E469" s="165">
        <f t="shared" si="30"/>
        <v>13906.4172</v>
      </c>
      <c r="F469" s="89">
        <f t="shared" si="31"/>
        <v>4.5370268671878243E-4</v>
      </c>
      <c r="G469" s="90">
        <v>1.2356079752878404E-2</v>
      </c>
      <c r="H469" s="89">
        <f t="shared" si="28"/>
        <v>5.6059865811924812E-6</v>
      </c>
      <c r="I469" s="90">
        <v>0.14000000000000001</v>
      </c>
      <c r="J469" s="89">
        <f t="shared" si="29"/>
        <v>6.3518376140629546E-5</v>
      </c>
      <c r="L469" s="91"/>
    </row>
    <row r="470" spans="1:12" x14ac:dyDescent="0.2">
      <c r="A470" s="79" t="s">
        <v>1014</v>
      </c>
      <c r="B470" s="88" t="s">
        <v>1015</v>
      </c>
      <c r="C470" s="165">
        <v>321.89600000000002</v>
      </c>
      <c r="D470" s="165">
        <v>45.63</v>
      </c>
      <c r="E470" s="165">
        <f t="shared" si="30"/>
        <v>14688.114480000002</v>
      </c>
      <c r="F470" s="89">
        <f t="shared" si="31"/>
        <v>4.7920588794136368E-4</v>
      </c>
      <c r="G470" s="90" t="s">
        <v>138</v>
      </c>
      <c r="H470" s="89" t="str">
        <f t="shared" si="28"/>
        <v/>
      </c>
      <c r="I470" s="90">
        <v>0.03</v>
      </c>
      <c r="J470" s="89">
        <f t="shared" si="29"/>
        <v>1.437617663824091E-5</v>
      </c>
      <c r="L470" s="91"/>
    </row>
    <row r="471" spans="1:12" x14ac:dyDescent="0.2">
      <c r="A471" s="79" t="s">
        <v>799</v>
      </c>
      <c r="B471" s="88" t="s">
        <v>800</v>
      </c>
      <c r="C471" s="165">
        <v>1376.5809999999999</v>
      </c>
      <c r="D471" s="165">
        <v>169.44</v>
      </c>
      <c r="E471" s="165">
        <f t="shared" si="30"/>
        <v>233247.88463999997</v>
      </c>
      <c r="F471" s="89">
        <f t="shared" si="31"/>
        <v>7.6098099467805849E-3</v>
      </c>
      <c r="G471" s="90">
        <v>2.986307837582625E-2</v>
      </c>
      <c r="H471" s="89">
        <f t="shared" si="28"/>
        <v>2.2725235086585078E-4</v>
      </c>
      <c r="I471" s="90">
        <v>5.5E-2</v>
      </c>
      <c r="J471" s="89">
        <f t="shared" si="29"/>
        <v>4.1853954707293215E-4</v>
      </c>
      <c r="L471" s="91"/>
    </row>
    <row r="472" spans="1:12" x14ac:dyDescent="0.2">
      <c r="A472" s="79" t="s">
        <v>460</v>
      </c>
      <c r="B472" s="88" t="s">
        <v>461</v>
      </c>
      <c r="C472" s="165">
        <v>178.81800000000001</v>
      </c>
      <c r="D472" s="165">
        <v>154.88</v>
      </c>
      <c r="E472" s="165">
        <f t="shared" si="30"/>
        <v>27695.331840000003</v>
      </c>
      <c r="F472" s="89" t="str">
        <f t="shared" si="31"/>
        <v/>
      </c>
      <c r="G472" s="90">
        <v>2.1694214876033058E-2</v>
      </c>
      <c r="H472" s="89" t="str">
        <f t="shared" si="28"/>
        <v/>
      </c>
      <c r="I472" s="90" t="s">
        <v>138</v>
      </c>
      <c r="J472" s="89" t="str">
        <f t="shared" si="29"/>
        <v/>
      </c>
      <c r="L472" s="91"/>
    </row>
    <row r="473" spans="1:12" x14ac:dyDescent="0.2">
      <c r="A473" s="79" t="s">
        <v>1430</v>
      </c>
      <c r="B473" s="88" t="s">
        <v>1431</v>
      </c>
      <c r="C473" s="165">
        <v>308.59500000000003</v>
      </c>
      <c r="D473" s="165">
        <v>234.44</v>
      </c>
      <c r="E473" s="165">
        <f t="shared" si="30"/>
        <v>72347.011800000007</v>
      </c>
      <c r="F473" s="89" t="str">
        <f t="shared" si="31"/>
        <v/>
      </c>
      <c r="G473" s="90" t="s">
        <v>138</v>
      </c>
      <c r="H473" s="89" t="str">
        <f t="shared" si="28"/>
        <v/>
      </c>
      <c r="I473" s="90" t="s">
        <v>138</v>
      </c>
      <c r="J473" s="89" t="str">
        <f t="shared" si="29"/>
        <v/>
      </c>
      <c r="L473" s="91"/>
    </row>
    <row r="474" spans="1:12" x14ac:dyDescent="0.2">
      <c r="A474" s="79" t="s">
        <v>749</v>
      </c>
      <c r="B474" s="88" t="s">
        <v>750</v>
      </c>
      <c r="C474" s="165">
        <v>204</v>
      </c>
      <c r="D474" s="165">
        <v>558.96</v>
      </c>
      <c r="E474" s="165">
        <f t="shared" si="30"/>
        <v>114027.84000000001</v>
      </c>
      <c r="F474" s="89" t="str">
        <f t="shared" si="31"/>
        <v/>
      </c>
      <c r="G474" s="90" t="s">
        <v>138</v>
      </c>
      <c r="H474" s="89" t="str">
        <f t="shared" si="28"/>
        <v/>
      </c>
      <c r="I474" s="90">
        <v>0.61</v>
      </c>
      <c r="J474" s="89" t="str">
        <f t="shared" si="29"/>
        <v/>
      </c>
      <c r="L474" s="91"/>
    </row>
    <row r="475" spans="1:12" x14ac:dyDescent="0.2">
      <c r="A475" s="79" t="s">
        <v>306</v>
      </c>
      <c r="B475" s="88" t="s">
        <v>307</v>
      </c>
      <c r="C475" s="165">
        <v>246.047</v>
      </c>
      <c r="D475" s="165">
        <v>91.63</v>
      </c>
      <c r="E475" s="165">
        <f t="shared" si="30"/>
        <v>22545.286609999999</v>
      </c>
      <c r="F475" s="89">
        <f t="shared" si="31"/>
        <v>7.3554942014841828E-4</v>
      </c>
      <c r="G475" s="90">
        <v>1.1895667357852233E-2</v>
      </c>
      <c r="H475" s="89">
        <f t="shared" si="28"/>
        <v>8.7498512273466771E-6</v>
      </c>
      <c r="I475" s="90">
        <v>0.06</v>
      </c>
      <c r="J475" s="89">
        <f t="shared" si="29"/>
        <v>4.4132965208905094E-5</v>
      </c>
      <c r="L475" s="91"/>
    </row>
    <row r="476" spans="1:12" x14ac:dyDescent="0.2">
      <c r="A476" s="79" t="s">
        <v>487</v>
      </c>
      <c r="B476" s="88" t="s">
        <v>488</v>
      </c>
      <c r="C476" s="165">
        <v>81.522999999999996</v>
      </c>
      <c r="D476" s="165">
        <v>90.63</v>
      </c>
      <c r="E476" s="165">
        <f t="shared" si="30"/>
        <v>7388.4294899999995</v>
      </c>
      <c r="F476" s="89">
        <f t="shared" si="31"/>
        <v>2.4105060721501173E-4</v>
      </c>
      <c r="G476" s="90">
        <v>4.810769061017324E-2</v>
      </c>
      <c r="H476" s="89">
        <f t="shared" si="28"/>
        <v>1.1596388033294177E-5</v>
      </c>
      <c r="I476" s="90">
        <v>2.5000000000000001E-2</v>
      </c>
      <c r="J476" s="89">
        <f t="shared" si="29"/>
        <v>6.0262651803752937E-6</v>
      </c>
      <c r="L476" s="91"/>
    </row>
    <row r="477" spans="1:12" x14ac:dyDescent="0.2">
      <c r="A477" s="79" t="s">
        <v>685</v>
      </c>
      <c r="B477" s="88" t="s">
        <v>686</v>
      </c>
      <c r="C477" s="165">
        <v>350.88900000000001</v>
      </c>
      <c r="D477" s="165">
        <v>36.76</v>
      </c>
      <c r="E477" s="165">
        <f t="shared" si="30"/>
        <v>12898.67964</v>
      </c>
      <c r="F477" s="89" t="str">
        <f t="shared" si="31"/>
        <v/>
      </c>
      <c r="G477" s="90" t="s">
        <v>138</v>
      </c>
      <c r="H477" s="89" t="str">
        <f t="shared" si="28"/>
        <v/>
      </c>
      <c r="I477" s="90">
        <v>0.25</v>
      </c>
      <c r="J477" s="89" t="str">
        <f t="shared" si="29"/>
        <v/>
      </c>
      <c r="L477" s="91"/>
    </row>
    <row r="478" spans="1:12" x14ac:dyDescent="0.2">
      <c r="A478" s="79" t="s">
        <v>158</v>
      </c>
      <c r="B478" s="88" t="s">
        <v>29</v>
      </c>
      <c r="C478" s="165">
        <v>515.17600000000004</v>
      </c>
      <c r="D478" s="165">
        <v>75.22</v>
      </c>
      <c r="E478" s="165">
        <f t="shared" si="30"/>
        <v>38751.538720000004</v>
      </c>
      <c r="F478" s="89">
        <f t="shared" si="31"/>
        <v>1.2642851842350111E-3</v>
      </c>
      <c r="G478" s="90">
        <v>4.4137197553842059E-2</v>
      </c>
      <c r="H478" s="89">
        <f t="shared" si="28"/>
        <v>5.580200494097629E-5</v>
      </c>
      <c r="I478" s="90">
        <v>6.5000000000000002E-2</v>
      </c>
      <c r="J478" s="89">
        <f t="shared" si="29"/>
        <v>8.2178536975275725E-5</v>
      </c>
      <c r="L478" s="91"/>
    </row>
    <row r="479" spans="1:12" x14ac:dyDescent="0.2">
      <c r="A479" s="79" t="s">
        <v>881</v>
      </c>
      <c r="B479" s="88" t="s">
        <v>882</v>
      </c>
      <c r="C479" s="165">
        <v>56.558</v>
      </c>
      <c r="D479" s="165">
        <v>129.51</v>
      </c>
      <c r="E479" s="165">
        <f t="shared" si="30"/>
        <v>7324.826579999999</v>
      </c>
      <c r="F479" s="89" t="str">
        <f t="shared" si="31"/>
        <v/>
      </c>
      <c r="G479" s="90" t="s">
        <v>138</v>
      </c>
      <c r="H479" s="89" t="str">
        <f t="shared" si="28"/>
        <v/>
      </c>
      <c r="I479" s="90">
        <v>0.27</v>
      </c>
      <c r="J479" s="89" t="str">
        <f t="shared" si="29"/>
        <v/>
      </c>
      <c r="L479" s="91"/>
    </row>
    <row r="480" spans="1:12" x14ac:dyDescent="0.2">
      <c r="A480" s="79" t="s">
        <v>1233</v>
      </c>
      <c r="B480" s="88" t="s">
        <v>1234</v>
      </c>
      <c r="C480" s="165">
        <v>611.95600000000002</v>
      </c>
      <c r="D480" s="165">
        <v>31.69</v>
      </c>
      <c r="E480" s="165">
        <f t="shared" si="30"/>
        <v>19392.88564</v>
      </c>
      <c r="F480" s="89" t="str">
        <f t="shared" si="31"/>
        <v/>
      </c>
      <c r="G480" s="90">
        <v>3.2817923635216156E-2</v>
      </c>
      <c r="H480" s="89" t="str">
        <f t="shared" si="28"/>
        <v/>
      </c>
      <c r="I480" s="90" t="s">
        <v>138</v>
      </c>
      <c r="J480" s="89" t="str">
        <f t="shared" si="29"/>
        <v/>
      </c>
      <c r="L480" s="91"/>
    </row>
    <row r="481" spans="1:12" x14ac:dyDescent="0.2">
      <c r="A481" s="79" t="s">
        <v>837</v>
      </c>
      <c r="B481" s="88" t="s">
        <v>838</v>
      </c>
      <c r="C481" s="165">
        <v>118.833</v>
      </c>
      <c r="D481" s="165">
        <v>141.68</v>
      </c>
      <c r="E481" s="165">
        <f t="shared" si="30"/>
        <v>16836.259440000002</v>
      </c>
      <c r="F481" s="89">
        <f t="shared" si="31"/>
        <v>5.4929001714564289E-4</v>
      </c>
      <c r="G481" s="90" t="s">
        <v>138</v>
      </c>
      <c r="H481" s="89" t="str">
        <f t="shared" si="28"/>
        <v/>
      </c>
      <c r="I481" s="90">
        <v>0.15</v>
      </c>
      <c r="J481" s="89">
        <f t="shared" si="29"/>
        <v>8.2393502571846426E-5</v>
      </c>
      <c r="L481" s="91"/>
    </row>
    <row r="482" spans="1:12" x14ac:dyDescent="0.2">
      <c r="A482" s="79" t="s">
        <v>597</v>
      </c>
      <c r="B482" s="88" t="s">
        <v>598</v>
      </c>
      <c r="C482" s="165">
        <v>103.345</v>
      </c>
      <c r="D482" s="165">
        <v>188.52</v>
      </c>
      <c r="E482" s="165">
        <f t="shared" si="30"/>
        <v>19482.599399999999</v>
      </c>
      <c r="F482" s="89">
        <f t="shared" si="31"/>
        <v>6.3562796692491995E-4</v>
      </c>
      <c r="G482" s="90">
        <v>8.9115213239974525E-3</v>
      </c>
      <c r="H482" s="89">
        <f t="shared" si="28"/>
        <v>5.6644121813805714E-6</v>
      </c>
      <c r="I482" s="90">
        <v>0.09</v>
      </c>
      <c r="J482" s="89">
        <f t="shared" si="29"/>
        <v>5.7206517023242796E-5</v>
      </c>
      <c r="L482" s="91"/>
    </row>
    <row r="483" spans="1:12" x14ac:dyDescent="0.2">
      <c r="A483" s="79" t="s">
        <v>651</v>
      </c>
      <c r="B483" s="88" t="s">
        <v>652</v>
      </c>
      <c r="C483" s="165">
        <v>132.512</v>
      </c>
      <c r="D483" s="165">
        <v>626.77</v>
      </c>
      <c r="E483" s="165">
        <f t="shared" si="30"/>
        <v>83054.546239999996</v>
      </c>
      <c r="F483" s="89">
        <f t="shared" si="31"/>
        <v>2.709689363648413E-3</v>
      </c>
      <c r="G483" s="90">
        <v>1.2763852768958311E-2</v>
      </c>
      <c r="H483" s="89">
        <f t="shared" si="28"/>
        <v>3.4586076087220682E-5</v>
      </c>
      <c r="I483" s="90">
        <v>0.08</v>
      </c>
      <c r="J483" s="89">
        <f t="shared" si="29"/>
        <v>2.1677514909187304E-4</v>
      </c>
      <c r="L483" s="91"/>
    </row>
    <row r="484" spans="1:12" x14ac:dyDescent="0.2">
      <c r="A484" s="79" t="s">
        <v>687</v>
      </c>
      <c r="B484" s="88" t="s">
        <v>688</v>
      </c>
      <c r="C484" s="165">
        <v>63.682000000000002</v>
      </c>
      <c r="D484" s="165">
        <v>85.81</v>
      </c>
      <c r="E484" s="165">
        <f t="shared" si="30"/>
        <v>5464.55242</v>
      </c>
      <c r="F484" s="89">
        <f t="shared" si="31"/>
        <v>1.7828331187055315E-4</v>
      </c>
      <c r="G484" s="90" t="s">
        <v>138</v>
      </c>
      <c r="H484" s="89" t="str">
        <f t="shared" si="28"/>
        <v/>
      </c>
      <c r="I484" s="90">
        <v>2.5000000000000001E-2</v>
      </c>
      <c r="J484" s="89">
        <f t="shared" si="29"/>
        <v>4.4570827967638288E-6</v>
      </c>
      <c r="L484" s="91"/>
    </row>
    <row r="485" spans="1:12" x14ac:dyDescent="0.2">
      <c r="A485" s="79" t="s">
        <v>821</v>
      </c>
      <c r="B485" s="88" t="s">
        <v>822</v>
      </c>
      <c r="C485" s="165">
        <v>165.113</v>
      </c>
      <c r="D485" s="165">
        <v>64.75</v>
      </c>
      <c r="E485" s="165">
        <f t="shared" si="30"/>
        <v>10691.06675</v>
      </c>
      <c r="F485" s="89">
        <f t="shared" si="31"/>
        <v>3.4880053133777989E-4</v>
      </c>
      <c r="G485" s="90">
        <v>1.3590733590733591E-2</v>
      </c>
      <c r="H485" s="89">
        <f t="shared" si="28"/>
        <v>4.7404550977180898E-6</v>
      </c>
      <c r="I485" s="90">
        <v>0.12</v>
      </c>
      <c r="J485" s="89">
        <f t="shared" si="29"/>
        <v>4.1856063760533583E-5</v>
      </c>
      <c r="L485" s="91"/>
    </row>
    <row r="486" spans="1:12" x14ac:dyDescent="0.2">
      <c r="A486" s="79" t="s">
        <v>1255</v>
      </c>
      <c r="B486" s="88" t="s">
        <v>1256</v>
      </c>
      <c r="C486" s="165">
        <v>454.83800000000002</v>
      </c>
      <c r="D486" s="165">
        <v>68.040000000000006</v>
      </c>
      <c r="E486" s="165">
        <f t="shared" si="30"/>
        <v>30947.177520000005</v>
      </c>
      <c r="F486" s="89" t="str">
        <f t="shared" si="31"/>
        <v/>
      </c>
      <c r="G486" s="90">
        <v>1.7636684303350967E-3</v>
      </c>
      <c r="H486" s="89" t="str">
        <f t="shared" si="28"/>
        <v/>
      </c>
      <c r="I486" s="90" t="s">
        <v>138</v>
      </c>
      <c r="J486" s="89" t="str">
        <f t="shared" si="29"/>
        <v/>
      </c>
      <c r="L486" s="91"/>
    </row>
    <row r="487" spans="1:12" x14ac:dyDescent="0.2">
      <c r="A487" s="79" t="s">
        <v>998</v>
      </c>
      <c r="B487" s="88" t="s">
        <v>999</v>
      </c>
      <c r="C487" s="165">
        <v>258.09500000000003</v>
      </c>
      <c r="D487" s="165">
        <v>347.74</v>
      </c>
      <c r="E487" s="165">
        <f t="shared" si="30"/>
        <v>89749.955300000016</v>
      </c>
      <c r="F487" s="89">
        <f t="shared" si="31"/>
        <v>2.9281298890199148E-3</v>
      </c>
      <c r="G487" s="90" t="s">
        <v>138</v>
      </c>
      <c r="H487" s="89" t="str">
        <f t="shared" si="28"/>
        <v/>
      </c>
      <c r="I487" s="90">
        <v>0.12</v>
      </c>
      <c r="J487" s="89">
        <f t="shared" si="29"/>
        <v>3.5137558668238975E-4</v>
      </c>
      <c r="L487" s="91"/>
    </row>
    <row r="488" spans="1:12" x14ac:dyDescent="0.2">
      <c r="A488" s="79" t="s">
        <v>183</v>
      </c>
      <c r="B488" s="88" t="s">
        <v>184</v>
      </c>
      <c r="C488" s="165">
        <v>1446.4369999999999</v>
      </c>
      <c r="D488" s="165">
        <v>9.16</v>
      </c>
      <c r="E488" s="165">
        <f t="shared" si="30"/>
        <v>13249.36292</v>
      </c>
      <c r="F488" s="89">
        <f t="shared" si="31"/>
        <v>4.3226601558568313E-4</v>
      </c>
      <c r="G488" s="90">
        <v>5.3493449781659388E-2</v>
      </c>
      <c r="H488" s="89">
        <f t="shared" si="28"/>
        <v>2.3123400397050736E-5</v>
      </c>
      <c r="I488" s="90">
        <v>0.13</v>
      </c>
      <c r="J488" s="89">
        <f t="shared" si="29"/>
        <v>5.619458202613881E-5</v>
      </c>
      <c r="L488" s="91"/>
    </row>
    <row r="489" spans="1:12" x14ac:dyDescent="0.2">
      <c r="A489" s="79" t="s">
        <v>464</v>
      </c>
      <c r="B489" s="88" t="s">
        <v>1235</v>
      </c>
      <c r="C489" s="165">
        <v>2222.5830000000001</v>
      </c>
      <c r="D489" s="165">
        <v>300.20999999999998</v>
      </c>
      <c r="E489" s="165">
        <f t="shared" si="30"/>
        <v>667241.64243000001</v>
      </c>
      <c r="F489" s="89">
        <f t="shared" si="31"/>
        <v>2.1769038099989129E-2</v>
      </c>
      <c r="G489" s="90" t="s">
        <v>138</v>
      </c>
      <c r="H489" s="89" t="str">
        <f t="shared" si="28"/>
        <v/>
      </c>
      <c r="I489" s="90">
        <v>0.09</v>
      </c>
      <c r="J489" s="89">
        <f t="shared" si="29"/>
        <v>1.9592134289990217E-3</v>
      </c>
      <c r="L489" s="91"/>
    </row>
    <row r="490" spans="1:12" x14ac:dyDescent="0.2">
      <c r="A490" s="79" t="s">
        <v>942</v>
      </c>
      <c r="B490" s="88" t="s">
        <v>943</v>
      </c>
      <c r="C490" s="165">
        <v>1176.4570000000001</v>
      </c>
      <c r="D490" s="165">
        <v>140.05000000000001</v>
      </c>
      <c r="E490" s="165">
        <f t="shared" si="30"/>
        <v>164762.80285000004</v>
      </c>
      <c r="F490" s="89">
        <f t="shared" si="31"/>
        <v>5.3754554641408337E-3</v>
      </c>
      <c r="G490" s="90">
        <v>1.856479828632631E-2</v>
      </c>
      <c r="H490" s="89">
        <f t="shared" si="28"/>
        <v>9.9794246388905156E-5</v>
      </c>
      <c r="I490" s="90">
        <v>0.2</v>
      </c>
      <c r="J490" s="89">
        <f t="shared" si="29"/>
        <v>1.0750910928281668E-3</v>
      </c>
      <c r="L490" s="91"/>
    </row>
    <row r="491" spans="1:12" x14ac:dyDescent="0.2">
      <c r="A491" s="79" t="s">
        <v>982</v>
      </c>
      <c r="B491" s="88" t="s">
        <v>983</v>
      </c>
      <c r="C491" s="165">
        <v>68.283000000000001</v>
      </c>
      <c r="D491" s="165">
        <v>444.57</v>
      </c>
      <c r="E491" s="165">
        <f t="shared" si="30"/>
        <v>30356.57331</v>
      </c>
      <c r="F491" s="89">
        <f t="shared" si="31"/>
        <v>9.9039592097975322E-4</v>
      </c>
      <c r="G491" s="90">
        <v>1.3316238162719032E-2</v>
      </c>
      <c r="H491" s="89">
        <f t="shared" si="28"/>
        <v>1.3188347959151853E-5</v>
      </c>
      <c r="I491" s="90">
        <v>0.17</v>
      </c>
      <c r="J491" s="89">
        <f t="shared" si="29"/>
        <v>1.6836730656655805E-4</v>
      </c>
      <c r="L491" s="91"/>
    </row>
    <row r="492" spans="1:12" x14ac:dyDescent="0.2">
      <c r="A492" s="79" t="s">
        <v>213</v>
      </c>
      <c r="B492" s="88" t="s">
        <v>214</v>
      </c>
      <c r="C492" s="165">
        <v>173.02799999999999</v>
      </c>
      <c r="D492" s="165">
        <v>100.1</v>
      </c>
      <c r="E492" s="165">
        <f t="shared" si="30"/>
        <v>17320.102799999997</v>
      </c>
      <c r="F492" s="89">
        <f t="shared" si="31"/>
        <v>5.6507560945356255E-4</v>
      </c>
      <c r="G492" s="90">
        <v>4.955044955044955E-2</v>
      </c>
      <c r="H492" s="89">
        <f t="shared" si="28"/>
        <v>2.7999750478418285E-5</v>
      </c>
      <c r="I492" s="90">
        <v>0.11</v>
      </c>
      <c r="J492" s="89">
        <f t="shared" si="29"/>
        <v>6.2158317039891881E-5</v>
      </c>
      <c r="L492" s="91"/>
    </row>
    <row r="493" spans="1:12" x14ac:dyDescent="0.2">
      <c r="A493" s="79" t="s">
        <v>542</v>
      </c>
      <c r="B493" s="88" t="s">
        <v>543</v>
      </c>
      <c r="C493" s="165">
        <v>663.96100000000001</v>
      </c>
      <c r="D493" s="165">
        <v>184.74</v>
      </c>
      <c r="E493" s="165">
        <f t="shared" si="30"/>
        <v>122660.15514</v>
      </c>
      <c r="F493" s="89">
        <f t="shared" si="31"/>
        <v>4.001838945286401E-3</v>
      </c>
      <c r="G493" s="90">
        <v>2.3384215654433257E-2</v>
      </c>
      <c r="H493" s="89">
        <f t="shared" si="28"/>
        <v>9.3579864910886936E-5</v>
      </c>
      <c r="I493" s="90">
        <v>0.11</v>
      </c>
      <c r="J493" s="89">
        <f t="shared" si="29"/>
        <v>4.4020228398150411E-4</v>
      </c>
      <c r="L493" s="91"/>
    </row>
    <row r="494" spans="1:12" x14ac:dyDescent="0.2">
      <c r="A494" s="79" t="s">
        <v>374</v>
      </c>
      <c r="B494" s="88" t="s">
        <v>375</v>
      </c>
      <c r="C494" s="165">
        <v>643.41800000000001</v>
      </c>
      <c r="D494" s="165">
        <v>37</v>
      </c>
      <c r="E494" s="165">
        <f t="shared" si="30"/>
        <v>23806.466</v>
      </c>
      <c r="F494" s="89" t="str">
        <f t="shared" si="31"/>
        <v/>
      </c>
      <c r="G494" s="90">
        <v>1.0810810810810811E-2</v>
      </c>
      <c r="H494" s="89" t="str">
        <f t="shared" si="28"/>
        <v/>
      </c>
      <c r="I494" s="90" t="s">
        <v>138</v>
      </c>
      <c r="J494" s="89" t="str">
        <f t="shared" si="29"/>
        <v/>
      </c>
      <c r="L494" s="91"/>
    </row>
    <row r="495" spans="1:12" x14ac:dyDescent="0.2">
      <c r="A495" s="79" t="s">
        <v>968</v>
      </c>
      <c r="B495" s="88" t="s">
        <v>969</v>
      </c>
      <c r="C495" s="165">
        <v>326.72899999999998</v>
      </c>
      <c r="D495" s="165">
        <v>42.3</v>
      </c>
      <c r="E495" s="165">
        <f t="shared" si="30"/>
        <v>13820.636699999999</v>
      </c>
      <c r="F495" s="89" t="str">
        <f t="shared" si="31"/>
        <v/>
      </c>
      <c r="G495" s="90" t="s">
        <v>138</v>
      </c>
      <c r="H495" s="89" t="str">
        <f t="shared" si="28"/>
        <v/>
      </c>
      <c r="I495" s="90" t="s">
        <v>138</v>
      </c>
      <c r="J495" s="89" t="str">
        <f t="shared" si="29"/>
        <v/>
      </c>
      <c r="L495" s="91"/>
    </row>
    <row r="496" spans="1:12" x14ac:dyDescent="0.2">
      <c r="A496" s="79" t="s">
        <v>904</v>
      </c>
      <c r="B496" s="88" t="s">
        <v>905</v>
      </c>
      <c r="C496" s="165">
        <v>207.393</v>
      </c>
      <c r="D496" s="165">
        <v>65.95</v>
      </c>
      <c r="E496" s="165">
        <f t="shared" si="30"/>
        <v>13677.568350000001</v>
      </c>
      <c r="F496" s="89">
        <f t="shared" si="31"/>
        <v>4.4623639711994145E-4</v>
      </c>
      <c r="G496" s="90">
        <v>4.2456406368460951E-2</v>
      </c>
      <c r="H496" s="89">
        <f t="shared" si="28"/>
        <v>1.8945593812522153E-5</v>
      </c>
      <c r="I496" s="90">
        <v>7.0000000000000007E-2</v>
      </c>
      <c r="J496" s="89">
        <f t="shared" si="29"/>
        <v>3.1236547798395902E-5</v>
      </c>
      <c r="L496" s="91"/>
    </row>
    <row r="497" spans="1:12" x14ac:dyDescent="0.2">
      <c r="A497" s="79" t="s">
        <v>765</v>
      </c>
      <c r="B497" s="88" t="s">
        <v>766</v>
      </c>
      <c r="C497" s="165">
        <v>191.83699999999999</v>
      </c>
      <c r="D497" s="165">
        <v>20.87</v>
      </c>
      <c r="E497" s="165">
        <f t="shared" si="30"/>
        <v>4003.6381900000001</v>
      </c>
      <c r="F497" s="89" t="str">
        <f t="shared" si="31"/>
        <v/>
      </c>
      <c r="G497" s="90">
        <v>9.5831336847149017E-3</v>
      </c>
      <c r="H497" s="89" t="str">
        <f t="shared" si="28"/>
        <v/>
      </c>
      <c r="I497" s="90" t="s">
        <v>138</v>
      </c>
      <c r="J497" s="89" t="str">
        <f t="shared" si="29"/>
        <v/>
      </c>
      <c r="L497" s="91"/>
    </row>
    <row r="498" spans="1:12" x14ac:dyDescent="0.2">
      <c r="A498" s="79" t="s">
        <v>330</v>
      </c>
      <c r="B498" s="88" t="s">
        <v>331</v>
      </c>
      <c r="C498" s="165">
        <v>541.47900000000004</v>
      </c>
      <c r="D498" s="165">
        <v>68.88</v>
      </c>
      <c r="E498" s="165">
        <f t="shared" si="30"/>
        <v>37297.073519999998</v>
      </c>
      <c r="F498" s="89">
        <f t="shared" si="31"/>
        <v>1.2168326477916939E-3</v>
      </c>
      <c r="G498" s="90" t="s">
        <v>138</v>
      </c>
      <c r="H498" s="89" t="str">
        <f t="shared" si="28"/>
        <v/>
      </c>
      <c r="I498" s="90">
        <v>0.1</v>
      </c>
      <c r="J498" s="89">
        <f t="shared" si="29"/>
        <v>1.216832647791694E-4</v>
      </c>
      <c r="L498" s="91"/>
    </row>
    <row r="499" spans="1:12" x14ac:dyDescent="0.2">
      <c r="A499" s="79" t="s">
        <v>693</v>
      </c>
      <c r="B499" s="88" t="s">
        <v>694</v>
      </c>
      <c r="C499" s="165">
        <v>61.804000000000002</v>
      </c>
      <c r="D499" s="165">
        <v>410.48</v>
      </c>
      <c r="E499" s="165">
        <f t="shared" si="30"/>
        <v>25369.305920000003</v>
      </c>
      <c r="F499" s="89">
        <f t="shared" si="31"/>
        <v>8.2768423315350505E-4</v>
      </c>
      <c r="G499" s="90">
        <v>7.2110699668680566E-3</v>
      </c>
      <c r="H499" s="89">
        <f t="shared" si="28"/>
        <v>5.9684889157434588E-6</v>
      </c>
      <c r="I499" s="90">
        <v>0.12</v>
      </c>
      <c r="J499" s="89">
        <f t="shared" si="29"/>
        <v>9.9322107978420607E-5</v>
      </c>
      <c r="L499" s="91"/>
    </row>
    <row r="500" spans="1:12" x14ac:dyDescent="0.2">
      <c r="A500" s="79" t="s">
        <v>930</v>
      </c>
      <c r="B500" s="88" t="s">
        <v>931</v>
      </c>
      <c r="C500" s="165">
        <v>154.01400000000001</v>
      </c>
      <c r="D500" s="165">
        <v>100.46</v>
      </c>
      <c r="E500" s="165">
        <f t="shared" si="30"/>
        <v>15472.246440000001</v>
      </c>
      <c r="F500" s="89">
        <f t="shared" si="31"/>
        <v>5.0478852161886219E-4</v>
      </c>
      <c r="G500" s="90">
        <v>4.37985267768266E-3</v>
      </c>
      <c r="H500" s="89">
        <f t="shared" si="28"/>
        <v>2.2108993580758449E-6</v>
      </c>
      <c r="I500" s="90">
        <v>0.125</v>
      </c>
      <c r="J500" s="89">
        <f t="shared" si="29"/>
        <v>6.3098565202357774E-5</v>
      </c>
      <c r="L500" s="91"/>
    </row>
    <row r="501" spans="1:12" x14ac:dyDescent="0.2">
      <c r="A501" s="79" t="s">
        <v>843</v>
      </c>
      <c r="B501" s="88" t="s">
        <v>844</v>
      </c>
      <c r="C501" s="165">
        <v>1098.037</v>
      </c>
      <c r="D501" s="165">
        <v>58.46</v>
      </c>
      <c r="E501" s="165">
        <f t="shared" si="30"/>
        <v>64191.243020000002</v>
      </c>
      <c r="F501" s="89">
        <f t="shared" si="31"/>
        <v>2.0942661940267612E-3</v>
      </c>
      <c r="G501" s="90" t="s">
        <v>138</v>
      </c>
      <c r="H501" s="89" t="str">
        <f t="shared" si="28"/>
        <v/>
      </c>
      <c r="I501" s="90">
        <v>0.12</v>
      </c>
      <c r="J501" s="89">
        <f t="shared" si="29"/>
        <v>2.5131194328321135E-4</v>
      </c>
      <c r="L501" s="91"/>
    </row>
    <row r="502" spans="1:12" x14ac:dyDescent="0.2">
      <c r="A502" s="79" t="s">
        <v>954</v>
      </c>
      <c r="B502" s="88" t="s">
        <v>955</v>
      </c>
      <c r="C502" s="165">
        <v>3173.9940000000001</v>
      </c>
      <c r="D502" s="165">
        <v>250.22</v>
      </c>
      <c r="E502" s="165">
        <f t="shared" si="30"/>
        <v>794196.77867999999</v>
      </c>
      <c r="F502" s="89" t="str">
        <f t="shared" si="31"/>
        <v/>
      </c>
      <c r="G502" s="90" t="s">
        <v>138</v>
      </c>
      <c r="H502" s="89" t="str">
        <f t="shared" si="28"/>
        <v/>
      </c>
      <c r="I502" s="90">
        <v>0.26</v>
      </c>
      <c r="J502" s="89" t="str">
        <f t="shared" si="29"/>
        <v/>
      </c>
      <c r="L502" s="91"/>
    </row>
    <row r="503" spans="1:12" x14ac:dyDescent="0.2">
      <c r="A503" s="79" t="s">
        <v>1236</v>
      </c>
      <c r="B503" s="88" t="s">
        <v>1237</v>
      </c>
      <c r="C503" s="165">
        <v>372.95400000000001</v>
      </c>
      <c r="D503" s="165">
        <v>79.709999999999994</v>
      </c>
      <c r="E503" s="165">
        <f t="shared" si="30"/>
        <v>29728.163339999999</v>
      </c>
      <c r="F503" s="89" t="str">
        <f t="shared" si="31"/>
        <v/>
      </c>
      <c r="G503" s="90" t="s">
        <v>138</v>
      </c>
      <c r="H503" s="89" t="str">
        <f t="shared" si="28"/>
        <v/>
      </c>
      <c r="I503" s="90">
        <v>0.21</v>
      </c>
      <c r="J503" s="89" t="str">
        <f t="shared" si="29"/>
        <v/>
      </c>
      <c r="L503" s="91"/>
    </row>
    <row r="504" spans="1:12" x14ac:dyDescent="0.2">
      <c r="A504" s="79" t="s">
        <v>398</v>
      </c>
      <c r="B504" s="88" t="s">
        <v>399</v>
      </c>
      <c r="C504" s="165">
        <v>703.07500000000005</v>
      </c>
      <c r="D504" s="165">
        <v>51.56</v>
      </c>
      <c r="E504" s="165">
        <f t="shared" si="30"/>
        <v>36250.547000000006</v>
      </c>
      <c r="F504" s="89">
        <f t="shared" si="31"/>
        <v>1.1826892816738952E-3</v>
      </c>
      <c r="G504" s="90">
        <v>5.4305663304887501E-2</v>
      </c>
      <c r="H504" s="89">
        <f t="shared" si="28"/>
        <v>6.4226725924881802E-5</v>
      </c>
      <c r="I504" s="90">
        <v>7.0000000000000007E-2</v>
      </c>
      <c r="J504" s="89">
        <f t="shared" si="29"/>
        <v>8.2788249717172675E-5</v>
      </c>
      <c r="L504" s="91"/>
    </row>
    <row r="505" spans="1:12" x14ac:dyDescent="0.2">
      <c r="A505" s="79" t="s">
        <v>1432</v>
      </c>
      <c r="B505" s="88" t="s">
        <v>1433</v>
      </c>
      <c r="C505" s="165">
        <v>43.404000000000003</v>
      </c>
      <c r="D505" s="165">
        <v>371.67</v>
      </c>
      <c r="E505" s="165">
        <f t="shared" si="30"/>
        <v>16131.964680000003</v>
      </c>
      <c r="F505" s="89">
        <f t="shared" si="31"/>
        <v>5.2631210556292702E-4</v>
      </c>
      <c r="G505" s="90">
        <v>1.8833911803481582E-2</v>
      </c>
      <c r="H505" s="89">
        <f t="shared" si="28"/>
        <v>9.9125157772768547E-6</v>
      </c>
      <c r="I505" s="90">
        <v>0.1</v>
      </c>
      <c r="J505" s="89">
        <f t="shared" si="29"/>
        <v>5.2631210556292702E-5</v>
      </c>
      <c r="L505" s="91"/>
    </row>
    <row r="506" spans="1:12" x14ac:dyDescent="0.2">
      <c r="A506" s="79" t="s">
        <v>924</v>
      </c>
      <c r="B506" s="88" t="s">
        <v>925</v>
      </c>
      <c r="C506" s="165">
        <v>47.075000000000003</v>
      </c>
      <c r="D506" s="165">
        <v>408.58</v>
      </c>
      <c r="E506" s="165">
        <f t="shared" si="30"/>
        <v>19233.9035</v>
      </c>
      <c r="F506" s="89">
        <f t="shared" si="31"/>
        <v>6.2751415900565621E-4</v>
      </c>
      <c r="G506" s="90" t="s">
        <v>138</v>
      </c>
      <c r="H506" s="89" t="str">
        <f t="shared" si="28"/>
        <v/>
      </c>
      <c r="I506" s="90">
        <v>9.5000000000000001E-2</v>
      </c>
      <c r="J506" s="89">
        <f t="shared" si="29"/>
        <v>5.9613845105537342E-5</v>
      </c>
      <c r="L506" s="91"/>
    </row>
    <row r="507" spans="1:12" x14ac:dyDescent="0.2">
      <c r="A507" s="79" t="s">
        <v>765</v>
      </c>
      <c r="B507" s="88" t="s">
        <v>767</v>
      </c>
      <c r="C507" s="165">
        <v>379.58499999999998</v>
      </c>
      <c r="D507" s="165">
        <v>20.059999999999999</v>
      </c>
      <c r="E507" s="165">
        <f t="shared" si="30"/>
        <v>7614.4750999999987</v>
      </c>
      <c r="F507" s="89" t="str">
        <f t="shared" si="31"/>
        <v/>
      </c>
      <c r="G507" s="90">
        <v>9.9700897308075791E-3</v>
      </c>
      <c r="H507" s="89" t="str">
        <f t="shared" si="28"/>
        <v/>
      </c>
      <c r="I507" s="90" t="s">
        <v>138</v>
      </c>
      <c r="J507" s="89" t="str">
        <f t="shared" si="29"/>
        <v/>
      </c>
      <c r="L507" s="91"/>
    </row>
    <row r="508" spans="1:12" x14ac:dyDescent="0.2">
      <c r="A508" s="79" t="s">
        <v>450</v>
      </c>
      <c r="B508" s="88" t="s">
        <v>451</v>
      </c>
      <c r="C508" s="165">
        <v>994.29899999999998</v>
      </c>
      <c r="D508" s="165">
        <v>37.79</v>
      </c>
      <c r="E508" s="165">
        <f t="shared" si="30"/>
        <v>37574.559209999999</v>
      </c>
      <c r="F508" s="89" t="str">
        <f t="shared" si="31"/>
        <v/>
      </c>
      <c r="G508" s="90">
        <v>3.8105318867425242E-2</v>
      </c>
      <c r="H508" s="89" t="str">
        <f t="shared" si="28"/>
        <v/>
      </c>
      <c r="I508" s="90" t="s">
        <v>138</v>
      </c>
      <c r="J508" s="89" t="str">
        <f t="shared" si="29"/>
        <v/>
      </c>
      <c r="L508" s="91"/>
    </row>
    <row r="509" spans="1:12" x14ac:dyDescent="0.2">
      <c r="A509" s="79" t="s">
        <v>514</v>
      </c>
      <c r="B509" s="88" t="s">
        <v>515</v>
      </c>
      <c r="C509" s="165">
        <v>259.99400000000003</v>
      </c>
      <c r="D509" s="165">
        <v>115.39</v>
      </c>
      <c r="E509" s="165">
        <f t="shared" si="30"/>
        <v>30000.707660000004</v>
      </c>
      <c r="F509" s="89">
        <f t="shared" si="31"/>
        <v>9.7878565507201662E-4</v>
      </c>
      <c r="G509" s="90">
        <v>8.6662622410954154E-3</v>
      </c>
      <c r="H509" s="89">
        <f t="shared" si="28"/>
        <v>8.4824131646764585E-6</v>
      </c>
      <c r="I509" s="90">
        <v>0.13500000000000001</v>
      </c>
      <c r="J509" s="89">
        <f t="shared" si="29"/>
        <v>1.3213606343472225E-4</v>
      </c>
      <c r="L509" s="91"/>
    </row>
    <row r="510" spans="1:12" x14ac:dyDescent="0.2">
      <c r="A510" s="79" t="s">
        <v>1238</v>
      </c>
      <c r="B510" s="88" t="s">
        <v>289</v>
      </c>
      <c r="C510" s="165">
        <v>433.67899999999997</v>
      </c>
      <c r="D510" s="165">
        <v>92.03</v>
      </c>
      <c r="E510" s="165">
        <f t="shared" si="30"/>
        <v>39911.478369999997</v>
      </c>
      <c r="F510" s="89">
        <f t="shared" si="31"/>
        <v>1.3021287012292117E-3</v>
      </c>
      <c r="G510" s="90">
        <v>6.802129740302075E-2</v>
      </c>
      <c r="H510" s="89">
        <f t="shared" si="28"/>
        <v>8.857248364332136E-5</v>
      </c>
      <c r="I510" s="90">
        <v>7.0000000000000007E-2</v>
      </c>
      <c r="J510" s="89">
        <f t="shared" si="29"/>
        <v>9.1149009086044828E-5</v>
      </c>
      <c r="L510" s="91"/>
    </row>
    <row r="511" spans="1:12" x14ac:dyDescent="0.2">
      <c r="A511" s="79" t="s">
        <v>211</v>
      </c>
      <c r="B511" s="88" t="s">
        <v>212</v>
      </c>
      <c r="C511" s="165">
        <v>282.82400000000001</v>
      </c>
      <c r="D511" s="165">
        <v>98.59</v>
      </c>
      <c r="E511" s="165">
        <f t="shared" si="30"/>
        <v>27883.618160000002</v>
      </c>
      <c r="F511" s="89" t="str">
        <f t="shared" si="31"/>
        <v/>
      </c>
      <c r="G511" s="90" t="s">
        <v>138</v>
      </c>
      <c r="H511" s="89" t="str">
        <f t="shared" si="28"/>
        <v/>
      </c>
      <c r="I511" s="90">
        <v>0.33500000000000002</v>
      </c>
      <c r="J511" s="89" t="str">
        <f t="shared" si="29"/>
        <v/>
      </c>
      <c r="L511" s="91"/>
    </row>
    <row r="512" spans="1:12" x14ac:dyDescent="0.2">
      <c r="A512" s="79" t="s">
        <v>173</v>
      </c>
      <c r="B512" s="88" t="s">
        <v>174</v>
      </c>
      <c r="C512" s="165">
        <v>76.534000000000006</v>
      </c>
      <c r="D512" s="165">
        <v>305.32</v>
      </c>
      <c r="E512" s="165">
        <f t="shared" si="30"/>
        <v>23367.36088</v>
      </c>
      <c r="F512" s="89">
        <f t="shared" si="31"/>
        <v>7.6236993758416595E-4</v>
      </c>
      <c r="G512" s="90" t="s">
        <v>138</v>
      </c>
      <c r="H512" s="89" t="str">
        <f t="shared" si="28"/>
        <v/>
      </c>
      <c r="I512" s="90">
        <v>0.17</v>
      </c>
      <c r="J512" s="89">
        <f t="shared" si="29"/>
        <v>1.2960288938930822E-4</v>
      </c>
      <c r="L512" s="91"/>
    </row>
    <row r="513" spans="1:12" x14ac:dyDescent="0.2">
      <c r="A513" s="79" t="s">
        <v>570</v>
      </c>
      <c r="B513" s="88" t="s">
        <v>571</v>
      </c>
      <c r="C513" s="165">
        <v>158.30000000000001</v>
      </c>
      <c r="D513" s="165">
        <v>137.28</v>
      </c>
      <c r="E513" s="165">
        <f t="shared" si="30"/>
        <v>21731.424000000003</v>
      </c>
      <c r="F513" s="89">
        <f t="shared" si="31"/>
        <v>7.0899681156013576E-4</v>
      </c>
      <c r="G513" s="90" t="s">
        <v>138</v>
      </c>
      <c r="H513" s="89" t="str">
        <f t="shared" si="28"/>
        <v/>
      </c>
      <c r="I513" s="90">
        <v>6.5000000000000002E-2</v>
      </c>
      <c r="J513" s="89">
        <f t="shared" si="29"/>
        <v>4.6084792751408824E-5</v>
      </c>
      <c r="L513" s="91"/>
    </row>
    <row r="514" spans="1:12" x14ac:dyDescent="0.2">
      <c r="A514" s="79" t="s">
        <v>1434</v>
      </c>
      <c r="B514" s="88" t="s">
        <v>1435</v>
      </c>
      <c r="C514" s="165">
        <v>1914.894</v>
      </c>
      <c r="D514" s="165">
        <v>20.079999999999998</v>
      </c>
      <c r="E514" s="165">
        <f t="shared" si="30"/>
        <v>38451.071519999998</v>
      </c>
      <c r="F514" s="89" t="str">
        <f t="shared" si="31"/>
        <v/>
      </c>
      <c r="G514" s="90">
        <v>3.9840637450199209E-2</v>
      </c>
      <c r="H514" s="89" t="str">
        <f t="shared" si="28"/>
        <v/>
      </c>
      <c r="I514" s="90" t="s">
        <v>138</v>
      </c>
      <c r="J514" s="89" t="str">
        <f t="shared" si="29"/>
        <v/>
      </c>
      <c r="L514" s="91"/>
    </row>
    <row r="515" spans="1:12" x14ac:dyDescent="0.2">
      <c r="A515" s="79" t="s">
        <v>1239</v>
      </c>
      <c r="B515" s="88" t="s">
        <v>1240</v>
      </c>
      <c r="C515" s="165">
        <v>223.71199999999999</v>
      </c>
      <c r="D515" s="165">
        <v>85.72</v>
      </c>
      <c r="E515" s="165">
        <f t="shared" si="30"/>
        <v>19176.592639999999</v>
      </c>
      <c r="F515" s="89" t="str">
        <f t="shared" si="31"/>
        <v/>
      </c>
      <c r="G515" s="90">
        <v>2.3331777881474568E-2</v>
      </c>
      <c r="H515" s="89" t="str">
        <f t="shared" si="28"/>
        <v/>
      </c>
      <c r="I515" s="90" t="s">
        <v>138</v>
      </c>
      <c r="J515" s="89" t="str">
        <f t="shared" si="29"/>
        <v/>
      </c>
      <c r="L515" s="91"/>
    </row>
    <row r="516" spans="1:12" x14ac:dyDescent="0.2">
      <c r="A516" s="79" t="s">
        <v>642</v>
      </c>
      <c r="B516" s="88" t="s">
        <v>643</v>
      </c>
      <c r="C516" s="165">
        <v>267.55599999999998</v>
      </c>
      <c r="D516" s="165">
        <v>49.51</v>
      </c>
      <c r="E516" s="165">
        <f t="shared" si="30"/>
        <v>13246.697559999999</v>
      </c>
      <c r="F516" s="89">
        <f t="shared" si="31"/>
        <v>4.3217905709913112E-4</v>
      </c>
      <c r="G516" s="90">
        <v>2.2217733791153306E-2</v>
      </c>
      <c r="H516" s="89">
        <f t="shared" si="28"/>
        <v>9.6020392407401388E-6</v>
      </c>
      <c r="I516" s="90">
        <v>0.13</v>
      </c>
      <c r="J516" s="89">
        <f t="shared" si="29"/>
        <v>5.6183277422887045E-5</v>
      </c>
      <c r="L516" s="91"/>
    </row>
    <row r="517" spans="1:12" x14ac:dyDescent="0.2">
      <c r="A517" s="79" t="s">
        <v>1056</v>
      </c>
      <c r="B517" s="88" t="s">
        <v>1057</v>
      </c>
      <c r="C517" s="165">
        <v>460.31700000000001</v>
      </c>
      <c r="D517" s="165">
        <v>173.98</v>
      </c>
      <c r="E517" s="165">
        <f t="shared" si="30"/>
        <v>80085.951659999992</v>
      </c>
      <c r="F517" s="89">
        <f t="shared" si="31"/>
        <v>2.6128377218952218E-3</v>
      </c>
      <c r="G517" s="90">
        <v>8.6216806529486149E-3</v>
      </c>
      <c r="H517" s="89">
        <f t="shared" si="28"/>
        <v>2.2527052436158368E-5</v>
      </c>
      <c r="I517" s="90">
        <v>0.09</v>
      </c>
      <c r="J517" s="89">
        <f t="shared" si="29"/>
        <v>2.3515539497056994E-4</v>
      </c>
      <c r="L517" s="91"/>
    </row>
    <row r="518" spans="1:12" x14ac:dyDescent="0.2">
      <c r="A518" s="79" t="s">
        <v>392</v>
      </c>
      <c r="B518" s="88" t="s">
        <v>393</v>
      </c>
      <c r="C518" s="165">
        <v>302.709</v>
      </c>
      <c r="D518" s="165">
        <v>121.02</v>
      </c>
      <c r="E518" s="165">
        <f t="shared" si="30"/>
        <v>36633.843179999996</v>
      </c>
      <c r="F518" s="89" t="str">
        <f t="shared" si="31"/>
        <v/>
      </c>
      <c r="G518" s="90">
        <v>4.0323913402743349E-2</v>
      </c>
      <c r="H518" s="89" t="str">
        <f t="shared" si="28"/>
        <v/>
      </c>
      <c r="I518" s="90">
        <v>-0.03</v>
      </c>
      <c r="J518" s="89" t="str">
        <f t="shared" si="29"/>
        <v/>
      </c>
      <c r="L518" s="91"/>
    </row>
    <row r="519" spans="1:12" x14ac:dyDescent="0.2">
      <c r="A519" s="79" t="s">
        <v>436</v>
      </c>
      <c r="B519" s="88" t="s">
        <v>437</v>
      </c>
      <c r="C519" s="165">
        <v>93.564999999999998</v>
      </c>
      <c r="D519" s="165">
        <v>726.26</v>
      </c>
      <c r="E519" s="165">
        <f t="shared" si="30"/>
        <v>67952.516900000002</v>
      </c>
      <c r="F519" s="89">
        <f t="shared" si="31"/>
        <v>2.2169793300055364E-3</v>
      </c>
      <c r="G519" s="90">
        <v>1.8781152755211632E-2</v>
      </c>
      <c r="H519" s="89">
        <f t="shared" si="28"/>
        <v>4.1637427451980714E-5</v>
      </c>
      <c r="I519" s="90">
        <v>0.15</v>
      </c>
      <c r="J519" s="89">
        <f t="shared" si="29"/>
        <v>3.3254689950083045E-4</v>
      </c>
      <c r="L519" s="91"/>
    </row>
    <row r="520" spans="1:12" x14ac:dyDescent="0.2">
      <c r="A520" s="79" t="s">
        <v>655</v>
      </c>
      <c r="B520" s="88" t="s">
        <v>656</v>
      </c>
      <c r="C520" s="165">
        <v>764.447</v>
      </c>
      <c r="D520" s="165">
        <v>45.84</v>
      </c>
      <c r="E520" s="165">
        <f t="shared" si="30"/>
        <v>35042.250480000002</v>
      </c>
      <c r="F520" s="89" t="str">
        <f t="shared" si="31"/>
        <v/>
      </c>
      <c r="G520" s="90">
        <v>1.7452006980802792E-2</v>
      </c>
      <c r="H520" s="89" t="str">
        <f t="shared" si="28"/>
        <v/>
      </c>
      <c r="I520" s="90" t="s">
        <v>138</v>
      </c>
      <c r="J520" s="89" t="str">
        <f t="shared" si="29"/>
        <v/>
      </c>
      <c r="L520" s="91"/>
    </row>
    <row r="521" spans="1:12" x14ac:dyDescent="0.2">
      <c r="A521" s="79" t="s">
        <v>703</v>
      </c>
      <c r="B521" s="88" t="s">
        <v>704</v>
      </c>
      <c r="C521" s="165">
        <v>58.3</v>
      </c>
      <c r="D521" s="165">
        <v>327.89</v>
      </c>
      <c r="E521" s="165">
        <f t="shared" si="30"/>
        <v>19115.986999999997</v>
      </c>
      <c r="F521" s="89">
        <f t="shared" si="31"/>
        <v>6.236670837964876E-4</v>
      </c>
      <c r="G521" s="90" t="s">
        <v>138</v>
      </c>
      <c r="H521" s="89" t="str">
        <f t="shared" si="28"/>
        <v/>
      </c>
      <c r="I521" s="90">
        <v>0.115</v>
      </c>
      <c r="J521" s="89">
        <f t="shared" si="29"/>
        <v>7.1721714636596075E-5</v>
      </c>
      <c r="L521" s="91"/>
    </row>
    <row r="522" spans="1:12" x14ac:dyDescent="0.2">
      <c r="A522" s="79"/>
      <c r="B522" s="88"/>
      <c r="C522" s="89"/>
      <c r="D522" s="89"/>
      <c r="E522" s="89"/>
      <c r="F522" s="89"/>
      <c r="G522" s="89"/>
    </row>
    <row r="523" spans="1:12" x14ac:dyDescent="0.2">
      <c r="A523" s="79"/>
      <c r="B523" s="88"/>
      <c r="C523" s="89"/>
      <c r="D523" s="89"/>
      <c r="E523" s="89"/>
      <c r="F523" s="89"/>
      <c r="G523" s="89"/>
    </row>
    <row r="524" spans="1:12" x14ac:dyDescent="0.2">
      <c r="A524" s="79"/>
      <c r="B524" s="88"/>
      <c r="C524" s="89"/>
      <c r="D524" s="89"/>
      <c r="E524" s="89"/>
      <c r="F524" s="89"/>
      <c r="G524" s="89"/>
    </row>
    <row r="525" spans="1:12" x14ac:dyDescent="0.2">
      <c r="A525" s="92" t="s">
        <v>62</v>
      </c>
      <c r="B525" s="88"/>
      <c r="C525" s="89"/>
      <c r="D525" s="89"/>
      <c r="E525" s="89"/>
      <c r="F525" s="89"/>
      <c r="G525" s="89"/>
    </row>
    <row r="526" spans="1:12" x14ac:dyDescent="0.2">
      <c r="A526" s="78" t="s">
        <v>1058</v>
      </c>
      <c r="E526" s="79"/>
    </row>
    <row r="527" spans="1:12" x14ac:dyDescent="0.2">
      <c r="A527" s="78" t="s">
        <v>1059</v>
      </c>
    </row>
    <row r="528" spans="1:12" x14ac:dyDescent="0.2">
      <c r="A528" s="78" t="s">
        <v>1060</v>
      </c>
    </row>
    <row r="529" spans="1:1" x14ac:dyDescent="0.2">
      <c r="A529" s="78" t="s">
        <v>1436</v>
      </c>
    </row>
    <row r="530" spans="1:1" x14ac:dyDescent="0.2">
      <c r="A530" s="78" t="s">
        <v>1437</v>
      </c>
    </row>
    <row r="531" spans="1:1" x14ac:dyDescent="0.2">
      <c r="A531" s="78" t="s">
        <v>1061</v>
      </c>
    </row>
    <row r="532" spans="1:1" x14ac:dyDescent="0.2">
      <c r="A532" s="78" t="s">
        <v>1062</v>
      </c>
    </row>
    <row r="533" spans="1:1" x14ac:dyDescent="0.2">
      <c r="A533" s="78" t="s">
        <v>1438</v>
      </c>
    </row>
    <row r="534" spans="1:1" x14ac:dyDescent="0.2">
      <c r="A534" s="78" t="s">
        <v>1063</v>
      </c>
    </row>
    <row r="535" spans="1:1" x14ac:dyDescent="0.2">
      <c r="A535" s="78" t="s">
        <v>1439</v>
      </c>
    </row>
    <row r="536" spans="1:1" x14ac:dyDescent="0.2">
      <c r="A536" s="78" t="s">
        <v>1064</v>
      </c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4" fitToHeight="6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B2:O135"/>
  <sheetViews>
    <sheetView view="pageBreakPreview" topLeftCell="F1" zoomScale="60" zoomScaleNormal="50" workbookViewId="0">
      <selection activeCell="H1" sqref="H1"/>
    </sheetView>
  </sheetViews>
  <sheetFormatPr defaultColWidth="8.5703125" defaultRowHeight="15" customHeight="1" x14ac:dyDescent="0.25"/>
  <cols>
    <col min="1" max="1" width="3.42578125" style="147" customWidth="1"/>
    <col min="2" max="2" width="10.42578125" style="147" customWidth="1"/>
    <col min="3" max="3" width="13.5703125" style="147" customWidth="1"/>
    <col min="4" max="4" width="12.5703125" style="147" customWidth="1"/>
    <col min="5" max="5" width="10.5703125" style="147" customWidth="1"/>
    <col min="6" max="6" width="8.5703125" style="147"/>
    <col min="7" max="7" width="30" style="147" customWidth="1"/>
    <col min="8" max="8" width="13.140625" style="147" bestFit="1" customWidth="1"/>
    <col min="9" max="9" width="13.5703125" style="147" bestFit="1" customWidth="1"/>
    <col min="10" max="10" width="14.140625" style="147" bestFit="1" customWidth="1"/>
    <col min="11" max="11" width="12.5703125" style="147" bestFit="1" customWidth="1"/>
    <col min="12" max="12" width="13.42578125" style="147" bestFit="1" customWidth="1"/>
    <col min="13" max="13" width="13.140625" style="147" bestFit="1" customWidth="1"/>
    <col min="14" max="14" width="28.140625" style="147" customWidth="1"/>
    <col min="15" max="15" width="13.140625" style="147" bestFit="1" customWidth="1"/>
    <col min="16" max="16384" width="8.5703125" style="147"/>
  </cols>
  <sheetData>
    <row r="2" spans="2:5" ht="15" customHeight="1" x14ac:dyDescent="0.25">
      <c r="B2" s="298" t="s">
        <v>1065</v>
      </c>
      <c r="C2" s="298"/>
      <c r="D2" s="298"/>
      <c r="E2" s="298"/>
    </row>
    <row r="4" spans="2:5" ht="15" customHeight="1" thickBot="1" x14ac:dyDescent="0.25">
      <c r="B4" s="93"/>
      <c r="C4" s="94" t="s">
        <v>14</v>
      </c>
      <c r="D4" s="94" t="s">
        <v>15</v>
      </c>
      <c r="E4" s="94" t="s">
        <v>16</v>
      </c>
    </row>
    <row r="5" spans="2:5" ht="38.25" x14ac:dyDescent="0.2">
      <c r="B5" s="95" t="s">
        <v>1066</v>
      </c>
      <c r="C5" s="96" t="s">
        <v>1244</v>
      </c>
      <c r="D5" s="96" t="s">
        <v>1067</v>
      </c>
      <c r="E5" s="96" t="s">
        <v>10</v>
      </c>
    </row>
    <row r="6" spans="2:5" ht="15" customHeight="1" x14ac:dyDescent="0.2">
      <c r="B6" s="148" t="s">
        <v>1068</v>
      </c>
      <c r="C6" s="97">
        <v>0.12381000000000002</v>
      </c>
      <c r="D6" s="97">
        <v>7.8050793650793662E-2</v>
      </c>
      <c r="E6" s="98">
        <v>4.5759206349206355E-2</v>
      </c>
    </row>
    <row r="7" spans="2:5" ht="15" customHeight="1" x14ac:dyDescent="0.2">
      <c r="B7" s="148" t="s">
        <v>1069</v>
      </c>
      <c r="C7" s="97">
        <v>0.11827500000000001</v>
      </c>
      <c r="D7" s="97">
        <v>7.8976190476190478E-2</v>
      </c>
      <c r="E7" s="98">
        <v>3.9298809523809528E-2</v>
      </c>
    </row>
    <row r="8" spans="2:5" ht="15" customHeight="1" x14ac:dyDescent="0.2">
      <c r="B8" s="148" t="s">
        <v>1070</v>
      </c>
      <c r="C8" s="97">
        <v>0.12031249999999999</v>
      </c>
      <c r="D8" s="97">
        <v>7.4456250000000002E-2</v>
      </c>
      <c r="E8" s="98">
        <v>4.5856249999999987E-2</v>
      </c>
    </row>
    <row r="9" spans="2:5" ht="15" customHeight="1" x14ac:dyDescent="0.2">
      <c r="B9" s="148" t="s">
        <v>1071</v>
      </c>
      <c r="C9" s="97">
        <v>0.12140666666666668</v>
      </c>
      <c r="D9" s="97">
        <v>7.5235937499999989E-2</v>
      </c>
      <c r="E9" s="98">
        <v>4.6170729166666688E-2</v>
      </c>
    </row>
    <row r="10" spans="2:5" ht="15" customHeight="1" x14ac:dyDescent="0.2">
      <c r="B10" s="148" t="s">
        <v>1072</v>
      </c>
      <c r="C10" s="97">
        <v>0.11835714285714286</v>
      </c>
      <c r="D10" s="97">
        <v>7.0716129032258074E-2</v>
      </c>
      <c r="E10" s="98">
        <v>4.7641013824884781E-2</v>
      </c>
    </row>
    <row r="11" spans="2:5" ht="15" customHeight="1" x14ac:dyDescent="0.2">
      <c r="B11" s="149" t="s">
        <v>1073</v>
      </c>
      <c r="C11" s="97">
        <v>0.11641111111111109</v>
      </c>
      <c r="D11" s="97">
        <v>6.8584126984127011E-2</v>
      </c>
      <c r="E11" s="98">
        <v>4.7826984126984079E-2</v>
      </c>
    </row>
    <row r="12" spans="2:5" ht="15" customHeight="1" x14ac:dyDescent="0.2">
      <c r="B12" s="149" t="s">
        <v>1074</v>
      </c>
      <c r="C12" s="97">
        <v>0.11151666666666667</v>
      </c>
      <c r="D12" s="97">
        <v>6.3154687500000015E-2</v>
      </c>
      <c r="E12" s="98">
        <v>4.8361979166666652E-2</v>
      </c>
    </row>
    <row r="13" spans="2:5" ht="15" customHeight="1" x14ac:dyDescent="0.2">
      <c r="B13" s="149" t="s">
        <v>1075</v>
      </c>
      <c r="C13" s="97">
        <v>0.11041666666666666</v>
      </c>
      <c r="D13" s="97">
        <v>6.1351562500000012E-2</v>
      </c>
      <c r="E13" s="98">
        <v>4.9065104166666651E-2</v>
      </c>
    </row>
    <row r="14" spans="2:5" ht="15" customHeight="1" x14ac:dyDescent="0.2">
      <c r="B14" s="149" t="s">
        <v>1076</v>
      </c>
      <c r="C14" s="97">
        <v>0.11067</v>
      </c>
      <c r="D14" s="97">
        <v>6.5758730158730155E-2</v>
      </c>
      <c r="E14" s="98">
        <v>4.4911269841269849E-2</v>
      </c>
    </row>
    <row r="15" spans="2:5" ht="15" customHeight="1" x14ac:dyDescent="0.2">
      <c r="B15" s="149" t="s">
        <v>1077</v>
      </c>
      <c r="C15" s="97">
        <v>0.1113</v>
      </c>
      <c r="D15" s="97">
        <v>7.3622580645161306E-2</v>
      </c>
      <c r="E15" s="98">
        <v>3.767741935483869E-2</v>
      </c>
    </row>
    <row r="16" spans="2:5" ht="15" customHeight="1" x14ac:dyDescent="0.2">
      <c r="B16" s="149" t="s">
        <v>1078</v>
      </c>
      <c r="C16" s="97">
        <v>0.1275</v>
      </c>
      <c r="D16" s="97">
        <v>7.5893750000000024E-2</v>
      </c>
      <c r="E16" s="98">
        <v>5.1606249999999979E-2</v>
      </c>
    </row>
    <row r="17" spans="2:15" ht="15" customHeight="1" x14ac:dyDescent="0.2">
      <c r="B17" s="149" t="s">
        <v>1079</v>
      </c>
      <c r="C17" s="97">
        <v>0.11238333333333334</v>
      </c>
      <c r="D17" s="97">
        <v>7.9633333333333334E-2</v>
      </c>
      <c r="E17" s="98">
        <v>3.2750000000000001E-2</v>
      </c>
    </row>
    <row r="18" spans="2:15" ht="15" customHeight="1" x14ac:dyDescent="0.2">
      <c r="B18" s="149">
        <v>1995.1</v>
      </c>
      <c r="C18" s="97">
        <v>0.1196125</v>
      </c>
      <c r="D18" s="97">
        <v>7.6334374999999996E-2</v>
      </c>
      <c r="E18" s="98">
        <v>4.3278125000000001E-2</v>
      </c>
    </row>
    <row r="19" spans="2:15" ht="15" customHeight="1" x14ac:dyDescent="0.2">
      <c r="B19" s="149" t="s">
        <v>1080</v>
      </c>
      <c r="C19" s="97">
        <v>0.1131625</v>
      </c>
      <c r="D19" s="97">
        <v>6.9422222222222191E-2</v>
      </c>
      <c r="E19" s="98">
        <v>4.3740277777777808E-2</v>
      </c>
    </row>
    <row r="20" spans="2:15" ht="15" customHeight="1" x14ac:dyDescent="0.2">
      <c r="B20" s="149" t="s">
        <v>1081</v>
      </c>
      <c r="C20" s="97">
        <v>0.1137</v>
      </c>
      <c r="D20" s="97">
        <v>6.7173015873015857E-2</v>
      </c>
      <c r="E20" s="98">
        <v>4.6526984126984139E-2</v>
      </c>
    </row>
    <row r="21" spans="2:15" ht="15" customHeight="1" x14ac:dyDescent="0.2">
      <c r="B21" s="149" t="s">
        <v>1082</v>
      </c>
      <c r="C21" s="97">
        <v>0.11584285714285714</v>
      </c>
      <c r="D21" s="97">
        <v>6.2390476190476205E-2</v>
      </c>
      <c r="E21" s="98">
        <v>5.3452380952380932E-2</v>
      </c>
    </row>
    <row r="22" spans="2:15" ht="15" customHeight="1" x14ac:dyDescent="0.2">
      <c r="B22" s="149" t="s">
        <v>1083</v>
      </c>
      <c r="C22" s="97">
        <v>0.11460000000000001</v>
      </c>
      <c r="D22" s="97">
        <v>6.2916923076923065E-2</v>
      </c>
      <c r="E22" s="98">
        <v>5.1683076923076943E-2</v>
      </c>
      <c r="G22" s="150" t="s">
        <v>1084</v>
      </c>
      <c r="H22" s="150"/>
      <c r="I22" s="150"/>
      <c r="J22" s="150"/>
      <c r="K22" s="150"/>
      <c r="L22" s="150"/>
      <c r="M22" s="150"/>
      <c r="N22" s="150"/>
      <c r="O22" s="150"/>
    </row>
    <row r="23" spans="2:15" ht="15" customHeight="1" thickBot="1" x14ac:dyDescent="0.25">
      <c r="B23" s="149" t="s">
        <v>1085</v>
      </c>
      <c r="C23" s="97">
        <v>0.11458888888888891</v>
      </c>
      <c r="D23" s="97">
        <v>6.9215384615384609E-2</v>
      </c>
      <c r="E23" s="98">
        <v>4.5373504273504298E-2</v>
      </c>
      <c r="G23" s="150"/>
      <c r="H23" s="150"/>
      <c r="I23" s="150"/>
      <c r="J23" s="150"/>
      <c r="K23" s="150"/>
      <c r="L23" s="150"/>
      <c r="M23" s="150"/>
      <c r="N23" s="150"/>
      <c r="O23" s="150"/>
    </row>
    <row r="24" spans="2:15" ht="15" customHeight="1" x14ac:dyDescent="0.2">
      <c r="B24" s="149" t="s">
        <v>1086</v>
      </c>
      <c r="C24" s="97">
        <v>0.10700000000000001</v>
      </c>
      <c r="D24" s="97">
        <v>6.9672727272727275E-2</v>
      </c>
      <c r="E24" s="98">
        <v>3.7327272727272737E-2</v>
      </c>
      <c r="G24" s="151" t="s">
        <v>1087</v>
      </c>
      <c r="H24" s="151"/>
      <c r="I24" s="150"/>
      <c r="J24" s="150"/>
      <c r="K24" s="150"/>
      <c r="L24" s="150"/>
      <c r="M24" s="150"/>
      <c r="N24" s="150"/>
      <c r="O24" s="150"/>
    </row>
    <row r="25" spans="2:15" ht="15" customHeight="1" x14ac:dyDescent="0.25">
      <c r="B25" s="149" t="s">
        <v>1088</v>
      </c>
      <c r="C25" s="97">
        <v>0.11559999999999999</v>
      </c>
      <c r="D25" s="97">
        <v>6.6199999999999995E-2</v>
      </c>
      <c r="E25" s="98">
        <v>4.9399999999999999E-2</v>
      </c>
      <c r="G25" s="152" t="s">
        <v>1089</v>
      </c>
      <c r="H25" s="166">
        <v>0.90649426434325087</v>
      </c>
      <c r="I25" s="167"/>
      <c r="J25" s="167"/>
      <c r="K25" s="167"/>
      <c r="L25" s="167"/>
      <c r="M25" s="167"/>
      <c r="N25" s="167"/>
      <c r="O25" s="167"/>
    </row>
    <row r="26" spans="2:15" ht="15" customHeight="1" x14ac:dyDescent="0.25">
      <c r="B26" s="149" t="s">
        <v>1090</v>
      </c>
      <c r="C26" s="97">
        <v>0.1108</v>
      </c>
      <c r="D26" s="97">
        <v>6.8153124999999995E-2</v>
      </c>
      <c r="E26" s="98">
        <v>4.2646875000000001E-2</v>
      </c>
      <c r="G26" s="152" t="s">
        <v>1091</v>
      </c>
      <c r="H26" s="166">
        <v>0.82173185128721149</v>
      </c>
      <c r="I26" s="167"/>
      <c r="J26" s="167"/>
      <c r="K26" s="167"/>
      <c r="L26" s="167"/>
      <c r="M26" s="167"/>
      <c r="N26" s="167"/>
      <c r="O26" s="167"/>
    </row>
    <row r="27" spans="2:15" ht="15" customHeight="1" x14ac:dyDescent="0.25">
      <c r="B27" s="149" t="s">
        <v>1092</v>
      </c>
      <c r="C27" s="97">
        <v>0.11616666666666668</v>
      </c>
      <c r="D27" s="97">
        <v>6.9369230769230752E-2</v>
      </c>
      <c r="E27" s="98">
        <v>4.6797435897435929E-2</v>
      </c>
      <c r="G27" s="152" t="s">
        <v>1093</v>
      </c>
      <c r="H27" s="166">
        <v>0.82030570609750919</v>
      </c>
      <c r="I27" s="167"/>
      <c r="J27" s="167"/>
      <c r="K27" s="167"/>
      <c r="L27" s="167"/>
      <c r="M27" s="167"/>
      <c r="N27" s="167"/>
      <c r="O27" s="167"/>
    </row>
    <row r="28" spans="2:15" ht="15" customHeight="1" x14ac:dyDescent="0.25">
      <c r="B28" s="149" t="s">
        <v>1094</v>
      </c>
      <c r="C28" s="97">
        <v>0.12</v>
      </c>
      <c r="D28" s="97">
        <v>6.5304545454545448E-2</v>
      </c>
      <c r="E28" s="98">
        <v>5.4695454545454547E-2</v>
      </c>
      <c r="G28" s="152" t="s">
        <v>1095</v>
      </c>
      <c r="H28" s="166">
        <v>4.3092796217551674E-3</v>
      </c>
      <c r="I28" s="167"/>
      <c r="J28" s="167"/>
      <c r="K28" s="167"/>
      <c r="L28" s="167"/>
      <c r="M28" s="167"/>
      <c r="N28" s="167"/>
      <c r="O28" s="167"/>
    </row>
    <row r="29" spans="2:15" ht="15" customHeight="1" thickBot="1" x14ac:dyDescent="0.3">
      <c r="B29" s="148" t="s">
        <v>1096</v>
      </c>
      <c r="C29" s="97">
        <v>0.1106</v>
      </c>
      <c r="D29" s="97">
        <v>6.1478125000000015E-2</v>
      </c>
      <c r="E29" s="98">
        <v>4.9121874999999988E-2</v>
      </c>
      <c r="G29" s="153" t="s">
        <v>1097</v>
      </c>
      <c r="H29" s="168">
        <v>127</v>
      </c>
      <c r="I29" s="167"/>
      <c r="J29" s="167"/>
      <c r="K29" s="167"/>
      <c r="L29" s="167"/>
      <c r="M29" s="167"/>
      <c r="N29" s="167"/>
      <c r="O29" s="167"/>
    </row>
    <row r="30" spans="2:15" ht="15" customHeight="1" x14ac:dyDescent="0.25">
      <c r="B30" s="148">
        <v>1998.1</v>
      </c>
      <c r="C30" s="97">
        <v>0.11312499999999999</v>
      </c>
      <c r="D30" s="97">
        <v>5.884375E-2</v>
      </c>
      <c r="E30" s="98">
        <v>5.4281249999999989E-2</v>
      </c>
      <c r="G30" s="150"/>
      <c r="H30" s="167"/>
      <c r="I30" s="167"/>
      <c r="J30" s="167"/>
      <c r="K30" s="167"/>
      <c r="L30" s="167"/>
      <c r="M30" s="167"/>
      <c r="N30" s="167"/>
      <c r="O30" s="167"/>
    </row>
    <row r="31" spans="2:15" ht="15" customHeight="1" thickBot="1" x14ac:dyDescent="0.3">
      <c r="B31" s="149" t="s">
        <v>1098</v>
      </c>
      <c r="C31" s="97">
        <v>0.122</v>
      </c>
      <c r="D31" s="97">
        <v>5.8490769230769207E-2</v>
      </c>
      <c r="E31" s="98">
        <v>6.350923076923079E-2</v>
      </c>
      <c r="G31" s="150" t="s">
        <v>1099</v>
      </c>
      <c r="H31" s="167"/>
      <c r="I31" s="167"/>
      <c r="J31" s="167"/>
      <c r="K31" s="167"/>
      <c r="L31" s="167"/>
      <c r="M31" s="167"/>
      <c r="N31" s="167"/>
      <c r="O31" s="167"/>
    </row>
    <row r="32" spans="2:15" ht="15" customHeight="1" x14ac:dyDescent="0.25">
      <c r="B32" s="149" t="s">
        <v>1100</v>
      </c>
      <c r="C32" s="97">
        <v>0.11650000000000001</v>
      </c>
      <c r="D32" s="97">
        <v>5.4762121212121241E-2</v>
      </c>
      <c r="E32" s="98">
        <v>6.1737878787878765E-2</v>
      </c>
      <c r="G32" s="154"/>
      <c r="H32" s="169" t="s">
        <v>1101</v>
      </c>
      <c r="I32" s="169" t="s">
        <v>1102</v>
      </c>
      <c r="J32" s="169" t="s">
        <v>718</v>
      </c>
      <c r="K32" s="169" t="s">
        <v>459</v>
      </c>
      <c r="L32" s="169" t="s">
        <v>1103</v>
      </c>
      <c r="M32" s="167"/>
      <c r="N32" s="167"/>
      <c r="O32" s="167"/>
    </row>
    <row r="33" spans="2:15" ht="15" customHeight="1" x14ac:dyDescent="0.25">
      <c r="B33" s="149" t="s">
        <v>1104</v>
      </c>
      <c r="C33" s="97">
        <v>0.123</v>
      </c>
      <c r="D33" s="97">
        <v>5.1071212121212115E-2</v>
      </c>
      <c r="E33" s="98">
        <v>7.1928787878787884E-2</v>
      </c>
      <c r="G33" s="152" t="s">
        <v>1105</v>
      </c>
      <c r="H33" s="170">
        <v>1</v>
      </c>
      <c r="I33" s="166">
        <v>1.0699801747759528E-2</v>
      </c>
      <c r="J33" s="166">
        <v>1.0699801747759528E-2</v>
      </c>
      <c r="K33" s="166">
        <v>576.19087959672538</v>
      </c>
      <c r="L33" s="166">
        <v>1.2207375021214153E-48</v>
      </c>
      <c r="M33" s="167"/>
      <c r="N33" s="167"/>
      <c r="O33" s="167"/>
    </row>
    <row r="34" spans="2:15" ht="15" customHeight="1" x14ac:dyDescent="0.25">
      <c r="B34" s="148" t="s">
        <v>1106</v>
      </c>
      <c r="C34" s="97">
        <v>0.10400000000000001</v>
      </c>
      <c r="D34" s="97">
        <v>5.3734374999999994E-2</v>
      </c>
      <c r="E34" s="98">
        <v>5.0265625000000015E-2</v>
      </c>
      <c r="G34" s="152" t="s">
        <v>1107</v>
      </c>
      <c r="H34" s="170">
        <v>125</v>
      </c>
      <c r="I34" s="166">
        <v>2.3212363573092945E-3</v>
      </c>
      <c r="J34" s="166">
        <v>1.8569890858474356E-5</v>
      </c>
      <c r="K34" s="166"/>
      <c r="L34" s="166"/>
      <c r="M34" s="167"/>
      <c r="N34" s="167"/>
      <c r="O34" s="167"/>
    </row>
    <row r="35" spans="2:15" ht="15" customHeight="1" thickBot="1" x14ac:dyDescent="0.3">
      <c r="B35" s="148" t="s">
        <v>1108</v>
      </c>
      <c r="C35" s="97">
        <v>0.1094</v>
      </c>
      <c r="D35" s="97">
        <v>5.7987692307692289E-2</v>
      </c>
      <c r="E35" s="98">
        <v>5.1412307692307709E-2</v>
      </c>
      <c r="G35" s="153" t="s">
        <v>1109</v>
      </c>
      <c r="H35" s="168">
        <v>126</v>
      </c>
      <c r="I35" s="171">
        <v>1.3021038105068822E-2</v>
      </c>
      <c r="J35" s="171"/>
      <c r="K35" s="171"/>
      <c r="L35" s="171"/>
      <c r="M35" s="167"/>
      <c r="N35" s="167"/>
      <c r="O35" s="167"/>
    </row>
    <row r="36" spans="2:15" ht="15" customHeight="1" thickBot="1" x14ac:dyDescent="0.3">
      <c r="B36" s="148">
        <v>1999.3</v>
      </c>
      <c r="C36" s="97">
        <v>0.1075</v>
      </c>
      <c r="D36" s="97">
        <v>6.040757575757575E-2</v>
      </c>
      <c r="E36" s="98">
        <v>4.7092424242424248E-2</v>
      </c>
      <c r="G36" s="150"/>
      <c r="H36" s="167"/>
      <c r="I36" s="167"/>
      <c r="J36" s="167"/>
      <c r="K36" s="167"/>
      <c r="L36" s="167"/>
      <c r="M36" s="167"/>
      <c r="N36" s="167"/>
      <c r="O36" s="167"/>
    </row>
    <row r="37" spans="2:15" ht="15" customHeight="1" x14ac:dyDescent="0.2">
      <c r="B37" s="148" t="s">
        <v>1110</v>
      </c>
      <c r="C37" s="97">
        <v>0.111</v>
      </c>
      <c r="D37" s="97">
        <v>6.2559090909090911E-2</v>
      </c>
      <c r="E37" s="98">
        <v>4.844090909090909E-2</v>
      </c>
      <c r="G37" s="154"/>
      <c r="H37" s="169" t="s">
        <v>1111</v>
      </c>
      <c r="I37" s="169" t="s">
        <v>1095</v>
      </c>
      <c r="J37" s="169" t="s">
        <v>1112</v>
      </c>
      <c r="K37" s="169" t="s">
        <v>1113</v>
      </c>
      <c r="L37" s="169" t="s">
        <v>1114</v>
      </c>
      <c r="M37" s="169" t="s">
        <v>1115</v>
      </c>
      <c r="N37" s="169" t="s">
        <v>1116</v>
      </c>
      <c r="O37" s="169" t="s">
        <v>1117</v>
      </c>
    </row>
    <row r="38" spans="2:15" ht="15" customHeight="1" x14ac:dyDescent="0.25">
      <c r="B38" s="149" t="s">
        <v>1118</v>
      </c>
      <c r="C38" s="97">
        <v>0.112125</v>
      </c>
      <c r="D38" s="97">
        <v>6.2958461538461505E-2</v>
      </c>
      <c r="E38" s="98">
        <v>4.9166538461538498E-2</v>
      </c>
      <c r="G38" s="152" t="s">
        <v>1119</v>
      </c>
      <c r="H38" s="172">
        <v>8.593405406979962E-2</v>
      </c>
      <c r="I38" s="172">
        <v>1.1287102264695566E-3</v>
      </c>
      <c r="J38" s="173">
        <v>76.134735075971619</v>
      </c>
      <c r="K38" s="174">
        <v>1.371127581491798E-106</v>
      </c>
      <c r="L38" s="174">
        <v>8.3700196448040526E-2</v>
      </c>
      <c r="M38" s="174">
        <v>8.8167911691558715E-2</v>
      </c>
      <c r="N38" s="174">
        <v>8.3700196448040526E-2</v>
      </c>
      <c r="O38" s="174">
        <v>8.8167911691558715E-2</v>
      </c>
    </row>
    <row r="39" spans="2:15" ht="15" customHeight="1" thickBot="1" x14ac:dyDescent="0.3">
      <c r="B39" s="148" t="s">
        <v>1120</v>
      </c>
      <c r="C39" s="97">
        <v>0.11</v>
      </c>
      <c r="D39" s="97">
        <v>5.9787692307692299E-2</v>
      </c>
      <c r="E39" s="98">
        <v>5.0212307692307702E-2</v>
      </c>
      <c r="G39" s="153" t="s">
        <v>1445</v>
      </c>
      <c r="H39" s="175">
        <v>-0.56138980607680411</v>
      </c>
      <c r="I39" s="175">
        <v>2.3387367092248004E-2</v>
      </c>
      <c r="J39" s="176">
        <v>-24.003976328865289</v>
      </c>
      <c r="K39" s="177">
        <v>1.2207375021214677E-48</v>
      </c>
      <c r="L39" s="177">
        <v>-0.60767630814501694</v>
      </c>
      <c r="M39" s="177">
        <v>-0.51510330400859128</v>
      </c>
      <c r="N39" s="177">
        <v>-0.60767630814501694</v>
      </c>
      <c r="O39" s="177">
        <v>-0.51510330400859128</v>
      </c>
    </row>
    <row r="40" spans="2:15" ht="15" customHeight="1" x14ac:dyDescent="0.2">
      <c r="B40" s="149" t="s">
        <v>1121</v>
      </c>
      <c r="C40" s="97">
        <v>0.1168</v>
      </c>
      <c r="D40" s="97">
        <v>5.7932307692307693E-2</v>
      </c>
      <c r="E40" s="98">
        <v>5.8867692307692308E-2</v>
      </c>
      <c r="G40" s="150"/>
      <c r="H40" s="150"/>
      <c r="I40" s="150"/>
      <c r="J40" s="150"/>
      <c r="K40" s="150"/>
      <c r="L40" s="150"/>
      <c r="M40" s="150"/>
      <c r="N40" s="150"/>
      <c r="O40" s="150"/>
    </row>
    <row r="41" spans="2:15" ht="15" customHeight="1" x14ac:dyDescent="0.2">
      <c r="B41" s="149" t="s">
        <v>1122</v>
      </c>
      <c r="C41" s="97">
        <v>0.125</v>
      </c>
      <c r="D41" s="97">
        <v>5.6907692307692305E-2</v>
      </c>
      <c r="E41" s="98">
        <v>6.8092307692307702E-2</v>
      </c>
      <c r="G41" s="150"/>
      <c r="H41" s="150"/>
      <c r="I41" s="150"/>
      <c r="J41" s="150"/>
      <c r="K41" s="150"/>
      <c r="L41" s="150"/>
      <c r="M41" s="150"/>
      <c r="N41" s="150"/>
      <c r="O41" s="150"/>
    </row>
    <row r="42" spans="2:15" ht="15" customHeight="1" thickBot="1" x14ac:dyDescent="0.25">
      <c r="B42" s="148" t="s">
        <v>1123</v>
      </c>
      <c r="C42" s="97">
        <v>0.11375</v>
      </c>
      <c r="D42" s="97">
        <v>5.4464615384615396E-2</v>
      </c>
      <c r="E42" s="98">
        <v>5.9285384615384608E-2</v>
      </c>
      <c r="G42" s="150"/>
      <c r="H42" s="150"/>
      <c r="I42" s="150"/>
      <c r="J42" s="150"/>
      <c r="K42" s="150"/>
      <c r="L42" s="150"/>
      <c r="M42" s="150"/>
      <c r="N42" s="150"/>
      <c r="O42" s="150"/>
    </row>
    <row r="43" spans="2:15" ht="15" customHeight="1" x14ac:dyDescent="0.2">
      <c r="B43" s="149" t="s">
        <v>1124</v>
      </c>
      <c r="C43" s="97">
        <v>0.11</v>
      </c>
      <c r="D43" s="97">
        <v>5.7016923076923069E-2</v>
      </c>
      <c r="E43" s="98">
        <v>5.2983076923076931E-2</v>
      </c>
      <c r="G43" s="99"/>
      <c r="H43" s="99"/>
      <c r="I43" s="99"/>
      <c r="J43" s="100" t="s">
        <v>1125</v>
      </c>
      <c r="K43" s="100"/>
      <c r="L43" s="100"/>
    </row>
    <row r="44" spans="2:15" ht="15" customHeight="1" x14ac:dyDescent="0.2">
      <c r="B44" s="149">
        <v>2001.3</v>
      </c>
      <c r="C44" s="97">
        <v>0.10755714285714287</v>
      </c>
      <c r="D44" s="97">
        <v>5.5250769230769207E-2</v>
      </c>
      <c r="E44" s="98">
        <v>5.2306373626373658E-2</v>
      </c>
      <c r="G44" s="93"/>
      <c r="H44" s="93"/>
      <c r="I44" s="93"/>
      <c r="J44" s="94" t="s">
        <v>1126</v>
      </c>
      <c r="K44" s="94" t="s">
        <v>1127</v>
      </c>
      <c r="L44" s="94"/>
    </row>
    <row r="45" spans="2:15" ht="15" customHeight="1" x14ac:dyDescent="0.2">
      <c r="B45" s="149" t="s">
        <v>1128</v>
      </c>
      <c r="C45" s="97">
        <v>0.11993333333333334</v>
      </c>
      <c r="D45" s="97">
        <v>5.3019696969696967E-2</v>
      </c>
      <c r="E45" s="98">
        <v>6.691363636363637E-2</v>
      </c>
      <c r="G45" s="101"/>
      <c r="H45" s="101"/>
      <c r="I45" s="101"/>
      <c r="J45" s="102" t="s">
        <v>1129</v>
      </c>
      <c r="K45" s="102" t="s">
        <v>1130</v>
      </c>
      <c r="L45" s="102" t="s">
        <v>1131</v>
      </c>
    </row>
    <row r="46" spans="2:15" ht="15" customHeight="1" x14ac:dyDescent="0.2">
      <c r="B46" s="148" t="s">
        <v>1132</v>
      </c>
      <c r="C46" s="97">
        <v>0.10050000000000001</v>
      </c>
      <c r="D46" s="97">
        <v>5.51578125E-2</v>
      </c>
      <c r="E46" s="98">
        <v>4.5342187500000006E-2</v>
      </c>
      <c r="G46" s="93"/>
      <c r="H46" s="93"/>
      <c r="I46" s="93"/>
      <c r="J46" s="93"/>
      <c r="K46" s="93"/>
      <c r="L46" s="93"/>
    </row>
    <row r="47" spans="2:15" ht="15" customHeight="1" x14ac:dyDescent="0.2">
      <c r="B47" s="149" t="s">
        <v>1133</v>
      </c>
      <c r="C47" s="97">
        <v>0.11405</v>
      </c>
      <c r="D47" s="97">
        <v>5.6164615384615389E-2</v>
      </c>
      <c r="E47" s="98">
        <v>5.7885384615384609E-2</v>
      </c>
      <c r="G47" s="119" t="s">
        <v>1134</v>
      </c>
      <c r="H47" s="119"/>
      <c r="I47" s="119"/>
      <c r="J47" s="103">
        <f>'AEB-18 CAPM'!D9</f>
        <v>4.4176666666666663E-2</v>
      </c>
      <c r="K47" s="98">
        <f>$H$38+$H$39*J47</f>
        <v>6.113372373668001E-2</v>
      </c>
      <c r="L47" s="97">
        <f>J47+K47</f>
        <v>0.10531039040334667</v>
      </c>
    </row>
    <row r="48" spans="2:15" ht="15" customHeight="1" x14ac:dyDescent="0.2">
      <c r="B48" s="149" t="s">
        <v>1135</v>
      </c>
      <c r="C48" s="97">
        <v>0.11650000000000001</v>
      </c>
      <c r="D48" s="97">
        <v>5.0868181818181826E-2</v>
      </c>
      <c r="E48" s="98">
        <v>6.563181818181818E-2</v>
      </c>
      <c r="G48" s="162" t="s">
        <v>1263</v>
      </c>
      <c r="H48" s="119"/>
      <c r="I48" s="119"/>
      <c r="J48" s="103">
        <f>'AEB-18 CAPM'!D45</f>
        <v>4.1599999999999998E-2</v>
      </c>
      <c r="K48" s="98">
        <f t="shared" ref="K48:K49" si="0">$H$38+$H$39*J48</f>
        <v>6.2580238137004571E-2</v>
      </c>
      <c r="L48" s="97">
        <f t="shared" ref="L48:L49" si="1">J48+K48</f>
        <v>0.10418023813700457</v>
      </c>
    </row>
    <row r="49" spans="2:12" ht="15" customHeight="1" x14ac:dyDescent="0.2">
      <c r="B49" s="148" t="s">
        <v>1136</v>
      </c>
      <c r="C49" s="97">
        <v>0.11566666666666665</v>
      </c>
      <c r="D49" s="97">
        <v>4.9322727272727268E-2</v>
      </c>
      <c r="E49" s="98">
        <v>6.6343939393939386E-2</v>
      </c>
      <c r="G49" s="178" t="s">
        <v>1264</v>
      </c>
      <c r="H49" s="178"/>
      <c r="I49" s="178"/>
      <c r="J49" s="104">
        <f>'AEB-18 CAPM'!D81</f>
        <v>3.7999999999999999E-2</v>
      </c>
      <c r="K49" s="98">
        <f t="shared" si="0"/>
        <v>6.460124143888106E-2</v>
      </c>
      <c r="L49" s="105">
        <f t="shared" si="1"/>
        <v>0.10260124143888105</v>
      </c>
    </row>
    <row r="50" spans="2:12" ht="15" customHeight="1" thickBot="1" x14ac:dyDescent="0.25">
      <c r="B50" s="149" t="s">
        <v>1137</v>
      </c>
      <c r="C50" s="97">
        <v>0.1172</v>
      </c>
      <c r="D50" s="97">
        <v>4.8518749999999999E-2</v>
      </c>
      <c r="E50" s="98">
        <v>6.8681249999999999E-2</v>
      </c>
      <c r="G50" s="179" t="s">
        <v>1138</v>
      </c>
      <c r="H50" s="179"/>
      <c r="I50" s="179"/>
      <c r="J50" s="106"/>
      <c r="K50" s="106"/>
      <c r="L50" s="106">
        <f>AVERAGE(L47:L49)</f>
        <v>0.10403062332641076</v>
      </c>
    </row>
    <row r="51" spans="2:12" ht="15" customHeight="1" x14ac:dyDescent="0.2">
      <c r="B51" s="149" t="s">
        <v>1139</v>
      </c>
      <c r="C51" s="97">
        <v>0.111625</v>
      </c>
      <c r="D51" s="97">
        <v>4.6032307692307678E-2</v>
      </c>
      <c r="E51" s="98">
        <v>6.5592692307692324E-2</v>
      </c>
      <c r="G51" s="155"/>
      <c r="H51" s="155"/>
      <c r="I51" s="155"/>
      <c r="J51" s="155"/>
      <c r="K51" s="155"/>
      <c r="L51" s="155"/>
    </row>
    <row r="52" spans="2:12" ht="15" customHeight="1" x14ac:dyDescent="0.2">
      <c r="B52" s="149" t="s">
        <v>1140</v>
      </c>
      <c r="C52" s="97">
        <v>0.105</v>
      </c>
      <c r="D52" s="97">
        <v>5.113939393939395E-2</v>
      </c>
      <c r="E52" s="98">
        <v>5.3860606060606046E-2</v>
      </c>
      <c r="G52" s="155" t="s">
        <v>62</v>
      </c>
      <c r="H52" s="155"/>
      <c r="I52" s="155"/>
      <c r="J52" s="155"/>
      <c r="K52" s="155"/>
      <c r="L52" s="155"/>
    </row>
    <row r="53" spans="2:12" ht="15" customHeight="1" x14ac:dyDescent="0.2">
      <c r="B53" s="149" t="s">
        <v>1141</v>
      </c>
      <c r="C53" s="97">
        <v>0.11339999999999999</v>
      </c>
      <c r="D53" s="97">
        <v>5.1146969696969691E-2</v>
      </c>
      <c r="E53" s="98">
        <v>6.2253030303030296E-2</v>
      </c>
      <c r="G53" s="155" t="s">
        <v>1442</v>
      </c>
      <c r="H53" s="155"/>
      <c r="I53" s="155"/>
      <c r="J53" s="155"/>
      <c r="K53" s="155"/>
      <c r="L53" s="155"/>
    </row>
    <row r="54" spans="2:12" ht="15" customHeight="1" x14ac:dyDescent="0.2">
      <c r="B54" s="149" t="s">
        <v>1142</v>
      </c>
      <c r="C54" s="97">
        <v>0.10999999999999999</v>
      </c>
      <c r="D54" s="97">
        <v>4.8776923076923072E-2</v>
      </c>
      <c r="E54" s="98">
        <v>6.1223076923076915E-2</v>
      </c>
      <c r="G54" s="155" t="s">
        <v>1398</v>
      </c>
      <c r="H54" s="155"/>
      <c r="I54" s="155"/>
      <c r="J54" s="155"/>
      <c r="K54" s="155"/>
      <c r="L54" s="155"/>
    </row>
    <row r="55" spans="2:12" ht="15" customHeight="1" x14ac:dyDescent="0.2">
      <c r="B55" s="149" t="s">
        <v>1143</v>
      </c>
      <c r="C55" s="97">
        <v>0.10638571428571429</v>
      </c>
      <c r="D55" s="97">
        <v>5.3353846153846154E-2</v>
      </c>
      <c r="E55" s="98">
        <v>5.3031868131868137E-2</v>
      </c>
      <c r="G55" s="155" t="s">
        <v>1144</v>
      </c>
      <c r="H55" s="155"/>
      <c r="I55" s="155"/>
      <c r="J55" s="155"/>
      <c r="K55" s="155"/>
      <c r="L55" s="155"/>
    </row>
    <row r="56" spans="2:12" ht="15" customHeight="1" x14ac:dyDescent="0.2">
      <c r="B56" s="149" t="s">
        <v>1145</v>
      </c>
      <c r="C56" s="97">
        <v>0.1075</v>
      </c>
      <c r="D56" s="97">
        <v>5.1074242424242439E-2</v>
      </c>
      <c r="E56" s="98">
        <v>5.642575757575756E-2</v>
      </c>
      <c r="G56" s="155" t="s">
        <v>1443</v>
      </c>
      <c r="H56" s="155"/>
      <c r="I56" s="155"/>
      <c r="J56" s="155"/>
      <c r="K56" s="155"/>
      <c r="L56" s="155"/>
    </row>
    <row r="57" spans="2:12" ht="15" customHeight="1" x14ac:dyDescent="0.2">
      <c r="B57" s="149" t="s">
        <v>1146</v>
      </c>
      <c r="C57" s="97">
        <v>0.11244000000000001</v>
      </c>
      <c r="D57" s="97">
        <v>4.9322727272727296E-2</v>
      </c>
      <c r="E57" s="98">
        <v>6.3117272727272716E-2</v>
      </c>
      <c r="G57" s="156" t="s">
        <v>1444</v>
      </c>
      <c r="H57" s="156"/>
      <c r="I57" s="156"/>
      <c r="J57" s="156"/>
      <c r="K57" s="155"/>
      <c r="L57" s="155"/>
    </row>
    <row r="58" spans="2:12" ht="15" customHeight="1" x14ac:dyDescent="0.2">
      <c r="B58" s="149" t="s">
        <v>1147</v>
      </c>
      <c r="C58" s="97">
        <v>0.10625000000000001</v>
      </c>
      <c r="D58" s="97">
        <v>4.7070312500000003E-2</v>
      </c>
      <c r="E58" s="98">
        <v>5.9179687500000008E-2</v>
      </c>
      <c r="G58" s="156" t="s">
        <v>1399</v>
      </c>
      <c r="H58" s="155"/>
      <c r="I58" s="155"/>
      <c r="J58" s="155"/>
      <c r="K58" s="155"/>
      <c r="L58" s="155"/>
    </row>
    <row r="59" spans="2:12" ht="15" customHeight="1" x14ac:dyDescent="0.2">
      <c r="B59" s="148" t="s">
        <v>1148</v>
      </c>
      <c r="C59" s="97">
        <v>0.10312499999999999</v>
      </c>
      <c r="D59" s="97">
        <v>4.4709230769230765E-2</v>
      </c>
      <c r="E59" s="98">
        <v>5.8415769230769229E-2</v>
      </c>
      <c r="G59" s="155" t="s">
        <v>1149</v>
      </c>
      <c r="H59" s="155"/>
      <c r="I59" s="155"/>
      <c r="J59" s="155"/>
      <c r="K59" s="155"/>
      <c r="L59" s="155"/>
    </row>
    <row r="60" spans="2:12" ht="15" customHeight="1" x14ac:dyDescent="0.2">
      <c r="B60" s="149" t="s">
        <v>1150</v>
      </c>
      <c r="C60" s="97">
        <v>0.11083333333333334</v>
      </c>
      <c r="D60" s="97">
        <v>4.4228787878787867E-2</v>
      </c>
      <c r="E60" s="98">
        <v>6.6604545454545472E-2</v>
      </c>
      <c r="G60" s="155" t="str">
        <f>"[8] Equals "&amp;TEXT(H38,"0.000000")&amp;" + ("&amp;TEXT(H39,"0.000000")&amp;" x Column [7])"</f>
        <v>[8] Equals 0.085934 + (-0.561390 x Column [7])</v>
      </c>
      <c r="H60" s="155"/>
      <c r="I60" s="155"/>
      <c r="J60" s="155"/>
      <c r="K60" s="155"/>
      <c r="L60" s="155"/>
    </row>
    <row r="61" spans="2:12" ht="15" customHeight="1" x14ac:dyDescent="0.2">
      <c r="B61" s="149" t="s">
        <v>1151</v>
      </c>
      <c r="C61" s="97">
        <v>0.1063125</v>
      </c>
      <c r="D61" s="97">
        <v>4.6523076923076924E-2</v>
      </c>
      <c r="E61" s="98">
        <v>5.978942307692308E-2</v>
      </c>
      <c r="G61" s="155" t="s">
        <v>1152</v>
      </c>
      <c r="H61" s="155"/>
      <c r="I61" s="155"/>
      <c r="J61" s="155"/>
      <c r="K61" s="155"/>
      <c r="L61" s="155"/>
    </row>
    <row r="62" spans="2:12" ht="15" customHeight="1" x14ac:dyDescent="0.2">
      <c r="B62" s="149" t="s">
        <v>1153</v>
      </c>
      <c r="C62" s="97">
        <v>0.10695</v>
      </c>
      <c r="D62" s="97">
        <v>4.6270769230769213E-2</v>
      </c>
      <c r="E62" s="98">
        <v>6.0679230769230791E-2</v>
      </c>
      <c r="G62" s="155"/>
      <c r="H62" s="155"/>
      <c r="I62" s="155"/>
      <c r="J62" s="155"/>
      <c r="K62" s="155"/>
      <c r="L62" s="155"/>
    </row>
    <row r="63" spans="2:12" ht="15" customHeight="1" x14ac:dyDescent="0.2">
      <c r="B63" s="149" t="s">
        <v>1154</v>
      </c>
      <c r="C63" s="97">
        <v>0.10787499999999998</v>
      </c>
      <c r="D63" s="97">
        <v>5.1427692307692299E-2</v>
      </c>
      <c r="E63" s="98">
        <v>5.6447307692307686E-2</v>
      </c>
      <c r="G63" s="155"/>
      <c r="H63" s="155"/>
      <c r="I63" s="155"/>
      <c r="J63" s="155"/>
      <c r="K63" s="155"/>
      <c r="L63" s="155"/>
    </row>
    <row r="64" spans="2:12" ht="15" customHeight="1" x14ac:dyDescent="0.2">
      <c r="B64" s="149" t="s">
        <v>1155</v>
      </c>
      <c r="C64" s="97">
        <v>0.10346666666666667</v>
      </c>
      <c r="D64" s="97">
        <v>4.9955384615384631E-2</v>
      </c>
      <c r="E64" s="98">
        <v>5.3511282051282034E-2</v>
      </c>
    </row>
    <row r="65" spans="2:5" ht="15" customHeight="1" x14ac:dyDescent="0.2">
      <c r="B65" s="149" t="s">
        <v>1156</v>
      </c>
      <c r="C65" s="97">
        <v>0.1065</v>
      </c>
      <c r="D65" s="97">
        <v>4.7423076923076908E-2</v>
      </c>
      <c r="E65" s="98">
        <v>5.9076923076923089E-2</v>
      </c>
    </row>
    <row r="66" spans="2:5" ht="15" customHeight="1" x14ac:dyDescent="0.2">
      <c r="B66" s="149" t="s">
        <v>1157</v>
      </c>
      <c r="C66" s="97">
        <v>0.10591666666666666</v>
      </c>
      <c r="D66" s="97">
        <v>4.7975384615384635E-2</v>
      </c>
      <c r="E66" s="98">
        <v>5.7941282051282024E-2</v>
      </c>
    </row>
    <row r="67" spans="2:5" ht="15" customHeight="1" x14ac:dyDescent="0.2">
      <c r="B67" s="149" t="s">
        <v>1158</v>
      </c>
      <c r="C67" s="97">
        <v>0.10324999999999999</v>
      </c>
      <c r="D67" s="97">
        <v>4.9892307692307715E-2</v>
      </c>
      <c r="E67" s="98">
        <v>5.335769230769228E-2</v>
      </c>
    </row>
    <row r="68" spans="2:5" ht="15" customHeight="1" x14ac:dyDescent="0.2">
      <c r="B68" s="149" t="s">
        <v>1159</v>
      </c>
      <c r="C68" s="97">
        <v>0.10400000000000001</v>
      </c>
      <c r="D68" s="97">
        <v>4.9499999999999982E-2</v>
      </c>
      <c r="E68" s="98">
        <v>5.4500000000000028E-2</v>
      </c>
    </row>
    <row r="69" spans="2:5" ht="15" customHeight="1" x14ac:dyDescent="0.2">
      <c r="B69" s="149" t="s">
        <v>1160</v>
      </c>
      <c r="C69" s="97">
        <v>0.10649999999999998</v>
      </c>
      <c r="D69" s="97">
        <v>4.6140000000000014E-2</v>
      </c>
      <c r="E69" s="98">
        <v>6.0359999999999969E-2</v>
      </c>
    </row>
    <row r="70" spans="2:5" ht="15" customHeight="1" x14ac:dyDescent="0.2">
      <c r="B70" s="149" t="s">
        <v>1161</v>
      </c>
      <c r="C70" s="97">
        <v>0.10614999999999999</v>
      </c>
      <c r="D70" s="97">
        <v>4.409538461538462E-2</v>
      </c>
      <c r="E70" s="98">
        <v>6.2054615384615375E-2</v>
      </c>
    </row>
    <row r="71" spans="2:5" ht="15" customHeight="1" x14ac:dyDescent="0.2">
      <c r="B71" s="149" t="s">
        <v>1162</v>
      </c>
      <c r="C71" s="97">
        <v>0.1053625</v>
      </c>
      <c r="D71" s="97">
        <v>4.5739999999999996E-2</v>
      </c>
      <c r="E71" s="98">
        <v>5.9622500000000002E-2</v>
      </c>
    </row>
    <row r="72" spans="2:5" ht="15" customHeight="1" x14ac:dyDescent="0.2">
      <c r="B72" s="149" t="s">
        <v>1163</v>
      </c>
      <c r="C72" s="97">
        <v>0.10426666666666667</v>
      </c>
      <c r="D72" s="97">
        <v>4.4501515151515146E-2</v>
      </c>
      <c r="E72" s="98">
        <v>5.9765151515151528E-2</v>
      </c>
    </row>
    <row r="73" spans="2:5" ht="15" customHeight="1" x14ac:dyDescent="0.2">
      <c r="B73" s="149" t="s">
        <v>1164</v>
      </c>
      <c r="C73" s="97">
        <v>0.103875</v>
      </c>
      <c r="D73" s="97">
        <v>3.6437500000000005E-2</v>
      </c>
      <c r="E73" s="98">
        <v>6.7437499999999984E-2</v>
      </c>
    </row>
    <row r="74" spans="2:5" ht="15" customHeight="1" x14ac:dyDescent="0.2">
      <c r="B74" s="149" t="s">
        <v>1165</v>
      </c>
      <c r="C74" s="97">
        <v>0.10751999999999999</v>
      </c>
      <c r="D74" s="97">
        <v>3.4393749999999994E-2</v>
      </c>
      <c r="E74" s="98">
        <v>7.3126250000000004E-2</v>
      </c>
    </row>
    <row r="75" spans="2:5" ht="15" customHeight="1" x14ac:dyDescent="0.2">
      <c r="B75" s="149" t="s">
        <v>1166</v>
      </c>
      <c r="C75" s="97">
        <v>0.1075</v>
      </c>
      <c r="D75" s="97">
        <v>4.1692307692307695E-2</v>
      </c>
      <c r="E75" s="98">
        <v>6.5807692307692303E-2</v>
      </c>
    </row>
    <row r="76" spans="2:5" ht="15" customHeight="1" x14ac:dyDescent="0.2">
      <c r="B76" s="149" t="s">
        <v>1167</v>
      </c>
      <c r="C76" s="97">
        <v>0.105</v>
      </c>
      <c r="D76" s="97">
        <v>4.321666666666666E-2</v>
      </c>
      <c r="E76" s="98">
        <v>6.1783333333333336E-2</v>
      </c>
    </row>
    <row r="77" spans="2:5" ht="15" customHeight="1" x14ac:dyDescent="0.2">
      <c r="B77" s="149" t="s">
        <v>1168</v>
      </c>
      <c r="C77" s="97">
        <v>0.10592000000000003</v>
      </c>
      <c r="D77" s="97">
        <v>4.3392187499999998E-2</v>
      </c>
      <c r="E77" s="98">
        <v>6.252781250000003E-2</v>
      </c>
    </row>
    <row r="78" spans="2:5" ht="15" customHeight="1" x14ac:dyDescent="0.2">
      <c r="B78" s="149" t="s">
        <v>1169</v>
      </c>
      <c r="C78" s="97">
        <v>0.10592500000000001</v>
      </c>
      <c r="D78" s="97">
        <v>4.6243749999999986E-2</v>
      </c>
      <c r="E78" s="98">
        <v>5.9681250000000019E-2</v>
      </c>
    </row>
    <row r="79" spans="2:5" ht="15" customHeight="1" x14ac:dyDescent="0.2">
      <c r="B79" s="149" t="s">
        <v>1170</v>
      </c>
      <c r="C79" s="97">
        <v>0.1018</v>
      </c>
      <c r="D79" s="97">
        <v>4.3692307692307676E-2</v>
      </c>
      <c r="E79" s="98">
        <v>5.8107692307692325E-2</v>
      </c>
    </row>
    <row r="80" spans="2:5" ht="15" customHeight="1" x14ac:dyDescent="0.2">
      <c r="B80" s="149" t="s">
        <v>1171</v>
      </c>
      <c r="C80" s="97">
        <v>0.10403333333333332</v>
      </c>
      <c r="D80" s="97">
        <v>3.8563636363636355E-2</v>
      </c>
      <c r="E80" s="98">
        <v>6.5469696969696969E-2</v>
      </c>
    </row>
    <row r="81" spans="2:5" ht="15" customHeight="1" x14ac:dyDescent="0.2">
      <c r="B81" s="149" t="s">
        <v>1172</v>
      </c>
      <c r="C81" s="97">
        <v>0.10378666666666668</v>
      </c>
      <c r="D81" s="97">
        <v>4.1749230769230768E-2</v>
      </c>
      <c r="E81" s="98">
        <v>6.2037435897435912E-2</v>
      </c>
    </row>
    <row r="82" spans="2:5" ht="15" customHeight="1" x14ac:dyDescent="0.2">
      <c r="B82" s="149" t="s">
        <v>1173</v>
      </c>
      <c r="C82" s="97">
        <v>0.10091666666666665</v>
      </c>
      <c r="D82" s="97">
        <v>4.5609374999999994E-2</v>
      </c>
      <c r="E82" s="98">
        <v>5.5307291666666661E-2</v>
      </c>
    </row>
    <row r="83" spans="2:5" ht="15" customHeight="1" x14ac:dyDescent="0.2">
      <c r="B83" s="148" t="s">
        <v>1174</v>
      </c>
      <c r="C83" s="97">
        <v>0.10262857142857143</v>
      </c>
      <c r="D83" s="97">
        <v>4.3387692307692308E-2</v>
      </c>
      <c r="E83" s="98">
        <v>5.9240879120879122E-2</v>
      </c>
    </row>
    <row r="84" spans="2:5" ht="15" customHeight="1" x14ac:dyDescent="0.2">
      <c r="B84" s="148" t="s">
        <v>1175</v>
      </c>
      <c r="C84" s="97">
        <v>0.10571666666666667</v>
      </c>
      <c r="D84" s="97">
        <v>3.6960606060606048E-2</v>
      </c>
      <c r="E84" s="98">
        <v>6.8756060606060626E-2</v>
      </c>
    </row>
    <row r="85" spans="2:5" ht="15" customHeight="1" x14ac:dyDescent="0.2">
      <c r="B85" s="148" t="s">
        <v>1176</v>
      </c>
      <c r="C85" s="97">
        <v>0.10387777777777778</v>
      </c>
      <c r="D85" s="97">
        <v>3.0376190476190473E-2</v>
      </c>
      <c r="E85" s="98">
        <v>7.3501587301587304E-2</v>
      </c>
    </row>
    <row r="86" spans="2:5" ht="15" customHeight="1" x14ac:dyDescent="0.2">
      <c r="B86" s="148" t="s">
        <v>1177</v>
      </c>
      <c r="C86" s="97">
        <v>0.10302857142857143</v>
      </c>
      <c r="D86" s="97">
        <v>3.1361538461538462E-2</v>
      </c>
      <c r="E86" s="98">
        <v>7.1667032967032973E-2</v>
      </c>
    </row>
    <row r="87" spans="2:5" ht="15" customHeight="1" x14ac:dyDescent="0.2">
      <c r="B87" s="148" t="s">
        <v>1178</v>
      </c>
      <c r="C87" s="97">
        <v>9.9500000000000005E-2</v>
      </c>
      <c r="D87" s="97">
        <v>2.9363076923076922E-2</v>
      </c>
      <c r="E87" s="98">
        <v>7.0136923076923083E-2</v>
      </c>
    </row>
    <row r="88" spans="2:5" ht="15" customHeight="1" x14ac:dyDescent="0.2">
      <c r="B88" s="148" t="s">
        <v>1179</v>
      </c>
      <c r="C88" s="97">
        <v>9.9000000000000005E-2</v>
      </c>
      <c r="D88" s="97">
        <v>2.7429230769230779E-2</v>
      </c>
      <c r="E88" s="98">
        <v>7.1570769230769229E-2</v>
      </c>
    </row>
    <row r="89" spans="2:5" ht="15" customHeight="1" x14ac:dyDescent="0.2">
      <c r="B89" s="148" t="s">
        <v>1180</v>
      </c>
      <c r="C89" s="97">
        <v>0.10163529411764709</v>
      </c>
      <c r="D89" s="97">
        <v>2.8639062499999993E-2</v>
      </c>
      <c r="E89" s="98">
        <v>7.2996231617647095E-2</v>
      </c>
    </row>
    <row r="90" spans="2:5" ht="15" customHeight="1" x14ac:dyDescent="0.2">
      <c r="B90" s="148" t="s">
        <v>1181</v>
      </c>
      <c r="C90" s="97">
        <v>9.849999999999999E-2</v>
      </c>
      <c r="D90" s="97">
        <v>3.1303125000000008E-2</v>
      </c>
      <c r="E90" s="98">
        <v>6.7196874999999989E-2</v>
      </c>
    </row>
    <row r="91" spans="2:5" ht="15" customHeight="1" x14ac:dyDescent="0.2">
      <c r="B91" s="148" t="s">
        <v>1182</v>
      </c>
      <c r="C91" s="97">
        <v>9.8599999999999993E-2</v>
      </c>
      <c r="D91" s="97">
        <v>3.1412307692307684E-2</v>
      </c>
      <c r="E91" s="98">
        <v>6.7187692307692309E-2</v>
      </c>
    </row>
    <row r="92" spans="2:5" ht="15" customHeight="1" x14ac:dyDescent="0.2">
      <c r="B92" s="148" t="s">
        <v>1183</v>
      </c>
      <c r="C92" s="97">
        <v>0.10119999999999998</v>
      </c>
      <c r="D92" s="97">
        <v>3.7107575757575756E-2</v>
      </c>
      <c r="E92" s="98">
        <v>6.4092424242424229E-2</v>
      </c>
    </row>
    <row r="93" spans="2:5" ht="15" customHeight="1" x14ac:dyDescent="0.2">
      <c r="B93" s="148" t="s">
        <v>1184</v>
      </c>
      <c r="C93" s="97">
        <v>9.9668750000000014E-2</v>
      </c>
      <c r="D93" s="97">
        <v>3.7882812500000008E-2</v>
      </c>
      <c r="E93" s="98">
        <v>6.1785937500000006E-2</v>
      </c>
    </row>
    <row r="94" spans="2:5" ht="15" customHeight="1" x14ac:dyDescent="0.2">
      <c r="B94" s="148" t="s">
        <v>1185</v>
      </c>
      <c r="C94" s="97">
        <v>9.8549999999999999E-2</v>
      </c>
      <c r="D94" s="97">
        <v>3.6903125000000009E-2</v>
      </c>
      <c r="E94" s="98">
        <v>6.164687499999999E-2</v>
      </c>
    </row>
    <row r="95" spans="2:5" ht="15" customHeight="1" x14ac:dyDescent="0.2">
      <c r="B95" s="148" t="s">
        <v>1186</v>
      </c>
      <c r="C95" s="97">
        <v>0.10100000000000001</v>
      </c>
      <c r="D95" s="97">
        <v>3.4430769230769237E-2</v>
      </c>
      <c r="E95" s="98">
        <v>6.6569230769230769E-2</v>
      </c>
    </row>
    <row r="96" spans="2:5" ht="15" customHeight="1" x14ac:dyDescent="0.2">
      <c r="B96" s="148" t="s">
        <v>1187</v>
      </c>
      <c r="C96" s="97">
        <v>9.9000000000000005E-2</v>
      </c>
      <c r="D96" s="97">
        <v>3.2657575757575753E-2</v>
      </c>
      <c r="E96" s="98">
        <v>6.6342424242424258E-2</v>
      </c>
    </row>
    <row r="97" spans="2:5" ht="15" customHeight="1" x14ac:dyDescent="0.2">
      <c r="B97" s="148" t="s">
        <v>1188</v>
      </c>
      <c r="C97" s="97">
        <v>9.9440000000000001E-2</v>
      </c>
      <c r="D97" s="97">
        <v>2.9637499999999997E-2</v>
      </c>
      <c r="E97" s="98">
        <v>6.9802500000000003E-2</v>
      </c>
    </row>
    <row r="98" spans="2:5" ht="15" customHeight="1" x14ac:dyDescent="0.2">
      <c r="B98" s="148" t="s">
        <v>1189</v>
      </c>
      <c r="C98" s="97">
        <v>9.6374999999999988E-2</v>
      </c>
      <c r="D98" s="97">
        <v>2.5540625000000004E-2</v>
      </c>
      <c r="E98" s="98">
        <v>7.0834374999999977E-2</v>
      </c>
    </row>
    <row r="99" spans="2:5" ht="15" customHeight="1" x14ac:dyDescent="0.2">
      <c r="B99" s="148" t="s">
        <v>1190</v>
      </c>
      <c r="C99" s="97">
        <v>9.8266666666666655E-2</v>
      </c>
      <c r="D99" s="97">
        <v>2.8836923076923083E-2</v>
      </c>
      <c r="E99" s="98">
        <v>6.9429743589743576E-2</v>
      </c>
    </row>
    <row r="100" spans="2:5" ht="15" customHeight="1" x14ac:dyDescent="0.2">
      <c r="B100" s="148" t="s">
        <v>1191</v>
      </c>
      <c r="C100" s="97">
        <v>9.4E-2</v>
      </c>
      <c r="D100" s="97">
        <v>2.9624242424242438E-2</v>
      </c>
      <c r="E100" s="98">
        <v>6.4375757575757558E-2</v>
      </c>
    </row>
    <row r="101" spans="2:5" ht="15" customHeight="1" x14ac:dyDescent="0.2">
      <c r="B101" s="148" t="s">
        <v>1192</v>
      </c>
      <c r="C101" s="97">
        <v>9.862499999999999E-2</v>
      </c>
      <c r="D101" s="97">
        <v>2.9630303030303028E-2</v>
      </c>
      <c r="E101" s="98">
        <v>6.8994696969696956E-2</v>
      </c>
    </row>
    <row r="102" spans="2:5" ht="15" customHeight="1" x14ac:dyDescent="0.2">
      <c r="B102" s="148" t="s">
        <v>1193</v>
      </c>
      <c r="C102" s="97">
        <v>9.7000000000000017E-2</v>
      </c>
      <c r="D102" s="97">
        <v>2.7218461538461539E-2</v>
      </c>
      <c r="E102" s="98">
        <v>6.9781538461538478E-2</v>
      </c>
    </row>
    <row r="103" spans="2:5" ht="15" customHeight="1" x14ac:dyDescent="0.2">
      <c r="B103" s="148" t="s">
        <v>1194</v>
      </c>
      <c r="C103" s="97">
        <v>9.4800000000000009E-2</v>
      </c>
      <c r="D103" s="97">
        <v>2.5672307692307696E-2</v>
      </c>
      <c r="E103" s="98">
        <v>6.9127692307692307E-2</v>
      </c>
    </row>
    <row r="104" spans="2:5" ht="15" customHeight="1" x14ac:dyDescent="0.2">
      <c r="B104" s="148" t="s">
        <v>1195</v>
      </c>
      <c r="C104" s="97">
        <v>9.7349999999999992E-2</v>
      </c>
      <c r="D104" s="97">
        <v>2.2793939393939398E-2</v>
      </c>
      <c r="E104" s="98">
        <v>7.4556060606060598E-2</v>
      </c>
    </row>
    <row r="105" spans="2:5" ht="15" customHeight="1" x14ac:dyDescent="0.2">
      <c r="B105" s="148" t="s">
        <v>1196</v>
      </c>
      <c r="C105" s="97">
        <v>9.8319999999999991E-2</v>
      </c>
      <c r="D105" s="97">
        <v>2.8333846153846154E-2</v>
      </c>
      <c r="E105" s="98">
        <v>6.9986153846153837E-2</v>
      </c>
    </row>
    <row r="106" spans="2:5" ht="15" customHeight="1" x14ac:dyDescent="0.2">
      <c r="B106" s="148" t="s">
        <v>1197</v>
      </c>
      <c r="C106" s="97">
        <v>9.7183333333333344E-2</v>
      </c>
      <c r="D106" s="97">
        <v>3.0452307692307709E-2</v>
      </c>
      <c r="E106" s="98">
        <v>6.6731025641025635E-2</v>
      </c>
    </row>
    <row r="107" spans="2:5" ht="15" customHeight="1" x14ac:dyDescent="0.2">
      <c r="B107" s="148" t="s">
        <v>1198</v>
      </c>
      <c r="C107" s="97">
        <v>9.6428571428571419E-2</v>
      </c>
      <c r="D107" s="97">
        <v>2.8972307692307693E-2</v>
      </c>
      <c r="E107" s="98">
        <v>6.7456263736263733E-2</v>
      </c>
    </row>
    <row r="108" spans="2:5" ht="15" customHeight="1" x14ac:dyDescent="0.2">
      <c r="B108" s="148" t="s">
        <v>1199</v>
      </c>
      <c r="C108" s="97">
        <v>0.1</v>
      </c>
      <c r="D108" s="97">
        <v>2.8173846153846157E-2</v>
      </c>
      <c r="E108" s="98">
        <v>7.1826153846153845E-2</v>
      </c>
    </row>
    <row r="109" spans="2:5" ht="15" customHeight="1" x14ac:dyDescent="0.2">
      <c r="B109" s="148" t="s">
        <v>1200</v>
      </c>
      <c r="C109" s="97">
        <v>9.9064285714285716E-2</v>
      </c>
      <c r="D109" s="97">
        <v>2.817384615384615E-2</v>
      </c>
      <c r="E109" s="98">
        <v>7.0890439560439569E-2</v>
      </c>
    </row>
    <row r="110" spans="2:5" ht="15" customHeight="1" x14ac:dyDescent="0.2">
      <c r="B110" s="148" t="s">
        <v>1201</v>
      </c>
      <c r="C110" s="97">
        <v>9.6883333333333321E-2</v>
      </c>
      <c r="D110" s="97">
        <v>3.0235384615384615E-2</v>
      </c>
      <c r="E110" s="98">
        <v>6.6647948717948713E-2</v>
      </c>
    </row>
    <row r="111" spans="2:5" ht="15" customHeight="1" x14ac:dyDescent="0.2">
      <c r="B111" s="148" t="s">
        <v>1202</v>
      </c>
      <c r="C111" s="97">
        <v>9.7474999999999992E-2</v>
      </c>
      <c r="D111" s="97">
        <v>3.0853846153846162E-2</v>
      </c>
      <c r="E111" s="98">
        <v>6.662115384615383E-2</v>
      </c>
    </row>
    <row r="112" spans="2:5" ht="15" customHeight="1" x14ac:dyDescent="0.2">
      <c r="B112" s="148" t="s">
        <v>1203</v>
      </c>
      <c r="C112" s="97">
        <v>9.6859999999999988E-2</v>
      </c>
      <c r="D112" s="97">
        <v>3.0607692307692315E-2</v>
      </c>
      <c r="E112" s="98">
        <v>6.6252307692307666E-2</v>
      </c>
    </row>
    <row r="113" spans="2:5" ht="15" customHeight="1" x14ac:dyDescent="0.2">
      <c r="B113" s="148" t="s">
        <v>1204</v>
      </c>
      <c r="C113" s="97">
        <v>9.5225000000000018E-2</v>
      </c>
      <c r="D113" s="97">
        <v>3.26939393939394E-2</v>
      </c>
      <c r="E113" s="98">
        <v>6.2531060606060618E-2</v>
      </c>
    </row>
    <row r="114" spans="2:5" ht="15" customHeight="1" x14ac:dyDescent="0.2">
      <c r="B114" s="148" t="s">
        <v>1205</v>
      </c>
      <c r="C114" s="97">
        <v>9.7166666666666665E-2</v>
      </c>
      <c r="D114" s="97">
        <v>3.0129687499999998E-2</v>
      </c>
      <c r="E114" s="98">
        <v>6.7036979166666663E-2</v>
      </c>
    </row>
    <row r="115" spans="2:5" ht="15" customHeight="1" x14ac:dyDescent="0.2">
      <c r="B115" s="148" t="s">
        <v>1206</v>
      </c>
      <c r="C115" s="97">
        <v>9.5762499999999987E-2</v>
      </c>
      <c r="D115" s="97">
        <v>2.7836923076923075E-2</v>
      </c>
      <c r="E115" s="98">
        <v>6.7925576923076908E-2</v>
      </c>
    </row>
    <row r="116" spans="2:5" ht="15" customHeight="1" x14ac:dyDescent="0.2">
      <c r="B116" s="148" t="s">
        <v>1207</v>
      </c>
      <c r="C116" s="97">
        <v>9.5299999999999996E-2</v>
      </c>
      <c r="D116" s="97">
        <v>2.2849999999999995E-2</v>
      </c>
      <c r="E116" s="98">
        <v>7.2450000000000001E-2</v>
      </c>
    </row>
    <row r="117" spans="2:5" ht="15" customHeight="1" x14ac:dyDescent="0.2">
      <c r="B117" s="148" t="s">
        <v>1208</v>
      </c>
      <c r="C117" s="97">
        <v>9.8875000000000005E-2</v>
      </c>
      <c r="D117" s="97">
        <v>2.2566666666666676E-2</v>
      </c>
      <c r="E117" s="98">
        <v>7.6308333333333325E-2</v>
      </c>
    </row>
    <row r="118" spans="2:5" ht="15" customHeight="1" x14ac:dyDescent="0.2">
      <c r="B118" s="148" t="s">
        <v>1209</v>
      </c>
      <c r="C118" s="97">
        <v>9.7185714285714292E-2</v>
      </c>
      <c r="D118" s="97">
        <v>1.8878461538461538E-2</v>
      </c>
      <c r="E118" s="98">
        <v>7.8307252747252754E-2</v>
      </c>
    </row>
    <row r="119" spans="2:5" ht="15" customHeight="1" x14ac:dyDescent="0.2">
      <c r="B119" s="148" t="s">
        <v>1210</v>
      </c>
      <c r="C119" s="97">
        <v>9.5749999999999988E-2</v>
      </c>
      <c r="D119" s="97">
        <v>1.3801538461538454E-2</v>
      </c>
      <c r="E119" s="98">
        <v>8.1948461538461539E-2</v>
      </c>
    </row>
    <row r="120" spans="2:5" ht="15" customHeight="1" x14ac:dyDescent="0.2">
      <c r="B120" s="148">
        <v>2020.3</v>
      </c>
      <c r="C120" s="97">
        <v>9.2999999999999985E-2</v>
      </c>
      <c r="D120" s="97">
        <v>1.3654545454545457E-2</v>
      </c>
      <c r="E120" s="98">
        <v>7.9345454545454525E-2</v>
      </c>
    </row>
    <row r="121" spans="2:5" ht="15" customHeight="1" x14ac:dyDescent="0.2">
      <c r="B121" s="148">
        <v>2020.4</v>
      </c>
      <c r="C121" s="97">
        <v>9.5599999999999991E-2</v>
      </c>
      <c r="D121" s="97">
        <v>1.6210606060606054E-2</v>
      </c>
      <c r="E121" s="98">
        <v>7.938939393939394E-2</v>
      </c>
    </row>
    <row r="122" spans="2:5" ht="15" customHeight="1" x14ac:dyDescent="0.2">
      <c r="B122" s="148">
        <v>2021.1</v>
      </c>
      <c r="C122" s="97">
        <v>9.4500000000000001E-2</v>
      </c>
      <c r="D122" s="97">
        <v>2.0748437499999998E-2</v>
      </c>
      <c r="E122" s="98">
        <v>7.3751562500000006E-2</v>
      </c>
    </row>
    <row r="123" spans="2:5" ht="15" customHeight="1" x14ac:dyDescent="0.2">
      <c r="B123" s="148">
        <v>2021.2</v>
      </c>
      <c r="C123" s="97">
        <v>9.4683333333333328E-2</v>
      </c>
      <c r="D123" s="97">
        <v>2.2579999999999996E-2</v>
      </c>
      <c r="E123" s="98">
        <v>7.2103333333333325E-2</v>
      </c>
    </row>
    <row r="124" spans="2:5" ht="15" customHeight="1" x14ac:dyDescent="0.2">
      <c r="B124" s="148">
        <v>2021.3</v>
      </c>
      <c r="C124" s="97">
        <v>9.2740000000000003E-2</v>
      </c>
      <c r="D124" s="97">
        <v>1.9333333333333327E-2</v>
      </c>
      <c r="E124" s="98">
        <v>7.3406666666666676E-2</v>
      </c>
    </row>
    <row r="125" spans="2:5" ht="15" customHeight="1" x14ac:dyDescent="0.2">
      <c r="B125" s="148">
        <v>2021.4</v>
      </c>
      <c r="C125" s="98">
        <v>9.69E-2</v>
      </c>
      <c r="D125" s="98">
        <v>1.9479687499999995E-2</v>
      </c>
      <c r="E125" s="98">
        <v>7.7420312500000005E-2</v>
      </c>
    </row>
    <row r="126" spans="2:5" ht="15" customHeight="1" x14ac:dyDescent="0.2">
      <c r="B126" s="148">
        <v>2022.1</v>
      </c>
      <c r="C126" s="98">
        <v>9.4499999999999987E-2</v>
      </c>
      <c r="D126" s="98">
        <v>2.2546031746031748E-2</v>
      </c>
      <c r="E126" s="98">
        <v>7.1953968253968242E-2</v>
      </c>
    </row>
    <row r="127" spans="2:5" ht="15" customHeight="1" x14ac:dyDescent="0.2">
      <c r="B127" s="148">
        <v>2022.2</v>
      </c>
      <c r="C127" s="98">
        <v>9.5000000000000001E-2</v>
      </c>
      <c r="D127" s="98">
        <v>3.0455384615384599E-2</v>
      </c>
      <c r="E127" s="98">
        <v>6.4544615384615395E-2</v>
      </c>
    </row>
    <row r="128" spans="2:5" ht="15" customHeight="1" x14ac:dyDescent="0.2">
      <c r="B128" s="148">
        <v>2022.3</v>
      </c>
      <c r="C128" s="98">
        <v>9.1399999999999995E-2</v>
      </c>
      <c r="D128" s="98">
        <v>3.2607575757575759E-2</v>
      </c>
      <c r="E128" s="98">
        <v>5.8792424242424236E-2</v>
      </c>
    </row>
    <row r="129" spans="2:5" ht="15" customHeight="1" x14ac:dyDescent="0.2">
      <c r="B129" s="148">
        <v>2022.4</v>
      </c>
      <c r="C129" s="98">
        <v>9.8673333333333349E-2</v>
      </c>
      <c r="D129" s="98">
        <v>3.8912500000000003E-2</v>
      </c>
      <c r="E129" s="98">
        <v>5.9760833333333346E-2</v>
      </c>
    </row>
    <row r="130" spans="2:5" ht="15" customHeight="1" x14ac:dyDescent="0.2">
      <c r="B130" s="180">
        <v>2023.1</v>
      </c>
      <c r="C130" s="98">
        <v>9.7166666666666679E-2</v>
      </c>
      <c r="D130" s="98">
        <v>3.7495384615384618E-2</v>
      </c>
      <c r="E130" s="98">
        <v>5.9671282051282061E-2</v>
      </c>
    </row>
    <row r="131" spans="2:5" ht="15" customHeight="1" x14ac:dyDescent="0.2">
      <c r="B131" s="181">
        <v>2023.2</v>
      </c>
      <c r="C131" s="182">
        <v>9.6666666666666679E-2</v>
      </c>
      <c r="D131" s="182">
        <v>3.808461538461537E-2</v>
      </c>
      <c r="E131" s="98">
        <v>5.8582051282051309E-2</v>
      </c>
    </row>
    <row r="132" spans="2:5" ht="15" customHeight="1" x14ac:dyDescent="0.2">
      <c r="B132" s="181">
        <v>2023.3</v>
      </c>
      <c r="C132" s="182">
        <v>9.7888888888888886E-2</v>
      </c>
      <c r="D132" s="182">
        <v>4.234461538461539E-2</v>
      </c>
      <c r="E132" s="98">
        <v>5.5544273504273496E-2</v>
      </c>
    </row>
    <row r="133" spans="2:5" ht="15" customHeight="1" x14ac:dyDescent="0.2">
      <c r="B133" s="183" t="s">
        <v>1138</v>
      </c>
      <c r="C133" s="107">
        <f>AVERAGE(C6:C132)</f>
        <v>0.10585028306204369</v>
      </c>
      <c r="D133" s="107">
        <f t="shared" ref="D133:E133" si="2">AVERAGE(D6:D132)</f>
        <v>4.5407583472014741E-2</v>
      </c>
      <c r="E133" s="107">
        <f t="shared" si="2"/>
        <v>6.0442699590028973E-2</v>
      </c>
    </row>
    <row r="134" spans="2:5" ht="15" customHeight="1" thickBot="1" x14ac:dyDescent="0.3">
      <c r="B134" s="184" t="s">
        <v>1211</v>
      </c>
      <c r="C134" s="185">
        <f>MEDIAN(C6:C132)</f>
        <v>0.1053625</v>
      </c>
      <c r="D134" s="185">
        <f t="shared" ref="D134:E134" si="3">MEDIAN(D6:D132)</f>
        <v>4.5739999999999996E-2</v>
      </c>
      <c r="E134" s="185">
        <f t="shared" si="3"/>
        <v>6.164687499999999E-2</v>
      </c>
    </row>
    <row r="135" spans="2:5" ht="15" customHeight="1" thickTop="1" x14ac:dyDescent="0.25"/>
  </sheetData>
  <mergeCells count="1">
    <mergeCell ref="B2:E2"/>
  </mergeCells>
  <conditionalFormatting sqref="C6:E6 C7:D130 E7:E132">
    <cfRule type="containsErrors" dxfId="6" priority="1">
      <formula>ISERROR(C6)</formula>
    </cfRule>
  </conditionalFormatting>
  <printOptions horizontalCentered="1"/>
  <pageMargins left="0.7" right="0.7" top="0.75" bottom="0.75" header="0.3" footer="0.3"/>
  <pageSetup scale="60" fitToHeight="3" orientation="portrait" useFirstPageNumber="1" horizontalDpi="1200" verticalDpi="1200" r:id="rId1"/>
  <headerFooter scaleWithDoc="0"/>
  <rowBreaks count="1" manualBreakCount="1">
    <brk id="21" min="6" max="14" man="1"/>
  </rowBreaks>
  <ignoredErrors>
    <ignoredError sqref="B134 B6:B131 B133" numberStoredAsText="1"/>
  </ignoredError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661"/>
  <sheetViews>
    <sheetView view="pageBreakPreview" topLeftCell="F1" zoomScale="70" zoomScaleNormal="50" zoomScaleSheetLayoutView="70" workbookViewId="0">
      <selection activeCell="I1" sqref="I1"/>
    </sheetView>
  </sheetViews>
  <sheetFormatPr defaultColWidth="9.140625" defaultRowHeight="15.75" x14ac:dyDescent="0.25"/>
  <cols>
    <col min="1" max="1" width="3" style="113" customWidth="1"/>
    <col min="2" max="2" width="40.5703125" style="113" customWidth="1"/>
    <col min="3" max="3" width="10.5703125" style="113" customWidth="1"/>
    <col min="4" max="11" width="15.5703125" style="113" customWidth="1"/>
    <col min="12" max="13" width="14.5703125" style="113" customWidth="1"/>
    <col min="14" max="14" width="19" style="113" bestFit="1" customWidth="1"/>
    <col min="16" max="16" width="15.5703125" customWidth="1"/>
    <col min="23" max="16384" width="9.140625" style="113"/>
  </cols>
  <sheetData>
    <row r="1" spans="1:22" ht="12.75" customHeight="1" x14ac:dyDescent="0.25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22" ht="12.75" customHeight="1" x14ac:dyDescent="0.25">
      <c r="A2" s="111"/>
      <c r="B2" s="299" t="s">
        <v>1245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22" ht="12.75" customHeigh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22" ht="12.75" customHeight="1" thickBot="1" x14ac:dyDescent="0.3">
      <c r="A4" s="111"/>
      <c r="B4" s="111"/>
      <c r="C4" s="111"/>
      <c r="D4" s="114" t="s">
        <v>14</v>
      </c>
      <c r="E4" s="114" t="s">
        <v>15</v>
      </c>
      <c r="F4" s="114" t="s">
        <v>16</v>
      </c>
      <c r="G4" s="114" t="s">
        <v>17</v>
      </c>
      <c r="H4" s="114" t="s">
        <v>18</v>
      </c>
      <c r="I4" s="114" t="s">
        <v>19</v>
      </c>
      <c r="J4" s="114" t="s">
        <v>63</v>
      </c>
      <c r="K4" s="114" t="s">
        <v>64</v>
      </c>
      <c r="L4" s="114" t="s">
        <v>65</v>
      </c>
      <c r="M4" s="114" t="s">
        <v>66</v>
      </c>
    </row>
    <row r="5" spans="1:22" ht="63" customHeight="1" x14ac:dyDescent="0.25">
      <c r="A5" s="115"/>
      <c r="B5" s="116"/>
      <c r="C5" s="116"/>
      <c r="D5" s="282" t="s">
        <v>1268</v>
      </c>
      <c r="E5" s="282" t="s">
        <v>1269</v>
      </c>
      <c r="F5" s="282" t="s">
        <v>1270</v>
      </c>
      <c r="G5" s="282" t="s">
        <v>1271</v>
      </c>
      <c r="H5" s="282" t="s">
        <v>1272</v>
      </c>
      <c r="I5" s="282" t="s">
        <v>1273</v>
      </c>
      <c r="J5" s="117" t="s">
        <v>1274</v>
      </c>
      <c r="K5" s="117" t="s">
        <v>1246</v>
      </c>
      <c r="L5" s="117" t="s">
        <v>1247</v>
      </c>
      <c r="M5" s="117" t="s">
        <v>1248</v>
      </c>
    </row>
    <row r="6" spans="1:22" ht="12.75" customHeight="1" x14ac:dyDescent="0.25">
      <c r="A6" s="115"/>
      <c r="B6" s="111"/>
      <c r="C6" s="111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22" ht="12.75" customHeight="1" x14ac:dyDescent="0.25">
      <c r="A7" s="118"/>
      <c r="B7" s="119" t="str">
        <f>'AEB-17 CGDCF'!A7</f>
        <v>ALLETE, Inc.</v>
      </c>
      <c r="C7" s="119" t="str">
        <f>'AEB-17 CGDCF'!B7</f>
        <v>ALE</v>
      </c>
      <c r="D7" s="159">
        <v>0.09</v>
      </c>
      <c r="E7" s="160">
        <v>4457.5</v>
      </c>
      <c r="F7" s="159">
        <v>0.59599999999999997</v>
      </c>
      <c r="G7" s="160">
        <f>E7*F7</f>
        <v>2656.67</v>
      </c>
      <c r="H7" s="160">
        <v>5550</v>
      </c>
      <c r="I7" s="159">
        <v>0.59499999999999997</v>
      </c>
      <c r="J7" s="121">
        <f>H7*I7</f>
        <v>3302.25</v>
      </c>
      <c r="K7" s="122">
        <f>(J7/G7)^(1/5)-1</f>
        <v>4.4466385483277415E-2</v>
      </c>
      <c r="L7" s="123">
        <f>2*(1+K7)/(2+K7)</f>
        <v>1.0217496290469783</v>
      </c>
      <c r="M7" s="124">
        <f>D7*L7</f>
        <v>9.1957466614228045E-2</v>
      </c>
      <c r="N7" s="125"/>
    </row>
    <row r="8" spans="1:22" ht="12.75" customHeight="1" x14ac:dyDescent="0.25">
      <c r="A8" s="118"/>
      <c r="B8" s="119" t="str">
        <f>'AEB-17 CGDCF'!A8</f>
        <v>Alliant Energy Corporation</v>
      </c>
      <c r="C8" s="119" t="str">
        <f>'AEB-17 CGDCF'!B8</f>
        <v>LNT</v>
      </c>
      <c r="D8" s="159">
        <v>0.12</v>
      </c>
      <c r="E8" s="160">
        <v>13944</v>
      </c>
      <c r="F8" s="159">
        <v>0.45</v>
      </c>
      <c r="G8" s="160">
        <f t="shared" ref="G8:G23" si="0">E8*F8</f>
        <v>6274.8</v>
      </c>
      <c r="H8" s="160">
        <v>17070</v>
      </c>
      <c r="I8" s="159">
        <v>0.48</v>
      </c>
      <c r="J8" s="121">
        <f t="shared" ref="J8:J23" si="1">H8*I8</f>
        <v>8193.6</v>
      </c>
      <c r="K8" s="122">
        <f t="shared" ref="K8:K23" si="2">(J8/G8)^(1/5)-1</f>
        <v>5.481178687386512E-2</v>
      </c>
      <c r="L8" s="123">
        <f t="shared" ref="L8:L23" si="3">2*(1+K8)/(2+K8)</f>
        <v>1.0266748454646808</v>
      </c>
      <c r="M8" s="124">
        <f t="shared" ref="M8:M23" si="4">D8*L8</f>
        <v>0.12320098145576169</v>
      </c>
    </row>
    <row r="9" spans="1:22" ht="12.75" customHeight="1" x14ac:dyDescent="0.25">
      <c r="A9" s="118"/>
      <c r="B9" s="119" t="str">
        <f>'AEB-17 CGDCF'!A9</f>
        <v>Ameren Corporation</v>
      </c>
      <c r="C9" s="119" t="str">
        <f>'AEB-17 CGDCF'!B9</f>
        <v>AEE</v>
      </c>
      <c r="D9" s="159">
        <v>0.1</v>
      </c>
      <c r="E9" s="160">
        <v>24193</v>
      </c>
      <c r="F9" s="159">
        <v>0.434</v>
      </c>
      <c r="G9" s="160">
        <f t="shared" si="0"/>
        <v>10499.762000000001</v>
      </c>
      <c r="H9" s="160">
        <v>29500</v>
      </c>
      <c r="I9" s="159">
        <v>0.48499999999999999</v>
      </c>
      <c r="J9" s="121">
        <f t="shared" si="1"/>
        <v>14307.5</v>
      </c>
      <c r="K9" s="122">
        <f t="shared" si="2"/>
        <v>6.3841333354308638E-2</v>
      </c>
      <c r="L9" s="123">
        <f t="shared" si="3"/>
        <v>1.0309332565069569</v>
      </c>
      <c r="M9" s="124">
        <f t="shared" si="4"/>
        <v>0.10309332565069569</v>
      </c>
    </row>
    <row r="10" spans="1:22" s="163" customFormat="1" ht="12.75" customHeight="1" x14ac:dyDescent="0.25">
      <c r="A10" s="161"/>
      <c r="B10" s="162" t="str">
        <f>'AEB-17 CGDCF'!A10</f>
        <v>American Electric Power Company, Inc.</v>
      </c>
      <c r="C10" s="162" t="str">
        <f>'AEB-17 CGDCF'!B10</f>
        <v>AEP</v>
      </c>
      <c r="D10" s="159">
        <v>0.11</v>
      </c>
      <c r="E10" s="160">
        <v>57520</v>
      </c>
      <c r="F10" s="159">
        <v>0.42</v>
      </c>
      <c r="G10" s="160">
        <f t="shared" si="0"/>
        <v>24158.399999999998</v>
      </c>
      <c r="H10" s="160">
        <v>75900</v>
      </c>
      <c r="I10" s="159">
        <v>0.42499999999999999</v>
      </c>
      <c r="J10" s="121">
        <f t="shared" si="1"/>
        <v>32257.5</v>
      </c>
      <c r="K10" s="122">
        <f t="shared" si="2"/>
        <v>5.9528169301965583E-2</v>
      </c>
      <c r="L10" s="123">
        <f t="shared" si="3"/>
        <v>1.0289037898045073</v>
      </c>
      <c r="M10" s="124">
        <f t="shared" si="4"/>
        <v>0.11317941687849579</v>
      </c>
      <c r="O10"/>
      <c r="P10"/>
      <c r="Q10"/>
      <c r="R10"/>
      <c r="S10"/>
      <c r="T10"/>
      <c r="U10"/>
      <c r="V10"/>
    </row>
    <row r="11" spans="1:22" ht="12.75" customHeight="1" x14ac:dyDescent="0.25">
      <c r="A11" s="118"/>
      <c r="B11" s="119" t="str">
        <f>'AEB-17 CGDCF'!A11</f>
        <v>Avista Corporation</v>
      </c>
      <c r="C11" s="119" t="str">
        <f>'AEB-17 CGDCF'!B11</f>
        <v>AVA</v>
      </c>
      <c r="D11" s="159">
        <v>7.4999999999999997E-2</v>
      </c>
      <c r="E11" s="160">
        <v>4709.7</v>
      </c>
      <c r="F11" s="159">
        <v>0.496</v>
      </c>
      <c r="G11" s="160">
        <f t="shared" si="0"/>
        <v>2336.0111999999999</v>
      </c>
      <c r="H11" s="160">
        <v>6000</v>
      </c>
      <c r="I11" s="159">
        <v>0.505</v>
      </c>
      <c r="J11" s="121">
        <f t="shared" si="1"/>
        <v>3030</v>
      </c>
      <c r="K11" s="122">
        <f t="shared" si="2"/>
        <v>5.3400551920749217E-2</v>
      </c>
      <c r="L11" s="123">
        <f t="shared" si="3"/>
        <v>1.0260059109611122</v>
      </c>
      <c r="M11" s="124">
        <f t="shared" si="4"/>
        <v>7.6950443322083409E-2</v>
      </c>
    </row>
    <row r="12" spans="1:22" ht="12.75" customHeight="1" x14ac:dyDescent="0.25">
      <c r="A12" s="118"/>
      <c r="B12" s="119" t="str">
        <f>'AEB-17 CGDCF'!A12</f>
        <v>CMS Energy Corporation</v>
      </c>
      <c r="C12" s="119" t="str">
        <f>'AEB-17 CGDCF'!B12</f>
        <v>CMS</v>
      </c>
      <c r="D12" s="159">
        <v>0.12</v>
      </c>
      <c r="E12" s="160">
        <v>20205</v>
      </c>
      <c r="F12" s="159">
        <v>0.33600000000000002</v>
      </c>
      <c r="G12" s="160">
        <f t="shared" si="0"/>
        <v>6788.88</v>
      </c>
      <c r="H12" s="160">
        <v>24300</v>
      </c>
      <c r="I12" s="159">
        <v>0.39</v>
      </c>
      <c r="J12" s="121">
        <f t="shared" si="1"/>
        <v>9477</v>
      </c>
      <c r="K12" s="122">
        <f t="shared" si="2"/>
        <v>6.8992232837135958E-2</v>
      </c>
      <c r="L12" s="123">
        <f t="shared" si="3"/>
        <v>1.0333458152921771</v>
      </c>
      <c r="M12" s="124">
        <f t="shared" si="4"/>
        <v>0.12400149783506124</v>
      </c>
    </row>
    <row r="13" spans="1:22" ht="12.75" customHeight="1" x14ac:dyDescent="0.25">
      <c r="A13" s="118"/>
      <c r="B13" s="119" t="str">
        <f>'AEB-17 CGDCF'!A13</f>
        <v>Duke Energy Corporation</v>
      </c>
      <c r="C13" s="119" t="str">
        <f>'AEB-17 CGDCF'!B13</f>
        <v>DUK</v>
      </c>
      <c r="D13" s="159">
        <v>0.09</v>
      </c>
      <c r="E13" s="160">
        <v>115150</v>
      </c>
      <c r="F13" s="159">
        <v>0.42</v>
      </c>
      <c r="G13" s="160">
        <f t="shared" si="0"/>
        <v>48363</v>
      </c>
      <c r="H13" s="160">
        <v>144100</v>
      </c>
      <c r="I13" s="159">
        <v>0.375</v>
      </c>
      <c r="J13" s="121">
        <f t="shared" si="1"/>
        <v>54037.5</v>
      </c>
      <c r="K13" s="122">
        <f t="shared" si="2"/>
        <v>2.2436636975289748E-2</v>
      </c>
      <c r="L13" s="123">
        <f t="shared" si="3"/>
        <v>1.011093863988167</v>
      </c>
      <c r="M13" s="124">
        <f t="shared" si="4"/>
        <v>9.0998447758935036E-2</v>
      </c>
    </row>
    <row r="14" spans="1:22" ht="12.75" customHeight="1" x14ac:dyDescent="0.25">
      <c r="A14" s="118"/>
      <c r="B14" s="119" t="str">
        <f>'AEB-17 CGDCF'!A14</f>
        <v>Entergy Corporation</v>
      </c>
      <c r="C14" s="119" t="str">
        <f>'AEB-17 CGDCF'!B14</f>
        <v>ETR</v>
      </c>
      <c r="D14" s="159">
        <v>8.5000000000000006E-2</v>
      </c>
      <c r="E14" s="160">
        <v>36810</v>
      </c>
      <c r="F14" s="159">
        <v>0.35199999999999998</v>
      </c>
      <c r="G14" s="160">
        <f t="shared" si="0"/>
        <v>12957.119999999999</v>
      </c>
      <c r="H14" s="160">
        <v>48910</v>
      </c>
      <c r="I14" s="159">
        <v>0.35499999999999998</v>
      </c>
      <c r="J14" s="121">
        <f t="shared" si="1"/>
        <v>17363.05</v>
      </c>
      <c r="K14" s="122">
        <f t="shared" si="2"/>
        <v>6.0287171781370663E-2</v>
      </c>
      <c r="L14" s="123">
        <f t="shared" si="3"/>
        <v>1.0292615382006407</v>
      </c>
      <c r="M14" s="124">
        <f t="shared" si="4"/>
        <v>8.7487230747054459E-2</v>
      </c>
    </row>
    <row r="15" spans="1:22" ht="12.75" customHeight="1" x14ac:dyDescent="0.25">
      <c r="A15" s="118"/>
      <c r="B15" s="119" t="str">
        <f>'AEB-17 CGDCF'!A15</f>
        <v>Evergy, Inc.</v>
      </c>
      <c r="C15" s="119" t="str">
        <f>'AEB-17 CGDCF'!B15</f>
        <v>EVRG</v>
      </c>
      <c r="D15" s="159">
        <v>0.1</v>
      </c>
      <c r="E15" s="160">
        <v>19668</v>
      </c>
      <c r="F15" s="159">
        <v>0.48</v>
      </c>
      <c r="G15" s="160">
        <f t="shared" si="0"/>
        <v>9440.64</v>
      </c>
      <c r="H15" s="160">
        <v>23400</v>
      </c>
      <c r="I15" s="159">
        <v>0.46500000000000002</v>
      </c>
      <c r="J15" s="121">
        <f t="shared" si="1"/>
        <v>10881</v>
      </c>
      <c r="K15" s="122">
        <f t="shared" si="2"/>
        <v>2.8805967467446791E-2</v>
      </c>
      <c r="L15" s="123">
        <f t="shared" si="3"/>
        <v>1.014198483210992</v>
      </c>
      <c r="M15" s="124">
        <f t="shared" si="4"/>
        <v>0.10141984832109921</v>
      </c>
    </row>
    <row r="16" spans="1:22" ht="12.75" customHeight="1" x14ac:dyDescent="0.25">
      <c r="A16" s="118"/>
      <c r="B16" s="119" t="str">
        <f>'AEB-17 CGDCF'!A16</f>
        <v>IDACORP, Inc.</v>
      </c>
      <c r="C16" s="119" t="str">
        <f>'AEB-17 CGDCF'!B16</f>
        <v>IDA</v>
      </c>
      <c r="D16" s="159">
        <v>9.5000000000000001E-2</v>
      </c>
      <c r="E16" s="160">
        <v>5001.3999999999996</v>
      </c>
      <c r="F16" s="159">
        <v>0.56100000000000005</v>
      </c>
      <c r="G16" s="160">
        <f t="shared" si="0"/>
        <v>2805.7854000000002</v>
      </c>
      <c r="H16" s="160">
        <v>7000</v>
      </c>
      <c r="I16" s="159">
        <v>0.5</v>
      </c>
      <c r="J16" s="121">
        <f t="shared" si="1"/>
        <v>3500</v>
      </c>
      <c r="K16" s="122">
        <f t="shared" si="2"/>
        <v>4.5207984395196688E-2</v>
      </c>
      <c r="L16" s="123">
        <f t="shared" si="3"/>
        <v>1.0221043457389813</v>
      </c>
      <c r="M16" s="124">
        <f t="shared" si="4"/>
        <v>9.7099912845203223E-2</v>
      </c>
    </row>
    <row r="17" spans="1:14" ht="12.75" customHeight="1" x14ac:dyDescent="0.25">
      <c r="A17" s="118"/>
      <c r="B17" s="119" t="str">
        <f>'AEB-17 CGDCF'!A17</f>
        <v>NextEra Energy, Inc.</v>
      </c>
      <c r="C17" s="119" t="str">
        <f>'AEB-17 CGDCF'!B17</f>
        <v>NEE</v>
      </c>
      <c r="D17" s="159">
        <v>0.14499999999999999</v>
      </c>
      <c r="E17" s="160">
        <v>94485</v>
      </c>
      <c r="F17" s="159">
        <v>0.41499999999999998</v>
      </c>
      <c r="G17" s="160">
        <f t="shared" si="0"/>
        <v>39211.275000000001</v>
      </c>
      <c r="H17" s="160">
        <v>153100</v>
      </c>
      <c r="I17" s="159">
        <v>0.4</v>
      </c>
      <c r="J17" s="121">
        <f t="shared" si="1"/>
        <v>61240</v>
      </c>
      <c r="K17" s="122">
        <f t="shared" si="2"/>
        <v>9.3263486687287456E-2</v>
      </c>
      <c r="L17" s="123">
        <f t="shared" si="3"/>
        <v>1.0445541076316591</v>
      </c>
      <c r="M17" s="124">
        <f t="shared" si="4"/>
        <v>0.15146034560659055</v>
      </c>
    </row>
    <row r="18" spans="1:14" ht="12.75" customHeight="1" x14ac:dyDescent="0.25">
      <c r="A18" s="118"/>
      <c r="B18" s="119" t="str">
        <f>'AEB-17 CGDCF'!A18</f>
        <v>NorthWestern Corporation</v>
      </c>
      <c r="C18" s="119" t="str">
        <f>'AEB-17 CGDCF'!B18</f>
        <v>NWE</v>
      </c>
      <c r="D18" s="159">
        <v>0.08</v>
      </c>
      <c r="E18" s="160">
        <v>5148.3</v>
      </c>
      <c r="F18" s="159">
        <v>0.51800000000000002</v>
      </c>
      <c r="G18" s="160">
        <f t="shared" si="0"/>
        <v>2666.8194000000003</v>
      </c>
      <c r="H18" s="160">
        <v>6200</v>
      </c>
      <c r="I18" s="159">
        <v>0.52</v>
      </c>
      <c r="J18" s="121">
        <f t="shared" si="1"/>
        <v>3224</v>
      </c>
      <c r="K18" s="122">
        <f t="shared" si="2"/>
        <v>3.867645127907049E-2</v>
      </c>
      <c r="L18" s="123">
        <f t="shared" si="3"/>
        <v>1.0189713533281872</v>
      </c>
      <c r="M18" s="124">
        <f t="shared" si="4"/>
        <v>8.1517708266254985E-2</v>
      </c>
    </row>
    <row r="19" spans="1:14" ht="12.75" customHeight="1" x14ac:dyDescent="0.25">
      <c r="A19" s="118"/>
      <c r="B19" s="119" t="str">
        <f>'AEB-17 CGDCF'!A19</f>
        <v>OGE Energy Corporation</v>
      </c>
      <c r="C19" s="119" t="str">
        <f>'AEB-17 CGDCF'!B19</f>
        <v>OGE</v>
      </c>
      <c r="D19" s="159">
        <v>0.13</v>
      </c>
      <c r="E19" s="160">
        <v>8962</v>
      </c>
      <c r="F19" s="159">
        <v>0.52400000000000002</v>
      </c>
      <c r="G19" s="160">
        <f t="shared" si="0"/>
        <v>4696.0879999999997</v>
      </c>
      <c r="H19" s="160">
        <v>10400</v>
      </c>
      <c r="I19" s="159">
        <v>0.5</v>
      </c>
      <c r="J19" s="121">
        <f t="shared" si="1"/>
        <v>5200</v>
      </c>
      <c r="K19" s="122">
        <f t="shared" si="2"/>
        <v>2.059496960682905E-2</v>
      </c>
      <c r="L19" s="123">
        <f t="shared" si="3"/>
        <v>1.0101925274073291</v>
      </c>
      <c r="M19" s="124">
        <f t="shared" si="4"/>
        <v>0.13132502856295278</v>
      </c>
    </row>
    <row r="20" spans="1:14" ht="12.75" customHeight="1" x14ac:dyDescent="0.25">
      <c r="A20" s="118"/>
      <c r="B20" s="119" t="str">
        <f>'AEB-17 CGDCF'!A20</f>
        <v>Pinnacle West Capital Corporation</v>
      </c>
      <c r="C20" s="119" t="str">
        <f>'AEB-17 CGDCF'!B20</f>
        <v>PNW</v>
      </c>
      <c r="D20" s="159">
        <v>9.5000000000000001E-2</v>
      </c>
      <c r="E20" s="160">
        <v>13790</v>
      </c>
      <c r="F20" s="159">
        <v>0.439</v>
      </c>
      <c r="G20" s="160">
        <f t="shared" si="0"/>
        <v>6053.81</v>
      </c>
      <c r="H20" s="160">
        <v>16900</v>
      </c>
      <c r="I20" s="159">
        <v>0.44</v>
      </c>
      <c r="J20" s="121">
        <f t="shared" si="1"/>
        <v>7436</v>
      </c>
      <c r="K20" s="122">
        <f t="shared" si="2"/>
        <v>4.1986563977003843E-2</v>
      </c>
      <c r="L20" s="123">
        <f t="shared" si="3"/>
        <v>1.0205616259762407</v>
      </c>
      <c r="M20" s="124">
        <f t="shared" si="4"/>
        <v>9.6953354467742864E-2</v>
      </c>
    </row>
    <row r="21" spans="1:14" ht="12.75" customHeight="1" x14ac:dyDescent="0.25">
      <c r="A21" s="118"/>
      <c r="B21" s="119" t="str">
        <f>'AEB-17 CGDCF'!A21</f>
        <v>Portland General Electric Company</v>
      </c>
      <c r="C21" s="119" t="str">
        <f>'AEB-17 CGDCF'!B21</f>
        <v>POR</v>
      </c>
      <c r="D21" s="159">
        <v>9.5000000000000001E-2</v>
      </c>
      <c r="E21" s="160">
        <v>6459</v>
      </c>
      <c r="F21" s="159">
        <v>0.43</v>
      </c>
      <c r="G21" s="160">
        <f t="shared" si="0"/>
        <v>2777.37</v>
      </c>
      <c r="H21" s="160">
        <v>8550</v>
      </c>
      <c r="I21" s="159">
        <v>0.45</v>
      </c>
      <c r="J21" s="121">
        <f t="shared" si="1"/>
        <v>3847.5</v>
      </c>
      <c r="K21" s="122">
        <f t="shared" si="2"/>
        <v>6.735521825493529E-2</v>
      </c>
      <c r="L21" s="123">
        <f t="shared" si="3"/>
        <v>1.0325803798303179</v>
      </c>
      <c r="M21" s="124">
        <f t="shared" si="4"/>
        <v>9.8095136083880208E-2</v>
      </c>
    </row>
    <row r="22" spans="1:14" ht="12.75" customHeight="1" x14ac:dyDescent="0.25">
      <c r="A22" s="118"/>
      <c r="B22" s="119" t="str">
        <f>'AEB-17 CGDCF'!A22</f>
        <v>Southern Company</v>
      </c>
      <c r="C22" s="119" t="str">
        <f>'AEB-17 CGDCF'!B22</f>
        <v>SO</v>
      </c>
      <c r="D22" s="159">
        <v>0.14499999999999999</v>
      </c>
      <c r="E22" s="160">
        <v>80550</v>
      </c>
      <c r="F22" s="159">
        <v>0.36</v>
      </c>
      <c r="G22" s="160">
        <f t="shared" si="0"/>
        <v>28998</v>
      </c>
      <c r="H22" s="160">
        <v>93500</v>
      </c>
      <c r="I22" s="159">
        <v>0.37</v>
      </c>
      <c r="J22" s="121">
        <f t="shared" si="1"/>
        <v>34595</v>
      </c>
      <c r="K22" s="122">
        <f t="shared" si="2"/>
        <v>3.5926774310671705E-2</v>
      </c>
      <c r="L22" s="123">
        <f t="shared" si="3"/>
        <v>1.0176463980748207</v>
      </c>
      <c r="M22" s="124">
        <f t="shared" si="4"/>
        <v>0.14755872772084899</v>
      </c>
    </row>
    <row r="23" spans="1:14" ht="12.75" customHeight="1" x14ac:dyDescent="0.25">
      <c r="A23" s="118"/>
      <c r="B23" s="119" t="str">
        <f>'AEB-17 CGDCF'!A23</f>
        <v>Xcel Energy Inc.</v>
      </c>
      <c r="C23" s="119" t="str">
        <f>'AEB-17 CGDCF'!B23</f>
        <v>XEL</v>
      </c>
      <c r="D23" s="159">
        <v>0.11</v>
      </c>
      <c r="E23" s="160">
        <v>39488</v>
      </c>
      <c r="F23" s="159">
        <v>0.42199999999999999</v>
      </c>
      <c r="G23" s="160">
        <f t="shared" si="0"/>
        <v>16663.935999999998</v>
      </c>
      <c r="H23" s="160">
        <v>50900</v>
      </c>
      <c r="I23" s="159">
        <v>0.42</v>
      </c>
      <c r="J23" s="121">
        <f t="shared" si="1"/>
        <v>21378</v>
      </c>
      <c r="K23" s="122">
        <f t="shared" si="2"/>
        <v>5.1085141393655498E-2</v>
      </c>
      <c r="L23" s="123">
        <f t="shared" si="3"/>
        <v>1.0249063972834129</v>
      </c>
      <c r="M23" s="124">
        <f t="shared" si="4"/>
        <v>0.11273970370117542</v>
      </c>
    </row>
    <row r="24" spans="1:14" ht="12.75" customHeight="1" x14ac:dyDescent="0.25">
      <c r="A24" s="118"/>
      <c r="B24" s="111"/>
      <c r="C24" s="114"/>
      <c r="D24" s="120"/>
      <c r="E24" s="121"/>
      <c r="F24" s="120"/>
      <c r="G24" s="121"/>
      <c r="H24" s="121"/>
      <c r="I24" s="120"/>
      <c r="J24" s="121"/>
      <c r="K24" s="122"/>
      <c r="L24" s="123"/>
      <c r="M24" s="124"/>
    </row>
    <row r="25" spans="1:14" ht="12.75" customHeight="1" x14ac:dyDescent="0.25">
      <c r="A25" s="118"/>
      <c r="B25" s="127" t="s">
        <v>2</v>
      </c>
      <c r="C25" s="128"/>
      <c r="D25" s="129"/>
      <c r="E25" s="129"/>
      <c r="F25" s="129"/>
      <c r="G25" s="129"/>
      <c r="H25" s="129"/>
      <c r="I25" s="129"/>
      <c r="J25" s="129"/>
      <c r="K25" s="129"/>
      <c r="L25" s="130"/>
      <c r="M25" s="131">
        <f>AVERAGE(M7:M23)</f>
        <v>0.10759050446106257</v>
      </c>
    </row>
    <row r="26" spans="1:14" ht="12.75" customHeight="1" thickBot="1" x14ac:dyDescent="0.3">
      <c r="A26" s="118"/>
      <c r="B26" s="132" t="s">
        <v>8</v>
      </c>
      <c r="C26" s="133"/>
      <c r="D26" s="134"/>
      <c r="E26" s="134"/>
      <c r="F26" s="134"/>
      <c r="G26" s="134"/>
      <c r="H26" s="134"/>
      <c r="I26" s="134"/>
      <c r="J26" s="134"/>
      <c r="K26" s="134"/>
      <c r="L26" s="132"/>
      <c r="M26" s="135">
        <f>MEDIAN(M7:M23)</f>
        <v>0.10141984832109921</v>
      </c>
    </row>
    <row r="27" spans="1:14" ht="12.75" customHeight="1" x14ac:dyDescent="0.25">
      <c r="A27" s="111"/>
      <c r="B27" s="136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</row>
    <row r="28" spans="1:14" ht="12.75" customHeight="1" x14ac:dyDescent="0.25">
      <c r="A28" s="111"/>
      <c r="B28" s="137" t="s">
        <v>62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38"/>
    </row>
    <row r="29" spans="1:14" ht="12.75" customHeight="1" x14ac:dyDescent="0.25">
      <c r="A29" s="111"/>
      <c r="B29" s="139" t="s">
        <v>1400</v>
      </c>
      <c r="C29" s="111"/>
      <c r="D29" s="111"/>
      <c r="E29" s="111"/>
      <c r="F29" s="111"/>
      <c r="G29" s="140"/>
      <c r="H29" s="141"/>
      <c r="I29" s="141"/>
      <c r="J29" s="141"/>
      <c r="K29" s="141"/>
      <c r="L29" s="141"/>
      <c r="M29" s="141"/>
      <c r="N29" s="142"/>
    </row>
    <row r="30" spans="1:14" ht="12.75" customHeight="1" x14ac:dyDescent="0.25">
      <c r="A30" s="111"/>
      <c r="B30" s="139" t="s">
        <v>1393</v>
      </c>
      <c r="C30" s="111"/>
      <c r="D30" s="111"/>
      <c r="E30" s="111"/>
      <c r="F30" s="111"/>
      <c r="G30" s="143"/>
      <c r="H30" s="143"/>
      <c r="I30" s="143"/>
      <c r="J30" s="143"/>
      <c r="K30" s="143"/>
      <c r="L30" s="143"/>
      <c r="M30" s="111"/>
      <c r="N30" s="144"/>
    </row>
    <row r="31" spans="1:14" ht="12.75" customHeight="1" x14ac:dyDescent="0.25">
      <c r="A31" s="111"/>
      <c r="B31" s="139" t="s">
        <v>1401</v>
      </c>
      <c r="C31" s="111"/>
      <c r="D31" s="111"/>
      <c r="E31" s="111"/>
      <c r="F31" s="111"/>
      <c r="G31" s="145"/>
      <c r="H31" s="145"/>
      <c r="I31" s="145"/>
      <c r="J31" s="145"/>
      <c r="K31" s="145"/>
      <c r="L31" s="145"/>
      <c r="M31" s="111"/>
      <c r="N31" s="126"/>
    </row>
    <row r="32" spans="1:14" ht="12.75" customHeight="1" x14ac:dyDescent="0.25">
      <c r="A32" s="111"/>
      <c r="B32" s="139" t="s">
        <v>1249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</row>
    <row r="33" spans="1:13" ht="12.75" customHeight="1" x14ac:dyDescent="0.25">
      <c r="A33" s="111"/>
      <c r="B33" s="139" t="s">
        <v>1390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</row>
    <row r="34" spans="1:13" ht="12.75" customHeight="1" x14ac:dyDescent="0.25">
      <c r="A34" s="111"/>
      <c r="B34" s="139" t="s">
        <v>1402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</row>
    <row r="35" spans="1:13" ht="12.75" customHeight="1" x14ac:dyDescent="0.25">
      <c r="A35" s="111"/>
      <c r="B35" s="139" t="s">
        <v>1250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</row>
    <row r="36" spans="1:13" ht="12.75" customHeight="1" x14ac:dyDescent="0.25">
      <c r="A36" s="111"/>
      <c r="B36" s="139" t="s">
        <v>1251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</row>
    <row r="37" spans="1:13" ht="12.75" customHeight="1" x14ac:dyDescent="0.25">
      <c r="A37" s="111"/>
      <c r="B37" s="139" t="s">
        <v>1252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</row>
    <row r="38" spans="1:13" ht="12.75" customHeight="1" x14ac:dyDescent="0.25">
      <c r="A38" s="111"/>
      <c r="B38" s="139" t="s">
        <v>1253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</row>
    <row r="39" spans="1:13" ht="12.75" customHeight="1" x14ac:dyDescent="0.25">
      <c r="A39" s="111"/>
      <c r="B39" s="139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3" ht="12.75" customHeight="1" x14ac:dyDescent="0.25">
      <c r="A40" s="111"/>
      <c r="B40" s="139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</row>
    <row r="41" spans="1:13" ht="12.75" customHeight="1" x14ac:dyDescent="0.25">
      <c r="B41" s="146"/>
    </row>
    <row r="42" spans="1:13" ht="12.75" customHeight="1" x14ac:dyDescent="0.25"/>
    <row r="43" spans="1:13" ht="12.75" customHeight="1" x14ac:dyDescent="0.25"/>
    <row r="44" spans="1:13" ht="12.75" customHeight="1" x14ac:dyDescent="0.25"/>
    <row r="45" spans="1:13" ht="12.75" customHeight="1" x14ac:dyDescent="0.25"/>
    <row r="46" spans="1:13" ht="12.75" customHeight="1" x14ac:dyDescent="0.25"/>
    <row r="47" spans="1:13" ht="12.75" customHeight="1" x14ac:dyDescent="0.25"/>
    <row r="48" spans="1:13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</sheetData>
  <mergeCells count="1">
    <mergeCell ref="B2:M2"/>
  </mergeCells>
  <conditionalFormatting sqref="D25:K26 D24:J24 D7:D23 F7:G23 J7:J23">
    <cfRule type="expression" dxfId="5" priority="16">
      <formula>$D7="Yes"</formula>
    </cfRule>
  </conditionalFormatting>
  <conditionalFormatting sqref="B7:C23">
    <cfRule type="expression" dxfId="4" priority="14">
      <formula>"(blank)"</formula>
    </cfRule>
  </conditionalFormatting>
  <conditionalFormatting sqref="B7:C23">
    <cfRule type="expression" dxfId="3" priority="15">
      <formula>#REF!</formula>
    </cfRule>
  </conditionalFormatting>
  <conditionalFormatting sqref="E7:E23">
    <cfRule type="expression" dxfId="2" priority="4">
      <formula>$D7="Yes"</formula>
    </cfRule>
  </conditionalFormatting>
  <conditionalFormatting sqref="H7:H23">
    <cfRule type="expression" dxfId="1" priority="3">
      <formula>$D7="Yes"</formula>
    </cfRule>
  </conditionalFormatting>
  <conditionalFormatting sqref="I7:I23">
    <cfRule type="expression" dxfId="0" priority="1">
      <formula>$D7="Yes"</formula>
    </cfRule>
  </conditionalFormatting>
  <pageMargins left="0.7" right="0.7" top="1" bottom="0.75" header="0.3" footer="0.3"/>
  <pageSetup scale="60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H39"/>
  <sheetViews>
    <sheetView view="pageBreakPreview" topLeftCell="B1" zoomScale="60" zoomScaleNormal="50" workbookViewId="0">
      <selection activeCell="K1" sqref="K1"/>
    </sheetView>
  </sheetViews>
  <sheetFormatPr defaultColWidth="8.5703125" defaultRowHeight="15" customHeight="1" x14ac:dyDescent="0.25"/>
  <cols>
    <col min="1" max="1" width="7.5703125" style="200" customWidth="1"/>
    <col min="2" max="2" width="40.5703125" style="200" customWidth="1"/>
    <col min="3" max="3" width="6.5703125" style="200" bestFit="1" customWidth="1"/>
    <col min="4" max="4" width="16.5703125" style="200" customWidth="1"/>
    <col min="5" max="5" width="4.5703125" style="200" customWidth="1"/>
    <col min="6" max="6" width="16.5703125" style="200" customWidth="1"/>
    <col min="7" max="7" width="4.5703125" style="200" customWidth="1"/>
    <col min="8" max="8" width="12.5703125" style="200" customWidth="1"/>
    <col min="9" max="16384" width="8.5703125" style="202"/>
  </cols>
  <sheetData>
    <row r="1" spans="1:8" ht="15" customHeight="1" x14ac:dyDescent="0.25">
      <c r="F1" s="201"/>
      <c r="G1" s="201"/>
      <c r="H1" s="201"/>
    </row>
    <row r="2" spans="1:8" ht="15" customHeight="1" x14ac:dyDescent="0.25">
      <c r="A2" s="203"/>
      <c r="B2" s="204" t="s">
        <v>1280</v>
      </c>
      <c r="C2" s="205"/>
      <c r="D2" s="204"/>
      <c r="E2" s="204"/>
      <c r="F2" s="204"/>
      <c r="G2" s="204"/>
      <c r="H2" s="206"/>
    </row>
    <row r="3" spans="1:8" ht="15" customHeight="1" x14ac:dyDescent="0.25">
      <c r="A3" s="203"/>
      <c r="B3" s="204"/>
      <c r="C3" s="205"/>
      <c r="D3" s="204"/>
      <c r="E3" s="204"/>
      <c r="F3" s="204"/>
      <c r="G3" s="204"/>
      <c r="H3" s="206"/>
    </row>
    <row r="4" spans="1:8" ht="15" customHeight="1" x14ac:dyDescent="0.25">
      <c r="A4" s="203"/>
      <c r="B4" s="204" t="s">
        <v>1281</v>
      </c>
      <c r="C4" s="205"/>
      <c r="D4" s="204"/>
      <c r="E4" s="204"/>
      <c r="F4" s="204"/>
      <c r="G4" s="204"/>
      <c r="H4" s="206"/>
    </row>
    <row r="5" spans="1:8" ht="15" customHeight="1" x14ac:dyDescent="0.25">
      <c r="A5" s="203"/>
      <c r="B5" s="205"/>
      <c r="C5" s="205"/>
      <c r="D5" s="204"/>
      <c r="E5" s="204"/>
      <c r="F5" s="206"/>
      <c r="G5" s="206"/>
      <c r="H5" s="206"/>
    </row>
    <row r="6" spans="1:8" ht="15" customHeight="1" x14ac:dyDescent="0.25">
      <c r="A6" s="207"/>
      <c r="B6" s="208"/>
      <c r="C6" s="208"/>
      <c r="D6" s="208"/>
      <c r="E6" s="208"/>
      <c r="F6" s="209"/>
      <c r="G6" s="209"/>
      <c r="H6" s="209"/>
    </row>
    <row r="7" spans="1:8" ht="15" customHeight="1" x14ac:dyDescent="0.25">
      <c r="A7" s="207"/>
      <c r="B7" s="208"/>
      <c r="C7" s="208"/>
      <c r="D7" s="208"/>
      <c r="E7" s="210"/>
      <c r="F7" s="208" t="s">
        <v>1282</v>
      </c>
      <c r="G7" s="210"/>
      <c r="H7" s="209"/>
    </row>
    <row r="8" spans="1:8" ht="15" customHeight="1" x14ac:dyDescent="0.25">
      <c r="A8" s="207"/>
      <c r="B8" s="208"/>
      <c r="C8" s="208"/>
      <c r="D8" s="208" t="s">
        <v>1282</v>
      </c>
      <c r="E8" s="210"/>
      <c r="F8" s="208" t="s">
        <v>1294</v>
      </c>
      <c r="G8" s="210"/>
      <c r="H8" s="209"/>
    </row>
    <row r="9" spans="1:8" ht="15" customHeight="1" thickBot="1" x14ac:dyDescent="0.3">
      <c r="A9" s="207"/>
      <c r="B9" s="211"/>
      <c r="C9" s="212" t="s">
        <v>1283</v>
      </c>
      <c r="D9" s="211" t="s">
        <v>1284</v>
      </c>
      <c r="E9" s="213"/>
      <c r="F9" s="211" t="s">
        <v>1285</v>
      </c>
      <c r="G9" s="213"/>
      <c r="H9" s="209"/>
    </row>
    <row r="10" spans="1:8" ht="15" customHeight="1" x14ac:dyDescent="0.25">
      <c r="A10" s="207"/>
      <c r="B10" s="208"/>
      <c r="C10" s="208"/>
      <c r="D10" s="208"/>
      <c r="E10" s="208"/>
      <c r="F10" s="208"/>
      <c r="G10" s="208"/>
      <c r="H10" s="209"/>
    </row>
    <row r="11" spans="1:8" ht="15" customHeight="1" x14ac:dyDescent="0.25">
      <c r="A11" s="207"/>
      <c r="B11" s="210" t="s">
        <v>1286</v>
      </c>
      <c r="C11" s="210"/>
      <c r="D11" s="210"/>
      <c r="E11" s="210"/>
      <c r="F11" s="210"/>
      <c r="G11" s="210"/>
      <c r="H11" s="209"/>
    </row>
    <row r="12" spans="1:8" ht="15" customHeight="1" x14ac:dyDescent="0.25">
      <c r="A12" s="207"/>
      <c r="B12" s="214" t="s">
        <v>70</v>
      </c>
      <c r="C12" s="215" t="s">
        <v>14</v>
      </c>
      <c r="D12" s="216">
        <v>3.7999999999999999E-2</v>
      </c>
      <c r="E12" s="216"/>
      <c r="F12" s="216">
        <f>D12</f>
        <v>3.7999999999999999E-2</v>
      </c>
      <c r="G12" s="216"/>
      <c r="H12" s="209"/>
    </row>
    <row r="13" spans="1:8" ht="15" customHeight="1" x14ac:dyDescent="0.25">
      <c r="A13" s="207"/>
      <c r="B13" s="217" t="s">
        <v>1247</v>
      </c>
      <c r="C13" s="215" t="s">
        <v>15</v>
      </c>
      <c r="D13" s="218">
        <f>1+0.5*D15</f>
        <v>1.0269999999999999</v>
      </c>
      <c r="E13" s="218"/>
      <c r="F13" s="218">
        <f>1+0.5*F15</f>
        <v>1.0278750000000001</v>
      </c>
      <c r="G13" s="218"/>
      <c r="H13" s="209"/>
    </row>
    <row r="14" spans="1:8" ht="15" customHeight="1" x14ac:dyDescent="0.25">
      <c r="A14" s="207"/>
      <c r="B14" s="214" t="s">
        <v>1287</v>
      </c>
      <c r="C14" s="215" t="s">
        <v>16</v>
      </c>
      <c r="D14" s="216">
        <f>D12*D13</f>
        <v>3.9025999999999998E-2</v>
      </c>
      <c r="E14" s="216"/>
      <c r="F14" s="216">
        <f>F12*F13</f>
        <v>3.9059250000000004E-2</v>
      </c>
      <c r="G14" s="216"/>
      <c r="H14" s="209"/>
    </row>
    <row r="15" spans="1:8" ht="15" customHeight="1" x14ac:dyDescent="0.25">
      <c r="A15" s="207"/>
      <c r="B15" s="214" t="s">
        <v>1288</v>
      </c>
      <c r="C15" s="215" t="s">
        <v>17</v>
      </c>
      <c r="D15" s="219">
        <v>5.3999999999999999E-2</v>
      </c>
      <c r="E15" s="219"/>
      <c r="F15" s="287">
        <f>AVERAGE(5.5%, 5.2%, 6.1%, 5.5%)</f>
        <v>5.5750000000000001E-2</v>
      </c>
      <c r="G15" s="219"/>
      <c r="H15" s="209"/>
    </row>
    <row r="16" spans="1:8" ht="15" customHeight="1" x14ac:dyDescent="0.25">
      <c r="A16" s="207"/>
      <c r="B16" s="215" t="s">
        <v>1289</v>
      </c>
      <c r="C16" s="215" t="s">
        <v>18</v>
      </c>
      <c r="D16" s="216">
        <f>ROUND(D14+D15,3)</f>
        <v>9.2999999999999999E-2</v>
      </c>
      <c r="E16" s="220"/>
      <c r="F16" s="220">
        <f>F14+F15</f>
        <v>9.4809250000000012E-2</v>
      </c>
      <c r="G16" s="220"/>
      <c r="H16" s="209"/>
    </row>
    <row r="17" spans="1:8" ht="15" customHeight="1" x14ac:dyDescent="0.25">
      <c r="A17" s="207"/>
      <c r="B17" s="209"/>
      <c r="C17" s="209"/>
      <c r="D17" s="216"/>
      <c r="E17" s="216"/>
      <c r="F17" s="221"/>
      <c r="G17" s="216"/>
      <c r="H17" s="209"/>
    </row>
    <row r="18" spans="1:8" ht="15" customHeight="1" x14ac:dyDescent="0.25">
      <c r="A18" s="207"/>
      <c r="B18" s="215" t="s">
        <v>1298</v>
      </c>
      <c r="C18" s="215"/>
      <c r="D18" s="215"/>
      <c r="E18" s="215"/>
      <c r="F18" s="222">
        <f>F16-$D16</f>
        <v>1.8092500000000122E-3</v>
      </c>
      <c r="G18" s="215"/>
      <c r="H18" s="209"/>
    </row>
    <row r="19" spans="1:8" ht="15" customHeight="1" x14ac:dyDescent="0.25">
      <c r="A19" s="207"/>
      <c r="B19" s="209"/>
      <c r="C19" s="209"/>
      <c r="D19" s="215"/>
      <c r="E19" s="215"/>
      <c r="F19" s="215"/>
      <c r="G19" s="215"/>
      <c r="H19" s="209"/>
    </row>
    <row r="20" spans="1:8" ht="15" customHeight="1" x14ac:dyDescent="0.25">
      <c r="A20" s="207"/>
      <c r="B20" s="209"/>
      <c r="C20" s="209"/>
      <c r="D20" s="215"/>
      <c r="E20" s="215"/>
      <c r="F20" s="215"/>
      <c r="G20" s="215"/>
      <c r="H20" s="209"/>
    </row>
    <row r="21" spans="1:8" ht="15" customHeight="1" x14ac:dyDescent="0.25">
      <c r="A21" s="207"/>
      <c r="B21" s="210" t="s">
        <v>1290</v>
      </c>
      <c r="C21" s="210"/>
      <c r="D21" s="215"/>
      <c r="E21" s="215"/>
      <c r="F21" s="215"/>
      <c r="G21" s="215"/>
      <c r="H21" s="209"/>
    </row>
    <row r="22" spans="1:8" ht="15" customHeight="1" x14ac:dyDescent="0.25">
      <c r="A22" s="207"/>
      <c r="B22" s="214" t="s">
        <v>70</v>
      </c>
      <c r="C22" s="215" t="s">
        <v>14</v>
      </c>
      <c r="D22" s="216">
        <v>3.7999999999999999E-2</v>
      </c>
      <c r="E22" s="216"/>
      <c r="F22" s="216">
        <f>D22</f>
        <v>3.7999999999999999E-2</v>
      </c>
      <c r="G22" s="216"/>
      <c r="H22" s="209"/>
    </row>
    <row r="23" spans="1:8" ht="15" customHeight="1" x14ac:dyDescent="0.25">
      <c r="A23" s="207"/>
      <c r="B23" s="217" t="s">
        <v>1247</v>
      </c>
      <c r="C23" s="215" t="s">
        <v>15</v>
      </c>
      <c r="D23" s="218">
        <f>1+0.5*D25</f>
        <v>1.0275000000000001</v>
      </c>
      <c r="E23" s="218"/>
      <c r="F23" s="223">
        <f>1+0.5*F25</f>
        <v>1.0286249999999999</v>
      </c>
      <c r="G23" s="218"/>
      <c r="H23" s="209"/>
    </row>
    <row r="24" spans="1:8" ht="15" customHeight="1" x14ac:dyDescent="0.25">
      <c r="A24" s="207"/>
      <c r="B24" s="214" t="s">
        <v>1287</v>
      </c>
      <c r="C24" s="215" t="s">
        <v>16</v>
      </c>
      <c r="D24" s="216">
        <f>D22*D23</f>
        <v>3.9045000000000003E-2</v>
      </c>
      <c r="E24" s="216"/>
      <c r="F24" s="216">
        <f>F22*F23</f>
        <v>3.9087749999999997E-2</v>
      </c>
      <c r="G24" s="216"/>
      <c r="H24" s="209"/>
    </row>
    <row r="25" spans="1:8" ht="15" customHeight="1" x14ac:dyDescent="0.25">
      <c r="A25" s="207"/>
      <c r="B25" s="214" t="s">
        <v>1288</v>
      </c>
      <c r="C25" s="215" t="s">
        <v>17</v>
      </c>
      <c r="D25" s="219">
        <v>5.5E-2</v>
      </c>
      <c r="E25" s="219"/>
      <c r="F25" s="287">
        <f>AVERAGE(5.7%, 5.2%, 5.9%, 6.1%)</f>
        <v>5.7250000000000002E-2</v>
      </c>
      <c r="G25" s="219"/>
      <c r="H25" s="209"/>
    </row>
    <row r="26" spans="1:8" ht="15" customHeight="1" x14ac:dyDescent="0.25">
      <c r="A26" s="207"/>
      <c r="B26" s="215" t="s">
        <v>1289</v>
      </c>
      <c r="C26" s="215" t="s">
        <v>18</v>
      </c>
      <c r="D26" s="216">
        <f>D24+D25</f>
        <v>9.4045000000000004E-2</v>
      </c>
      <c r="E26" s="220"/>
      <c r="F26" s="220">
        <f>F24+F25</f>
        <v>9.633775E-2</v>
      </c>
      <c r="G26" s="220"/>
      <c r="H26" s="209"/>
    </row>
    <row r="27" spans="1:8" ht="15" customHeight="1" x14ac:dyDescent="0.25">
      <c r="A27" s="207"/>
      <c r="B27" s="209"/>
      <c r="C27" s="209"/>
      <c r="D27" s="209"/>
      <c r="E27" s="209"/>
      <c r="F27" s="209"/>
      <c r="G27" s="209"/>
      <c r="H27" s="209"/>
    </row>
    <row r="28" spans="1:8" ht="15" customHeight="1" x14ac:dyDescent="0.25">
      <c r="A28" s="207"/>
      <c r="B28" s="215" t="s">
        <v>1298</v>
      </c>
      <c r="C28" s="215"/>
      <c r="D28" s="209"/>
      <c r="E28" s="209"/>
      <c r="F28" s="222">
        <f>F26-$D26</f>
        <v>2.2927499999999962E-3</v>
      </c>
      <c r="G28" s="209"/>
      <c r="H28" s="209"/>
    </row>
    <row r="29" spans="1:8" ht="15" customHeight="1" x14ac:dyDescent="0.25">
      <c r="A29" s="207"/>
      <c r="B29" s="207"/>
      <c r="C29" s="207"/>
      <c r="D29" s="209"/>
      <c r="E29" s="209"/>
      <c r="F29" s="209"/>
      <c r="G29" s="209"/>
      <c r="H29" s="209"/>
    </row>
    <row r="30" spans="1:8" ht="15" customHeight="1" x14ac:dyDescent="0.25">
      <c r="B30" s="224"/>
      <c r="C30" s="224"/>
      <c r="D30" s="224"/>
      <c r="E30" s="224"/>
      <c r="F30" s="224"/>
      <c r="G30" s="224"/>
      <c r="H30" s="224"/>
    </row>
    <row r="31" spans="1:8" ht="15" customHeight="1" x14ac:dyDescent="0.25">
      <c r="B31" s="225" t="s">
        <v>62</v>
      </c>
      <c r="C31" s="224"/>
      <c r="D31" s="224"/>
      <c r="E31" s="224"/>
      <c r="F31" s="224"/>
      <c r="G31" s="224"/>
      <c r="H31" s="224"/>
    </row>
    <row r="32" spans="1:8" ht="15" customHeight="1" x14ac:dyDescent="0.25">
      <c r="B32" s="224" t="s">
        <v>1295</v>
      </c>
      <c r="C32" s="224"/>
      <c r="D32" s="224"/>
      <c r="E32" s="224"/>
      <c r="F32" s="224"/>
      <c r="G32" s="224"/>
      <c r="H32" s="224"/>
    </row>
    <row r="33" spans="2:8" ht="15" customHeight="1" x14ac:dyDescent="0.25">
      <c r="B33" s="224" t="s">
        <v>1291</v>
      </c>
      <c r="C33" s="224"/>
      <c r="D33" s="224"/>
      <c r="E33" s="224"/>
      <c r="F33" s="224"/>
      <c r="G33" s="224"/>
      <c r="H33" s="224"/>
    </row>
    <row r="34" spans="2:8" ht="15" customHeight="1" x14ac:dyDescent="0.25">
      <c r="B34" s="224" t="s">
        <v>1292</v>
      </c>
      <c r="C34" s="224"/>
      <c r="D34" s="224"/>
      <c r="E34" s="224"/>
      <c r="F34" s="224"/>
      <c r="G34" s="224"/>
      <c r="H34" s="224"/>
    </row>
    <row r="35" spans="2:8" ht="15" customHeight="1" x14ac:dyDescent="0.25">
      <c r="B35" s="224" t="s">
        <v>1297</v>
      </c>
      <c r="C35" s="224"/>
      <c r="D35" s="224"/>
      <c r="E35" s="224"/>
      <c r="F35" s="224"/>
      <c r="G35" s="224"/>
      <c r="H35" s="224"/>
    </row>
    <row r="36" spans="2:8" ht="15" customHeight="1" x14ac:dyDescent="0.25">
      <c r="B36" s="224" t="s">
        <v>1296</v>
      </c>
      <c r="C36" s="209"/>
      <c r="D36" s="224"/>
      <c r="E36" s="224"/>
      <c r="F36" s="224"/>
      <c r="G36" s="224"/>
      <c r="H36" s="224"/>
    </row>
    <row r="37" spans="2:8" ht="15" customHeight="1" x14ac:dyDescent="0.25">
      <c r="B37" s="200" t="s">
        <v>1293</v>
      </c>
      <c r="C37" s="209"/>
    </row>
    <row r="38" spans="2:8" ht="15" customHeight="1" x14ac:dyDescent="0.25">
      <c r="B38" s="209"/>
      <c r="C38" s="209"/>
    </row>
    <row r="39" spans="2:8" ht="15" customHeight="1" x14ac:dyDescent="0.25">
      <c r="B39" s="209"/>
    </row>
  </sheetData>
  <printOptions horizontalCentered="1"/>
  <pageMargins left="0.7" right="0.7" top="0.75" bottom="0.75" header="0.3" footer="0.3"/>
  <pageSetup scale="74" orientation="portrait" useFirstPageNumber="1" horizontalDpi="1200" verticalDpi="1200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5"/>
  <sheetViews>
    <sheetView view="pageBreakPreview" zoomScale="60" zoomScaleNormal="50" workbookViewId="0">
      <selection activeCell="H16" sqref="H16"/>
    </sheetView>
  </sheetViews>
  <sheetFormatPr defaultColWidth="8.5703125" defaultRowHeight="15.75" x14ac:dyDescent="0.25"/>
  <cols>
    <col min="1" max="1" width="26.5703125" style="226" bestFit="1" customWidth="1"/>
    <col min="2" max="2" width="6.140625" style="226" customWidth="1"/>
    <col min="3" max="3" width="12.140625" style="226" bestFit="1" customWidth="1"/>
    <col min="4" max="4" width="4.42578125" style="226" customWidth="1"/>
    <col min="5" max="5" width="8.5703125" style="226"/>
    <col min="6" max="6" width="4.42578125" style="226" customWidth="1"/>
    <col min="7" max="7" width="15" style="226" bestFit="1" customWidth="1"/>
    <col min="8" max="8" width="17.42578125" style="226" bestFit="1" customWidth="1"/>
    <col min="9" max="9" width="11.42578125" style="226" bestFit="1" customWidth="1"/>
    <col min="10" max="10" width="4.42578125" style="226" customWidth="1"/>
    <col min="11" max="16384" width="8.5703125" style="226"/>
  </cols>
  <sheetData>
    <row r="1" spans="1:11" x14ac:dyDescent="0.25">
      <c r="J1" s="227"/>
    </row>
    <row r="2" spans="1:11" x14ac:dyDescent="0.25">
      <c r="I2" s="227"/>
    </row>
    <row r="3" spans="1:11" x14ac:dyDescent="0.25">
      <c r="I3" s="227"/>
      <c r="J3" s="227"/>
    </row>
    <row r="4" spans="1:11" x14ac:dyDescent="0.25">
      <c r="K4" s="227"/>
    </row>
    <row r="5" spans="1:11" x14ac:dyDescent="0.25">
      <c r="K5" s="227"/>
    </row>
    <row r="6" spans="1:11" ht="20.25" x14ac:dyDescent="0.3">
      <c r="A6" s="228" t="s">
        <v>1452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ht="20.25" x14ac:dyDescent="0.3">
      <c r="A7" s="228" t="s">
        <v>1328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9" spans="1:11" ht="16.5" thickBot="1" x14ac:dyDescent="0.3"/>
    <row r="10" spans="1:11" ht="16.5" thickTop="1" x14ac:dyDescent="0.25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</row>
    <row r="11" spans="1:11" x14ac:dyDescent="0.25">
      <c r="A11" s="230"/>
      <c r="B11" s="230"/>
      <c r="C11" s="230"/>
      <c r="D11" s="230"/>
      <c r="E11" s="230"/>
      <c r="F11" s="230"/>
      <c r="G11" s="230"/>
      <c r="H11" s="231" t="s">
        <v>1329</v>
      </c>
      <c r="I11" s="230"/>
      <c r="J11" s="230"/>
      <c r="K11" s="230"/>
    </row>
    <row r="12" spans="1:11" x14ac:dyDescent="0.25">
      <c r="A12" s="230"/>
      <c r="B12" s="230"/>
      <c r="C12" s="230"/>
      <c r="D12" s="230"/>
      <c r="E12" s="230"/>
      <c r="F12" s="230"/>
      <c r="G12" s="231" t="s">
        <v>1329</v>
      </c>
      <c r="H12" s="231" t="s">
        <v>1321</v>
      </c>
      <c r="I12" s="230"/>
      <c r="J12" s="230"/>
      <c r="K12" s="230"/>
    </row>
    <row r="13" spans="1:11" x14ac:dyDescent="0.25">
      <c r="A13" s="230"/>
      <c r="B13" s="230"/>
      <c r="C13" s="230"/>
      <c r="D13" s="230"/>
      <c r="E13" s="230"/>
      <c r="F13" s="230"/>
      <c r="G13" s="231" t="s">
        <v>1324</v>
      </c>
      <c r="H13" s="231" t="s">
        <v>1324</v>
      </c>
      <c r="I13" s="230"/>
      <c r="J13" s="230"/>
      <c r="K13" s="230"/>
    </row>
    <row r="14" spans="1:11" x14ac:dyDescent="0.25">
      <c r="A14" s="230"/>
      <c r="B14" s="230"/>
      <c r="C14" s="230"/>
      <c r="D14" s="230"/>
      <c r="E14" s="230"/>
      <c r="F14" s="230"/>
      <c r="G14" s="231" t="s">
        <v>1325</v>
      </c>
      <c r="H14" s="231" t="s">
        <v>1322</v>
      </c>
      <c r="I14" s="231" t="s">
        <v>1327</v>
      </c>
      <c r="J14" s="230"/>
      <c r="K14" s="230"/>
    </row>
    <row r="15" spans="1:11" x14ac:dyDescent="0.25">
      <c r="A15" s="227"/>
      <c r="B15" s="227"/>
      <c r="C15" s="231" t="s">
        <v>1299</v>
      </c>
      <c r="D15" s="231"/>
      <c r="E15" s="231"/>
      <c r="F15" s="231"/>
      <c r="G15" s="231" t="s">
        <v>1326</v>
      </c>
      <c r="H15" s="231" t="s">
        <v>1323</v>
      </c>
      <c r="I15" s="231" t="s">
        <v>1300</v>
      </c>
      <c r="J15" s="231"/>
      <c r="K15" s="231" t="s">
        <v>1301</v>
      </c>
    </row>
    <row r="16" spans="1:11" x14ac:dyDescent="0.25">
      <c r="A16" s="231" t="s">
        <v>1449</v>
      </c>
      <c r="B16" s="227"/>
      <c r="C16" s="231" t="s">
        <v>1302</v>
      </c>
      <c r="D16" s="231"/>
      <c r="E16" s="231" t="s">
        <v>1303</v>
      </c>
      <c r="F16" s="231"/>
      <c r="G16" s="231" t="s">
        <v>1330</v>
      </c>
      <c r="H16" s="231" t="s">
        <v>1330</v>
      </c>
      <c r="I16" s="231" t="s">
        <v>1304</v>
      </c>
      <c r="J16" s="231"/>
      <c r="K16" s="231" t="s">
        <v>1305</v>
      </c>
    </row>
    <row r="17" spans="1:11" x14ac:dyDescent="0.25">
      <c r="A17" s="232"/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20" spans="1:11" x14ac:dyDescent="0.25">
      <c r="A20" s="227" t="s">
        <v>1450</v>
      </c>
    </row>
    <row r="22" spans="1:11" x14ac:dyDescent="0.25">
      <c r="A22" s="226" t="s">
        <v>1311</v>
      </c>
      <c r="C22" s="233">
        <f>+E55</f>
        <v>4.0500000000000001E-2</v>
      </c>
      <c r="D22" s="234"/>
      <c r="E22" s="235">
        <v>0.9</v>
      </c>
      <c r="F22" s="234"/>
      <c r="G22" s="233">
        <v>0.1202</v>
      </c>
      <c r="H22" s="233">
        <v>4.8500000000000001E-2</v>
      </c>
      <c r="I22" s="233">
        <f>G22-H22</f>
        <v>7.17E-2</v>
      </c>
      <c r="J22" s="236"/>
      <c r="K22" s="236">
        <f>+C22+(E22*I22)</f>
        <v>0.10503000000000001</v>
      </c>
    </row>
    <row r="23" spans="1:11" x14ac:dyDescent="0.25">
      <c r="A23" s="226" t="s">
        <v>648</v>
      </c>
      <c r="C23" s="233">
        <f>+C22</f>
        <v>4.0500000000000001E-2</v>
      </c>
      <c r="E23" s="235">
        <v>0.85</v>
      </c>
      <c r="G23" s="233">
        <f>G22</f>
        <v>0.1202</v>
      </c>
      <c r="H23" s="233">
        <f>H22</f>
        <v>4.8500000000000001E-2</v>
      </c>
      <c r="I23" s="233">
        <f t="shared" ref="I23:I36" si="0">G23-H23</f>
        <v>7.17E-2</v>
      </c>
      <c r="K23" s="236">
        <f t="shared" ref="K23:K36" si="1">+C23+(E23*I23)</f>
        <v>0.10144500000000001</v>
      </c>
    </row>
    <row r="24" spans="1:11" x14ac:dyDescent="0.25">
      <c r="A24" s="226" t="s">
        <v>157</v>
      </c>
      <c r="C24" s="233">
        <f t="shared" ref="C24:C36" si="2">+C23</f>
        <v>4.0500000000000001E-2</v>
      </c>
      <c r="E24" s="235">
        <v>0.85</v>
      </c>
      <c r="G24" s="233">
        <f t="shared" ref="G24:G36" si="3">G23</f>
        <v>0.1202</v>
      </c>
      <c r="H24" s="233">
        <f t="shared" ref="H24:H36" si="4">H23</f>
        <v>4.8500000000000001E-2</v>
      </c>
      <c r="I24" s="233">
        <f t="shared" si="0"/>
        <v>7.17E-2</v>
      </c>
      <c r="K24" s="236">
        <f t="shared" si="1"/>
        <v>0.10144500000000001</v>
      </c>
    </row>
    <row r="25" spans="1:11" x14ac:dyDescent="0.25">
      <c r="A25" s="226" t="s">
        <v>1312</v>
      </c>
      <c r="C25" s="233">
        <f t="shared" si="2"/>
        <v>4.0500000000000001E-2</v>
      </c>
      <c r="E25" s="235">
        <v>0.9</v>
      </c>
      <c r="G25" s="233">
        <f t="shared" si="3"/>
        <v>0.1202</v>
      </c>
      <c r="H25" s="233">
        <f t="shared" si="4"/>
        <v>4.8500000000000001E-2</v>
      </c>
      <c r="I25" s="233">
        <f t="shared" si="0"/>
        <v>7.17E-2</v>
      </c>
      <c r="K25" s="236">
        <f t="shared" si="1"/>
        <v>0.10503000000000001</v>
      </c>
    </row>
    <row r="26" spans="1:11" x14ac:dyDescent="0.25">
      <c r="A26" s="226" t="s">
        <v>1313</v>
      </c>
      <c r="C26" s="233">
        <f t="shared" si="2"/>
        <v>4.0500000000000001E-2</v>
      </c>
      <c r="E26" s="235">
        <v>1</v>
      </c>
      <c r="G26" s="233">
        <f t="shared" si="3"/>
        <v>0.1202</v>
      </c>
      <c r="H26" s="233">
        <f t="shared" si="4"/>
        <v>4.8500000000000001E-2</v>
      </c>
      <c r="I26" s="233">
        <f t="shared" si="0"/>
        <v>7.17E-2</v>
      </c>
      <c r="K26" s="236">
        <f t="shared" si="1"/>
        <v>0.11219999999999999</v>
      </c>
    </row>
    <row r="27" spans="1:11" x14ac:dyDescent="0.25">
      <c r="A27" s="226" t="s">
        <v>1254</v>
      </c>
      <c r="C27" s="233">
        <f t="shared" si="2"/>
        <v>4.0500000000000001E-2</v>
      </c>
      <c r="E27" s="235">
        <v>0.9</v>
      </c>
      <c r="G27" s="233">
        <f t="shared" si="3"/>
        <v>0.1202</v>
      </c>
      <c r="H27" s="233">
        <f t="shared" si="4"/>
        <v>4.8500000000000001E-2</v>
      </c>
      <c r="I27" s="233">
        <f t="shared" si="0"/>
        <v>7.17E-2</v>
      </c>
      <c r="K27" s="236">
        <f t="shared" si="1"/>
        <v>0.10503000000000001</v>
      </c>
    </row>
    <row r="28" spans="1:11" x14ac:dyDescent="0.25">
      <c r="A28" s="226" t="s">
        <v>43</v>
      </c>
      <c r="C28" s="233">
        <f t="shared" si="2"/>
        <v>4.0500000000000001E-2</v>
      </c>
      <c r="E28" s="235">
        <v>0.9</v>
      </c>
      <c r="G28" s="233">
        <f t="shared" si="3"/>
        <v>0.1202</v>
      </c>
      <c r="H28" s="233">
        <f t="shared" si="4"/>
        <v>4.8500000000000001E-2</v>
      </c>
      <c r="I28" s="233">
        <f t="shared" si="0"/>
        <v>7.17E-2</v>
      </c>
      <c r="K28" s="236">
        <f t="shared" si="1"/>
        <v>0.10503000000000001</v>
      </c>
    </row>
    <row r="29" spans="1:11" x14ac:dyDescent="0.25">
      <c r="A29" s="226" t="s">
        <v>1314</v>
      </c>
      <c r="C29" s="233">
        <f t="shared" si="2"/>
        <v>4.0500000000000001E-2</v>
      </c>
      <c r="E29" s="235">
        <v>0.7</v>
      </c>
      <c r="G29" s="233">
        <f t="shared" si="3"/>
        <v>0.1202</v>
      </c>
      <c r="H29" s="233">
        <f t="shared" si="4"/>
        <v>4.8500000000000001E-2</v>
      </c>
      <c r="I29" s="233">
        <f t="shared" si="0"/>
        <v>7.17E-2</v>
      </c>
      <c r="K29" s="236">
        <f t="shared" si="1"/>
        <v>9.0689999999999993E-2</v>
      </c>
    </row>
    <row r="30" spans="1:11" x14ac:dyDescent="0.25">
      <c r="A30" s="226" t="s">
        <v>1315</v>
      </c>
      <c r="C30" s="233">
        <f>+C29</f>
        <v>4.0500000000000001E-2</v>
      </c>
      <c r="E30" s="235">
        <v>0.8</v>
      </c>
      <c r="G30" s="233">
        <f t="shared" si="3"/>
        <v>0.1202</v>
      </c>
      <c r="H30" s="233">
        <f t="shared" si="4"/>
        <v>4.8500000000000001E-2</v>
      </c>
      <c r="I30" s="233">
        <f t="shared" si="0"/>
        <v>7.17E-2</v>
      </c>
      <c r="K30" s="236">
        <f t="shared" si="1"/>
        <v>9.7860000000000003E-2</v>
      </c>
    </row>
    <row r="31" spans="1:11" x14ac:dyDescent="0.25">
      <c r="A31" s="226" t="s">
        <v>1316</v>
      </c>
      <c r="C31" s="233">
        <f>+C30</f>
        <v>4.0500000000000001E-2</v>
      </c>
      <c r="E31" s="235">
        <v>0.95</v>
      </c>
      <c r="G31" s="233">
        <f t="shared" si="3"/>
        <v>0.1202</v>
      </c>
      <c r="H31" s="233">
        <f t="shared" si="4"/>
        <v>4.8500000000000001E-2</v>
      </c>
      <c r="I31" s="233">
        <f t="shared" si="0"/>
        <v>7.17E-2</v>
      </c>
      <c r="K31" s="236">
        <f t="shared" si="1"/>
        <v>0.10861499999999999</v>
      </c>
    </row>
    <row r="32" spans="1:11" x14ac:dyDescent="0.25">
      <c r="A32" s="226" t="s">
        <v>1317</v>
      </c>
      <c r="C32" s="233">
        <f t="shared" si="2"/>
        <v>4.0500000000000001E-2</v>
      </c>
      <c r="E32" s="235">
        <v>1</v>
      </c>
      <c r="G32" s="233">
        <f t="shared" si="3"/>
        <v>0.1202</v>
      </c>
      <c r="H32" s="233">
        <f t="shared" si="4"/>
        <v>4.8500000000000001E-2</v>
      </c>
      <c r="I32" s="233">
        <f t="shared" si="0"/>
        <v>7.17E-2</v>
      </c>
      <c r="K32" s="236">
        <f t="shared" si="1"/>
        <v>0.11219999999999999</v>
      </c>
    </row>
    <row r="33" spans="1:18" x14ac:dyDescent="0.25">
      <c r="A33" s="226" t="s">
        <v>1318</v>
      </c>
      <c r="C33" s="233">
        <f t="shared" si="2"/>
        <v>4.0500000000000001E-2</v>
      </c>
      <c r="E33" s="235">
        <v>0.85</v>
      </c>
      <c r="G33" s="233">
        <f t="shared" si="3"/>
        <v>0.1202</v>
      </c>
      <c r="H33" s="233">
        <f t="shared" si="4"/>
        <v>4.8500000000000001E-2</v>
      </c>
      <c r="I33" s="233">
        <f t="shared" si="0"/>
        <v>7.17E-2</v>
      </c>
      <c r="K33" s="236">
        <f t="shared" si="1"/>
        <v>0.10144500000000001</v>
      </c>
    </row>
    <row r="34" spans="1:18" x14ac:dyDescent="0.25">
      <c r="A34" s="226" t="s">
        <v>823</v>
      </c>
      <c r="C34" s="233">
        <f t="shared" si="2"/>
        <v>4.0500000000000001E-2</v>
      </c>
      <c r="E34" s="235">
        <v>0.9</v>
      </c>
      <c r="G34" s="233">
        <f t="shared" si="3"/>
        <v>0.1202</v>
      </c>
      <c r="H34" s="233">
        <f t="shared" si="4"/>
        <v>4.8500000000000001E-2</v>
      </c>
      <c r="I34" s="233">
        <f t="shared" si="0"/>
        <v>7.17E-2</v>
      </c>
      <c r="K34" s="236">
        <f t="shared" si="1"/>
        <v>0.10503000000000001</v>
      </c>
    </row>
    <row r="35" spans="1:18" x14ac:dyDescent="0.25">
      <c r="A35" s="226" t="s">
        <v>1319</v>
      </c>
      <c r="C35" s="233">
        <f t="shared" si="2"/>
        <v>4.0500000000000001E-2</v>
      </c>
      <c r="E35" s="235">
        <v>0.9</v>
      </c>
      <c r="G35" s="233">
        <f t="shared" si="3"/>
        <v>0.1202</v>
      </c>
      <c r="H35" s="233">
        <f t="shared" si="4"/>
        <v>4.8500000000000001E-2</v>
      </c>
      <c r="I35" s="233">
        <f t="shared" si="0"/>
        <v>7.17E-2</v>
      </c>
      <c r="K35" s="236">
        <f t="shared" si="1"/>
        <v>0.10503000000000001</v>
      </c>
      <c r="R35" s="237"/>
    </row>
    <row r="36" spans="1:18" x14ac:dyDescent="0.25">
      <c r="A36" s="226" t="s">
        <v>1320</v>
      </c>
      <c r="C36" s="233">
        <f t="shared" si="2"/>
        <v>4.0500000000000001E-2</v>
      </c>
      <c r="E36" s="235">
        <v>0.8</v>
      </c>
      <c r="G36" s="233">
        <f t="shared" si="3"/>
        <v>0.1202</v>
      </c>
      <c r="H36" s="233">
        <f t="shared" si="4"/>
        <v>4.8500000000000001E-2</v>
      </c>
      <c r="I36" s="233">
        <f t="shared" si="0"/>
        <v>7.17E-2</v>
      </c>
      <c r="K36" s="236">
        <f t="shared" si="1"/>
        <v>9.7860000000000003E-2</v>
      </c>
    </row>
    <row r="37" spans="1:18" x14ac:dyDescent="0.25">
      <c r="A37" s="232"/>
      <c r="B37" s="232"/>
      <c r="C37" s="238"/>
      <c r="D37" s="232"/>
      <c r="E37" s="239"/>
      <c r="F37" s="232"/>
      <c r="G37" s="232"/>
      <c r="H37" s="232"/>
      <c r="I37" s="238"/>
      <c r="J37" s="232"/>
      <c r="K37" s="240"/>
    </row>
    <row r="38" spans="1:18" x14ac:dyDescent="0.25">
      <c r="C38" s="233"/>
      <c r="E38" s="235"/>
      <c r="I38" s="233"/>
      <c r="K38" s="236"/>
    </row>
    <row r="39" spans="1:18" x14ac:dyDescent="0.25">
      <c r="A39" s="226" t="s">
        <v>2</v>
      </c>
      <c r="C39" s="233"/>
      <c r="E39" s="235"/>
      <c r="I39" s="233"/>
      <c r="K39" s="241">
        <f>AVERAGE(K22:K36)</f>
        <v>0.10359599999999999</v>
      </c>
    </row>
    <row r="40" spans="1:18" x14ac:dyDescent="0.25">
      <c r="A40" s="232"/>
      <c r="B40" s="232"/>
      <c r="C40" s="238"/>
      <c r="D40" s="232"/>
      <c r="E40" s="239"/>
      <c r="F40" s="232"/>
      <c r="G40" s="232"/>
      <c r="H40" s="232"/>
      <c r="I40" s="238"/>
      <c r="J40" s="232"/>
      <c r="K40" s="242"/>
    </row>
    <row r="41" spans="1:18" x14ac:dyDescent="0.25">
      <c r="C41" s="233"/>
      <c r="E41" s="235"/>
      <c r="I41" s="233"/>
      <c r="K41" s="241"/>
    </row>
    <row r="42" spans="1:18" x14ac:dyDescent="0.25">
      <c r="A42" s="226" t="s">
        <v>8</v>
      </c>
      <c r="C42" s="233"/>
      <c r="E42" s="235"/>
      <c r="I42" s="233"/>
      <c r="K42" s="241">
        <f>MEDIAN(K22:K36)</f>
        <v>0.10503000000000001</v>
      </c>
    </row>
    <row r="43" spans="1:18" ht="16.5" thickBot="1" x14ac:dyDescent="0.3">
      <c r="A43" s="243"/>
      <c r="B43" s="243"/>
      <c r="C43" s="244"/>
      <c r="D43" s="243"/>
      <c r="E43" s="245"/>
      <c r="F43" s="243"/>
      <c r="G43" s="243"/>
      <c r="H43" s="243"/>
      <c r="I43" s="244"/>
      <c r="J43" s="243"/>
      <c r="K43" s="246"/>
    </row>
    <row r="44" spans="1:18" ht="16.5" thickTop="1" x14ac:dyDescent="0.25">
      <c r="C44" s="233"/>
      <c r="E44" s="235"/>
      <c r="I44" s="233"/>
      <c r="K44" s="236"/>
    </row>
    <row r="45" spans="1:18" x14ac:dyDescent="0.25">
      <c r="C45" s="233"/>
      <c r="E45" s="235"/>
      <c r="I45" s="233"/>
      <c r="K45" s="236"/>
    </row>
    <row r="46" spans="1:18" x14ac:dyDescent="0.25">
      <c r="A46" s="226" t="s">
        <v>1451</v>
      </c>
      <c r="I46" s="234"/>
    </row>
    <row r="47" spans="1:18" x14ac:dyDescent="0.25">
      <c r="A47" s="226" t="s">
        <v>1306</v>
      </c>
      <c r="I47" s="234"/>
    </row>
    <row r="48" spans="1:18" x14ac:dyDescent="0.25">
      <c r="I48" s="234"/>
    </row>
    <row r="49" spans="3:5" x14ac:dyDescent="0.25">
      <c r="C49" s="300" t="s">
        <v>1307</v>
      </c>
      <c r="D49" s="300"/>
      <c r="E49" s="300"/>
    </row>
    <row r="50" spans="3:5" x14ac:dyDescent="0.25">
      <c r="C50" s="247" t="s">
        <v>1308</v>
      </c>
      <c r="E50" s="234" t="s">
        <v>1309</v>
      </c>
    </row>
    <row r="51" spans="3:5" x14ac:dyDescent="0.25">
      <c r="C51" s="248">
        <v>45047</v>
      </c>
      <c r="E51" s="233">
        <v>3.9600000000000003E-2</v>
      </c>
    </row>
    <row r="52" spans="3:5" x14ac:dyDescent="0.25">
      <c r="C52" s="248">
        <v>45078</v>
      </c>
      <c r="E52" s="233">
        <v>4.0399999999999998E-2</v>
      </c>
    </row>
    <row r="53" spans="3:5" x14ac:dyDescent="0.25">
      <c r="C53" s="249" t="s">
        <v>1310</v>
      </c>
      <c r="E53" s="233">
        <v>4.1500000000000002E-2</v>
      </c>
    </row>
    <row r="54" spans="3:5" x14ac:dyDescent="0.25">
      <c r="C54" s="250"/>
    </row>
    <row r="55" spans="3:5" x14ac:dyDescent="0.25">
      <c r="C55" s="251" t="s">
        <v>105</v>
      </c>
      <c r="E55" s="233">
        <f>AVERAGE(E51:E53)</f>
        <v>4.0500000000000001E-2</v>
      </c>
    </row>
  </sheetData>
  <mergeCells count="1">
    <mergeCell ref="C49:E49"/>
  </mergeCells>
  <printOptions horizontalCentered="1"/>
  <pageMargins left="0.75" right="0.75" top="1" bottom="1" header="0.5" footer="0.5"/>
  <pageSetup scale="75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A9EF833-BD61-4572-91BE-CDFF092B81D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7dde0d2-8c6c-490b-946e-18dafc1970d9"/>
    <ds:schemaRef ds:uri="d20c5dee-25dc-455a-aba9-b3b8034987f4"/>
  </ds:schemaRefs>
</ds:datastoreItem>
</file>

<file path=customXml/itemProps2.xml><?xml version="1.0" encoding="utf-8"?>
<ds:datastoreItem xmlns:ds="http://schemas.openxmlformats.org/officeDocument/2006/customXml" ds:itemID="{6EF03380-E467-4CF0-AAF3-B62D20DA80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4B6F3E-9E56-428E-90AF-897B9236EF53}"/>
</file>

<file path=customXml/itemProps4.xml><?xml version="1.0" encoding="utf-8"?>
<ds:datastoreItem xmlns:ds="http://schemas.openxmlformats.org/officeDocument/2006/customXml" ds:itemID="{23A846D0-A8DD-4CC8-AC32-D766AA7A9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AEB-16 Sum</vt:lpstr>
      <vt:lpstr>AEB-17 CGDCF</vt:lpstr>
      <vt:lpstr>AEB-18 CAPM</vt:lpstr>
      <vt:lpstr>AEB-19 LT Beta</vt:lpstr>
      <vt:lpstr>AEB-20 MktRet</vt:lpstr>
      <vt:lpstr>AEB-21 RiskPrem</vt:lpstr>
      <vt:lpstr>AEB-22 ExpEarns</vt:lpstr>
      <vt:lpstr>AEB-23 AdjWoolridgeDCF</vt:lpstr>
      <vt:lpstr>AEB-24 AdjParcellCAPM</vt:lpstr>
      <vt:lpstr>AEB-25 MV DtoE</vt:lpstr>
      <vt:lpstr>'AEB-16 Sum'!Print_Area</vt:lpstr>
      <vt:lpstr>'AEB-17 CGDCF'!Print_Area</vt:lpstr>
      <vt:lpstr>'AEB-18 CAPM'!Print_Area</vt:lpstr>
      <vt:lpstr>'AEB-19 LT Beta'!Print_Area</vt:lpstr>
      <vt:lpstr>'AEB-20 MktRet'!Print_Area</vt:lpstr>
      <vt:lpstr>'AEB-21 RiskPrem'!Print_Area</vt:lpstr>
      <vt:lpstr>'AEB-22 ExpEarns'!Print_Area</vt:lpstr>
      <vt:lpstr>'AEB-24 AdjParcellCAPM'!Print_Area</vt:lpstr>
      <vt:lpstr>'AEB-25 MV DtoE'!Print_Area</vt:lpstr>
      <vt:lpstr>'AEB-20 MktRet'!Print_Titles</vt:lpstr>
      <vt:lpstr>'AEB-25 MV DtoE'!Print_Titles</vt:lpstr>
    </vt:vector>
  </TitlesOfParts>
  <Company>The Brattle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Chris</dc:creator>
  <cp:lastModifiedBy>Meyer, Carrie (PacifiCorp)</cp:lastModifiedBy>
  <cp:lastPrinted>2023-10-26T05:07:54Z</cp:lastPrinted>
  <dcterms:created xsi:type="dcterms:W3CDTF">2023-01-09T15:57:29Z</dcterms:created>
  <dcterms:modified xsi:type="dcterms:W3CDTF">2023-10-26T05:08:45Z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{3155D51E-2321-4BAE-BB90-F357296310A5}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