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2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ustomProperty2.bin" ContentType="application/vnd.openxmlformats-officedocument.spreadsheetml.customProperty"/>
  <Override PartName="/xl/customProperty13.bin" ContentType="application/vnd.openxmlformats-officedocument.spreadsheetml.customProperty"/>
  <Override PartName="/xl/customProperty5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3.bin" ContentType="application/vnd.openxmlformats-officedocument.spreadsheetml.customProperty"/>
  <Override PartName="/xl/customProperty20.bin" ContentType="application/vnd.openxmlformats-officedocument.spreadsheetml.customProperty"/>
  <Override PartName="/xl/customProperty19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Subject to Refund Annual Review\2024 Report\"/>
    </mc:Choice>
  </mc:AlternateContent>
  <bookViews>
    <workbookView xWindow="0" yWindow="0" windowWidth="19200" windowHeight="6540" tabRatio="867"/>
  </bookViews>
  <sheets>
    <sheet name="Source Data - Act v Plan by WBS" sheetId="17" r:id="rId1"/>
    <sheet name="Report Tables--&gt;" sheetId="25" r:id="rId2"/>
    <sheet name="STR RR Recalc (Table 1)" sheetId="11" r:id="rId3"/>
    <sheet name="Gross Plant Compare (Table 2)" sheetId="14" r:id="rId4"/>
    <sheet name="Variance Summary (Table 3)" sheetId="15" r:id="rId5"/>
    <sheet name="Electric Closings Summary" sheetId="1" r:id="rId6"/>
    <sheet name="Gas Closings Summary" sheetId="7" r:id="rId7"/>
    <sheet name="Rev Req Comparison" sheetId="8" r:id="rId8"/>
    <sheet name="2022 GRC SEF-23 Adds" sheetId="34" r:id="rId9"/>
    <sheet name="2022 GRC SEF-23 Retires" sheetId="33" r:id="rId10"/>
    <sheet name="2022 GRC SEF-24 Adds" sheetId="31" r:id="rId11"/>
    <sheet name="2022 GRC SEF-24 Retires" sheetId="32" r:id="rId12"/>
    <sheet name="Att D Tables--&gt;" sheetId="26" r:id="rId13"/>
    <sheet name="Att D Table" sheetId="16" r:id="rId14"/>
    <sheet name="Reconcile JAK-5 22 GRC" sheetId="36" r:id="rId15"/>
    <sheet name="Reconcile 2023 Actual GP&amp;Adds" sheetId="35" r:id="rId16"/>
    <sheet name="Ops Detail for Rpt" sheetId="20" r:id="rId17"/>
    <sheet name="Addtl Info--&gt;" sheetId="27" r:id="rId18"/>
    <sheet name="Ops Detail" sheetId="22" r:id="rId19"/>
    <sheet name="Ops Explain Table" sheetId="23" r:id="rId20"/>
    <sheet name="Eng ES Stlmt Chg" sheetId="24" r:id="rId21"/>
    <sheet name="SEF-23" sheetId="12" r:id="rId22"/>
    <sheet name="SEF-24" sheetId="13" r:id="rId23"/>
    <sheet name="2023 YE Gross Plant Detail" sheetId="2" r:id="rId24"/>
    <sheet name="2023 YE Accum Depr Detail" sheetId="3" r:id="rId25"/>
    <sheet name="2023 YE Def Tax Detail" sheetId="4" r:id="rId26"/>
    <sheet name="2023 YE Depr Expense" sheetId="5" r:id="rId27"/>
    <sheet name="2023 Retirement Depr Adj" sheetId="9" r:id="rId28"/>
    <sheet name="RB Act v Rates" sheetId="29" r:id="rId29"/>
  </sheets>
  <definedNames>
    <definedName name="_xlnm._FilterDatabase" localSheetId="0" hidden="1">'Source Data - Act v Plan by WBS'!$A$4:$K$456</definedName>
  </definedNames>
  <calcPr calcId="162913"/>
  <pivotCaches>
    <pivotCache cacheId="49" r:id="rId30"/>
    <pivotCache cacheId="53" r:id="rId3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4" i="17" l="1"/>
  <c r="E20" i="14" s="1"/>
  <c r="I454" i="17"/>
  <c r="E19" i="14" s="1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54" i="17" l="1"/>
  <c r="E21" i="14"/>
  <c r="I456" i="17" l="1"/>
  <c r="I455" i="17"/>
  <c r="C7" i="36"/>
  <c r="C6" i="36"/>
  <c r="C5" i="36"/>
  <c r="H455" i="17"/>
  <c r="H456" i="17" s="1"/>
  <c r="Q750" i="35"/>
  <c r="Q751" i="35" s="1"/>
  <c r="O8" i="8"/>
  <c r="L8" i="8"/>
  <c r="B748" i="35"/>
  <c r="Q747" i="35"/>
  <c r="P747" i="35"/>
  <c r="O747" i="35"/>
  <c r="N747" i="35"/>
  <c r="M747" i="35"/>
  <c r="L747" i="35"/>
  <c r="K747" i="35"/>
  <c r="J747" i="35"/>
  <c r="I747" i="35"/>
  <c r="H747" i="35"/>
  <c r="G747" i="35"/>
  <c r="F747" i="35"/>
  <c r="E747" i="35"/>
  <c r="Q748" i="35" s="1"/>
  <c r="B746" i="35"/>
  <c r="B745" i="35"/>
  <c r="B744" i="35"/>
  <c r="B743" i="35"/>
  <c r="B742" i="35"/>
  <c r="B741" i="35"/>
  <c r="B740" i="35"/>
  <c r="B739" i="35"/>
  <c r="B738" i="35"/>
  <c r="B737" i="35"/>
  <c r="B736" i="35"/>
  <c r="B735" i="35"/>
  <c r="B734" i="35"/>
  <c r="B733" i="35"/>
  <c r="B732" i="35"/>
  <c r="B731" i="35"/>
  <c r="B730" i="35"/>
  <c r="B729" i="35"/>
  <c r="B728" i="35"/>
  <c r="B727" i="35"/>
  <c r="B726" i="35"/>
  <c r="B725" i="35"/>
  <c r="B724" i="35"/>
  <c r="B723" i="35"/>
  <c r="B722" i="35"/>
  <c r="B721" i="35"/>
  <c r="B720" i="35"/>
  <c r="B719" i="35"/>
  <c r="B718" i="35"/>
  <c r="B717" i="35"/>
  <c r="B716" i="35"/>
  <c r="B715" i="35"/>
  <c r="B714" i="35"/>
  <c r="B713" i="35"/>
  <c r="B712" i="35"/>
  <c r="B711" i="35"/>
  <c r="B710" i="35"/>
  <c r="B709" i="35"/>
  <c r="B708" i="35"/>
  <c r="B707" i="35"/>
  <c r="B706" i="35"/>
  <c r="B705" i="35"/>
  <c r="B704" i="35"/>
  <c r="B703" i="35"/>
  <c r="B702" i="35"/>
  <c r="B701" i="35"/>
  <c r="B700" i="35"/>
  <c r="B699" i="35"/>
  <c r="B698" i="35"/>
  <c r="B697" i="35"/>
  <c r="B696" i="35"/>
  <c r="B695" i="35"/>
  <c r="B694" i="35"/>
  <c r="B693" i="35"/>
  <c r="B692" i="35"/>
  <c r="B691" i="35"/>
  <c r="B690" i="35"/>
  <c r="B689" i="35"/>
  <c r="B688" i="35"/>
  <c r="B687" i="35"/>
  <c r="B686" i="35"/>
  <c r="B685" i="35"/>
  <c r="B684" i="35"/>
  <c r="B683" i="35"/>
  <c r="B682" i="35"/>
  <c r="B681" i="35"/>
  <c r="B680" i="35"/>
  <c r="B679" i="35"/>
  <c r="B678" i="35"/>
  <c r="B677" i="35"/>
  <c r="B676" i="35"/>
  <c r="B675" i="35"/>
  <c r="B674" i="35"/>
  <c r="B673" i="35"/>
  <c r="B672" i="35"/>
  <c r="B671" i="35"/>
  <c r="B670" i="35"/>
  <c r="B669" i="35"/>
  <c r="B668" i="35"/>
  <c r="B667" i="35"/>
  <c r="B666" i="35"/>
  <c r="B665" i="35"/>
  <c r="B664" i="35"/>
  <c r="B663" i="35"/>
  <c r="B662" i="35"/>
  <c r="B661" i="35"/>
  <c r="B660" i="35"/>
  <c r="B659" i="35"/>
  <c r="B658" i="35"/>
  <c r="B657" i="35"/>
  <c r="B656" i="35"/>
  <c r="B655" i="35"/>
  <c r="B654" i="35"/>
  <c r="B653" i="35"/>
  <c r="B652" i="35"/>
  <c r="B651" i="35"/>
  <c r="B650" i="35"/>
  <c r="B649" i="35"/>
  <c r="B648" i="35"/>
  <c r="B647" i="35"/>
  <c r="B646" i="35"/>
  <c r="B645" i="35"/>
  <c r="B644" i="35"/>
  <c r="B643" i="35"/>
  <c r="B642" i="35"/>
  <c r="B641" i="35"/>
  <c r="B640" i="35"/>
  <c r="B639" i="35"/>
  <c r="B638" i="35"/>
  <c r="B637" i="35"/>
  <c r="B636" i="35"/>
  <c r="B635" i="35"/>
  <c r="B634" i="35"/>
  <c r="B633" i="35"/>
  <c r="B632" i="35"/>
  <c r="B631" i="35"/>
  <c r="B630" i="35"/>
  <c r="B629" i="35"/>
  <c r="B628" i="35"/>
  <c r="B627" i="35"/>
  <c r="B626" i="35"/>
  <c r="B625" i="35"/>
  <c r="B624" i="35"/>
  <c r="B623" i="35"/>
  <c r="B622" i="35"/>
  <c r="B621" i="35"/>
  <c r="B620" i="35"/>
  <c r="B619" i="35"/>
  <c r="B618" i="35"/>
  <c r="B617" i="35"/>
  <c r="B616" i="35"/>
  <c r="B615" i="35"/>
  <c r="B614" i="35"/>
  <c r="B613" i="35"/>
  <c r="B612" i="35"/>
  <c r="B611" i="35"/>
  <c r="B610" i="35"/>
  <c r="B609" i="35"/>
  <c r="B608" i="35"/>
  <c r="B607" i="35"/>
  <c r="B606" i="35"/>
  <c r="B605" i="35"/>
  <c r="B604" i="35"/>
  <c r="B603" i="35"/>
  <c r="B602" i="35"/>
  <c r="B601" i="35"/>
  <c r="B600" i="35"/>
  <c r="B599" i="35"/>
  <c r="B598" i="35"/>
  <c r="B597" i="35"/>
  <c r="B596" i="35"/>
  <c r="B595" i="35"/>
  <c r="B594" i="35"/>
  <c r="B593" i="35"/>
  <c r="B592" i="35"/>
  <c r="B591" i="35"/>
  <c r="B590" i="35"/>
  <c r="B589" i="35"/>
  <c r="B588" i="35"/>
  <c r="B587" i="35"/>
  <c r="B586" i="35"/>
  <c r="B585" i="35"/>
  <c r="B584" i="35"/>
  <c r="B583" i="35"/>
  <c r="B582" i="35"/>
  <c r="B581" i="35"/>
  <c r="B580" i="35"/>
  <c r="B579" i="35"/>
  <c r="B578" i="35"/>
  <c r="B577" i="35"/>
  <c r="B576" i="35"/>
  <c r="B575" i="35"/>
  <c r="B574" i="35"/>
  <c r="B573" i="35"/>
  <c r="B572" i="35"/>
  <c r="B571" i="35"/>
  <c r="B570" i="35"/>
  <c r="B569" i="35"/>
  <c r="B568" i="35"/>
  <c r="B567" i="35"/>
  <c r="B566" i="35"/>
  <c r="B565" i="35"/>
  <c r="B564" i="35"/>
  <c r="B563" i="35"/>
  <c r="B562" i="35"/>
  <c r="B561" i="35"/>
  <c r="B560" i="35"/>
  <c r="B559" i="35"/>
  <c r="B558" i="35"/>
  <c r="B557" i="35"/>
  <c r="B556" i="35"/>
  <c r="B555" i="35"/>
  <c r="B554" i="35"/>
  <c r="B553" i="35"/>
  <c r="B552" i="35"/>
  <c r="B551" i="35"/>
  <c r="B550" i="35"/>
  <c r="B549" i="35"/>
  <c r="B548" i="35"/>
  <c r="B547" i="35"/>
  <c r="B546" i="35"/>
  <c r="B545" i="35"/>
  <c r="B544" i="35"/>
  <c r="B543" i="35"/>
  <c r="B542" i="35"/>
  <c r="B541" i="35"/>
  <c r="B540" i="35"/>
  <c r="B539" i="35"/>
  <c r="B538" i="35"/>
  <c r="B537" i="35"/>
  <c r="B536" i="35"/>
  <c r="B535" i="35"/>
  <c r="B534" i="35"/>
  <c r="B533" i="35"/>
  <c r="B532" i="35"/>
  <c r="B531" i="35"/>
  <c r="B530" i="35"/>
  <c r="B529" i="35"/>
  <c r="B528" i="35"/>
  <c r="B527" i="35"/>
  <c r="B526" i="35"/>
  <c r="B525" i="35"/>
  <c r="B524" i="35"/>
  <c r="B523" i="35"/>
  <c r="B522" i="35"/>
  <c r="B521" i="35"/>
  <c r="B520" i="35"/>
  <c r="B519" i="35"/>
  <c r="B518" i="35"/>
  <c r="B517" i="35"/>
  <c r="B516" i="35"/>
  <c r="B515" i="35"/>
  <c r="B514" i="35"/>
  <c r="B513" i="35"/>
  <c r="B512" i="35"/>
  <c r="B511" i="35"/>
  <c r="B510" i="35"/>
  <c r="B509" i="35"/>
  <c r="B508" i="35"/>
  <c r="B507" i="35"/>
  <c r="B506" i="35"/>
  <c r="B505" i="35"/>
  <c r="B504" i="35"/>
  <c r="B503" i="35"/>
  <c r="B502" i="35"/>
  <c r="B501" i="35"/>
  <c r="B500" i="35"/>
  <c r="B499" i="35"/>
  <c r="B498" i="35"/>
  <c r="B497" i="35"/>
  <c r="B496" i="35"/>
  <c r="B495" i="35"/>
  <c r="B494" i="35"/>
  <c r="B493" i="35"/>
  <c r="B492" i="35"/>
  <c r="B491" i="35"/>
  <c r="B490" i="35"/>
  <c r="B489" i="35"/>
  <c r="B488" i="35"/>
  <c r="B487" i="35"/>
  <c r="B486" i="35"/>
  <c r="B485" i="35"/>
  <c r="B484" i="35"/>
  <c r="B483" i="35"/>
  <c r="B482" i="35"/>
  <c r="B481" i="35"/>
  <c r="B480" i="35"/>
  <c r="B479" i="35"/>
  <c r="B478" i="35"/>
  <c r="B477" i="35"/>
  <c r="B476" i="35"/>
  <c r="B475" i="35"/>
  <c r="B474" i="35"/>
  <c r="B473" i="35"/>
  <c r="B472" i="35"/>
  <c r="B471" i="35"/>
  <c r="B470" i="35"/>
  <c r="B469" i="35"/>
  <c r="B468" i="35"/>
  <c r="B467" i="35"/>
  <c r="B466" i="35"/>
  <c r="B465" i="35"/>
  <c r="B464" i="35"/>
  <c r="B463" i="35"/>
  <c r="B462" i="35"/>
  <c r="B461" i="35"/>
  <c r="B460" i="35"/>
  <c r="B459" i="35"/>
  <c r="B458" i="35"/>
  <c r="B457" i="35"/>
  <c r="B456" i="35"/>
  <c r="B455" i="35"/>
  <c r="B454" i="35"/>
  <c r="B453" i="35"/>
  <c r="B452" i="35"/>
  <c r="B451" i="35"/>
  <c r="B450" i="35"/>
  <c r="B449" i="35"/>
  <c r="B448" i="35"/>
  <c r="B447" i="35"/>
  <c r="B446" i="35"/>
  <c r="B445" i="35"/>
  <c r="B444" i="35"/>
  <c r="B443" i="35"/>
  <c r="B442" i="35"/>
  <c r="B441" i="35"/>
  <c r="B440" i="35"/>
  <c r="B439" i="35"/>
  <c r="B438" i="35"/>
  <c r="B437" i="35"/>
  <c r="B436" i="35"/>
  <c r="B435" i="35"/>
  <c r="B434" i="35"/>
  <c r="B433" i="35"/>
  <c r="B432" i="35"/>
  <c r="B431" i="35"/>
  <c r="B430" i="35"/>
  <c r="B429" i="35"/>
  <c r="B428" i="35"/>
  <c r="B427" i="35"/>
  <c r="B426" i="35"/>
  <c r="B425" i="35"/>
  <c r="B424" i="35"/>
  <c r="B423" i="35"/>
  <c r="B422" i="35"/>
  <c r="B421" i="35"/>
  <c r="B420" i="35"/>
  <c r="B419" i="35"/>
  <c r="B418" i="35"/>
  <c r="B417" i="35"/>
  <c r="B416" i="35"/>
  <c r="B415" i="35"/>
  <c r="B414" i="35"/>
  <c r="B413" i="35"/>
  <c r="B412" i="35"/>
  <c r="B411" i="35"/>
  <c r="B410" i="35"/>
  <c r="B409" i="35"/>
  <c r="B408" i="35"/>
  <c r="B407" i="35"/>
  <c r="B406" i="35"/>
  <c r="B405" i="35"/>
  <c r="B404" i="35"/>
  <c r="B403" i="35"/>
  <c r="B402" i="35"/>
  <c r="B401" i="35"/>
  <c r="B400" i="35"/>
  <c r="B399" i="35"/>
  <c r="B398" i="35"/>
  <c r="B397" i="35"/>
  <c r="B396" i="35"/>
  <c r="B395" i="35"/>
  <c r="B394" i="35"/>
  <c r="B393" i="35"/>
  <c r="B392" i="35"/>
  <c r="B391" i="35"/>
  <c r="B390" i="35"/>
  <c r="B389" i="35"/>
  <c r="B388" i="35"/>
  <c r="B387" i="35"/>
  <c r="B386" i="35"/>
  <c r="B385" i="35"/>
  <c r="B384" i="35"/>
  <c r="B383" i="35"/>
  <c r="B382" i="35"/>
  <c r="B381" i="35"/>
  <c r="B380" i="35"/>
  <c r="B379" i="35"/>
  <c r="B378" i="35"/>
  <c r="B377" i="35"/>
  <c r="B376" i="35"/>
  <c r="B375" i="35"/>
  <c r="B374" i="35"/>
  <c r="B373" i="35"/>
  <c r="B372" i="35"/>
  <c r="B371" i="35"/>
  <c r="B370" i="35"/>
  <c r="B369" i="35"/>
  <c r="B368" i="35"/>
  <c r="B367" i="35"/>
  <c r="B366" i="35"/>
  <c r="B365" i="35"/>
  <c r="B364" i="35"/>
  <c r="B363" i="35"/>
  <c r="B362" i="35"/>
  <c r="B361" i="35"/>
  <c r="B360" i="35"/>
  <c r="B359" i="35"/>
  <c r="B358" i="35"/>
  <c r="B357" i="35"/>
  <c r="B356" i="35"/>
  <c r="B355" i="35"/>
  <c r="B354" i="35"/>
  <c r="B353" i="35"/>
  <c r="B352" i="35"/>
  <c r="B351" i="35"/>
  <c r="B350" i="35"/>
  <c r="B349" i="35"/>
  <c r="B348" i="35"/>
  <c r="B347" i="35"/>
  <c r="B346" i="35"/>
  <c r="B345" i="35"/>
  <c r="B344" i="35"/>
  <c r="B343" i="35"/>
  <c r="B342" i="35"/>
  <c r="B341" i="35"/>
  <c r="B340" i="35"/>
  <c r="B339" i="35"/>
  <c r="B338" i="35"/>
  <c r="B337" i="35"/>
  <c r="B336" i="35"/>
  <c r="B335" i="35"/>
  <c r="B334" i="35"/>
  <c r="B333" i="35"/>
  <c r="B332" i="35"/>
  <c r="B331" i="35"/>
  <c r="B330" i="35"/>
  <c r="B329" i="35"/>
  <c r="B328" i="35"/>
  <c r="B327" i="35"/>
  <c r="B326" i="35"/>
  <c r="B325" i="35"/>
  <c r="B324" i="35"/>
  <c r="B323" i="35"/>
  <c r="B322" i="35"/>
  <c r="B321" i="35"/>
  <c r="B320" i="35"/>
  <c r="B319" i="35"/>
  <c r="B318" i="35"/>
  <c r="B317" i="35"/>
  <c r="B316" i="35"/>
  <c r="B315" i="35"/>
  <c r="B314" i="35"/>
  <c r="B313" i="35"/>
  <c r="B312" i="35"/>
  <c r="B311" i="35"/>
  <c r="B310" i="35"/>
  <c r="B309" i="35"/>
  <c r="B308" i="35"/>
  <c r="B307" i="35"/>
  <c r="B306" i="35"/>
  <c r="B305" i="35"/>
  <c r="B304" i="35"/>
  <c r="B303" i="35"/>
  <c r="B302" i="35"/>
  <c r="B301" i="35"/>
  <c r="B300" i="35"/>
  <c r="B299" i="35"/>
  <c r="B298" i="35"/>
  <c r="B297" i="35"/>
  <c r="B296" i="35"/>
  <c r="B295" i="35"/>
  <c r="B294" i="35"/>
  <c r="B293" i="35"/>
  <c r="B292" i="35"/>
  <c r="B291" i="35"/>
  <c r="B290" i="35"/>
  <c r="B289" i="35"/>
  <c r="B288" i="35"/>
  <c r="B287" i="35"/>
  <c r="B286" i="35"/>
  <c r="B285" i="35"/>
  <c r="B284" i="35"/>
  <c r="B283" i="35"/>
  <c r="B282" i="35"/>
  <c r="B281" i="35"/>
  <c r="B280" i="35"/>
  <c r="B279" i="35"/>
  <c r="B278" i="35"/>
  <c r="B277" i="35"/>
  <c r="B276" i="35"/>
  <c r="B275" i="35"/>
  <c r="B274" i="35"/>
  <c r="B273" i="35"/>
  <c r="B272" i="35"/>
  <c r="B271" i="35"/>
  <c r="B270" i="35"/>
  <c r="B269" i="35"/>
  <c r="B268" i="35"/>
  <c r="B267" i="35"/>
  <c r="B266" i="35"/>
  <c r="B265" i="35"/>
  <c r="B264" i="35"/>
  <c r="B263" i="35"/>
  <c r="B262" i="35"/>
  <c r="B261" i="35"/>
  <c r="B260" i="35"/>
  <c r="B259" i="35"/>
  <c r="B258" i="35"/>
  <c r="B257" i="35"/>
  <c r="B256" i="35"/>
  <c r="B255" i="35"/>
  <c r="B254" i="35"/>
  <c r="B253" i="35"/>
  <c r="B252" i="35"/>
  <c r="B251" i="35"/>
  <c r="B250" i="35"/>
  <c r="B249" i="35"/>
  <c r="B248" i="35"/>
  <c r="B247" i="35"/>
  <c r="B246" i="35"/>
  <c r="B245" i="35"/>
  <c r="B244" i="35"/>
  <c r="B243" i="35"/>
  <c r="B242" i="35"/>
  <c r="B241" i="35"/>
  <c r="B240" i="35"/>
  <c r="B239" i="35"/>
  <c r="B238" i="35"/>
  <c r="B237" i="35"/>
  <c r="B236" i="35"/>
  <c r="B235" i="35"/>
  <c r="B234" i="35"/>
  <c r="B233" i="35"/>
  <c r="B232" i="35"/>
  <c r="B231" i="35"/>
  <c r="B230" i="35"/>
  <c r="B229" i="35"/>
  <c r="B228" i="35"/>
  <c r="B227" i="35"/>
  <c r="B226" i="35"/>
  <c r="B225" i="35"/>
  <c r="B224" i="35"/>
  <c r="B223" i="35"/>
  <c r="B222" i="35"/>
  <c r="B221" i="35"/>
  <c r="B220" i="35"/>
  <c r="B219" i="35"/>
  <c r="B218" i="35"/>
  <c r="B217" i="35"/>
  <c r="B216" i="35"/>
  <c r="B215" i="35"/>
  <c r="B214" i="35"/>
  <c r="B213" i="35"/>
  <c r="B212" i="35"/>
  <c r="B211" i="35"/>
  <c r="B210" i="35"/>
  <c r="B209" i="35"/>
  <c r="B208" i="35"/>
  <c r="B207" i="35"/>
  <c r="B206" i="35"/>
  <c r="B205" i="35"/>
  <c r="B204" i="35"/>
  <c r="B203" i="35"/>
  <c r="B202" i="35"/>
  <c r="B201" i="35"/>
  <c r="B200" i="35"/>
  <c r="B199" i="35"/>
  <c r="B198" i="35"/>
  <c r="B197" i="35"/>
  <c r="B196" i="35"/>
  <c r="B195" i="35"/>
  <c r="B194" i="35"/>
  <c r="B193" i="35"/>
  <c r="B192" i="35"/>
  <c r="B191" i="35"/>
  <c r="B190" i="35"/>
  <c r="B189" i="35"/>
  <c r="B188" i="35"/>
  <c r="B187" i="35"/>
  <c r="B186" i="35"/>
  <c r="B185" i="35"/>
  <c r="B184" i="35"/>
  <c r="B183" i="35"/>
  <c r="B182" i="35"/>
  <c r="B181" i="35"/>
  <c r="B180" i="35"/>
  <c r="B179" i="35"/>
  <c r="B178" i="35"/>
  <c r="B177" i="35"/>
  <c r="B176" i="35"/>
  <c r="B175" i="35"/>
  <c r="B174" i="35"/>
  <c r="B173" i="35"/>
  <c r="B172" i="35"/>
  <c r="B171" i="35"/>
  <c r="B170" i="35"/>
  <c r="B169" i="35"/>
  <c r="B168" i="35"/>
  <c r="B167" i="35"/>
  <c r="B166" i="35"/>
  <c r="B165" i="35"/>
  <c r="B164" i="35"/>
  <c r="B163" i="35"/>
  <c r="B162" i="35"/>
  <c r="B161" i="35"/>
  <c r="B160" i="35"/>
  <c r="B159" i="35"/>
  <c r="B158" i="35"/>
  <c r="B157" i="35"/>
  <c r="B156" i="35"/>
  <c r="B155" i="35"/>
  <c r="B154" i="35"/>
  <c r="B153" i="35"/>
  <c r="B152" i="35"/>
  <c r="B151" i="35"/>
  <c r="B150" i="35"/>
  <c r="B149" i="35"/>
  <c r="B148" i="35"/>
  <c r="B147" i="35"/>
  <c r="B146" i="35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747" i="35" s="1"/>
  <c r="B749" i="35" s="1"/>
  <c r="Q749" i="35" l="1"/>
  <c r="C20" i="8" l="1"/>
  <c r="C19" i="8"/>
  <c r="C18" i="8"/>
  <c r="C17" i="8"/>
  <c r="C13" i="8"/>
  <c r="C12" i="8"/>
  <c r="C10" i="8"/>
  <c r="C9" i="8"/>
  <c r="C8" i="8"/>
  <c r="H20" i="8" l="1"/>
  <c r="H19" i="8"/>
  <c r="H18" i="8"/>
  <c r="H17" i="8"/>
  <c r="H13" i="8" l="1"/>
  <c r="H12" i="8" l="1"/>
  <c r="H10" i="8"/>
  <c r="H9" i="8"/>
  <c r="H8" i="8"/>
  <c r="C14" i="29" l="1"/>
  <c r="AH17" i="29"/>
  <c r="AH16" i="29"/>
  <c r="C21" i="29" l="1"/>
  <c r="B21" i="29"/>
  <c r="C20" i="29"/>
  <c r="B20" i="29"/>
  <c r="C19" i="29"/>
  <c r="B19" i="29"/>
  <c r="D17" i="8" l="1"/>
  <c r="D10" i="8"/>
  <c r="D9" i="8"/>
  <c r="D8" i="8"/>
  <c r="G23" i="7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E30" i="1" l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A18" i="7"/>
  <c r="A19" i="7" s="1"/>
  <c r="A20" i="7" s="1"/>
  <c r="A21" i="7" s="1"/>
  <c r="A22" i="7" s="1"/>
  <c r="E19" i="7"/>
  <c r="D19" i="7"/>
  <c r="C19" i="7"/>
  <c r="E21" i="7"/>
  <c r="D21" i="7"/>
  <c r="C21" i="7"/>
  <c r="E20" i="7"/>
  <c r="D20" i="7"/>
  <c r="C20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A56" i="2"/>
  <c r="A57" i="2"/>
  <c r="A58" i="2"/>
  <c r="A59" i="2" s="1"/>
  <c r="A60" i="2" s="1"/>
  <c r="A61" i="2" s="1"/>
  <c r="A62" i="2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31" i="1"/>
  <c r="A27" i="1"/>
  <c r="A28" i="1"/>
  <c r="A29" i="1"/>
  <c r="A30" i="1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G31" i="1" l="1"/>
  <c r="D29" i="13"/>
  <c r="C29" i="13" s="1"/>
  <c r="E28" i="13"/>
  <c r="C28" i="13"/>
  <c r="E31" i="12"/>
  <c r="C30" i="12"/>
  <c r="D31" i="12"/>
  <c r="D29" i="12"/>
  <c r="E29" i="12" s="1"/>
  <c r="E30" i="12" s="1"/>
  <c r="D28" i="13" l="1"/>
  <c r="F28" i="13" s="1"/>
  <c r="G28" i="13" s="1"/>
  <c r="D30" i="13"/>
  <c r="E29" i="13"/>
  <c r="E30" i="13" s="1"/>
  <c r="E31" i="13" s="1"/>
  <c r="D30" i="12"/>
  <c r="C29" i="12"/>
  <c r="B22" i="29"/>
  <c r="B13" i="29" s="1"/>
  <c r="C22" i="29"/>
  <c r="C13" i="29" s="1"/>
  <c r="D31" i="13" l="1"/>
  <c r="C30" i="13"/>
  <c r="C31" i="13" s="1"/>
  <c r="C15" i="29" l="1"/>
  <c r="C7" i="29" s="1"/>
  <c r="C9" i="29" s="1"/>
  <c r="B15" i="29"/>
  <c r="B7" i="29" s="1"/>
  <c r="B9" i="29" s="1"/>
  <c r="H9" i="24" l="1"/>
  <c r="G9" i="24"/>
  <c r="F9" i="24"/>
  <c r="E9" i="24"/>
  <c r="D9" i="24"/>
  <c r="C9" i="24"/>
  <c r="J27" i="20" l="1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I4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J28" i="20" l="1"/>
  <c r="I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AA12" i="16"/>
  <c r="Z12" i="16"/>
  <c r="AA11" i="16"/>
  <c r="Z11" i="16"/>
  <c r="AA10" i="16"/>
  <c r="Z10" i="16"/>
  <c r="AA9" i="16"/>
  <c r="Z9" i="16"/>
  <c r="AA8" i="16"/>
  <c r="Z8" i="16"/>
  <c r="AA7" i="16"/>
  <c r="Z7" i="16"/>
  <c r="AA6" i="16"/>
  <c r="Z6" i="16"/>
  <c r="V12" i="16"/>
  <c r="U12" i="16"/>
  <c r="V11" i="16"/>
  <c r="U11" i="16"/>
  <c r="V10" i="16"/>
  <c r="U10" i="16"/>
  <c r="V9" i="16"/>
  <c r="U9" i="16"/>
  <c r="V8" i="16"/>
  <c r="U8" i="16"/>
  <c r="V7" i="16"/>
  <c r="U7" i="16"/>
  <c r="V6" i="16"/>
  <c r="U6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K28" i="20" l="1"/>
  <c r="K30" i="20" s="1"/>
  <c r="AK12" i="16" l="1"/>
  <c r="AJ12" i="16"/>
  <c r="AK11" i="16"/>
  <c r="AE11" i="16"/>
  <c r="AF10" i="16"/>
  <c r="AE10" i="16"/>
  <c r="AJ9" i="16"/>
  <c r="AF8" i="16"/>
  <c r="AP8" i="16" s="1"/>
  <c r="AB8" i="16"/>
  <c r="AK7" i="16"/>
  <c r="I1" i="17"/>
  <c r="H1" i="17"/>
  <c r="AO11" i="16" l="1"/>
  <c r="AB12" i="16"/>
  <c r="AP10" i="16"/>
  <c r="W11" i="16"/>
  <c r="AB9" i="16"/>
  <c r="AB7" i="16"/>
  <c r="AT12" i="16"/>
  <c r="AF7" i="16"/>
  <c r="AP7" i="16" s="1"/>
  <c r="AF11" i="16"/>
  <c r="AP11" i="16" s="1"/>
  <c r="Z13" i="16"/>
  <c r="R9" i="16"/>
  <c r="AO10" i="16"/>
  <c r="AG10" i="16"/>
  <c r="V13" i="16"/>
  <c r="R8" i="16"/>
  <c r="AE8" i="16"/>
  <c r="AE12" i="16"/>
  <c r="AO12" i="16" s="1"/>
  <c r="AJ7" i="16"/>
  <c r="AT7" i="16" s="1"/>
  <c r="AK8" i="16"/>
  <c r="AU8" i="16" s="1"/>
  <c r="Q13" i="16"/>
  <c r="AA13" i="16"/>
  <c r="AJ6" i="16"/>
  <c r="R7" i="16"/>
  <c r="AF12" i="16"/>
  <c r="AP12" i="16" s="1"/>
  <c r="AJ8" i="16"/>
  <c r="AT8" i="16" s="1"/>
  <c r="AK9" i="16"/>
  <c r="AU9" i="16" s="1"/>
  <c r="R6" i="16"/>
  <c r="AE9" i="16"/>
  <c r="AO9" i="16" s="1"/>
  <c r="AK10" i="16"/>
  <c r="AU10" i="16" s="1"/>
  <c r="AF9" i="16"/>
  <c r="AP9" i="16" s="1"/>
  <c r="AJ10" i="16"/>
  <c r="U13" i="16"/>
  <c r="AB11" i="16"/>
  <c r="R12" i="16"/>
  <c r="AE6" i="16"/>
  <c r="AO6" i="16" s="1"/>
  <c r="AJ11" i="16"/>
  <c r="AT11" i="16" s="1"/>
  <c r="R11" i="16"/>
  <c r="AF6" i="16"/>
  <c r="AP6" i="16" s="1"/>
  <c r="AB10" i="16"/>
  <c r="R10" i="16"/>
  <c r="AE7" i="16"/>
  <c r="AO7" i="16" s="1"/>
  <c r="AK6" i="16"/>
  <c r="AU6" i="16" s="1"/>
  <c r="AL12" i="16"/>
  <c r="AU12" i="16"/>
  <c r="AB6" i="16"/>
  <c r="W10" i="16"/>
  <c r="W12" i="16"/>
  <c r="W7" i="16"/>
  <c r="W8" i="16"/>
  <c r="W9" i="16"/>
  <c r="W6" i="16"/>
  <c r="P13" i="16"/>
  <c r="AQ11" i="16" l="1"/>
  <c r="AQ10" i="16"/>
  <c r="R13" i="16"/>
  <c r="AV8" i="16"/>
  <c r="AQ9" i="16"/>
  <c r="AB13" i="16"/>
  <c r="AQ12" i="16"/>
  <c r="AL8" i="16"/>
  <c r="AE13" i="16"/>
  <c r="AG11" i="16"/>
  <c r="AQ7" i="16"/>
  <c r="AL6" i="16"/>
  <c r="AP13" i="16"/>
  <c r="E9" i="14" s="1"/>
  <c r="AO8" i="16"/>
  <c r="AG8" i="16"/>
  <c r="AT6" i="16"/>
  <c r="AG6" i="16"/>
  <c r="AG9" i="16"/>
  <c r="AQ6" i="16"/>
  <c r="AG7" i="16"/>
  <c r="AF13" i="16"/>
  <c r="AG12" i="16"/>
  <c r="AV12" i="16"/>
  <c r="AJ13" i="16"/>
  <c r="AT9" i="16"/>
  <c r="AL7" i="16"/>
  <c r="AL11" i="16"/>
  <c r="AU11" i="16"/>
  <c r="AK13" i="16"/>
  <c r="AU7" i="16"/>
  <c r="AL9" i="16"/>
  <c r="AL10" i="16"/>
  <c r="AT10" i="16"/>
  <c r="W13" i="16"/>
  <c r="AG13" i="16" l="1"/>
  <c r="AQ8" i="16"/>
  <c r="AO13" i="16"/>
  <c r="E10" i="14" s="1"/>
  <c r="E11" i="14" s="1"/>
  <c r="AV6" i="16"/>
  <c r="AV7" i="16"/>
  <c r="AV11" i="16"/>
  <c r="AL13" i="16"/>
  <c r="AV10" i="16"/>
  <c r="AV9" i="16"/>
  <c r="AT13" i="16"/>
  <c r="E15" i="14" s="1"/>
  <c r="AU13" i="16"/>
  <c r="E14" i="14" s="1"/>
  <c r="E16" i="14" l="1"/>
  <c r="AQ13" i="16"/>
  <c r="AV13" i="16"/>
  <c r="M11" i="16" l="1"/>
  <c r="AZ11" i="16" s="1"/>
  <c r="L11" i="16"/>
  <c r="AY11" i="16" s="1"/>
  <c r="K11" i="16"/>
  <c r="AX11" i="16" s="1"/>
  <c r="M10" i="16" l="1"/>
  <c r="L10" i="16"/>
  <c r="K10" i="16"/>
  <c r="M13" i="16"/>
  <c r="L13" i="16"/>
  <c r="K13" i="16"/>
  <c r="M12" i="16"/>
  <c r="AZ12" i="16" s="1"/>
  <c r="L12" i="16"/>
  <c r="AY12" i="16" s="1"/>
  <c r="K12" i="16"/>
  <c r="AX12" i="16" s="1"/>
  <c r="M9" i="16"/>
  <c r="AZ9" i="16" s="1"/>
  <c r="L9" i="16"/>
  <c r="AY9" i="16" s="1"/>
  <c r="K9" i="16"/>
  <c r="AX9" i="16" s="1"/>
  <c r="M8" i="16"/>
  <c r="AZ8" i="16" s="1"/>
  <c r="L8" i="16"/>
  <c r="AY8" i="16" s="1"/>
  <c r="K8" i="16"/>
  <c r="AX8" i="16" s="1"/>
  <c r="M7" i="16"/>
  <c r="AZ7" i="16" s="1"/>
  <c r="L7" i="16"/>
  <c r="AY7" i="16" s="1"/>
  <c r="K7" i="16"/>
  <c r="AX7" i="16" s="1"/>
  <c r="M6" i="16"/>
  <c r="AZ6" i="16" s="1"/>
  <c r="L6" i="16"/>
  <c r="AY6" i="16" s="1"/>
  <c r="K6" i="16"/>
  <c r="AX6" i="16" s="1"/>
  <c r="L5" i="16"/>
  <c r="K5" i="16"/>
  <c r="AX13" i="16" l="1"/>
  <c r="K17" i="16"/>
  <c r="AZ13" i="16"/>
  <c r="M17" i="16"/>
  <c r="AY13" i="16"/>
  <c r="L17" i="16"/>
  <c r="B2" i="20"/>
  <c r="B2" i="22"/>
  <c r="C2" i="20"/>
  <c r="C2" i="22"/>
  <c r="D2" i="20"/>
  <c r="D2" i="22"/>
  <c r="AX10" i="16"/>
  <c r="AY10" i="16"/>
  <c r="AZ10" i="16"/>
  <c r="J1" i="17"/>
  <c r="K16" i="16"/>
  <c r="L16" i="16"/>
  <c r="M16" i="16"/>
  <c r="K27" i="8" l="1"/>
  <c r="J11" i="8"/>
  <c r="D14" i="14"/>
  <c r="D9" i="14"/>
  <c r="D19" i="14" l="1"/>
  <c r="A28" i="9"/>
  <c r="A27" i="9"/>
  <c r="A26" i="9"/>
  <c r="A25" i="9"/>
  <c r="A24" i="9"/>
  <c r="A23" i="9"/>
  <c r="C22" i="9"/>
  <c r="C23" i="9" s="1"/>
  <c r="A22" i="9"/>
  <c r="F21" i="9"/>
  <c r="A21" i="9"/>
  <c r="A20" i="9"/>
  <c r="A19" i="9"/>
  <c r="A18" i="9"/>
  <c r="A17" i="9"/>
  <c r="A16" i="9"/>
  <c r="A15" i="9"/>
  <c r="A14" i="9"/>
  <c r="A13" i="9"/>
  <c r="C12" i="9"/>
  <c r="F12" i="9" s="1"/>
  <c r="F13" i="9" s="1"/>
  <c r="A12" i="9"/>
  <c r="F11" i="9"/>
  <c r="A11" i="9"/>
  <c r="F10" i="9"/>
  <c r="A10" i="9"/>
  <c r="A9" i="9"/>
  <c r="A8" i="9"/>
  <c r="A7" i="9"/>
  <c r="F6" i="9"/>
  <c r="A6" i="9"/>
  <c r="J62" i="5"/>
  <c r="E62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J62" i="4"/>
  <c r="E6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7" i="4"/>
  <c r="J62" i="3"/>
  <c r="E62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7" i="3"/>
  <c r="J62" i="2"/>
  <c r="E62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5" i="7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E25" i="13"/>
  <c r="D25" i="13"/>
  <c r="C25" i="13"/>
  <c r="A25" i="13"/>
  <c r="A24" i="13"/>
  <c r="E23" i="13"/>
  <c r="D23" i="13"/>
  <c r="A23" i="13"/>
  <c r="E22" i="13"/>
  <c r="D22" i="13"/>
  <c r="C22" i="13"/>
  <c r="A22" i="13"/>
  <c r="E21" i="13"/>
  <c r="D21" i="13"/>
  <c r="C21" i="13"/>
  <c r="A21" i="13"/>
  <c r="E20" i="13"/>
  <c r="D20" i="13"/>
  <c r="C20" i="13"/>
  <c r="A20" i="13"/>
  <c r="E19" i="13"/>
  <c r="D19" i="13"/>
  <c r="C19" i="13"/>
  <c r="A19" i="13"/>
  <c r="E18" i="13"/>
  <c r="D18" i="13"/>
  <c r="C18" i="13"/>
  <c r="A18" i="13"/>
  <c r="E17" i="13"/>
  <c r="D17" i="13"/>
  <c r="C17" i="13"/>
  <c r="A17" i="13"/>
  <c r="A16" i="13"/>
  <c r="A15" i="13"/>
  <c r="A14" i="13"/>
  <c r="A13" i="13"/>
  <c r="A12" i="13"/>
  <c r="A11" i="13"/>
  <c r="A10" i="13"/>
  <c r="A9" i="13"/>
  <c r="C25" i="12"/>
  <c r="A25" i="12"/>
  <c r="A24" i="12"/>
  <c r="A23" i="12"/>
  <c r="A22" i="12"/>
  <c r="A21" i="12"/>
  <c r="E20" i="12"/>
  <c r="D20" i="12"/>
  <c r="C20" i="12"/>
  <c r="A20" i="12"/>
  <c r="A19" i="12"/>
  <c r="E18" i="12"/>
  <c r="D18" i="12"/>
  <c r="C18" i="12"/>
  <c r="A18" i="12"/>
  <c r="E17" i="12"/>
  <c r="E19" i="12" s="1"/>
  <c r="D17" i="12"/>
  <c r="C17" i="12"/>
  <c r="A17" i="12"/>
  <c r="A16" i="12"/>
  <c r="A15" i="12"/>
  <c r="A14" i="12"/>
  <c r="A13" i="12"/>
  <c r="A12" i="12"/>
  <c r="A11" i="12"/>
  <c r="A10" i="12"/>
  <c r="A9" i="12"/>
  <c r="H34" i="8"/>
  <c r="C34" i="8"/>
  <c r="E15" i="11" s="1"/>
  <c r="F15" i="11" s="1"/>
  <c r="G15" i="11" s="1"/>
  <c r="A34" i="8"/>
  <c r="H33" i="8"/>
  <c r="C33" i="8"/>
  <c r="A33" i="8"/>
  <c r="H32" i="8"/>
  <c r="C32" i="8"/>
  <c r="A32" i="8"/>
  <c r="H31" i="8"/>
  <c r="C31" i="8"/>
  <c r="A31" i="8"/>
  <c r="A30" i="8"/>
  <c r="A29" i="8"/>
  <c r="A28" i="8"/>
  <c r="A27" i="8"/>
  <c r="A26" i="8"/>
  <c r="A25" i="8"/>
  <c r="A24" i="8"/>
  <c r="A23" i="8"/>
  <c r="A22" i="8"/>
  <c r="H21" i="8"/>
  <c r="C21" i="8"/>
  <c r="A21" i="8"/>
  <c r="A20" i="8"/>
  <c r="A19" i="8"/>
  <c r="A18" i="8"/>
  <c r="A17" i="8"/>
  <c r="A16" i="8"/>
  <c r="A15" i="8"/>
  <c r="H14" i="8"/>
  <c r="H8" i="11" s="1"/>
  <c r="H10" i="11" s="1"/>
  <c r="C14" i="8"/>
  <c r="E8" i="11" s="1"/>
  <c r="A14" i="8"/>
  <c r="I13" i="8"/>
  <c r="J13" i="8" s="1"/>
  <c r="D13" i="8"/>
  <c r="A13" i="8"/>
  <c r="A12" i="8"/>
  <c r="A11" i="8"/>
  <c r="A10" i="8"/>
  <c r="A9" i="8"/>
  <c r="A8" i="8"/>
  <c r="J23" i="11"/>
  <c r="B23" i="11"/>
  <c r="J22" i="11"/>
  <c r="B22" i="11"/>
  <c r="J21" i="11"/>
  <c r="G21" i="11"/>
  <c r="B21" i="11"/>
  <c r="B20" i="11"/>
  <c r="B19" i="11"/>
  <c r="B18" i="11"/>
  <c r="J17" i="11"/>
  <c r="B17" i="11"/>
  <c r="B16" i="11"/>
  <c r="J15" i="11"/>
  <c r="I15" i="11"/>
  <c r="H15" i="11"/>
  <c r="B15" i="11"/>
  <c r="B14" i="11"/>
  <c r="B13" i="11"/>
  <c r="B12" i="11"/>
  <c r="H11" i="11"/>
  <c r="E11" i="11"/>
  <c r="B11" i="11"/>
  <c r="B10" i="11"/>
  <c r="J9" i="11"/>
  <c r="I9" i="11"/>
  <c r="H9" i="11"/>
  <c r="E9" i="11"/>
  <c r="F9" i="11" s="1"/>
  <c r="B9" i="11"/>
  <c r="H26" i="8" l="1"/>
  <c r="H23" i="8"/>
  <c r="H12" i="11" s="1"/>
  <c r="H13" i="11" s="1"/>
  <c r="H14" i="11" s="1"/>
  <c r="H16" i="11" s="1"/>
  <c r="C22" i="7"/>
  <c r="I8" i="8" s="1"/>
  <c r="J8" i="8" s="1"/>
  <c r="G6" i="15" s="1"/>
  <c r="A54" i="2"/>
  <c r="A55" i="2" s="1"/>
  <c r="C31" i="1"/>
  <c r="D22" i="7"/>
  <c r="I9" i="8" s="1"/>
  <c r="J9" i="8" s="1"/>
  <c r="A48" i="3"/>
  <c r="A49" i="3" s="1"/>
  <c r="D31" i="1"/>
  <c r="E22" i="7"/>
  <c r="I10" i="8" s="1"/>
  <c r="J10" i="8" s="1"/>
  <c r="G8" i="15" s="1"/>
  <c r="A49" i="4"/>
  <c r="A50" i="4" s="1"/>
  <c r="A51" i="4" s="1"/>
  <c r="E31" i="1"/>
  <c r="E9" i="8"/>
  <c r="E10" i="8"/>
  <c r="D10" i="14"/>
  <c r="D11" i="14" s="1"/>
  <c r="G22" i="7"/>
  <c r="I17" i="8" s="1"/>
  <c r="J17" i="8" s="1"/>
  <c r="E17" i="8"/>
  <c r="D15" i="14"/>
  <c r="D16" i="14" s="1"/>
  <c r="D18" i="8"/>
  <c r="E18" i="8" s="1"/>
  <c r="F17" i="9"/>
  <c r="D12" i="8"/>
  <c r="D14" i="8" s="1"/>
  <c r="F8" i="11" s="1"/>
  <c r="G8" i="11" s="1"/>
  <c r="C25" i="9"/>
  <c r="I20" i="8" s="1"/>
  <c r="F22" i="9"/>
  <c r="F23" i="9" s="1"/>
  <c r="C13" i="9"/>
  <c r="E21" i="12"/>
  <c r="E22" i="12" s="1"/>
  <c r="E23" i="12" s="1"/>
  <c r="C19" i="12"/>
  <c r="C21" i="12" s="1"/>
  <c r="C22" i="12" s="1"/>
  <c r="D19" i="12"/>
  <c r="D21" i="12" s="1"/>
  <c r="D22" i="12" s="1"/>
  <c r="C23" i="8"/>
  <c r="G23" i="11"/>
  <c r="C26" i="8"/>
  <c r="G9" i="11"/>
  <c r="E11" i="8"/>
  <c r="E8" i="8"/>
  <c r="E13" i="8"/>
  <c r="E12" i="8"/>
  <c r="E10" i="11"/>
  <c r="F27" i="8"/>
  <c r="H24" i="8" l="1"/>
  <c r="H27" i="8" s="1"/>
  <c r="H29" i="8" s="1"/>
  <c r="H28" i="11" s="1"/>
  <c r="D23" i="8"/>
  <c r="E23" i="8" s="1"/>
  <c r="F10" i="15" s="1"/>
  <c r="D26" i="8"/>
  <c r="I18" i="8"/>
  <c r="J18" i="8" s="1"/>
  <c r="F10" i="11"/>
  <c r="G10" i="11" s="1"/>
  <c r="D20" i="14"/>
  <c r="D21" i="14" s="1"/>
  <c r="I19" i="8"/>
  <c r="F27" i="9"/>
  <c r="I12" i="8"/>
  <c r="C15" i="9"/>
  <c r="D20" i="8" s="1"/>
  <c r="D19" i="8"/>
  <c r="C18" i="9"/>
  <c r="C28" i="9"/>
  <c r="J20" i="8"/>
  <c r="D23" i="12"/>
  <c r="D25" i="12" s="1"/>
  <c r="E12" i="11"/>
  <c r="E13" i="11" s="1"/>
  <c r="E14" i="11" s="1"/>
  <c r="E16" i="11" s="1"/>
  <c r="C28" i="12"/>
  <c r="C31" i="12"/>
  <c r="C24" i="8"/>
  <c r="C27" i="8" s="1"/>
  <c r="C29" i="8" s="1"/>
  <c r="E25" i="12"/>
  <c r="E28" i="12" s="1"/>
  <c r="F7" i="15"/>
  <c r="F6" i="15"/>
  <c r="E14" i="8"/>
  <c r="F8" i="15"/>
  <c r="H8" i="15" s="1"/>
  <c r="F11" i="11" l="1"/>
  <c r="G11" i="11" s="1"/>
  <c r="D21" i="8"/>
  <c r="D24" i="8" s="1"/>
  <c r="D27" i="8" s="1"/>
  <c r="D29" i="8" s="1"/>
  <c r="E19" i="8"/>
  <c r="E20" i="8"/>
  <c r="F12" i="11"/>
  <c r="F13" i="11" s="1"/>
  <c r="J12" i="8"/>
  <c r="I14" i="8"/>
  <c r="J19" i="8"/>
  <c r="J21" i="8" s="1"/>
  <c r="I21" i="8"/>
  <c r="I11" i="11"/>
  <c r="E28" i="11"/>
  <c r="D28" i="12"/>
  <c r="F28" i="12" s="1"/>
  <c r="G28" i="12" s="1"/>
  <c r="H6" i="15"/>
  <c r="F26" i="8"/>
  <c r="F14" i="8"/>
  <c r="G12" i="11" l="1"/>
  <c r="G9" i="15"/>
  <c r="F14" i="11"/>
  <c r="G13" i="11"/>
  <c r="E21" i="8"/>
  <c r="I23" i="8"/>
  <c r="I8" i="11"/>
  <c r="I26" i="8"/>
  <c r="J11" i="11"/>
  <c r="G7" i="15"/>
  <c r="J14" i="8"/>
  <c r="H7" i="15" l="1"/>
  <c r="K26" i="8"/>
  <c r="J8" i="11"/>
  <c r="I10" i="11"/>
  <c r="J23" i="8"/>
  <c r="I12" i="11"/>
  <c r="K14" i="8"/>
  <c r="I24" i="8"/>
  <c r="I27" i="8" s="1"/>
  <c r="I29" i="8" s="1"/>
  <c r="E24" i="8"/>
  <c r="E29" i="8" s="1"/>
  <c r="F9" i="15"/>
  <c r="G14" i="11"/>
  <c r="F16" i="11"/>
  <c r="H9" i="15" l="1"/>
  <c r="F11" i="15"/>
  <c r="F14" i="15" s="1"/>
  <c r="F29" i="8"/>
  <c r="J12" i="11"/>
  <c r="I13" i="11"/>
  <c r="J13" i="11" s="1"/>
  <c r="J10" i="11"/>
  <c r="G16" i="11"/>
  <c r="G28" i="11" s="1"/>
  <c r="F28" i="11"/>
  <c r="G10" i="15"/>
  <c r="J24" i="8"/>
  <c r="J29" i="8" s="1"/>
  <c r="I14" i="11" l="1"/>
  <c r="I16" i="11" s="1"/>
  <c r="H10" i="15"/>
  <c r="H11" i="15" s="1"/>
  <c r="J11" i="15" s="1"/>
  <c r="G11" i="15"/>
  <c r="H14" i="15" s="1"/>
  <c r="K29" i="8"/>
  <c r="J14" i="11" l="1"/>
  <c r="J16" i="11"/>
  <c r="J18" i="11" s="1"/>
  <c r="I28" i="11"/>
  <c r="J28" i="11" l="1"/>
</calcChain>
</file>

<file path=xl/sharedStrings.xml><?xml version="1.0" encoding="utf-8"?>
<sst xmlns="http://schemas.openxmlformats.org/spreadsheetml/2006/main" count="5628" uniqueCount="1595">
  <si>
    <t>Program Name</t>
  </si>
  <si>
    <t>Bainbridge Tlines Trans</t>
  </si>
  <si>
    <t>Capacity Electric</t>
  </si>
  <si>
    <t>Capacity Gas</t>
  </si>
  <si>
    <t>CIAC - Electric</t>
  </si>
  <si>
    <t>CIAC - Gas</t>
  </si>
  <si>
    <t>Customer Construction Electric</t>
  </si>
  <si>
    <t>Customer Construction Gas</t>
  </si>
  <si>
    <t>Customer Sited Energy Storage</t>
  </si>
  <si>
    <t>Data Center Hardware Refresh</t>
  </si>
  <si>
    <t>Emergent Electric</t>
  </si>
  <si>
    <t>Emergent Gas</t>
  </si>
  <si>
    <t>Energize Eastside</t>
  </si>
  <si>
    <t>Gas Modernization</t>
  </si>
  <si>
    <t>Goldendale MM</t>
  </si>
  <si>
    <t>Grid Modernization</t>
  </si>
  <si>
    <t>GTZ</t>
  </si>
  <si>
    <t>IT Operational Program</t>
  </si>
  <si>
    <t>Lower Baker Dam Grouting Program</t>
  </si>
  <si>
    <t>Major Projects Electric</t>
  </si>
  <si>
    <t>Major Projects Gas</t>
  </si>
  <si>
    <t>Marine Crossing</t>
  </si>
  <si>
    <t>Mint Farm MM</t>
  </si>
  <si>
    <t>PI Electric</t>
  </si>
  <si>
    <t>PI Gas</t>
  </si>
  <si>
    <t>Pipe Replacement</t>
  </si>
  <si>
    <t>Projected</t>
  </si>
  <si>
    <t>Remove</t>
  </si>
  <si>
    <t>Sammamish Juanita 115Kv Tline</t>
  </si>
  <si>
    <t>Thurston Transmission Capacity</t>
  </si>
  <si>
    <t>Transport Network Modernization</t>
  </si>
  <si>
    <t>Resilience Enhancement</t>
  </si>
  <si>
    <t>Grand Total</t>
  </si>
  <si>
    <t>Four Factor Allocation Percentages:</t>
  </si>
  <si>
    <t>Gas:</t>
  </si>
  <si>
    <t>Electric:</t>
  </si>
  <si>
    <t>Gross Plant</t>
  </si>
  <si>
    <t>Electric with Common Allocation:</t>
  </si>
  <si>
    <t>Gas with Common Allocation:</t>
  </si>
  <si>
    <t>U&amp;U Category</t>
  </si>
  <si>
    <t>Company</t>
  </si>
  <si>
    <t>Programmatic: Programmatic</t>
  </si>
  <si>
    <t>C</t>
  </si>
  <si>
    <t>E</t>
  </si>
  <si>
    <t>G</t>
  </si>
  <si>
    <t>Specific: Specific</t>
  </si>
  <si>
    <t>Projected: Projected</t>
  </si>
  <si>
    <t>ADIT</t>
  </si>
  <si>
    <t>Accum Depr</t>
  </si>
  <si>
    <t>DFIT</t>
  </si>
  <si>
    <t>Pre-Capitalized Plant</t>
  </si>
  <si>
    <t>Depr Exp</t>
  </si>
  <si>
    <t>Line</t>
  </si>
  <si>
    <t>Depreciation</t>
  </si>
  <si>
    <t>No.</t>
  </si>
  <si>
    <t>Gross Plant CWIP Closings</t>
  </si>
  <si>
    <t>Accum Depr and Amort CWIP Closings</t>
  </si>
  <si>
    <t>DFIT CWIP Closings</t>
  </si>
  <si>
    <t>Gross Plant Retirements</t>
  </si>
  <si>
    <t>Accum Depr and Amort Retirements</t>
  </si>
  <si>
    <t>ADIT + EDIT Retirements</t>
  </si>
  <si>
    <t>Deprec and Amort Exp CWIP Closings</t>
  </si>
  <si>
    <t>FIT CWIP Closings</t>
  </si>
  <si>
    <t>Deprec and Amort Exp Retirements</t>
  </si>
  <si>
    <t>FIT/EDIT/FT Retirements</t>
  </si>
  <si>
    <t>Net Operating Income Deficiency</t>
  </si>
  <si>
    <t>Grossed Up Deficiency</t>
  </si>
  <si>
    <t>Cost of Debt</t>
  </si>
  <si>
    <t>ROR per Settlement</t>
  </si>
  <si>
    <t>Statutory Federal Income Tax Rate</t>
  </si>
  <si>
    <t>Conversion Factor</t>
  </si>
  <si>
    <t>Common Depr/Amort Expense</t>
  </si>
  <si>
    <t>Common Accum Depr/Amort</t>
  </si>
  <si>
    <t>Electric Depr/Amort Expense</t>
  </si>
  <si>
    <t>Electric Accum Depr/Amort</t>
  </si>
  <si>
    <t>Less: Colstrip Depr/Amort</t>
  </si>
  <si>
    <t>Plus: Elec portion of Common</t>
  </si>
  <si>
    <t>Increase (Decrease) Expense</t>
  </si>
  <si>
    <t>Increase (Decrease) FIT</t>
  </si>
  <si>
    <t>EDIT</t>
  </si>
  <si>
    <t>Flow-Through</t>
  </si>
  <si>
    <t>Gas Depr/Amort Expense</t>
  </si>
  <si>
    <t>Gas Accum Depr/Amort</t>
  </si>
  <si>
    <t>Plus: Gas portion of Common</t>
  </si>
  <si>
    <t>Program</t>
  </si>
  <si>
    <t>Misc Additions</t>
  </si>
  <si>
    <t>Depreciation Impact of Actual Retirements:</t>
  </si>
  <si>
    <t>Common:</t>
  </si>
  <si>
    <t>Inc (Dec) Expense</t>
  </si>
  <si>
    <t>Inc (Dec) Rate Base</t>
  </si>
  <si>
    <t>Increase (Decrease) Rate Base</t>
  </si>
  <si>
    <t>Inc(Dec) Electric Expense</t>
  </si>
  <si>
    <t>Inc(Dec) Gas Expense</t>
  </si>
  <si>
    <t>Inc(Dec) Electric Rate Base</t>
  </si>
  <si>
    <t>Inc(Dec) Gas Rate Base</t>
  </si>
  <si>
    <t>Rate Base Increase (Decrease):</t>
  </si>
  <si>
    <t xml:space="preserve">Total Inc (Dec) Rate Base </t>
  </si>
  <si>
    <t>Net Operating Income Increase (Decrease):</t>
  </si>
  <si>
    <t>Total Increase (Decrease) NOI</t>
  </si>
  <si>
    <t>Sub-Total Increase (Decrease) NOI</t>
  </si>
  <si>
    <t>Plus: Tax Benefit of Proforma Interest</t>
  </si>
  <si>
    <t>Plus: Return on Rate Base</t>
  </si>
  <si>
    <t>SEF 23-24 Compliance</t>
  </si>
  <si>
    <t>ELECTRIC REVENUE REQUIREMENT</t>
  </si>
  <si>
    <t>GAS REVENUE REQUIREMENT</t>
  </si>
  <si>
    <t>(Surplus)</t>
  </si>
  <si>
    <t>Deficiency</t>
  </si>
  <si>
    <t>Total Gas</t>
  </si>
  <si>
    <t>Electric</t>
  </si>
  <si>
    <t>Description</t>
  </si>
  <si>
    <t>Rate Base</t>
  </si>
  <si>
    <t>Actual</t>
  </si>
  <si>
    <t>(in millions)</t>
  </si>
  <si>
    <t>Act &gt; Fcst</t>
  </si>
  <si>
    <t>(Fcst&gt; Act)</t>
  </si>
  <si>
    <t>Natural Gas</t>
  </si>
  <si>
    <t>Taxes</t>
  </si>
  <si>
    <t>Total Expenses</t>
  </si>
  <si>
    <t>Autorized Rate of Return</t>
  </si>
  <si>
    <t>Approved Conversion Factor</t>
  </si>
  <si>
    <t>Grossed up Rate of Return</t>
  </si>
  <si>
    <t>Operating Income Requirement</t>
  </si>
  <si>
    <t>Revenue Requirement STR</t>
  </si>
  <si>
    <t>Check</t>
  </si>
  <si>
    <t>Fifty Basis Point Threshold</t>
  </si>
  <si>
    <t>2023 Approved Rate Base</t>
  </si>
  <si>
    <t>Threshold Calculation:</t>
  </si>
  <si>
    <t>Approved</t>
  </si>
  <si>
    <t xml:space="preserve">DETERMINATION OF DEFICIENCY ASSOCIATED WITH </t>
  </si>
  <si>
    <t>From 220066 1/9/2023 Compliance Filing</t>
  </si>
  <si>
    <t xml:space="preserve">PROVISIONAL PROFORMA ADJUSTMENTS - FOR RATES </t>
  </si>
  <si>
    <t>SUBJECT TO REFUND</t>
  </si>
  <si>
    <t>ELECTRIC</t>
  </si>
  <si>
    <t>LINE</t>
  </si>
  <si>
    <t>PLANT RELATED COSTS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</si>
  <si>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</si>
  <si>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</si>
  <si>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</si>
  <si>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</si>
  <si>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</si>
  <si>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</si>
  <si>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Grossed Up Deficiency - Cumulative</t>
  </si>
  <si>
    <t>Grossed Up Deficiency - Cumulative In Rates</t>
  </si>
  <si>
    <t>Grossed Up Deficiency - By Year</t>
  </si>
  <si>
    <t>NATURAL GAS</t>
  </si>
  <si>
    <t>n/a</t>
  </si>
  <si>
    <t>If line 9&lt;0, then threshold</t>
  </si>
  <si>
    <t>a</t>
  </si>
  <si>
    <t>b</t>
  </si>
  <si>
    <t>c</t>
  </si>
  <si>
    <t>d</t>
  </si>
  <si>
    <t>e</t>
  </si>
  <si>
    <t>f</t>
  </si>
  <si>
    <t>g</t>
  </si>
  <si>
    <t>Line 9 should not be less than</t>
  </si>
  <si>
    <t>Exceeds threshold</t>
  </si>
  <si>
    <t>Combined</t>
  </si>
  <si>
    <t>Over / (Under)</t>
  </si>
  <si>
    <t>Deficiency (Surplus)</t>
  </si>
  <si>
    <t>Gas</t>
  </si>
  <si>
    <t>Rate Base Higher (Lower) than Approved</t>
  </si>
  <si>
    <t>Accumulated Depreciation (Higher) Lower than Approved</t>
  </si>
  <si>
    <t>Accumulated Deferred Income Taxes (Higher) Lower than Approved</t>
  </si>
  <si>
    <t>Tax Benefit of Interest (Higher) Lower than Approved</t>
  </si>
  <si>
    <t>Total Deficiency (Surplus) vs. Approved</t>
  </si>
  <si>
    <t>Net Depreciation and Amortization Higher (Lower) than Approved</t>
  </si>
  <si>
    <t>(in miillions)</t>
  </si>
  <si>
    <t>Row Labels</t>
  </si>
  <si>
    <t>Actual CWIP Closings</t>
  </si>
  <si>
    <t>Forecast CWIP Closings</t>
  </si>
  <si>
    <t>Sum of Variance</t>
  </si>
  <si>
    <t>Forecast &lt; Actual 
(Forecast &gt; Actual)</t>
  </si>
  <si>
    <t>AMI</t>
  </si>
  <si>
    <t>Facilities</t>
  </si>
  <si>
    <t>Generation</t>
  </si>
  <si>
    <t>IT</t>
  </si>
  <si>
    <t>NP&amp;S</t>
  </si>
  <si>
    <t>Operations</t>
  </si>
  <si>
    <t>Other</t>
  </si>
  <si>
    <t>Actual CWIP Closings vs GRC Forecast CWIP Closings</t>
  </si>
  <si>
    <t>GAP Year 2022</t>
  </si>
  <si>
    <t>- = Over Forecast</t>
  </si>
  <si>
    <t>+ = Under Forecast</t>
  </si>
  <si>
    <t>WBS</t>
  </si>
  <si>
    <t>PB - WBS Level 3</t>
  </si>
  <si>
    <t>Area</t>
  </si>
  <si>
    <t>JAK5 SEF16 Forecast CWIP Closings</t>
  </si>
  <si>
    <t>Variance</t>
  </si>
  <si>
    <t>Notes</t>
  </si>
  <si>
    <t>C.10002.02.02.01</t>
  </si>
  <si>
    <t>C.10002.02.02.02</t>
  </si>
  <si>
    <t>C.10002.04.03.01</t>
  </si>
  <si>
    <t>C.10002.07.01.01</t>
  </si>
  <si>
    <t>C.10002.08.02.01</t>
  </si>
  <si>
    <t>C.10002.09.01.01</t>
  </si>
  <si>
    <t>C.10003.01.01.01</t>
  </si>
  <si>
    <t>C.10003.01.03.01</t>
  </si>
  <si>
    <t>W_C.10003.01.03.01: Unplanned Facility Improvements</t>
  </si>
  <si>
    <t>C.10004.01.01.02</t>
  </si>
  <si>
    <t>W_C.10004.01.01.02: Wireless PCS Construction</t>
  </si>
  <si>
    <t>C.10005.01.02.01</t>
  </si>
  <si>
    <t>W_C.10005.01.02.01: Security System Installations Electric</t>
  </si>
  <si>
    <t>C.10005.01.02.02</t>
  </si>
  <si>
    <t>W_C.10005.01.02.02: WECC Mitigation Security Installations</t>
  </si>
  <si>
    <t>C.10006.01.01.01</t>
  </si>
  <si>
    <t>W_C.10006.01.01.01: Fleet Capital Purchase</t>
  </si>
  <si>
    <t>C.10006.01.01.03</t>
  </si>
  <si>
    <t>W_C.10006.01.01.03: Fleet Radio Upgrade</t>
  </si>
  <si>
    <t>C.10009.01.01.01</t>
  </si>
  <si>
    <t>W_C.10009.01.01.01: Storm OH Replacement Dist</t>
  </si>
  <si>
    <t>C.10009.01.01.02</t>
  </si>
  <si>
    <t>W_C.10009.01.01.02: Storm OH Replacement Trans</t>
  </si>
  <si>
    <t>C.10010.02.01.01</t>
  </si>
  <si>
    <t>W_C.10010.02.01.01: Shuffleton Reloc at Kent Serv Center</t>
  </si>
  <si>
    <t>C.20001.01.01.01</t>
  </si>
  <si>
    <t>W_C.20001.01.01.01: Transformer Retirement and Disposal</t>
  </si>
  <si>
    <t>C.40001.01.01.01</t>
  </si>
  <si>
    <t>W_C.40001.01.01.01: Success Factors Application</t>
  </si>
  <si>
    <t>F.10002.01.14.01</t>
  </si>
  <si>
    <t>W_F.10002.01.14.01: Data Governance Foundation</t>
  </si>
  <si>
    <t>F.10002.01.17.01</t>
  </si>
  <si>
    <t>W_F.10002.01.17.01: iDOT Replacement</t>
  </si>
  <si>
    <t>F.10002.03.02.01</t>
  </si>
  <si>
    <t>W_F.10002.03.02.01: Field Resources Call Out Tool</t>
  </si>
  <si>
    <t>F.10002.04.01.01</t>
  </si>
  <si>
    <t>W_F.10002.04.01.01: Travel mgmt.-Exp Rpting and Elect pmt</t>
  </si>
  <si>
    <t>F.10002.05.02.01</t>
  </si>
  <si>
    <t>W_F.10002.05.02.01: Check Payment Processing</t>
  </si>
  <si>
    <t>F.10002.06.01.01</t>
  </si>
  <si>
    <t>W_F.10002.06.01.01: eGain Replacement</t>
  </si>
  <si>
    <t>F.10002.06.02.01</t>
  </si>
  <si>
    <t>W_F.10002.06.02.01: Customer Experience Enhancement Program</t>
  </si>
  <si>
    <t>F.10003.02.01.07</t>
  </si>
  <si>
    <t>W_F.10003.02.01.07: Data Center Hardware Refresh</t>
  </si>
  <si>
    <t>F.10003.03.02.01</t>
  </si>
  <si>
    <t>W_F.10003.03.02.01: Transport Network Modernization</t>
  </si>
  <si>
    <t>F.10007.02.01.02</t>
  </si>
  <si>
    <t>F.10013.09.01.03</t>
  </si>
  <si>
    <t>W_F.10013.09.01.03: PSE ITSR</t>
  </si>
  <si>
    <t>F.10015.02.06.02</t>
  </si>
  <si>
    <t>W_F.10015.02.06.02: Gas Control Upgrade 2022</t>
  </si>
  <si>
    <t>F.10015.02.14.02</t>
  </si>
  <si>
    <t>W_F.10015.02.14.02: OSI Soft PI Historian</t>
  </si>
  <si>
    <t>F.10015.02.20.01</t>
  </si>
  <si>
    <t>W_F.10015.02.20.01: Annual Market Changes to Support CAISO</t>
  </si>
  <si>
    <t>F.10015.05.04.01</t>
  </si>
  <si>
    <t>W_F.10015.05.04.01: Quality Framework</t>
  </si>
  <si>
    <t>F.10015.06.05.02</t>
  </si>
  <si>
    <t>W_F.10015.06.05.02: SAP HR Support Packs 2022-2026</t>
  </si>
  <si>
    <t>F.10015.06.25.01</t>
  </si>
  <si>
    <t>W_F.10015.06.25.01: SAP Annual Upgrades 2022-2026</t>
  </si>
  <si>
    <t>F.10015.06.26.01</t>
  </si>
  <si>
    <t>W_F.10015.06.26.01: Enhanced SAP Monitoring Alerting BPM</t>
  </si>
  <si>
    <t>F.10015.08.11.06</t>
  </si>
  <si>
    <t>W_F.10015.08.11.06: ServiceNow Improvements 2022-2026</t>
  </si>
  <si>
    <t>F.10015.08.13.03</t>
  </si>
  <si>
    <t>W_F.10015.08.13.03: UI Enhancements Phase 3</t>
  </si>
  <si>
    <t>F.10015.08.18.01</t>
  </si>
  <si>
    <t>W_F.10015.08.18.01: Microservices NET Core Upgrade</t>
  </si>
  <si>
    <t>F.10015.08.19.01</t>
  </si>
  <si>
    <t>W_F.10015.08.19.01: Terraform Upgrade</t>
  </si>
  <si>
    <t>F.10015.11.06.01</t>
  </si>
  <si>
    <t>W_F.10015.11.06.01: Migration to Dynatrace SaaS</t>
  </si>
  <si>
    <t>F.10017.02.01.03</t>
  </si>
  <si>
    <t>F.10017.02.02.03</t>
  </si>
  <si>
    <t>W_F.10017.02.02.03: Annual Data Center Tech Refresh 2022-26</t>
  </si>
  <si>
    <t>F.10017.03.05.02</t>
  </si>
  <si>
    <t>W_F.10017.03.05.02: Annual End User PC Refresh 2022-2026</t>
  </si>
  <si>
    <t>F.10017.05.03.02</t>
  </si>
  <si>
    <t>W_F.10017.05.03.02: Annual MS Enterprise Agreement Growth</t>
  </si>
  <si>
    <t>F.10017.05.04.01</t>
  </si>
  <si>
    <t>W_F.10017.05.04.01: Workplace Mobility Program</t>
  </si>
  <si>
    <t>F.10017.05.07.01</t>
  </si>
  <si>
    <t>W_F.10017.05.07.01: DC Battery Management</t>
  </si>
  <si>
    <t>F.10017.07.01.02</t>
  </si>
  <si>
    <t>W_F.10017.07.01.02: OpenText Migrations</t>
  </si>
  <si>
    <t>F.10017.07.01.03</t>
  </si>
  <si>
    <t>W_F.10017.07.01.03: IPP SharePoint Upgrade NERC</t>
  </si>
  <si>
    <t>F.10017.08.03.01</t>
  </si>
  <si>
    <t>W_F.10017.08.03.01: Enhanced Substation Communications</t>
  </si>
  <si>
    <t>F.10017.08.07.01</t>
  </si>
  <si>
    <t>W_F.10017.08.07.01: 700MHz Spectrum</t>
  </si>
  <si>
    <t>F.10017.10.06.04</t>
  </si>
  <si>
    <t>W_F.10017.10.06.04: Annual Server Growth 2022-2026</t>
  </si>
  <si>
    <t>F.10017.10.09.02</t>
  </si>
  <si>
    <t>W_F.10017.10.09.02: Hyper Converged Infra Refresh</t>
  </si>
  <si>
    <t>F.10017.11.01.04</t>
  </si>
  <si>
    <t>W_F.10017.11.01.04: Annual Storage Growth 2022-2026</t>
  </si>
  <si>
    <t>F.10017.12.01.03</t>
  </si>
  <si>
    <t>W_F.10017.12.01.03: Annual Fiber Refresh Repair 2022-26</t>
  </si>
  <si>
    <t>F.10017.12.05.03</t>
  </si>
  <si>
    <t>W_F.10017.12.05.03: Annual Telecom RF Refresh 2022-26</t>
  </si>
  <si>
    <t>F.10017.12.06.03</t>
  </si>
  <si>
    <t>W_F.10017.12.06.03: Annual Telecom Equip Growth Tool 2022-26</t>
  </si>
  <si>
    <t>F.10017.12.08.04</t>
  </si>
  <si>
    <t>W_F.10017.12.08.04: Annual Telecom Network Refresh 2022-2026</t>
  </si>
  <si>
    <t>F.10017.12.23.04</t>
  </si>
  <si>
    <t>W_F.10017.12.23.04: Annual Network Tech Refresh 2022-2026</t>
  </si>
  <si>
    <t>F.10017.12.25.02</t>
  </si>
  <si>
    <t>W_F.10017.12.25.02: Annual Audio Visual Tech Refresh 2022-26</t>
  </si>
  <si>
    <t>F.10017.12.26.01</t>
  </si>
  <si>
    <t>W_F.10017.12.26.01: Generation Sites</t>
  </si>
  <si>
    <t>F.10017.12.26.02</t>
  </si>
  <si>
    <t>W_F.10017.12.26.02: Generation Infrastructure Prgrm 2022-26</t>
  </si>
  <si>
    <t>F.10017.13.03.02</t>
  </si>
  <si>
    <t>W_F.10017.13.03.02: VOIP Deployment and Refresh</t>
  </si>
  <si>
    <t>F.10017.13.05.01</t>
  </si>
  <si>
    <t>W_F.10017.13.05.01: ACTR 2021</t>
  </si>
  <si>
    <t>F.10017.13.06.01</t>
  </si>
  <si>
    <t>W_F.10017.13.06.01: Voice Recording Tech Refresh</t>
  </si>
  <si>
    <t>F.10018.02.03.02</t>
  </si>
  <si>
    <t>F.10025.01.04.01</t>
  </si>
  <si>
    <t>W_F.10025.01.04.01: Physical Security Roadmap</t>
  </si>
  <si>
    <t>F.10025.01.04.02</t>
  </si>
  <si>
    <t>W_F.10025.01.04.02: Cyber Audit Web Server Upgrade</t>
  </si>
  <si>
    <t>F.10026.01.01.01</t>
  </si>
  <si>
    <t>W_F.10026.01.01.01: Robotic Process Automation</t>
  </si>
  <si>
    <t>K.10001.01.01.01</t>
  </si>
  <si>
    <t>W_K.10001.01.01.01: LBK Hydro Plant Work</t>
  </si>
  <si>
    <t>K.10001.01.01.02</t>
  </si>
  <si>
    <t>W_K.10001.01.01.02: LBK Small Tools</t>
  </si>
  <si>
    <t>K.10001.01.02.01</t>
  </si>
  <si>
    <t>W_K.10001.01.02.01: UBK Hydro Plant Work</t>
  </si>
  <si>
    <t>K.10001.01.02.02</t>
  </si>
  <si>
    <t>W_K.10001.01.02.02: UBK Small Tools</t>
  </si>
  <si>
    <t>K.10002.01.02.06</t>
  </si>
  <si>
    <t>W_K.10002.01.02.06: UBK U2 Runner Replacement</t>
  </si>
  <si>
    <t>K.10003.01.01.01</t>
  </si>
  <si>
    <t>W_K.10003.01.01.01: LBK Crest Improvement and Floodwall</t>
  </si>
  <si>
    <t>K.10003.01.01.03</t>
  </si>
  <si>
    <t>W_K.10003.01.01.03: LBK Hatchery Raceway Project</t>
  </si>
  <si>
    <t>K.10003.02.01.01</t>
  </si>
  <si>
    <t>W_K.10003.02.01.01: UBK Phase II Spillway Stabilization</t>
  </si>
  <si>
    <t>K.10004.01.01.01</t>
  </si>
  <si>
    <t>W_K.10004.01.01.01: COL 500Kv Trans Line</t>
  </si>
  <si>
    <t>K.10006.01.01.01</t>
  </si>
  <si>
    <t>W_K.10006.01.01.01: ENC Small Tools</t>
  </si>
  <si>
    <t>K.10006.01.01.02</t>
  </si>
  <si>
    <t>W_K.10006.01.01.02: ENC Thermal Plant Work</t>
  </si>
  <si>
    <t>K.10007.01.01.02</t>
  </si>
  <si>
    <t>W_K.10007.01.01.02: FERN Thermal Plant Work</t>
  </si>
  <si>
    <t>K.10008.01.01.03</t>
  </si>
  <si>
    <t>W_K.10008.01.01.03: FREDDY 1 Thermal Plant Work</t>
  </si>
  <si>
    <t>K.10009.01.01.03</t>
  </si>
  <si>
    <t>W_K.10009.01.01.03: FRA Small Tools</t>
  </si>
  <si>
    <t>K.10009.01.01.04</t>
  </si>
  <si>
    <t>W_K.10009.01.01.04: FRA Thermal Plant Work</t>
  </si>
  <si>
    <t>K.10010.01.01.03</t>
  </si>
  <si>
    <t>W_K.10010.01.01.03: FRE Small Tools</t>
  </si>
  <si>
    <t>K.10010.01.01.04</t>
  </si>
  <si>
    <t>W_K.10010.01.01.04: FRE Thermal Plant Work</t>
  </si>
  <si>
    <t>K.10012.01.01.10</t>
  </si>
  <si>
    <t>W_K.10012.01.01.10: BPCC Faster Pmt Posting</t>
  </si>
  <si>
    <t>K.10013.01.01.01</t>
  </si>
  <si>
    <t>W_K.10013.01.01.01: GLD Small Tools</t>
  </si>
  <si>
    <t>K.10013.01.01.02</t>
  </si>
  <si>
    <t>W_K.10013.01.01.02: GLD Thermal Plant Work</t>
  </si>
  <si>
    <t>K.10015.01.01.01</t>
  </si>
  <si>
    <t>W_K.10015.01.01.01: HPK Ongoing UOP Replacements</t>
  </si>
  <si>
    <t>K.10015.01.01.02</t>
  </si>
  <si>
    <t>W_K.10015.01.01.02: HPK Small Tools</t>
  </si>
  <si>
    <t>K.10015.01.01.03</t>
  </si>
  <si>
    <t>W_K.10015.01.01.03: HPK Wind Plant Work</t>
  </si>
  <si>
    <t>K.10016.01.01.01</t>
  </si>
  <si>
    <t>W_K.10016.01.01.01: JP Operational Capital</t>
  </si>
  <si>
    <t>K.10017.01.01.01</t>
  </si>
  <si>
    <t>W_K.10017.01.01.01: BKR Aquatic Riparian Habitat</t>
  </si>
  <si>
    <t>K.10018.01.01.01</t>
  </si>
  <si>
    <t>W_K.10018.01.01.01: LSR1 Ongoing Uop Replacements</t>
  </si>
  <si>
    <t>K.10018.01.01.02</t>
  </si>
  <si>
    <t>W_K.10018.01.01.02: LSR1 Small Tools</t>
  </si>
  <si>
    <t>K.10019.01.01.01</t>
  </si>
  <si>
    <t>W_K.10019.01.01.01: MTF Small Tools</t>
  </si>
  <si>
    <t>K.10019.01.01.02</t>
  </si>
  <si>
    <t>W_K.10019.01.01.02: MTF Thermal Plant Work</t>
  </si>
  <si>
    <t>K.10020.01.01.03</t>
  </si>
  <si>
    <t>K.10021.01.01.01</t>
  </si>
  <si>
    <t>W_K.10021.01.01.01: SNO Hydro Plant Work</t>
  </si>
  <si>
    <t>K.10021.01.01.02</t>
  </si>
  <si>
    <t>W_K.10021.01.01.02: SNO Small Tools</t>
  </si>
  <si>
    <t>K.10023.01.01.01</t>
  </si>
  <si>
    <t>W_K.10023.01.01.01: SMS Small Tools</t>
  </si>
  <si>
    <t>K.10023.01.01.02</t>
  </si>
  <si>
    <t>W_K.10023.01.01.02: SMS Thermal Plant Work</t>
  </si>
  <si>
    <t>K.10025.01.02.01</t>
  </si>
  <si>
    <t>W_K.10025.01.02.01: LNG 1 Mile Pipe Connector</t>
  </si>
  <si>
    <t>K.10025.01.02.02</t>
  </si>
  <si>
    <t>W_K.10025.01.02.02: LNG 4 Mile Pipe To Plant</t>
  </si>
  <si>
    <t>K.10026.01.01.03</t>
  </si>
  <si>
    <t>W_K.10026.01.01.03: WHH Small Tools</t>
  </si>
  <si>
    <t>K.10026.01.01.04</t>
  </si>
  <si>
    <t>W_K.10026.01.01.04: WHH Thermal Plant Work</t>
  </si>
  <si>
    <t>K.10028.01.01.01</t>
  </si>
  <si>
    <t>W_K.10028.01.01.01: WLD Small Tools</t>
  </si>
  <si>
    <t>K.10028.01.01.03</t>
  </si>
  <si>
    <t>W_K.10028.01.01.03: WLD Wind Plant Work</t>
  </si>
  <si>
    <t>K.10028.01.01.04</t>
  </si>
  <si>
    <t>W_K.10028.01.01.04: WLD Ongoing UOP Replacements</t>
  </si>
  <si>
    <t>R.10004.01.01.01</t>
  </si>
  <si>
    <t>W_R.10004.01.01.01: C Franchises</t>
  </si>
  <si>
    <t>R.10005.01.01.01</t>
  </si>
  <si>
    <t>W_R.10005.01.01.01: E Eastside 230Kv Subs Richards Creek</t>
  </si>
  <si>
    <t>R.10005.01.01.02</t>
  </si>
  <si>
    <t>W_R.10005.01.01.02: E Eastside 230Kv Subs Talbot Hill</t>
  </si>
  <si>
    <t>R.10005.01.01.04</t>
  </si>
  <si>
    <t>W_R.10005.01.01.04: E Eastside 230Kv Subs Rose Hill</t>
  </si>
  <si>
    <t>R.10005.01.01.07</t>
  </si>
  <si>
    <t>W_R.10005.01.01.07: E Eastside 230Kv Tlines</t>
  </si>
  <si>
    <t>R.10006.01.01.03</t>
  </si>
  <si>
    <t>W_R.10006.01.01.03: E Substation SCADA CEIP</t>
  </si>
  <si>
    <t>R.10006.01.01.04</t>
  </si>
  <si>
    <t>W_R.10006.01.01.04: E Trans Automation</t>
  </si>
  <si>
    <t>R.10006.01.01.07</t>
  </si>
  <si>
    <t>W_R.10006.01.01.07: E Electric System Modeling</t>
  </si>
  <si>
    <t>R.10007.06.01.01</t>
  </si>
  <si>
    <t>W_R.10007.06.01.01: E 5 Yr Electric Refundable CIAC</t>
  </si>
  <si>
    <t>R.10007.07.01.01</t>
  </si>
  <si>
    <t>W_R.10007.07.01.01: E Customer Reimbursed</t>
  </si>
  <si>
    <t>R.10007.08.01.01</t>
  </si>
  <si>
    <t>W_R.10007.08.01.01: E OH UG Commercial Services</t>
  </si>
  <si>
    <t>R.10007.08.02.01</t>
  </si>
  <si>
    <t>W_R.10007.08.02.01: E OH UG Residential Services</t>
  </si>
  <si>
    <t>R.10007.08.02.02</t>
  </si>
  <si>
    <t>W_R.10007.08.02.02: E UG Residential Services In Plats</t>
  </si>
  <si>
    <t>R.10007.09.01.01</t>
  </si>
  <si>
    <t>W_R.10007.09.01.01: E Commercial Line Extension</t>
  </si>
  <si>
    <t>R.10007.09.02.01</t>
  </si>
  <si>
    <t>W_R.10007.09.02.01: E Multi Family Line Extension</t>
  </si>
  <si>
    <t>R.10007.09.03.02</t>
  </si>
  <si>
    <t>W_R.10007.09.03.02: E Plats Line Extension</t>
  </si>
  <si>
    <t>R.10007.09.04.01</t>
  </si>
  <si>
    <t>W_R.10007.09.04.01: E Single Family Line Extension</t>
  </si>
  <si>
    <t>R.10007.12.01.01</t>
  </si>
  <si>
    <t>W_R.10007.12.01.01: E Microsoft Campus Rebuild</t>
  </si>
  <si>
    <t>R.10007.12.03.01</t>
  </si>
  <si>
    <t>W_R.10007.12.03.01: E Customer Reimbursed Major Projects</t>
  </si>
  <si>
    <t>R.10008.01.01.01</t>
  </si>
  <si>
    <t>W_R.10008.01.01.01: E Conversions Sched 73 Cust Driven</t>
  </si>
  <si>
    <t>R.10008.01.01.02</t>
  </si>
  <si>
    <t>W_R.10008.01.01.02: E OH UG Reloc - Removal Cust Driven Dist</t>
  </si>
  <si>
    <t>R.10008.02.01.01</t>
  </si>
  <si>
    <t>W_R.10008.02.01.01: E Franchises</t>
  </si>
  <si>
    <t>R.10008.03.01.01</t>
  </si>
  <si>
    <t>W_R.10008.03.01.01: E Conversions Sched 74 PI Driven</t>
  </si>
  <si>
    <t>R.10008.03.01.03</t>
  </si>
  <si>
    <t>W_R.10008.03.01.03: E OH UG Rel PI Driven NonReimb Dist</t>
  </si>
  <si>
    <t>R.10008.03.01.04</t>
  </si>
  <si>
    <t>W_R.10008.03.01.04: E OH UG Rel PI Driven Reimburse Dist</t>
  </si>
  <si>
    <t>R.10008.03.01.05</t>
  </si>
  <si>
    <t>W_R.10008.03.01.05: E PI Driven Relocations Trans</t>
  </si>
  <si>
    <t>R.10008.03.01.14</t>
  </si>
  <si>
    <t>W_R.10008.03.01.14: E Sound Transit Reimburse</t>
  </si>
  <si>
    <t>R.10008.05.01.01</t>
  </si>
  <si>
    <t>W_R.10008.05.01.01: E Sound Transit Dist</t>
  </si>
  <si>
    <t>R.10008.05.01.02</t>
  </si>
  <si>
    <t>W_R.10008.05.01.02: E Sound Transit East Link Dist</t>
  </si>
  <si>
    <t>R.10008.07.01.01</t>
  </si>
  <si>
    <t>W_R.10008.07.01.01: E WSDOT Clr Zone Pole Prog Dist</t>
  </si>
  <si>
    <t>R.10008.07.02.01</t>
  </si>
  <si>
    <t>W_R.10008.07.02.01: E King County Clr Zone Pole Prog Dist</t>
  </si>
  <si>
    <t>R.10009.01.01.01</t>
  </si>
  <si>
    <t>W_R.10009.01.01.01: E BPA 3rd AC Transmission Intertie Work</t>
  </si>
  <si>
    <t>R.10009.02.01.03</t>
  </si>
  <si>
    <t>W_R.10009.02.01.03: E Central Bellevue Dist Rel Feeder</t>
  </si>
  <si>
    <t>R.10009.04.01.02</t>
  </si>
  <si>
    <t>W_R.10009.04.01.02: E Damage Claims Cap Writeoff</t>
  </si>
  <si>
    <t>R.10009.05.01.01</t>
  </si>
  <si>
    <t>W_R.10009.05.01.01: E Emergency NonOutage OH Repl Dist</t>
  </si>
  <si>
    <t>R.10009.05.01.02</t>
  </si>
  <si>
    <t>W_R.10009.05.01.02: E Emergency NonOutage OH Repl Trans</t>
  </si>
  <si>
    <t>R.10009.05.01.03</t>
  </si>
  <si>
    <t>W_R.10009.05.01.03: E Emergency NonOutage UG Repl Dist</t>
  </si>
  <si>
    <t>R.10009.05.02.01</t>
  </si>
  <si>
    <t>W_R.10009.05.02.01: E Emergency OH Replacement Trans</t>
  </si>
  <si>
    <t>R.10009.05.02.02</t>
  </si>
  <si>
    <t>W_R.10009.05.02.02: E Emergency Outage OH Replacement Dist</t>
  </si>
  <si>
    <t>R.10009.05.02.03</t>
  </si>
  <si>
    <t>W_R.10009.05.02.03: E Emergency Outage UG Replacement Dist</t>
  </si>
  <si>
    <t>R.10009.05.02.04</t>
  </si>
  <si>
    <t>W_R.10009.05.02.04: E Unplanned OH Distribution Abnormals</t>
  </si>
  <si>
    <t>R.10009.05.02.05</t>
  </si>
  <si>
    <t>W_R.10009.05.02.05: E Unplanned UG Distribution Abnormals</t>
  </si>
  <si>
    <t>R.10009.07.01.01</t>
  </si>
  <si>
    <t>W_R.10009.07.01.01: E OH System Capacity New Dist</t>
  </si>
  <si>
    <t>R.10009.07.01.03</t>
  </si>
  <si>
    <t>W_R.10009.07.01.03: E UG System Capacity New Dist</t>
  </si>
  <si>
    <t>R.10009.07.03.01</t>
  </si>
  <si>
    <t>W_R.10009.07.03.01: E OH UG System Improv Opport New Dist</t>
  </si>
  <si>
    <t>R.10009.08.01.02</t>
  </si>
  <si>
    <t>W_R.10009.08.01.02: E UG Cable Remediation Dist</t>
  </si>
  <si>
    <t>R.10009.08.01.07</t>
  </si>
  <si>
    <t>W_R.10009.08.01.07: E UG Cable Remediation Progr IPM</t>
  </si>
  <si>
    <t>R.10009.08.02.05</t>
  </si>
  <si>
    <t>W_R.10009.08.02.05: E OH Clearance Alley Syst Dist</t>
  </si>
  <si>
    <t>R.10009.08.02.07</t>
  </si>
  <si>
    <t>W_R.10009.08.02.07: E OH Sys Rel Upgrades Outage Dist</t>
  </si>
  <si>
    <t>R.10009.08.02.09</t>
  </si>
  <si>
    <t>W_R.10009.08.02.09: E OH Syst Rel Upgrades Rebuild Dist</t>
  </si>
  <si>
    <t>R.10009.08.02.10</t>
  </si>
  <si>
    <t>W_R.10009.08.02.10: E OH Syst Rel Upgrades UG Convers Dist</t>
  </si>
  <si>
    <t>R.10009.08.02.12</t>
  </si>
  <si>
    <t>W_R.10009.08.02.12: E OH Syst Rel Upgr Reclosers Dist</t>
  </si>
  <si>
    <t>R.10009.08.02.14</t>
  </si>
  <si>
    <t>W_R.10009.08.02.14: E OH Syst Rel Upgr Tree WirE Dist</t>
  </si>
  <si>
    <t>R.10009.08.02.15</t>
  </si>
  <si>
    <t>W_R.10009.08.02.15: E OH Syst Rel Upgr Fusesaver Dist</t>
  </si>
  <si>
    <t>R.10009.08.02.17</t>
  </si>
  <si>
    <t>W_R.10009.08.02.17: E OH System Capacity Upgrade Dist</t>
  </si>
  <si>
    <t>R.10009.08.02.18</t>
  </si>
  <si>
    <t>W_R.10009.08.02.18: E OH Sys Capacity Upgrades Uprates Trans</t>
  </si>
  <si>
    <t>R.10009.08.02.19</t>
  </si>
  <si>
    <t>W_R.10009.08.02.19: E OH System Reliability Upgrades Trans</t>
  </si>
  <si>
    <t>R.10009.08.02.20</t>
  </si>
  <si>
    <t>W_R.10009.08.02.20: E OH Transformer PCB Remediation</t>
  </si>
  <si>
    <t>R.10009.08.02.22</t>
  </si>
  <si>
    <t>W_R.10009.08.02.22: E 6 Copper Open Wire 2nd Repl Dist</t>
  </si>
  <si>
    <t>R.10009.08.02.23</t>
  </si>
  <si>
    <t>W_R.10009.08.02.23: E Project Initiation</t>
  </si>
  <si>
    <t>R.10009.08.02.24</t>
  </si>
  <si>
    <t>W_R.10009.08.02.24: E Sedro Mar Pt 230 Remediate Underbuild</t>
  </si>
  <si>
    <t>R.10009.08.02.25</t>
  </si>
  <si>
    <t>W_R.10009.08.02.25: E UG Syst Rel Upgrades Dist</t>
  </si>
  <si>
    <t>R.10009.08.02.28</t>
  </si>
  <si>
    <t>W_R.10009.08.02.28: E UG System Capacity Upgrade Dist</t>
  </si>
  <si>
    <t>R.10009.08.03.01</t>
  </si>
  <si>
    <t>W_R.10009.08.03.01: E Fish And Wildlife Program Dist</t>
  </si>
  <si>
    <t>R.10009.08.05.02</t>
  </si>
  <si>
    <t>W_R.10009.08.05.02: E Emergent Pole Replacement Dist</t>
  </si>
  <si>
    <t>R.10009.08.05.03</t>
  </si>
  <si>
    <t>W_R.10009.08.05.03: E Emergent Pole Replacement Trans</t>
  </si>
  <si>
    <t>R.10009.08.05.04</t>
  </si>
  <si>
    <t>W_R.10009.08.05.04: E Pole Replacement Due To Joint Use</t>
  </si>
  <si>
    <t>R.10009.08.05.05</t>
  </si>
  <si>
    <t>W_R.10009.08.05.05: E Pole Replacement Plan Dist</t>
  </si>
  <si>
    <t>R.10009.08.05.07</t>
  </si>
  <si>
    <t>W_R.10009.08.05.07: E Pole Replacement Plan Trans</t>
  </si>
  <si>
    <t>R.10009.08.05.16</t>
  </si>
  <si>
    <t>W_R.10009.08.05.16: E Pole Inspection and Restoration Dist</t>
  </si>
  <si>
    <t>R.10009.08.05.17</t>
  </si>
  <si>
    <t>W_R.10009.08.05.17: E Pole Inspection and Restoration Trans</t>
  </si>
  <si>
    <t>R.10009.08.06.01</t>
  </si>
  <si>
    <t>W_R.10009.08.06.01: E Root Cause Analysis</t>
  </si>
  <si>
    <t>R.10009.09.01.02</t>
  </si>
  <si>
    <t>W_R.10009.09.01.02: E Emergent Major Projects Trans</t>
  </si>
  <si>
    <t>R.10009.12.01.01</t>
  </si>
  <si>
    <t>W_R.10009.12.01.01: C AMI Network Installations Gen Plant</t>
  </si>
  <si>
    <t>R.10009.12.01.03</t>
  </si>
  <si>
    <t>W_R.10009.12.01.03: E AMI Netwrk Installtion TransDist</t>
  </si>
  <si>
    <t>R.10009.12.01.04</t>
  </si>
  <si>
    <t>W_R.10009.12.01.04: E AMI Electric Meter Deployment</t>
  </si>
  <si>
    <t>R.10009.12.01.05</t>
  </si>
  <si>
    <t>W_R.10009.12.01.05: G AMI Gas Module Deployment</t>
  </si>
  <si>
    <t>R.10009.12.01.09</t>
  </si>
  <si>
    <t>W_R.10009.12.01.09: G Opt Out AMI to NCM Capital Exch</t>
  </si>
  <si>
    <t>R.10009.12.02.04</t>
  </si>
  <si>
    <t>W_R.10009.12.02.04: E Conservation Voltage Reduction</t>
  </si>
  <si>
    <t>R.10009.12.03.01</t>
  </si>
  <si>
    <t>W_R.10009.12.03.01: E Distribution Automation Dist</t>
  </si>
  <si>
    <t>R.10009.12.03.04</t>
  </si>
  <si>
    <t>W_R.10009.12.03.04: E Network and Automate Grid</t>
  </si>
  <si>
    <t>R.10009.14.04.01</t>
  </si>
  <si>
    <t>W_R.10009.14.04.01: E Substation Replacement SpcC Dist</t>
  </si>
  <si>
    <t>R.10009.14.05.02</t>
  </si>
  <si>
    <t>W_R.10009.14.05.02: E Emergent Substation Replacement Dist</t>
  </si>
  <si>
    <t>R.10009.14.05.03</t>
  </si>
  <si>
    <t>W_R.10009.14.05.03: E Emergent Substation Replacement Trans</t>
  </si>
  <si>
    <t>R.10009.14.05.05</t>
  </si>
  <si>
    <t>W_R.10009.14.05.05: E Subs Replacement Circuit Switcher Dist</t>
  </si>
  <si>
    <t>R.10009.14.05.06</t>
  </si>
  <si>
    <t>R.10009.14.05.07</t>
  </si>
  <si>
    <t>W_R.10009.14.05.07: E Subs Replacement Fuses Dist</t>
  </si>
  <si>
    <t>R.10009.14.05.11</t>
  </si>
  <si>
    <t>W_R.10009.14.05.11: E Subs Replacement Vegetation Management</t>
  </si>
  <si>
    <t>R.10009.14.05.15</t>
  </si>
  <si>
    <t>W_R.10009.14.05.15: E Subs CAP Transient Security Issues Dis</t>
  </si>
  <si>
    <t>R.10009.14.06.01</t>
  </si>
  <si>
    <t>W_R.10009.14.06.01: E Subs Replacement Transformers Dist</t>
  </si>
  <si>
    <t>R.10009.14.07.01</t>
  </si>
  <si>
    <t>W_R.10009.14.07.01: E Subs Replacement Breaker Replcmt Trans</t>
  </si>
  <si>
    <t>R.10009.17.01.01</t>
  </si>
  <si>
    <t>W_R.10009.17.01.01: E Mazama Pcket Gopher Habitat Mitigation</t>
  </si>
  <si>
    <t>R.10011.01.01.03</t>
  </si>
  <si>
    <t>W_R.10011.01.01.03: G Gas System Monitoring Equip Replc</t>
  </si>
  <si>
    <t>R.10011.01.01.04</t>
  </si>
  <si>
    <t>W_R.10011.01.01.04: G Gauges Sems Dist</t>
  </si>
  <si>
    <t>R.10011.01.01.07</t>
  </si>
  <si>
    <t>W_R.10011.01.01.07: G Williams Pipeline Equipment Upgrades</t>
  </si>
  <si>
    <t>R.10011.01.01.10</t>
  </si>
  <si>
    <t>W_R.10011.01.01.10: G Service Replacements CBP</t>
  </si>
  <si>
    <t>R.10012.01.01.01</t>
  </si>
  <si>
    <t>W_R.10012.01.01.01: G Altered Modified Comm Ind Mains</t>
  </si>
  <si>
    <t>R.10012.01.01.02</t>
  </si>
  <si>
    <t>W_R.10012.01.01.02: G Altered Modified Comm Ind Service</t>
  </si>
  <si>
    <t>R.10012.01.02.01</t>
  </si>
  <si>
    <t>W_R.10012.01.02.01: G Altered Modified Residential Mains</t>
  </si>
  <si>
    <t>R.10012.01.02.02</t>
  </si>
  <si>
    <t>W_R.10012.01.02.02: G Altered Modified Residential Services</t>
  </si>
  <si>
    <t>R.10012.02.01.01</t>
  </si>
  <si>
    <t>W_R.10012.02.01.01: G 5 Yr Gas Refundable CIAC</t>
  </si>
  <si>
    <t>R.10012.03.01.01</t>
  </si>
  <si>
    <t>W_R.10012.03.01.01: G Commercial Industrial Mains</t>
  </si>
  <si>
    <t>R.10012.03.02.01</t>
  </si>
  <si>
    <t>W_R.10012.03.02.01: G Multi Family Mains</t>
  </si>
  <si>
    <t>R.10012.03.03.01</t>
  </si>
  <si>
    <t>W_R.10012.03.03.01: G Plats Mains</t>
  </si>
  <si>
    <t>R.10012.03.03.02</t>
  </si>
  <si>
    <t>W_R.10012.03.03.02: G Residential Mains</t>
  </si>
  <si>
    <t>R.10012.04.01.01</t>
  </si>
  <si>
    <t>W_R.10012.04.01.01: G Commercial Industrial Service</t>
  </si>
  <si>
    <t>R.10012.04.02.01</t>
  </si>
  <si>
    <t>W_R.10012.04.02.01: G Multi Family Service</t>
  </si>
  <si>
    <t>R.10012.04.03.02</t>
  </si>
  <si>
    <t>W_R.10012.04.03.02: G Residential Services</t>
  </si>
  <si>
    <t>R.10012.04.03.03</t>
  </si>
  <si>
    <t>W_R.10012.04.03.03: G Residential Services In Plat Dev</t>
  </si>
  <si>
    <t>R.10012.06.01.01</t>
  </si>
  <si>
    <t>W_R.10012.06.01.01: G Gas Retire Only No Additions</t>
  </si>
  <si>
    <t>R.10013.01.01.01</t>
  </si>
  <si>
    <t>W_R.10013.01.01.01: G Cust Driven Relocate Reimburse Dist</t>
  </si>
  <si>
    <t>R.10013.02.01.01</t>
  </si>
  <si>
    <t>W_R.10013.02.01.01: G Franchises</t>
  </si>
  <si>
    <t>R.10013.04.01.01</t>
  </si>
  <si>
    <t>W_R.10013.04.01.01: G PI Driven Relocate NonReimb Dist</t>
  </si>
  <si>
    <t>R.10013.04.01.02</t>
  </si>
  <si>
    <t>W_R.10013.04.01.02: G PI Driven Relocate Reimb Dist</t>
  </si>
  <si>
    <t>R.10013.04.01.04</t>
  </si>
  <si>
    <t>W_R.10013.04.01.04: G Sound Transit Reimburse</t>
  </si>
  <si>
    <t>R.10013.05.01.01</t>
  </si>
  <si>
    <t>W_R.10013.05.01.01: G Seattle Core Alaskan Way Viaduct</t>
  </si>
  <si>
    <t>R.10013.05.01.02</t>
  </si>
  <si>
    <t>W_R.10013.05.01.02: G Seattle Core IP Main</t>
  </si>
  <si>
    <t>R.10013.06.01.01</t>
  </si>
  <si>
    <t>W_R.10013.06.01.01: G Sound Transit Dist</t>
  </si>
  <si>
    <t>R.10013.07.01.01</t>
  </si>
  <si>
    <t>W_R.10013.07.01.01: G Relocate Bulk Dist Like Kind Dist</t>
  </si>
  <si>
    <t>R.10013.07.01.02</t>
  </si>
  <si>
    <t>W_R.10013.07.01.02: G System Improv Opport Dist</t>
  </si>
  <si>
    <t>R.10014.01.01.01</t>
  </si>
  <si>
    <t>W_R.10014.01.01.01: G Swarr Propane Air Plant Upgrades</t>
  </si>
  <si>
    <t>R.10015.01.01.01</t>
  </si>
  <si>
    <t>W_R.10015.01.01.01: G CP System Improv Main With Serv Dist</t>
  </si>
  <si>
    <t>R.10015.01.01.02</t>
  </si>
  <si>
    <t>W_R.10015.01.01.02: G CP System Improv Service Dist</t>
  </si>
  <si>
    <t>R.10015.01.01.03</t>
  </si>
  <si>
    <t>W_R.10015.01.01.03: G CP System Improv Dist</t>
  </si>
  <si>
    <t>R.10015.01.01.05</t>
  </si>
  <si>
    <t>W_R.10015.01.01.05: G Emergent CP System Improv Dist</t>
  </si>
  <si>
    <t>R.10015.02.01.02</t>
  </si>
  <si>
    <t>W_R.10015.02.01.02: G Damage Claims Cap Writeoff</t>
  </si>
  <si>
    <t>R.10015.03.01.01</t>
  </si>
  <si>
    <t>W_R.10015.03.01.01: G DIMP Brdg Sld Dist Unmaintain Facil</t>
  </si>
  <si>
    <t>R.10015.03.02.01</t>
  </si>
  <si>
    <t>W_R.10015.03.02.01: G DIMP Mobile Home Encroachment Program</t>
  </si>
  <si>
    <t>R.10015.03.04.01</t>
  </si>
  <si>
    <t>W_R.10015.03.04.01: G DIMP Dupont Pipe Repl Main With Serv</t>
  </si>
  <si>
    <t>R.10015.03.04.02</t>
  </si>
  <si>
    <t>W_R.10015.03.04.02: G DIMP Older Stw Repl Main With Service</t>
  </si>
  <si>
    <t>R.10015.03.04.03</t>
  </si>
  <si>
    <t>W_R.10015.03.04.03: G DIMP Older Stw Repl Service Only</t>
  </si>
  <si>
    <t>R.10015.03.05.04</t>
  </si>
  <si>
    <t>W_R.10015.03.05.04: G DIMP Regulator Station Sidewalk Regs</t>
  </si>
  <si>
    <t>R.10015.03.06.01</t>
  </si>
  <si>
    <t>W_R.10015.03.06.01: G DIMP Legacy Cross Bore Inspection Dist</t>
  </si>
  <si>
    <t>R.10015.03.06.02</t>
  </si>
  <si>
    <t>W_R.10015.03.06.02: G DIMP Legacy Crss Bore Replacement Dist</t>
  </si>
  <si>
    <t>R.10015.03.07.01</t>
  </si>
  <si>
    <t>W_R.10015.03.07.01: G DIMP Continuing Surveillance Other</t>
  </si>
  <si>
    <t>R.10015.03.07.03</t>
  </si>
  <si>
    <t>W_R.10015.03.07.03: G DIMP Shallow Serv and Main Repl</t>
  </si>
  <si>
    <t>R.10015.03.08.01</t>
  </si>
  <si>
    <t>W_R.10015.03.08.01: G DIMP Buried MSA Serv Or Riser Repl Opp</t>
  </si>
  <si>
    <t>R.10015.03.09.01</t>
  </si>
  <si>
    <t>W_R.10015.03.09.01: G DIMP Preventative Maint Facilities</t>
  </si>
  <si>
    <t>R.10015.03.09.03</t>
  </si>
  <si>
    <t>W_R.10015.03.09.03: G DIMP Preventive Maint Dist Reg Dist</t>
  </si>
  <si>
    <t>R.10015.03.09.05</t>
  </si>
  <si>
    <t>W_R.10015.03.09.05: G DIMP Preventive Maintenance MSA Dist</t>
  </si>
  <si>
    <t>R.10015.03.09.07</t>
  </si>
  <si>
    <t>W_R.10015.03.09.07: G DIMP Preventive Maint Farm Taps Dist</t>
  </si>
  <si>
    <t>R.10015.03.09.14</t>
  </si>
  <si>
    <t>W_R.10015.03.09.14: G Idle Riser Remediation</t>
  </si>
  <si>
    <t>R.10015.03.09.15</t>
  </si>
  <si>
    <t>W_R.10015.03.09.15: G Buried Meter Riser Replacement</t>
  </si>
  <si>
    <t>R.10015.03.11.01</t>
  </si>
  <si>
    <t>W_R.10015.03.11.01: G DIMP Guard Posts</t>
  </si>
  <si>
    <t>R.10015.04.01.02</t>
  </si>
  <si>
    <t>W_R.10015.04.01.02: G Leak Repair Main</t>
  </si>
  <si>
    <t>R.10015.04.01.03</t>
  </si>
  <si>
    <t>W_R.10015.04.01.03: G Leak Repair Service</t>
  </si>
  <si>
    <t>R.10015.04.01.04</t>
  </si>
  <si>
    <t>W_R.10015.04.01.04: G Scattered Short Main Rehab</t>
  </si>
  <si>
    <t>R.10015.04.01.05</t>
  </si>
  <si>
    <t>W_R.10015.04.01.05: G Service Replacement Misc</t>
  </si>
  <si>
    <t>R.10015.04.01.06</t>
  </si>
  <si>
    <t>W_R.10015.04.01.06: G Sewer Cross Bore Repair Main</t>
  </si>
  <si>
    <t>R.10015.04.01.07</t>
  </si>
  <si>
    <t>W_R.10015.04.01.07: G Sewer Cross Bore Repair Service</t>
  </si>
  <si>
    <t>R.10015.04.01.08</t>
  </si>
  <si>
    <t>W_R.10015.04.01.08: G Gas Work Release Main</t>
  </si>
  <si>
    <t>R.10015.04.01.09</t>
  </si>
  <si>
    <t>W_R.10015.04.01.09: G Gas Work Release Service</t>
  </si>
  <si>
    <t>R.10015.04.01.12</t>
  </si>
  <si>
    <t>W_R.10015.04.01.12: G Nonhaz Main Repair Methane PRP</t>
  </si>
  <si>
    <t>R.10015.04.01.13</t>
  </si>
  <si>
    <t>W_R.10015.04.01.13: G Nonhaz Service Repair Methane PRP</t>
  </si>
  <si>
    <t>R.10015.05.01.01</t>
  </si>
  <si>
    <t>W_R.10015.05.01.01: G System Capacity New Dist</t>
  </si>
  <si>
    <t>R.10015.06.01.01</t>
  </si>
  <si>
    <t>W_R.10015.06.01.01: G Cold Weather Action Reinforcement</t>
  </si>
  <si>
    <t>R.10015.06.01.02</t>
  </si>
  <si>
    <t>W_R.10015.06.01.02: G Odorizer Componant Repl Bulk Dist</t>
  </si>
  <si>
    <t>R.10015.06.01.04</t>
  </si>
  <si>
    <t>W_R.10015.06.01.04: G System Capacity Upgrade Bulk Dist</t>
  </si>
  <si>
    <t>R.10015.06.01.05</t>
  </si>
  <si>
    <t>W_R.10015.06.01.05: G System Capacity Upgrade Dist</t>
  </si>
  <si>
    <t>R.10015.07.01.01</t>
  </si>
  <si>
    <t>W_R.10015.07.01.01: G Gas Lightups Clearing</t>
  </si>
  <si>
    <t>R.10019.01.01.02</t>
  </si>
  <si>
    <t>W_R.10019.01.01.02: Bainbridge Trans WIN-MUR Loop</t>
  </si>
  <si>
    <t>R.10024.01.01.04</t>
  </si>
  <si>
    <t>W_R.10024.01.01.04: G AMR Operations</t>
  </si>
  <si>
    <t>R.10024.01.01.05</t>
  </si>
  <si>
    <t>W_R.10024.01.01.05: E AMR Operations</t>
  </si>
  <si>
    <t>R.10024.01.01.07</t>
  </si>
  <si>
    <t>W_R.10024.01.01.07: E Opt Out AMR to NCM Capital Exch</t>
  </si>
  <si>
    <t>R.10024.01.01.09</t>
  </si>
  <si>
    <t>W_R.10024.01.01.09: G AMI Operations</t>
  </si>
  <si>
    <t>R.10024.02.01.01</t>
  </si>
  <si>
    <t>W_R.10024.02.01.01: G NonRegistering Meters Dist</t>
  </si>
  <si>
    <t>R.10024.02.01.03</t>
  </si>
  <si>
    <t>W_R.10024.02.01.03: G Periodic Meter Changeout IMO Dist</t>
  </si>
  <si>
    <t>R.10031.01.01.02</t>
  </si>
  <si>
    <t>W_R.10031.01.01.02: E Lake Hills Phantom Lake 115Kv Tline</t>
  </si>
  <si>
    <t>R.10031.03.01.01</t>
  </si>
  <si>
    <t>W_R.10031.03.01.01: E Sammamish Juanita 115Kv Tline</t>
  </si>
  <si>
    <t>R.10033.01.01.03</t>
  </si>
  <si>
    <t>W_R.10033.01.01.03: E Small Tool Electric Operations Tool</t>
  </si>
  <si>
    <t>R.10033.01.01.09</t>
  </si>
  <si>
    <t>W_R.10033.01.01.09: G Small Tool Gas Operations Tool</t>
  </si>
  <si>
    <t>R.10033.02.01.01</t>
  </si>
  <si>
    <t>W_R.10033.02.01.01: C Operational Training ISR Program</t>
  </si>
  <si>
    <t>R.10036.02.01.01</t>
  </si>
  <si>
    <t>W_R.10036.02.01.01: C Capitalization of Real Estate Permits</t>
  </si>
  <si>
    <t>R.10036.03.01.01</t>
  </si>
  <si>
    <t>W_R.10036.03.01.01: C Transient Deterrent</t>
  </si>
  <si>
    <t>R.10037.01.01.01</t>
  </si>
  <si>
    <t>W_R.10037.01.01.01: E Removal Cost Meters</t>
  </si>
  <si>
    <t>R.10037.01.01.06</t>
  </si>
  <si>
    <t>W_R.10037.01.01.06: G Removal Cost Meters</t>
  </si>
  <si>
    <t>R.10039.02.01.01</t>
  </si>
  <si>
    <t>W_R.10039.02.01.01: E Buckley Substation Feeder</t>
  </si>
  <si>
    <t>R.10039.02.01.02</t>
  </si>
  <si>
    <t>W_R.10039.02.01.02: E Buckley Substation Sub</t>
  </si>
  <si>
    <t>R.10039.02.01.03</t>
  </si>
  <si>
    <t>W_R.10039.02.01.03: E Electr Enum 55Kv 115Kv Sub Electr Hght</t>
  </si>
  <si>
    <t>R.10039.02.01.05</t>
  </si>
  <si>
    <t>W_R.10039.02.01.05: E Electr Enum 55Kv To 115Kv Sub Enum</t>
  </si>
  <si>
    <t>R.10039.02.01.06</t>
  </si>
  <si>
    <t>W_R.10039.02.01.06: E Electr Enum 55Kv To 115Kv Fiber</t>
  </si>
  <si>
    <t>R.10051.02.01.01</t>
  </si>
  <si>
    <t>W_R.10051.02.01.01: E Thurston Transmission Capacity</t>
  </si>
  <si>
    <t>R.10054.01.01.01</t>
  </si>
  <si>
    <t>W_R.10054.01.01.01: E Bellingham Sedro 4 115Kv Recond Tline</t>
  </si>
  <si>
    <t>R.10056.01.01.01</t>
  </si>
  <si>
    <t>W_R.10056.01.01.01: E Wilkeson Substation Sub</t>
  </si>
  <si>
    <t>R.10059.01.01.01</t>
  </si>
  <si>
    <t>W_R.10059.01.01.01: E Smart Grid Living Lab</t>
  </si>
  <si>
    <t>R.10059.02.01.01</t>
  </si>
  <si>
    <t>W_R.10059.02.01.01: E ADMS Circuit Enablement</t>
  </si>
  <si>
    <t>R.10059.03.01.01</t>
  </si>
  <si>
    <t>R.10060.01.01.02</t>
  </si>
  <si>
    <t>W_R.10060.01.01.02: G Vashon Interim Supply at Gig Harbor</t>
  </si>
  <si>
    <t>X.10003.01.01.01</t>
  </si>
  <si>
    <t>W_X.10003.01.01.01: Street and Area Lighting Services</t>
  </si>
  <si>
    <t>X.10003.01.03.01</t>
  </si>
  <si>
    <t>W_X.10003.01.03.01: Street Light Replacement</t>
  </si>
  <si>
    <t>X.10003.01.03.02</t>
  </si>
  <si>
    <t>W_X.10003.01.03.02: Smart Street Lighting</t>
  </si>
  <si>
    <t>X.10005.01.01.01</t>
  </si>
  <si>
    <t>W_X.10005.01.01.01: Wireless and Wireline Construction</t>
  </si>
  <si>
    <t>X.10006.01.01.01</t>
  </si>
  <si>
    <t>W_X.10006.01.01.01: Customer Sited Energy Storage Pilot</t>
  </si>
  <si>
    <t>X.10006.02.02.02</t>
  </si>
  <si>
    <t>W_X.10006.02.02.02: EV Charging Program Infrastructure</t>
  </si>
  <si>
    <t>X.10006.03.01.02</t>
  </si>
  <si>
    <t>W_X.10006.03.01.02: Community Solar Program</t>
  </si>
  <si>
    <t>X.10006.03.01.05</t>
  </si>
  <si>
    <t>W_X.10006.03.01.05: Community Solar Program 2022-25</t>
  </si>
  <si>
    <t>PLACEHOLDER WBS 21: IP Scada</t>
  </si>
  <si>
    <t>R.10059.04.01.01</t>
  </si>
  <si>
    <t>W_R.10059.04.01.01: E Wildfire Resilience</t>
  </si>
  <si>
    <t>F.10017.13.02.02</t>
  </si>
  <si>
    <t>W_F.10017.13.02.02: Annual VOIP Deployment and Refresh</t>
  </si>
  <si>
    <t>K.10035.01.01.02</t>
  </si>
  <si>
    <t>W_K.10035.01.01.02: FRA Unit 2 to 4 Hot Gas Path</t>
  </si>
  <si>
    <t>R.10009.12.04.01</t>
  </si>
  <si>
    <t>W_R.10009.12.04.01: E Trans Automation Placeholder</t>
  </si>
  <si>
    <t>R.10037.01.01.07</t>
  </si>
  <si>
    <t>W_R.10037.01.01.07: G Scrap Sale Plt Meters Dist</t>
  </si>
  <si>
    <t>R.10009.07.03.02</t>
  </si>
  <si>
    <t>W_R.10009.07.03.02: E OH UG System Improv Opport New Trans</t>
  </si>
  <si>
    <t>R.10059.05.01.01</t>
  </si>
  <si>
    <t>W_R.10059.05.01.01: E Submarine Cable - Mercer Island</t>
  </si>
  <si>
    <t>R.10059.02.01.02</t>
  </si>
  <si>
    <t>W_R.10059.02.01.02: E Circuit Enablement EV</t>
  </si>
  <si>
    <t>R.99999.99.99.99</t>
  </si>
  <si>
    <t>Storm</t>
  </si>
  <si>
    <t>Energy</t>
  </si>
  <si>
    <t>(blank)</t>
  </si>
  <si>
    <t>Sum of JAK5 SEF16 Forecast CWIP Closings</t>
  </si>
  <si>
    <t>Common</t>
  </si>
  <si>
    <t>Electric Portion of Common</t>
  </si>
  <si>
    <t>Gas Portion of Common</t>
  </si>
  <si>
    <t>check actual</t>
  </si>
  <si>
    <t>check forecast</t>
  </si>
  <si>
    <t>check variance</t>
  </si>
  <si>
    <t>Electric and Gas Combined</t>
  </si>
  <si>
    <t>Electric + Allocated Common</t>
  </si>
  <si>
    <t>Gas + Allocated Common</t>
  </si>
  <si>
    <t>Project</t>
  </si>
  <si>
    <t>Not Ops</t>
  </si>
  <si>
    <t>Programmatic Customer Driven</t>
  </si>
  <si>
    <t>EV Circuit</t>
  </si>
  <si>
    <t>(Multiple Items)</t>
  </si>
  <si>
    <t>Forecast Used to Set Rates</t>
  </si>
  <si>
    <t>Actual Plant Closings</t>
  </si>
  <si>
    <t>Over (Under) Closed</t>
  </si>
  <si>
    <t>Explanation</t>
  </si>
  <si>
    <t>Energize Eastside Settlement Change</t>
  </si>
  <si>
    <t>JAK-5 Filing Date</t>
  </si>
  <si>
    <t>Jul - Dec 2021</t>
  </si>
  <si>
    <t>Total</t>
  </si>
  <si>
    <t>Original Filing</t>
  </si>
  <si>
    <t>Compliance Filing</t>
  </si>
  <si>
    <t>Change</t>
  </si>
  <si>
    <t xml:space="preserve">Assumed the </t>
  </si>
  <si>
    <t>Depreciation Rate</t>
  </si>
  <si>
    <t>reduction due to</t>
  </si>
  <si>
    <t>EE delayed in-</t>
  </si>
  <si>
    <t>service date was</t>
  </si>
  <si>
    <t>redeployed to</t>
  </si>
  <si>
    <t>same depr</t>
  </si>
  <si>
    <t>groups as EE</t>
  </si>
  <si>
    <t>See Tab "Eng ES Stlmt Chg"</t>
  </si>
  <si>
    <t>1 - AMI</t>
  </si>
  <si>
    <t>2 - Bainbridge</t>
  </si>
  <si>
    <t>4 - Emergent Work</t>
  </si>
  <si>
    <t>8 - Pipe Replacement</t>
  </si>
  <si>
    <t>9 - Projected</t>
  </si>
  <si>
    <t>3G - CIAC, NCC, PI</t>
  </si>
  <si>
    <t>3E - CIAC, NCC, PI</t>
  </si>
  <si>
    <t>6E - Grid Mod</t>
  </si>
  <si>
    <t>6G - Gas Mod</t>
  </si>
  <si>
    <t>7E - Maj Proj</t>
  </si>
  <si>
    <t>7G - Maj Proj</t>
  </si>
  <si>
    <t>10 - Sammamish</t>
  </si>
  <si>
    <t>11 - Thurston</t>
  </si>
  <si>
    <t>Adjusted CBR</t>
  </si>
  <si>
    <t>Act &gt; GRC</t>
  </si>
  <si>
    <t>Remove Tacoma LNG Facility</t>
  </si>
  <si>
    <t>(in billions)</t>
  </si>
  <si>
    <t>Test Year EOP</t>
  </si>
  <si>
    <t>Remove AMI</t>
  </si>
  <si>
    <t>Accumulated Depreciation</t>
  </si>
  <si>
    <t>Accumulated Deferred Income Taxes</t>
  </si>
  <si>
    <t>Total AMI</t>
  </si>
  <si>
    <t>GRC (excludes AMI and TLNG Facility)</t>
  </si>
  <si>
    <t>W_F.10018.02.03.02: Opex to Capital Maint 2022-2026</t>
  </si>
  <si>
    <t>Part of W_F.10007.02.01.02: IT Operational Program in the GRC</t>
  </si>
  <si>
    <t>Annual Deficiency</t>
  </si>
  <si>
    <t>Threshold</t>
  </si>
  <si>
    <t>Annual Threshold</t>
  </si>
  <si>
    <t>AMI Meters and Modules Deployment</t>
  </si>
  <si>
    <t>SAP S/4 Hana</t>
  </si>
  <si>
    <t>Depr Expense</t>
  </si>
  <si>
    <t>Deferred Tax</t>
  </si>
  <si>
    <t>Actual CWIP Closings 2023 - End of Period</t>
  </si>
  <si>
    <t>W_C.10002.02.02.02: CLSD PSE HQ Refresh Phase 2</t>
  </si>
  <si>
    <t>C.10002.02.02.04</t>
  </si>
  <si>
    <t>W_C.10002.02.02.04: CLSD Remodel Bellevue 9th Floor</t>
  </si>
  <si>
    <t>C.10002.02.04.01</t>
  </si>
  <si>
    <t>W_C.10002.02.04.01: Facility Optimizatn Bothell G Lease Exit</t>
  </si>
  <si>
    <t>W_C.10002.07.01.01: CLSD Puyallup Service Center Rebuild</t>
  </si>
  <si>
    <t>W_C.10002.08.02.01: CLSD Operational Training Center</t>
  </si>
  <si>
    <t>W_C.10003.01.01.01: CLSD Furniture and Fixture Installation</t>
  </si>
  <si>
    <t>F.10002.01.18.01</t>
  </si>
  <si>
    <t>W_F.10002.01.18.01: Cap and Invest Billing</t>
  </si>
  <si>
    <t>F.10002.01.23.01</t>
  </si>
  <si>
    <t>W_F.10002.01.23.01: Complex Billing CEIP</t>
  </si>
  <si>
    <t>F.10002.03.03.01</t>
  </si>
  <si>
    <t>W_F.10002.03.03.01: Multi-Channel Workforce Management</t>
  </si>
  <si>
    <t>F.10002.06.06.01</t>
  </si>
  <si>
    <t>W_F.10002.06.06.01: Bill Discount Rate</t>
  </si>
  <si>
    <t>F.10002.07.06.01</t>
  </si>
  <si>
    <t>W_F.10002.07.06.01: Time Varying Rates Pilot</t>
  </si>
  <si>
    <t>F.10002.09.02.01</t>
  </si>
  <si>
    <t>W_F.10002.09.02.01: Enterprise PPM Tool</t>
  </si>
  <si>
    <t>F.10015.02.17.03</t>
  </si>
  <si>
    <t>W_F.10015.02.17.03: CLSD ADMS Advanced Apps</t>
  </si>
  <si>
    <t>F.10015.02.23.01</t>
  </si>
  <si>
    <t>W_F.10015.02.23.01: ERX Migration</t>
  </si>
  <si>
    <t>F.10015.04.02.04</t>
  </si>
  <si>
    <t>W_F.10015.04.02.04: MDMS License Extension 2022-2026</t>
  </si>
  <si>
    <t>F.10015.06.23.02</t>
  </si>
  <si>
    <t>W_F.10015.06.23.02: SAP BW 7.5 Functional Upgrade</t>
  </si>
  <si>
    <t>F.10015.06.27.01</t>
  </si>
  <si>
    <t>W_F.10015.06.27.01: Cloud Connector SLS11 to SLS15 Upgrade</t>
  </si>
  <si>
    <t>F.10015.08.14.03</t>
  </si>
  <si>
    <t>W_F.10015.08.14.03: Sitecore 9.3 to 10.2 Upgrade</t>
  </si>
  <si>
    <t>F.10015.08.23.01</t>
  </si>
  <si>
    <t>W_F.10015.08.23.01: Xamarin Forms Migration to MAUI</t>
  </si>
  <si>
    <t>F.10015.11.04.01</t>
  </si>
  <si>
    <t>W_F.10015.11.04.01: Windows Server 2012 Upgrade</t>
  </si>
  <si>
    <t>F.10016.01.01.03</t>
  </si>
  <si>
    <t>W_F.10016.01.01.03: IT Enterprise Architecture Tool 2022</t>
  </si>
  <si>
    <t>W_F.10017.02.01.03: CLSD Annual Comm Room Tech Refresh 2022</t>
  </si>
  <si>
    <t>F.10017.08.02.03</t>
  </si>
  <si>
    <t>W_F.10017.08.02.03: Annual Telecom SCADA Refresh 2022-26</t>
  </si>
  <si>
    <t>F.10017.08.08.01</t>
  </si>
  <si>
    <t>W_F.10017.08.08.01: ASAT to RTAC Replacement</t>
  </si>
  <si>
    <t>F.10017.10.18.01</t>
  </si>
  <si>
    <t>W_F.10017.10.18.01: Directory Services Optimization</t>
  </si>
  <si>
    <t>F.10017.13.01.03</t>
  </si>
  <si>
    <t>W_F.10017.13.01.03: CLSD Annual Voice Equipment Refresh New</t>
  </si>
  <si>
    <t>F.10017.15.01.04</t>
  </si>
  <si>
    <t>W_F.10017.15.01.04: Cloud Cost Optimization Tooling Refresh</t>
  </si>
  <si>
    <t>F.10018.02.04.01</t>
  </si>
  <si>
    <t>W_F.10018.02.04.01: Annual Enterprise App Growth 2022-2026</t>
  </si>
  <si>
    <t>F.10025.02.01.07</t>
  </si>
  <si>
    <t>W_F.10025.02.01.07: Transportation Security Admin TSA</t>
  </si>
  <si>
    <t>F.10025.02.01.08</t>
  </si>
  <si>
    <t>W_F.10025.02.01.08: Cyber Security Roadmap</t>
  </si>
  <si>
    <t>K.10007.01.01.03</t>
  </si>
  <si>
    <t>W_K.10007.01.01.03: FERN Major Maintenance Activity</t>
  </si>
  <si>
    <t>K.10018.01.01.03</t>
  </si>
  <si>
    <t>W_K.10018.01.01.03: LSR1 Wind Plant Work</t>
  </si>
  <si>
    <t>K.10025.02.01.01</t>
  </si>
  <si>
    <t>W_K.10025.02.01.01: TLNG Operational Plant</t>
  </si>
  <si>
    <t>R.10008.03.01.18</t>
  </si>
  <si>
    <t>W_R.10008.03.01.18: E WSDOT Fish Passage Relocation</t>
  </si>
  <si>
    <t>R.10009.07.01.07</t>
  </si>
  <si>
    <t>W_R.10009.07.01.07: E System Planning Software</t>
  </si>
  <si>
    <t>R.10009.08.02.11</t>
  </si>
  <si>
    <t>W_R.10009.08.02.11: E OH Syst Rel Upgr Gang OP Switches Dist</t>
  </si>
  <si>
    <t>R.10009.12.01.08</t>
  </si>
  <si>
    <t>W_R.10009.12.01.08: E Opt Out AMR to NCM Capital Exch</t>
  </si>
  <si>
    <t>W_R.10009.14.05.06: E Substation Reliability Dist</t>
  </si>
  <si>
    <t>R.10009.14.05.09</t>
  </si>
  <si>
    <t>W_R.10009.14.05.09: E Substation Reliability Trans</t>
  </si>
  <si>
    <t>R.10011.01.01.06</t>
  </si>
  <si>
    <t>W_R.10011.01.01.06: G Remote Telemetry Units Dist</t>
  </si>
  <si>
    <t>R.10013.04.01.06</t>
  </si>
  <si>
    <t>W_R.10013.04.01.06: G WSDOT Fish Passage Relocation</t>
  </si>
  <si>
    <t>R.10015.03.10.02</t>
  </si>
  <si>
    <t>W_R.10015.03.10.02: G-DIMP Unmaintainable STW Main in Casing</t>
  </si>
  <si>
    <t>R.10015.08.02.02</t>
  </si>
  <si>
    <t>W_R.10015.08.02.02: G Alternative Fuels</t>
  </si>
  <si>
    <t>R.10019.01.01.01</t>
  </si>
  <si>
    <t>W_R.10019.01.01.01: E Port Madison Subs</t>
  </si>
  <si>
    <t>R.10045.01.01.01</t>
  </si>
  <si>
    <t>W_R.10045.01.01.01: E Talbot Asbury Ug 115Kv Repl Tline</t>
  </si>
  <si>
    <t>W_R.10059.03.01.01: E Resilience Enhancement Substation</t>
  </si>
  <si>
    <t>R.10060.01.01.01</t>
  </si>
  <si>
    <t>W_R.10060.01.01.01: G Vashon Marine Crossing</t>
  </si>
  <si>
    <t>X.10007.01.01.01</t>
  </si>
  <si>
    <t>W_X.10007.01.01.01: Covid 19 Work for WUTC Order</t>
  </si>
  <si>
    <t>C.10002.12.01.01</t>
  </si>
  <si>
    <t>W_C.10002.12.01.01: Hybrid Working Transition to 50 Percent</t>
  </si>
  <si>
    <t>C.10003.01.01.03</t>
  </si>
  <si>
    <t>W_C.10003.01.01.03: Furniture Fixtures HVAC Refresh</t>
  </si>
  <si>
    <t>C.10006.01.01.04</t>
  </si>
  <si>
    <t>W_C.10006.01.01.04: EEI Fleet Electrical Commitment</t>
  </si>
  <si>
    <t>F.10002.01.20.01</t>
  </si>
  <si>
    <t>W_F.10002.01.20.01: Front Office Enhancements</t>
  </si>
  <si>
    <t>F.10002.01.26.01</t>
  </si>
  <si>
    <t>W_F.10002.01.26.01: Urbint Enhancement</t>
  </si>
  <si>
    <t>F.10002.01.31.01</t>
  </si>
  <si>
    <t>W_F.10002.01.31.01: Sendout Replacement</t>
  </si>
  <si>
    <t>F.10002.06.05.02</t>
  </si>
  <si>
    <t>W_F.10002.06.05.02: PSE 2030 Digital Experience Non CEIP</t>
  </si>
  <si>
    <t>F.10002.06.08.04</t>
  </si>
  <si>
    <t>W_F.10002.06.08.04: Billing Correction Automation</t>
  </si>
  <si>
    <t>F.10002.07.03.01</t>
  </si>
  <si>
    <t>W_F.10002.07.03.01: GIS Upgrade Smallworld</t>
  </si>
  <si>
    <t>F.10002.07.04.01</t>
  </si>
  <si>
    <t>W_F.10002.07.04.01: Streetlight New Business DB SAP Conversn</t>
  </si>
  <si>
    <t>F.10002.07.08.01</t>
  </si>
  <si>
    <t>W_F.10002.07.08.01: eGRC Archer</t>
  </si>
  <si>
    <t>F.10003.04.01.01</t>
  </si>
  <si>
    <t>W_F.10003.04.01.01: Digital Workplace Transformation</t>
  </si>
  <si>
    <t>F.10015.01.03.02</t>
  </si>
  <si>
    <t>W_F.10015.01.03.02: Oracle Upgrades 2023</t>
  </si>
  <si>
    <t>F.10015.02.24.01</t>
  </si>
  <si>
    <t>W_F.10015.02.24.01: PI Vision Suite Migration</t>
  </si>
  <si>
    <t>F.10015.04.07.01</t>
  </si>
  <si>
    <t>W_F.10015.04.07.01: LoadSEER Non-production Environmnt Purch</t>
  </si>
  <si>
    <t>F.10015.05.04.02</t>
  </si>
  <si>
    <t>W_F.10015.05.04.02: Annual Quality Framework Enhancemnt 2023</t>
  </si>
  <si>
    <t>F.10015.05.10.01</t>
  </si>
  <si>
    <t>W_F.10015.05.10.01: Work Manager Upgrade</t>
  </si>
  <si>
    <t>F.10015.06.24.03</t>
  </si>
  <si>
    <t>W_F.10015.06.24.03: POI - HANA DR Enablement</t>
  </si>
  <si>
    <t>F.10015.06.26.02</t>
  </si>
  <si>
    <t>W_F.10015.06.26.02: SAP Business Process Monitoring</t>
  </si>
  <si>
    <t>F.10015.06.28.01</t>
  </si>
  <si>
    <t>W_F.10015.06.28.01: Annual SQL Server Patches</t>
  </si>
  <si>
    <t>F.10015.08.11.07</t>
  </si>
  <si>
    <t>W_F.10015.08.11.07: Annual ServiceNow Platform Upgrades</t>
  </si>
  <si>
    <t>F.10015.08.14.04</t>
  </si>
  <si>
    <t>W_F.10015.08.14.04: Sitecore Autoscaling 2023</t>
  </si>
  <si>
    <t>F.10015.08.14.05</t>
  </si>
  <si>
    <t>W_F.10015.08.14.05: Consolidate Web Platforms</t>
  </si>
  <si>
    <t>F.10015.08.18.02</t>
  </si>
  <si>
    <t>W_F.10015.08.18.02: Microservices Refactoring with Cassandra</t>
  </si>
  <si>
    <t>F.10015.08.20.01</t>
  </si>
  <si>
    <t>W_F.10015.08.20.01: Annual Splunk Growth (2023-27)</t>
  </si>
  <si>
    <t>F.10015.08.20.02</t>
  </si>
  <si>
    <t>W_F.10015.08.20.02: Splunk Version Upgrades 2023</t>
  </si>
  <si>
    <t>F.10015.08.20.03</t>
  </si>
  <si>
    <t>W_F.10015.08.20.03: Annual Splunk Security Improvements</t>
  </si>
  <si>
    <t>F.10015.08.21.01</t>
  </si>
  <si>
    <t>W_F.10015.08.21.01: DataStax Astra Migration</t>
  </si>
  <si>
    <t>F.10015.08.24.01</t>
  </si>
  <si>
    <t>W_F.10015.08.24.01: Twilio/SendGrid Replacement</t>
  </si>
  <si>
    <t>F.10016.01.01.04</t>
  </si>
  <si>
    <t>W_F.10016.01.01.04: IT Enterprise Architecture 2023-27</t>
  </si>
  <si>
    <t>F.10017.02.02.04</t>
  </si>
  <si>
    <t>W_F.10017.02.02.04: Annual Data Center Tech Refresh (2023+)</t>
  </si>
  <si>
    <t>F.10017.03.08.01</t>
  </si>
  <si>
    <t>W_F.10017.03.08.01: Annual  AV/Conf Room Tech Refresh</t>
  </si>
  <si>
    <t>F.10017.05.07.02</t>
  </si>
  <si>
    <t>W_F.10017.05.07.02: DC Battery Management 2022-26</t>
  </si>
  <si>
    <t>F.10017.07.01.04</t>
  </si>
  <si>
    <t>W_F.10017.07.01.04: OpenText ECM Upgrade</t>
  </si>
  <si>
    <t>F.10017.09.11.01</t>
  </si>
  <si>
    <t>W_F.10017.09.11.01: Annual Network&amp;Voice Tech Refresh/Growth</t>
  </si>
  <si>
    <t>F.10017.10.20.01</t>
  </si>
  <si>
    <t>W_F.10017.10.20.01: Annual Corporate Comm Room Tech Refresh</t>
  </si>
  <si>
    <t>F.10017.10.21.01</t>
  </si>
  <si>
    <t>W_F.10017.10.21.01: Purch &amp; Implmnt Syst Orchestration Tool</t>
  </si>
  <si>
    <t>F.10017.12.29.01</t>
  </si>
  <si>
    <t>W_F.10017.12.29.01: Annual Telecom Comm Sites Tech Refresh</t>
  </si>
  <si>
    <t>F.10025.01.04.05</t>
  </si>
  <si>
    <t>W_F.10025.01.04.05: Reconeyez Wireless Video</t>
  </si>
  <si>
    <t>F.10025.01.05.01</t>
  </si>
  <si>
    <t>W_F.10025.01.05.01: Zero Trust Strategy for TSA Gas Pipeline</t>
  </si>
  <si>
    <t>F.10025.01.05.03</t>
  </si>
  <si>
    <t>W_F.10025.01.05.03: Jackson Prairie IT Infrastructure</t>
  </si>
  <si>
    <t>F.10026.01.01.03</t>
  </si>
  <si>
    <t>W_F.10026.01.01.03: Robotic Process Automation (2023-27)</t>
  </si>
  <si>
    <t>K.10008.01.01.05</t>
  </si>
  <si>
    <t>W_K.10008.01.01.05: FREDDY 1 Major Maintenance Activity</t>
  </si>
  <si>
    <t>K.10011.01.03.01</t>
  </si>
  <si>
    <t>W_K.10011.01.03.01: FRE Major Maintenance Activity</t>
  </si>
  <si>
    <t>K.10020.01.01.07</t>
  </si>
  <si>
    <t>W_K.10020.01.01.07: MTF Major Maintenance</t>
  </si>
  <si>
    <t>R.10006.01.01.08</t>
  </si>
  <si>
    <t>W_R.10006.01.01.08: E Substation SCADA (Non-CEIP)</t>
  </si>
  <si>
    <t>R.10009.08.07.01</t>
  </si>
  <si>
    <t>W_R.10009.08.07.01: E Fault Location</t>
  </si>
  <si>
    <t>R.10015.03.09.16</t>
  </si>
  <si>
    <t>W_R.10015.03.09.16: G NRF Retirement Program</t>
  </si>
  <si>
    <t>R.10015.08.01.02</t>
  </si>
  <si>
    <t>W_R.10015.08.01.02: G Enhanced Methane Emissions Reduction</t>
  </si>
  <si>
    <t>R.10034.01.01.03</t>
  </si>
  <si>
    <t>W_R.10034.01.01.03: E Pierce Co 230Kv Alderton Tline</t>
  </si>
  <si>
    <t>R.10035.01.01.01</t>
  </si>
  <si>
    <t>W_R.10035.01.01.01: E Alderton Electron Hgts 115Kv Ph2 Tline</t>
  </si>
  <si>
    <t>R.10059.06.01.01</t>
  </si>
  <si>
    <t>W_R.10059.06.01.01: E Conservation Voltage Reduction</t>
  </si>
  <si>
    <t>X.10006.02.03.02</t>
  </si>
  <si>
    <t>W_X.10006.02.03.02: Transprtatn Electrificatn Plan General</t>
  </si>
  <si>
    <t>W_C.10002.02.02.01: CLSD East Building Retirement</t>
  </si>
  <si>
    <t>W_C.10002.04.03.01: CLSD New Headquarters TI</t>
  </si>
  <si>
    <t>W_C.10002.09.01.01: CLSD BUCC relocation</t>
  </si>
  <si>
    <t>PLACEHOLDER WBS 34</t>
  </si>
  <si>
    <t xml:space="preserve">PLACEHOLDER WBS 34: Crystal Mountain </t>
  </si>
  <si>
    <t>F.10002.01.34.01</t>
  </si>
  <si>
    <t>W_F.10002.01.34.01: IWM Enhancements</t>
  </si>
  <si>
    <t>R.10059.02.01.09</t>
  </si>
  <si>
    <t>W_R.10059.02.01.09: E Property Acquisition Cir Enablement</t>
  </si>
  <si>
    <t>C.10002.02.03.01</t>
  </si>
  <si>
    <t>W_C.10002.02.03.01: RedWest Vacate and SKC Buildout</t>
  </si>
  <si>
    <t>C.20001.02.01.01</t>
  </si>
  <si>
    <t>W_C.20001.02.01.01: Treated Wood Disposal</t>
  </si>
  <si>
    <t>F.10015.04.04.01</t>
  </si>
  <si>
    <t>W_F.10015.04.04.01: GIS SmallWorld Upgrade</t>
  </si>
  <si>
    <t>F.10017.05.04.02</t>
  </si>
  <si>
    <t>W_F.10017.05.04.02: AV Updates</t>
  </si>
  <si>
    <t>R.10044.01.01.03</t>
  </si>
  <si>
    <t>W_R.10044.01.01.03: E Lake Holm Substation Subs</t>
  </si>
  <si>
    <t>R.10039.03.01.01</t>
  </si>
  <si>
    <t>W_R.10039.03.01.01: E White River Krain Substation</t>
  </si>
  <si>
    <t>W_F.10007.02.01.02: IT Operational Funding</t>
  </si>
  <si>
    <t>R.10003.01.01.01</t>
  </si>
  <si>
    <t>W_R.10003.01.01.01: E Lake Tradition 230Kv Development</t>
  </si>
  <si>
    <t>R.10015.06.01.11</t>
  </si>
  <si>
    <t>W_R.10015.06.01.11: G Project Initiation</t>
  </si>
  <si>
    <t>W_R.99999.99.99.99: General Transmission Project (Offest to Energize Eastside)</t>
  </si>
  <si>
    <t>F.10002.01.22.01</t>
  </si>
  <si>
    <t>W_F.10002.01.22.01: Click Schedule Replacement</t>
  </si>
  <si>
    <t>F.10002.01.25.01</t>
  </si>
  <si>
    <t>W_F.10002.01.25.01: Transmission &amp; Generation Facilities DB</t>
  </si>
  <si>
    <t>F.10015.02.17.01</t>
  </si>
  <si>
    <t>W_F.10015.02.17.01: Distribution Management System</t>
  </si>
  <si>
    <t>W_K.10020.01.01.03: MTF CT Major Maintenance</t>
  </si>
  <si>
    <t>R.10009.03.01.01</t>
  </si>
  <si>
    <t>W_R.10009.03.01.01: E Clyde Hill Switching Station</t>
  </si>
  <si>
    <t>R.10009.10.01.01</t>
  </si>
  <si>
    <t>W_R.10009.10.01.01: E Issaquah Highland Substation</t>
  </si>
  <si>
    <t>R.10009.14.05.01</t>
  </si>
  <si>
    <t>W_R.10009.14.05.01: E Digital Fault Recorders Replacement</t>
  </si>
  <si>
    <t>R.10018.01.01.01</t>
  </si>
  <si>
    <t>W_R.10018.01.01.01: E Covington Area Capacity Project</t>
  </si>
  <si>
    <t>R.10019.01.01.03</t>
  </si>
  <si>
    <t>W_R.10019.01.01.03: E Rebuild Winslow Tap</t>
  </si>
  <si>
    <t>R.10019.01.01.04</t>
  </si>
  <si>
    <t>W_R.10019.01.01.04: E Murden Cove Subs</t>
  </si>
  <si>
    <t>R.10019.03.01.01</t>
  </si>
  <si>
    <t>W_R.10019.03.01.01: E So Brm Bngr 115Kv 230Kv Prprty Purch</t>
  </si>
  <si>
    <t>R.10020.02.01.01</t>
  </si>
  <si>
    <t>W_R.10020.02.01.01: E Wind RidgE Kittitas 115Kv Tline</t>
  </si>
  <si>
    <t>R.10052.01.01.01</t>
  </si>
  <si>
    <t>W_R.10052.01.01.01: E Kent-Tukwila Area Capacity Project</t>
  </si>
  <si>
    <t>R.10052.01.01.02</t>
  </si>
  <si>
    <t>W_R.10052.01.01.02: E Briscoe Park Substation Tline</t>
  </si>
  <si>
    <t>R.10054.03.01.01</t>
  </si>
  <si>
    <t>W_R.10054.03.01.01: E Lynden Substation Expansion</t>
  </si>
  <si>
    <t>F.10002.01.27.01</t>
  </si>
  <si>
    <t>W_F.10002.01.27.01: Asset Change Work Management</t>
  </si>
  <si>
    <t>F.10002.05.03.01</t>
  </si>
  <si>
    <t>W_F.10002.05.03.01: EA and Magic Access DB Replacement</t>
  </si>
  <si>
    <t>R.10006.01.01.02</t>
  </si>
  <si>
    <t>F.10002.06.04.01</t>
  </si>
  <si>
    <t>W_F.10002.06.04.01: Arrearage Management Plan</t>
  </si>
  <si>
    <t>F.10002.06.07.01</t>
  </si>
  <si>
    <t>W_F.10002.06.07.01: Cust Usage Disaggregation and Presentmnt</t>
  </si>
  <si>
    <t>F.10002.07.05.01</t>
  </si>
  <si>
    <t>W_F.10002.07.05.01: Third Party Risk</t>
  </si>
  <si>
    <t>F.10002.07.07.01</t>
  </si>
  <si>
    <t>W_F.10002.07.07.01: Multi-Family Solar</t>
  </si>
  <si>
    <t>F.10002.07.09.01</t>
  </si>
  <si>
    <t>W_F.10002.07.09.01: Supply Chain Stabilization Phase 3</t>
  </si>
  <si>
    <t>Total All Items Considered in 2023 Rate Year 1 CWIP Closings</t>
  </si>
  <si>
    <t>2023 EOP Total Actual CWIP Closings</t>
  </si>
  <si>
    <t>Sum of 2023 EOP Total Actual CWIP Closings</t>
  </si>
  <si>
    <t>2023 Year End</t>
  </si>
  <si>
    <t>2023, Rate Year 1</t>
  </si>
  <si>
    <t>AMA 2023</t>
  </si>
  <si>
    <t>2023 STR Calculation (in millions)</t>
  </si>
  <si>
    <t>UG-__________</t>
  </si>
  <si>
    <t>Note: Amounts in bold and italics are different from the June 27, 2022 revised filing.</t>
  </si>
  <si>
    <t>Exh. SEF-24 page 2 of 3</t>
  </si>
  <si>
    <t>EOP</t>
  </si>
  <si>
    <t>AMA</t>
  </si>
  <si>
    <t>DEC 2021</t>
  </si>
  <si>
    <t>ADJUSTED</t>
  </si>
  <si>
    <t>TRADITIONAL</t>
  </si>
  <si>
    <t>GAP YEAR</t>
  </si>
  <si>
    <t>RESULTS</t>
  </si>
  <si>
    <t>RATE YEAR 1</t>
  </si>
  <si>
    <t>RATE YEAR 2</t>
  </si>
  <si>
    <t>PROFORMA</t>
  </si>
  <si>
    <t>RESULTS OF</t>
  </si>
  <si>
    <t>PROVISIONAL</t>
  </si>
  <si>
    <t>START OF</t>
  </si>
  <si>
    <t>END OF</t>
  </si>
  <si>
    <t>NO.</t>
  </si>
  <si>
    <t>DESCRIPTION</t>
  </si>
  <si>
    <t>ADJUSTMENTS</t>
  </si>
  <si>
    <t>OPERATIONS</t>
  </si>
  <si>
    <t>Programmatic</t>
  </si>
  <si>
    <t>403 GAS DEPRECIATION EXPENSE</t>
  </si>
  <si>
    <t>403 GAS PORTION OF COMMON</t>
  </si>
  <si>
    <t>404 GAS AMORTIZATION EXPENSE</t>
  </si>
  <si>
    <t>404 GAS PORTION OF COMMON</t>
  </si>
  <si>
    <t>TOTAL DEPRECIATION AND AMORTIZATION EXPENSE</t>
  </si>
  <si>
    <t>INCREASE (DECREASE) EXPENSE</t>
  </si>
  <si>
    <t>INCREASE (DECREASE) FIT</t>
  </si>
  <si>
    <t>INCREASE (DECREASE) NOI</t>
  </si>
  <si>
    <t>INCREASE TO RATE BASE</t>
  </si>
  <si>
    <t>ACCUM. DEPRECIATION &amp; AMORTIZATION</t>
  </si>
  <si>
    <t>TOTAL ADJUSTMENT TO RATE BASE</t>
  </si>
  <si>
    <t>Programmatic Customer Drive</t>
  </si>
  <si>
    <t>Specific</t>
  </si>
  <si>
    <t>Total All Provisional Proformas</t>
  </si>
  <si>
    <t>Exh. SEF-24 page 3 of 3</t>
  </si>
  <si>
    <t>SUBTOTAL DEPRECIATION EXPENSE 403</t>
  </si>
  <si>
    <t>403.1 GAS ASSET RETIREMENT COST DEPRECIATION</t>
  </si>
  <si>
    <t>403.1 GAS PORTION OF COMMON</t>
  </si>
  <si>
    <t>411.10 GAS ASSET RETIREMENT OBLIGATION ACCRETION</t>
  </si>
  <si>
    <t>TOTAL DEPRECIATION AND ACCRETION</t>
  </si>
  <si>
    <t>INCREASE (DECREASE) EDIT</t>
  </si>
  <si>
    <t>INCREASE (DECREASE) FLOW-THROUGH</t>
  </si>
  <si>
    <t>INCREASE (DECREASE) TAX EXPENSE</t>
  </si>
  <si>
    <t>ADJUSTMENT TO RATE BASE:</t>
  </si>
  <si>
    <t>ADJUSTMENT TO ACCUM. DEPREC. AT 100% DEPREC. EXP. LINE 12</t>
  </si>
  <si>
    <t>TOTAL ADJUSTMENT TO RATEBASE</t>
  </si>
  <si>
    <t>UE-__________</t>
  </si>
  <si>
    <t>Exh. SEF-23 pages 2 of 3</t>
  </si>
  <si>
    <t>(less Colstrip)</t>
  </si>
  <si>
    <t>403 ELEC. DEPRECIATION EXPENSE</t>
  </si>
  <si>
    <t>403 ELEC. PORTION OF COMMON</t>
  </si>
  <si>
    <t>404 ELEC. AMORTIZATION EXPENSE</t>
  </si>
  <si>
    <t>404 ELEC. PORTION OF COMMON</t>
  </si>
  <si>
    <t>GROSS PLANT</t>
  </si>
  <si>
    <t>Exh. SEF-23 page 3 of 3</t>
  </si>
  <si>
    <t>403.1 ELEC. ASSET RETIREMENT COST DEPRECIATION</t>
  </si>
  <si>
    <t>403.1 ELEC. PORTION OF COMMON</t>
  </si>
  <si>
    <t>411.10 ELEC. ASSET RETIREMENT OBLIGATION ACCRETION</t>
  </si>
  <si>
    <r>
      <t xml:space="preserve">RY 1 </t>
    </r>
    <r>
      <rPr>
        <b/>
        <sz val="11"/>
        <color rgb="FF0000FF"/>
        <rFont val="Calibri"/>
        <family val="2"/>
        <scheme val="minor"/>
      </rPr>
      <t>In Rates</t>
    </r>
  </si>
  <si>
    <r>
      <t xml:space="preserve">RY 1 </t>
    </r>
    <r>
      <rPr>
        <b/>
        <sz val="11"/>
        <color rgb="FF00B050"/>
        <rFont val="Calibri"/>
        <family val="2"/>
        <scheme val="minor"/>
      </rPr>
      <t>Actuals</t>
    </r>
  </si>
  <si>
    <t>Subject to Refund</t>
  </si>
  <si>
    <t>From reconciliation ----&gt;</t>
  </si>
  <si>
    <t>PT - Company</t>
  </si>
  <si>
    <t>1000: Puget Sound Energy</t>
  </si>
  <si>
    <t>Colstrip, TEP, CEIP</t>
  </si>
  <si>
    <t>ST Item: Summary Item for Rate Base Report of ST - Item</t>
  </si>
  <si>
    <t>&amp; LNG Removed</t>
  </si>
  <si>
    <t>ST - Item</t>
  </si>
  <si>
    <t>Plant Book Ending Balance</t>
  </si>
  <si>
    <t>12/31/2023 AMA</t>
  </si>
  <si>
    <t>Sum of Dec-2022</t>
  </si>
  <si>
    <t>Sum of Jan-2023</t>
  </si>
  <si>
    <t>Sum of Feb-2023</t>
  </si>
  <si>
    <t>Sum of Mar-2023</t>
  </si>
  <si>
    <t>Sum of Apr-2023</t>
  </si>
  <si>
    <t>Sum of May-2023</t>
  </si>
  <si>
    <t>Sum of Jun-2023</t>
  </si>
  <si>
    <t>Sum of Jul-2023</t>
  </si>
  <si>
    <t>Sum of Aug-2023</t>
  </si>
  <si>
    <t>Sum of Sep-2023</t>
  </si>
  <si>
    <t>Sum of Oct-2023</t>
  </si>
  <si>
    <t>Sum of Nov-2023</t>
  </si>
  <si>
    <t>Sum of Dec-2023</t>
  </si>
  <si>
    <t>N/A: Not Applicable</t>
  </si>
  <si>
    <t>W_C.10002.02.03.02: Redmond South King Lease Exit</t>
  </si>
  <si>
    <t>W_C.10002.03.01.03: CLSD South King Complex Reno</t>
  </si>
  <si>
    <t>W_C.10002.06.01.01: CLSD Snoq Tech Center</t>
  </si>
  <si>
    <t>W_C.10002.08.02.02: Operational Training Center CC 1507</t>
  </si>
  <si>
    <t>W_C.10002.10.01.01: CLSD - Site Feas and Master Plan</t>
  </si>
  <si>
    <t>W_C.10002.11.01.01: Lake Tapps Improvements</t>
  </si>
  <si>
    <t>W_C.10002.14.01.01: NOB Security Fence</t>
  </si>
  <si>
    <t>W_C.10002.15.01.01: New Primary Control Center</t>
  </si>
  <si>
    <t>W_C.10002.16.01.01: Fac Fleet &amp; Supply Chain Expan or Reloc</t>
  </si>
  <si>
    <t>W_C.10010.03.01.01: Shuffleton Relocation at SKC</t>
  </si>
  <si>
    <t>W_C.10010.06.01.01: Shuffleton Reloc at Todd Road</t>
  </si>
  <si>
    <t>W_C.40001.01.02.01: SuccessFactors Application Sustainment</t>
  </si>
  <si>
    <t>W_ELEC PRECAP: Elec precap</t>
  </si>
  <si>
    <t>W_F.10002.01.02.04: PCI Upgrade for EIM Changes</t>
  </si>
  <si>
    <t>W_F.10002.01.02.06: PCI Transmission Billing Module</t>
  </si>
  <si>
    <t>W_F.10002.01.05.02: Transmission GIS</t>
  </si>
  <si>
    <t>W_F.10002.01.05.03: Enterprise GIS Product Enhancements</t>
  </si>
  <si>
    <t>W_F.10002.01.05.04: GIS Technology Rationalization</t>
  </si>
  <si>
    <t>W_F.10002.01.06.02: SAP SuccessFactor Onboarding 2.0 Upgrade</t>
  </si>
  <si>
    <t>W_F.10002.01.16.02: Virtual Power Plant 2024 &amp; Beyond</t>
  </si>
  <si>
    <t>W_F.10002.01.19.01: Data Lake and Data Analytics</t>
  </si>
  <si>
    <t>W_F.10002.01.19.02: Data Lake and Data Analytics NonCEIP</t>
  </si>
  <si>
    <t>W_F.10002.01.21.01: EMS Platform Replacement</t>
  </si>
  <si>
    <t>W_F.10002.01.24.01: Cust Relationship Mgmt (CRM) CEIP</t>
  </si>
  <si>
    <t>W_F.10002.01.24.02: Cust Relationship Mgmnt (CRM) NonCEIP</t>
  </si>
  <si>
    <t>W_F.10002.01.28.03: Dist Energy Resource Mgmnt Systs (DERMS)</t>
  </si>
  <si>
    <t>W_F.10002.01.29.01: Enh Day Ahead Mkt for CAISO or SPP+</t>
  </si>
  <si>
    <t>W_F.10002.01.30.01: Hosting Capacity Analysis</t>
  </si>
  <si>
    <t>W_F.10002.01.32.01: PM Tool for C&amp;SP</t>
  </si>
  <si>
    <t>W_F.10002.01.33.01: Substation Forms Automation</t>
  </si>
  <si>
    <t>W_F.10002.01.35.01: Advanced Leak Detection</t>
  </si>
  <si>
    <t>W_F.10002.01.35.02: Leak Management System Replacement</t>
  </si>
  <si>
    <t>W_F.10002.01.36.01: DIMP Predictive Analytics</t>
  </si>
  <si>
    <t>W_F.10002.05.04.01: Treasury &amp; Risk Management Enhancement</t>
  </si>
  <si>
    <t>W_F.10002.05.05.01: ETRMS Consolidate - Endur Replace</t>
  </si>
  <si>
    <t>W_F.10002.05.05.02: ETRMS Consolidate - OATI WebTrader Repl</t>
  </si>
  <si>
    <t>W_F.10002.06.05.02: PSE 2030 Digital Experience NonCEIP</t>
  </si>
  <si>
    <t>W_F.10002.06.08.01: Budget Billing</t>
  </si>
  <si>
    <t>W_F.10002.06.08.02: Interactive Bill</t>
  </si>
  <si>
    <t>W_F.10002.06.08.03: Billing and Pymnt Opertional Enhancemnts</t>
  </si>
  <si>
    <t>W_F.10002.07.01.01: IMPACT</t>
  </si>
  <si>
    <t>W_F.10002.07.02.01: Safety Incident Management Tool</t>
  </si>
  <si>
    <t>W_F.10002.07.10.01: SAP S/4 Hana</t>
  </si>
  <si>
    <t>W_F.10002.07.11.01: Learning Management System (LMS)</t>
  </si>
  <si>
    <t>W_F.10002.07.12.01: Vendor DEI/Green</t>
  </si>
  <si>
    <t>W_F.10002.07.13.01: Enterprise Application Integration</t>
  </si>
  <si>
    <t>W_F.10002.07.14.01: Legal Hold Management System</t>
  </si>
  <si>
    <t>W_F.10002.08.01.01: Material TrackTrace Pipeline Safety Comp</t>
  </si>
  <si>
    <t>W_F.10002.09.01.01: Power Plan Upgrade</t>
  </si>
  <si>
    <t>W_F.10002.09.02.02: EPPM Tool Phase 2</t>
  </si>
  <si>
    <t>W_F.10002.09.03.01: Facilities and Workplace Mgmt System</t>
  </si>
  <si>
    <t>W_F.10002.09.04.01: FERC 881 Mitigation</t>
  </si>
  <si>
    <t>W_F.10003.02.02.01: CLSD FTIP Hardware Upgrade</t>
  </si>
  <si>
    <t>W_F.10003.04.02.01: AV (Audio/Video) Upgrades</t>
  </si>
  <si>
    <t>W_F.10003.04.03.01: Network Substation Hardware Refresh</t>
  </si>
  <si>
    <t>W_F.10003.04.04.01: Microsoft 365 Enablement</t>
  </si>
  <si>
    <t>W_F.10003.04.05.01: Critical Access Database Remediation</t>
  </si>
  <si>
    <t>W_F.10013.09.01.01: PSE ITSR</t>
  </si>
  <si>
    <t>W_F.10013.09.01.02: PSE ITSR</t>
  </si>
  <si>
    <t>W_F.10015.01.04.01: Annual Informatica Upgrades</t>
  </si>
  <si>
    <t>W_F.10015.02.02.03: EMS Point Growth (2024+)</t>
  </si>
  <si>
    <t>W_F.10015.02.03.01: EMS 3X Upgrade</t>
  </si>
  <si>
    <t>W_F.10015.02.14.01: OSI Soft PI Historian</t>
  </si>
  <si>
    <t>W_F.10015.02.14.03: Elec OSI PI Asst Framewrk PI Vision Migr</t>
  </si>
  <si>
    <t>W_F.10015.02.14.04: OSISoft PI Historian Data Visualization</t>
  </si>
  <si>
    <t>W_F.10015.02.17.02: ADMS SCADA</t>
  </si>
  <si>
    <t>W_F.10015.02.18.02: Geospacial Load Forecasting</t>
  </si>
  <si>
    <t>W_F.10015.02.19.02: SSIS Version 2019 Upgrade</t>
  </si>
  <si>
    <t>W_F.10015.02.22.01: ESO Video Wall Replacement</t>
  </si>
  <si>
    <t>W_F.10015.02.25.01: Task Factory Replacement</t>
  </si>
  <si>
    <t>W_F.10015.02.26.01: Annual SmallWorld Upgrade</t>
  </si>
  <si>
    <t>W_F.10015.04.02.03: MDMS 7.5 Upgrade</t>
  </si>
  <si>
    <t>W_F.10015.04.02.05: MDMS DB Partitioning Truncation</t>
  </si>
  <si>
    <t>W_F.10015.04.06.01: Annual Smart Community Center Upgrade</t>
  </si>
  <si>
    <t>W_F.10015.04.07.02: Annual LoadSEER Upgrade</t>
  </si>
  <si>
    <t>W_F.10015.04.08.01: AMI Command Center Upgrade</t>
  </si>
  <si>
    <t>W_F.10015.04.09.01: MV90 Upgrade</t>
  </si>
  <si>
    <t>W_F.10015.05.09.01: ESRI Enterprise Platform Prep Work</t>
  </si>
  <si>
    <t>W_F.10015.06.05.01: SAP HR Support Packs</t>
  </si>
  <si>
    <t>W_F.10015.06.24.02: POI HANA Sizing &amp; Optimization</t>
  </si>
  <si>
    <t>W_F.10015.06.29.01: SAP Systems Data Archiving (2024-26)</t>
  </si>
  <si>
    <t>W_F.10015.08.03.05: IAM Stability and Enhancement</t>
  </si>
  <si>
    <t>W_F.10015.08.11.04: ServiceNow New York Upgrade</t>
  </si>
  <si>
    <t>W_F.10015.08.13.01: UI Enhancements</t>
  </si>
  <si>
    <t>W_F.10015.08.13.04: Annual UI Planner Upgrade</t>
  </si>
  <si>
    <t>W_F.10015.08.16.02: Cassandra (Astra) Data Reconciliation</t>
  </si>
  <si>
    <t>W_F.10015.08.16.03: PI/PO Notifications Migration to CPI</t>
  </si>
  <si>
    <t>W_F.10015.08.18.03: AWS Container Stabilization</t>
  </si>
  <si>
    <t>W_F.10015.08.18.04: Service Health Dashboard for API Gateway</t>
  </si>
  <si>
    <t>W_F.10015.08.19.02: Terraform Build Improvements</t>
  </si>
  <si>
    <t>W_F.10015.08.25.01: eGain Improvements</t>
  </si>
  <si>
    <t>W_F.10015.08.26.01: Azure Dev Ops (ADO) Upgrade</t>
  </si>
  <si>
    <t>W_F.10015.08.27.01: Optimization of VDI Instance for Web</t>
  </si>
  <si>
    <t>W_F.10015.08.28.01: Monitor and Alert Sys for Extrnl Compnnt</t>
  </si>
  <si>
    <t>W_F.10015.11.02.01: Command Center Upgrade 2021</t>
  </si>
  <si>
    <t>W_F.10015.11.03.01: Gas Control Workstations Upgrade</t>
  </si>
  <si>
    <t>W_F.10015.11.08.01: Annual Everbridge Upgrade</t>
  </si>
  <si>
    <t>W_F.10015.11.09.01: Archer Enhancements</t>
  </si>
  <si>
    <t>W_F.10015.12.01.01: MIGRATE FROM TABLEAU TO POWER BI</t>
  </si>
  <si>
    <t>W_F.10015.12.01.02: Annual Power BI Upgrades</t>
  </si>
  <si>
    <t>W_F.10015.12.02.01: SQL Server Audit Compliance Tool</t>
  </si>
  <si>
    <t>W_F.10015.12.02.02: SQL Server Lab Environment</t>
  </si>
  <si>
    <t>W_F.10016.01.01.02: CLSD IT Enterprise Architecture System</t>
  </si>
  <si>
    <t>W_F.10017.02.01.02: CLSD Annual Comm Room Refresh</t>
  </si>
  <si>
    <t>W_F.10017.02.02.02: Annual Data Center Refresh and Growth</t>
  </si>
  <si>
    <t>W_F.10017.02.04.02: Enterpr Monitoring Standardization 2022</t>
  </si>
  <si>
    <t>W_F.10017.03.01.03: PC and TB Refresh New</t>
  </si>
  <si>
    <t>W_F.10017.03.08.02: Annual  AV/Conf Room Tech Refrsh (2024+)</t>
  </si>
  <si>
    <t>W_F.10017.03.09.01: InTune Migration</t>
  </si>
  <si>
    <t>W_F.10017.03.10.01: Digital Experience Monitoring Tool</t>
  </si>
  <si>
    <t>W_F.10017.03.11.01: Hardware Asset Management</t>
  </si>
  <si>
    <t>W_F.10017.04.03.02: eWFM Back Office Component</t>
  </si>
  <si>
    <t>W_F.10017.05.08.01: Underground Fuel Tank Removal</t>
  </si>
  <si>
    <t>W_F.10017.05.09.01: IT Enterprise Architecture (2024+)</t>
  </si>
  <si>
    <t>W_F.10017.07.01.05: EDRMS Phase 2 (OpenText)</t>
  </si>
  <si>
    <t>W_F.10017.08.02.02: CLSD Annual Scada Refresh New</t>
  </si>
  <si>
    <t>W_F.10017.09.04.07: SAP Security Roles Optimization</t>
  </si>
  <si>
    <t>W_F.10017.10.19.01: Data Center UPS Battery Replacement</t>
  </si>
  <si>
    <t>W_F.10017.10.22.01: Annual Server and Storage Growth (2024+)</t>
  </si>
  <si>
    <t>W_F.10017.11.01.03: Annual Strge Bckup Growth Refresh New</t>
  </si>
  <si>
    <t>W_F.10017.12.01.02: CLSD Annual Fiber Refresh New</t>
  </si>
  <si>
    <t>W_F.10017.12.03.01: Annual Microwave Radio Refresh</t>
  </si>
  <si>
    <t>W_F.10017.12.05.02: CLSD Annual RF Refresh New</t>
  </si>
  <si>
    <t>W_F.10017.12.06.02: CLSD Telecom Equipment Refresh and Grwth</t>
  </si>
  <si>
    <t>W_F.10017.12.08.01: CLSD Annual Telecom Netwrk Refrh n Grwth</t>
  </si>
  <si>
    <t>W_F.10017.12.08.02: Transport Refresh</t>
  </si>
  <si>
    <t>W_F.10017.12.17.02: Upper Baker Glover Tower Replacement</t>
  </si>
  <si>
    <t>W_F.10017.12.23.03: CLSD Network Refresh n Growth New</t>
  </si>
  <si>
    <t>W_F.10017.12.27.01: Move of Telecom Core</t>
  </si>
  <si>
    <t>W_F.10017.12.28.01: GIS Fiber Mapping</t>
  </si>
  <si>
    <t>W_F.10017.13.04.01: CLSD Corp SIP Trunking Expansion</t>
  </si>
  <si>
    <t>W_F.10017.15.01.03: Automation API Platform</t>
  </si>
  <si>
    <t>W_F.10018.02.02.01: IT Client Software Growth</t>
  </si>
  <si>
    <t>W_F.10018.02.03.01: Opex to Capex Maint</t>
  </si>
  <si>
    <t>W_F.10025.01.04.03: DNA Fusion Upgrade</t>
  </si>
  <si>
    <t>W_F.10025.01.04.04: Threat Vulnerability Assessment (TVA)</t>
  </si>
  <si>
    <t>W_F.10025.01.04.06: Phys Sec Imprvmts-High-Risk Sites &amp; Sys</t>
  </si>
  <si>
    <t>W_F.10025.01.04.07: O'Brien Sub Phys Security Enhancements</t>
  </si>
  <si>
    <t>W_F.10025.01.04.09: ESO Physical Security Enhancements</t>
  </si>
  <si>
    <t>W_F.10025.01.04.10: SKC SVC Physical Security Enhancements</t>
  </si>
  <si>
    <t>W_F.10025.01.04.11: TAC SVC Physical Security Enhancements</t>
  </si>
  <si>
    <t>W_F.10025.01.05.02: Physical Security Gas Facility Improv</t>
  </si>
  <si>
    <t>W_F.10025.01.05.04: Zero Trust Strategy - Enterprise</t>
  </si>
  <si>
    <t>W_F.10025.02.01.06: CDC Extension &amp; Efficiency</t>
  </si>
  <si>
    <t>W_F.10026.01.01.02: Workspace Reservation System</t>
  </si>
  <si>
    <t>W_F.10028.01.01.01: Performance Management</t>
  </si>
  <si>
    <t>W_F.10028.01.02.01: Activity Based Forecasting</t>
  </si>
  <si>
    <t>W_GAS PRECAP: Gas precap</t>
  </si>
  <si>
    <t>W_K.10002.01.01.01: LBK Clubhouse Remodel Visitor Center</t>
  </si>
  <si>
    <t>W_K.10002.01.01.06: LBK FSC Guide Net Replacement</t>
  </si>
  <si>
    <t>W_K.10002.01.01.07: LBK Equipment Storage Building</t>
  </si>
  <si>
    <t>W_K.10003.01.01.02: LBK Dam Grouting Program</t>
  </si>
  <si>
    <t>W_K.10003.02.01.02: UBK W Pass Dike Instrmt n Stability Eval</t>
  </si>
  <si>
    <t>W_K.10006.01.01.03: ENC Major Maintenance Activity</t>
  </si>
  <si>
    <t>W_K.10007.01.01.01: FERN Small Tools</t>
  </si>
  <si>
    <t>W_K.10009.01.01.06: FRA Major Maintenance Activity</t>
  </si>
  <si>
    <t>W_K.10010.01.01.02: CLSD FRE Thermal Plant Work</t>
  </si>
  <si>
    <t>W_K.10011.01.03.02: FRE Electrolyzer Pilot Program</t>
  </si>
  <si>
    <t>W_K.10012.01.02.06: CLSD CI IVR Enhan Predct n Natural Voice</t>
  </si>
  <si>
    <t>W_K.10012.01.05.04: CLSD IWM Work Management System</t>
  </si>
  <si>
    <t>W_K.10012.01.05.11: IWM EFR Electric First Response</t>
  </si>
  <si>
    <t>W_K.10014.01.01.02: GLD CT Major Maintenance</t>
  </si>
  <si>
    <t>W_K.10014.01.01.07: GLD Major Maintenance Activity</t>
  </si>
  <si>
    <t>W_K.10017.01.01.02: BKR Develop Recreation Capital</t>
  </si>
  <si>
    <t>W_K.10017.01.01.03: BKR Elk Habitat</t>
  </si>
  <si>
    <t>W_K.10017.01.02.01: HPK Eagle Conservation Plan</t>
  </si>
  <si>
    <t>W_K.10017.01.03.01: LSR1 Eagle Conservation Plan</t>
  </si>
  <si>
    <t>W_K.10022.01.01.02: SNO Park Bathroom Rebuild</t>
  </si>
  <si>
    <t>W_K.10022.01.01.04: SNO U5 Erosion Repair</t>
  </si>
  <si>
    <t>W_K.10023.01.01.03: SMS Major Maintenance Activity</t>
  </si>
  <si>
    <t>W_K.10025.01.02.03: LNG Clover Creek Limit Station Modi</t>
  </si>
  <si>
    <t>W_K.10025.01.02.06: LNG Golden Givens New Limit Station</t>
  </si>
  <si>
    <t>W_K.10026.01.01.05: WHH Major Maintenance Activity</t>
  </si>
  <si>
    <t>W_K.10037.01.01.01: Generation Engineering Small Tools</t>
  </si>
  <si>
    <t>W_K.10040.01.01.01: Gordon Butte Hydro Pump Storage</t>
  </si>
  <si>
    <t>W_K.10041.01.01.01: CMN Thermal Plant Work</t>
  </si>
  <si>
    <t>W_K.10042.01.01.01: Appaloosa Solar Project</t>
  </si>
  <si>
    <t>W_K.10043.01.01.01: Beaver Creek Plant Construction</t>
  </si>
  <si>
    <t>W_K.10043.01.01.02: Beaver Creek IT Infrastructure</t>
  </si>
  <si>
    <t>W_PLACEHOLDER_06: Alternative Fuels Supply Procurement</t>
  </si>
  <si>
    <t>W_PLACEHOLDER_116: Energy Efficiency for Facilities</t>
  </si>
  <si>
    <t>W_PLACEHOLDER_118: Facilities Opt - Facility Modernization</t>
  </si>
  <si>
    <t>W_PLACEHOLDER_142: Cash Payment Transformation</t>
  </si>
  <si>
    <t>W_PLACEHOLDER_143: ADMS Enhancements</t>
  </si>
  <si>
    <t>W_PLACEHOLDER_144: Electric Distribution Digital As Builting</t>
  </si>
  <si>
    <t>W_PLACEHOLDER_145: ETRMS Consolidate - Endur Replace</t>
  </si>
  <si>
    <t>W_PLACEHOLDER_146: Digital Radio Upgrade</t>
  </si>
  <si>
    <t>W_PLACEHOLDER_147: Call Center Technology Platform Modernization</t>
  </si>
  <si>
    <t>W_PLACEHOLDER_148: IWM R5 Customer and Project Enhancement</t>
  </si>
  <si>
    <t>W_PLACEHOLDER_149: IT Ops - Running the Business of IT</t>
  </si>
  <si>
    <t>W_PLACEHOLDER_150: IT Ops - Technology Reliability Hardware</t>
  </si>
  <si>
    <t>W_PLACEHOLDER_151: IT Ops - Technology Reliability Software</t>
  </si>
  <si>
    <t>W_PLACEHOLDER_152: IT Ops - Telecom</t>
  </si>
  <si>
    <t>W_PLACEHOLDER_153: IT Ops - Capitalized Cloud Services</t>
  </si>
  <si>
    <t>W_PLACEHOLDER_154: IT Ops - Capitalized IT Support Agreements</t>
  </si>
  <si>
    <t>W_PLACEHOLDER_155: Advanced Leak Detection</t>
  </si>
  <si>
    <t>W_PLACEHOLDER_156: Bellevue HQ Lease Exit</t>
  </si>
  <si>
    <t>W_PLACEHOLDER_158: Sewer Cross Bore Predictive Model</t>
  </si>
  <si>
    <t>W_PLACEHOLDER_159: Appaloosa Solar Project</t>
  </si>
  <si>
    <t>W_PLACEHOLDER_160: Virtual Power Plant 2024 and Beyond</t>
  </si>
  <si>
    <t>W_PLACEHOLDER_163: Rewind/Recore UBK Unit 1</t>
  </si>
  <si>
    <t>W_PLACEHOLDER_166: Data Center Hardware Refresh 2026+</t>
  </si>
  <si>
    <t>W_PLACEHOLDER_167: Data &amp; Analytics Platform Uplift BW BOBJ POI</t>
  </si>
  <si>
    <t>W_PLACEHOLDER_168: SAP Work Manager Replacement</t>
  </si>
  <si>
    <t>W_PLACEHOLDER_169: CEF5 Kittitas BESS</t>
  </si>
  <si>
    <t>W_PLACEHOLDER_170: Data Lake Phase 2 (Operations)</t>
  </si>
  <si>
    <t>W_PLACEHOLDER_171: Potential Transactional Bill Print Vendor Move</t>
  </si>
  <si>
    <t>W_PLACEHOLDER_175: Supply Chain Warehouse Improvements</t>
  </si>
  <si>
    <t>W_PLACEHOLDER_177: Vernell Building Retirement</t>
  </si>
  <si>
    <t>W_PLACEHOLDER_179: Implement GIS Strategy</t>
  </si>
  <si>
    <t>W_PLACEHOLDER_180: Click Replacement Enhancements</t>
  </si>
  <si>
    <t>W_PLACEHOLDER_181: ETRMS Consolidate - OATI WebTrader Replace</t>
  </si>
  <si>
    <t>W_PLACEHOLDER_182: Front Office Data Enablement Phase 1</t>
  </si>
  <si>
    <t>W_PLACEHOLDER_183: Enterprise GIS Product Enhancements</t>
  </si>
  <si>
    <t>W_PLACEHOLDER_184: Physical Security Improvements for High-Risk Sites &amp; Systems</t>
  </si>
  <si>
    <t>W_PLACEHOLDER_185: Tensing Replacement</t>
  </si>
  <si>
    <t>W_PLACEHOLDER_186: Centralia 100MW Hydrogen Peaker</t>
  </si>
  <si>
    <t>W_PLACEHOLDER_188: Long Duration Storage Development</t>
  </si>
  <si>
    <t>W_PLACEHOLDER_189: CEF4 Tenino Alternative Renewable Backup Generator</t>
  </si>
  <si>
    <t>W_PLACEHOLDER_190: Network Substation Hardware Refresh</t>
  </si>
  <si>
    <t>W_PLACEHOLDER_191: Beaver Creek Wind</t>
  </si>
  <si>
    <t>W_PLACEHOLDER_192: FRA CT Rotor Replacement</t>
  </si>
  <si>
    <t>W_PLACEHOLDER_193: LSR New Tower</t>
  </si>
  <si>
    <t>W_PLACEHOLDER_194: GLD CT Rotor Replacement</t>
  </si>
  <si>
    <t>W_PLACEHOLDER_195: DER Demonstrations</t>
  </si>
  <si>
    <t>W_PLACEHOLDER_196: E Transformers Replacement</t>
  </si>
  <si>
    <t>W_PLACEHOLDER_199: Lineage Algona Solar CEIP</t>
  </si>
  <si>
    <t>W_PLACEHOLDER_200: Lineage Algona Storage CEIP</t>
  </si>
  <si>
    <t>W_PLACEHOLDER_54: New Primary Control Center</t>
  </si>
  <si>
    <t>W_PLACEHOLDER_63: E King County Franchise Fee</t>
  </si>
  <si>
    <t>W_PLACEHOLDER_64: G King County Franchise Fee</t>
  </si>
  <si>
    <t>W_PLACEHOLDER_67: Misc Business Enablement</t>
  </si>
  <si>
    <t>W_PLACEHOLDER_69: Facility Fleet and Supply Chain-Todd Rd</t>
  </si>
  <si>
    <t>W_PLACEHOLDER_90: Hopkins Ridge DSTATCOM Replacement</t>
  </si>
  <si>
    <t>W_PLACEHOLDER_92: Misc Technology Reliability</t>
  </si>
  <si>
    <t>W_PLACEHOLDER_99: Replace Service Centers</t>
  </si>
  <si>
    <t>W_R.10002.02.01.01: G Bonney Lake HP Supply Reliability</t>
  </si>
  <si>
    <t>W_R.10005.01.01.05: E Eastside 230Kv Subs Sammamish</t>
  </si>
  <si>
    <t>W_R.10005.01.01.06: E Eastside 230Kv Subs Somerset</t>
  </si>
  <si>
    <t>W_R.10005.01.01.08: E Talbot Hill Paccar Reconductor</t>
  </si>
  <si>
    <t>W_R.10007.02.01.02: E Bellingham Substation Rebuild Sub</t>
  </si>
  <si>
    <t>W_R.10007.12.04.01: Shuffleton Switchyard SECO Development</t>
  </si>
  <si>
    <t>W_R.10008.03.01.13: E Elec Facility Replacement Trans</t>
  </si>
  <si>
    <t>W_R.10008.07.02.02: E King County Clr Zone Pole Prog Trans</t>
  </si>
  <si>
    <t>W_R.10009.02.01.02: E Central Bellevue Dist Growth Feeder</t>
  </si>
  <si>
    <t>W_R.10009.08.02.01: E Bellingham Subs</t>
  </si>
  <si>
    <t>W_R.10009.08.02.13: E UG Sys Rel Upgr Pm Switch Dist</t>
  </si>
  <si>
    <t>W_R.10009.08.03.03: Avian Protection Program</t>
  </si>
  <si>
    <t>W_R.10009.12.01.06: C AMI System Integration</t>
  </si>
  <si>
    <t>W_R.10009.14.01.01: E Substation Replacement Battery Dist</t>
  </si>
  <si>
    <t>W_R.10009.14.01.02: E Substation Replacement Battery Trans</t>
  </si>
  <si>
    <t>W_R.10009.14.03.01: E Subs Repl Electron Mech Relays Dist</t>
  </si>
  <si>
    <t>W_R.10009.14.03.03: E Purchase PAC Engineering Software</t>
  </si>
  <si>
    <t>W_R.10009.14.05.10: E Subs Replacement Transfer Trip Dist</t>
  </si>
  <si>
    <t>W_R.10009.15.02.01: E Cherry Point Substation Tline Reimb</t>
  </si>
  <si>
    <t>W_R.10009.15.02.03: E Cherry Point Substation Reimbursable</t>
  </si>
  <si>
    <t>W_R.10009.16.01.01: E Whidbey Subs 1115Kv Bus Upgrade Sub</t>
  </si>
  <si>
    <t>W_R.10009.18.01.01: E OH Syst Upgr Tree Wire WF Tracker</t>
  </si>
  <si>
    <t>W_R.10009.18.01.14: E PSPS Notification Softwr (ACT Now) WF</t>
  </si>
  <si>
    <t>W_R.10011.01.01.02: G ERX Pilot Dist</t>
  </si>
  <si>
    <t>W_R.10011.01.01.11: G Gas Monitoring</t>
  </si>
  <si>
    <t>W_R.10013.03.01.01: G I405 Relocate Like Kind Dist</t>
  </si>
  <si>
    <t>W_R.10013.03.01.02: G I5 Tacoma Hov Relocate</t>
  </si>
  <si>
    <t>W_R.10013.05.01.03: G Seattle Core Other Projects</t>
  </si>
  <si>
    <t>W_R.10013.05.01.05: G Seattle Core Services</t>
  </si>
  <si>
    <t>W_R.10015.02.01.01: G Damage Claims Dist</t>
  </si>
  <si>
    <t>W_R.10015.03.03.02: PE Pipe Recall 1-inch</t>
  </si>
  <si>
    <t>W_R.10015.03.04.11: G DIMP Low Pressure Replacement</t>
  </si>
  <si>
    <t>W_R.10015.08.02.01: G TSA RTU/ERX Replacemnt/Retiremnt Progr</t>
  </si>
  <si>
    <t>W_R.10015.09.01.01: G Gas Mega Rule Compliance</t>
  </si>
  <si>
    <t>W_R.10017.01.01.02: E Greenwater Tap Subs</t>
  </si>
  <si>
    <t>W_R.10019.03.01.03: E West Kitsap Reliability Project</t>
  </si>
  <si>
    <t>W_R.10019.03.01.04: E Keyport Switch Station Transm</t>
  </si>
  <si>
    <t>W_R.10021.01.01.01: G N Lacey Supply 8inche Reinf Bulk Dist</t>
  </si>
  <si>
    <t>W_R.10021.02.01.01: G N Lacey HP Supply Reliability</t>
  </si>
  <si>
    <t>W_R.10022.01.01.01: E Sumner Valley Area Capacity</t>
  </si>
  <si>
    <t>W_R.10023.01.01.01: E Lakemont Substation</t>
  </si>
  <si>
    <t>W_R.10024.01.01.01: C AMR Operations</t>
  </si>
  <si>
    <t>W_R.10024.02.01.04: Meter Change SS FF PM</t>
  </si>
  <si>
    <t>W_R.10024.04.01.01: Click Enhancements</t>
  </si>
  <si>
    <t>W_R.10027.01.01.01: E Moorlnds Vitulli 115Kv Reconduc Trans</t>
  </si>
  <si>
    <t>W_R.10027.02.01.01: E Vernell Substation Feeder</t>
  </si>
  <si>
    <t>W_R.10027.02.01.02: E BelRed Area Capacity Project</t>
  </si>
  <si>
    <t>W_R.10027.03.01.01: E Redmond Inititation</t>
  </si>
  <si>
    <t>W_R.10029.01.01.01: G Tolt Hp 16in Phase 1 Main</t>
  </si>
  <si>
    <t>W_R.10031.02.01.04: E Lakeside 115 Kv Sub Tran Longlines Ph1</t>
  </si>
  <si>
    <t>W_R.10033.01.01.19: E Small Tools PTS on CC4587</t>
  </si>
  <si>
    <t>W_R.10035.02.01.01: E Greenwater Tap 55 155Kv Conversion</t>
  </si>
  <si>
    <t>W_R.10036.01.01.04: C Transmission Land</t>
  </si>
  <si>
    <t>W_R.10038.01.01.01: E Issaquah Area Capacity Project</t>
  </si>
  <si>
    <t>W_R.10039.01.01.01: E Christopher Sub 230Kv Development</t>
  </si>
  <si>
    <t>W_R.10039.02.01.04: E Electr Enum 55Kv To 115Kv Sub Krain</t>
  </si>
  <si>
    <t>W_R.10039.02.01.07: E Electr Enum 55Kv To 115Kv Tline</t>
  </si>
  <si>
    <t>W_R.10040.01.01.01: E Seabeck Area Reliability Improvement</t>
  </si>
  <si>
    <t>W_R.10043.02.01.01: E Skagit Swtchng Station Prprty Purchase</t>
  </si>
  <si>
    <t>W_R.10047.02.01.02: G SP Alignment Trans and Dist</t>
  </si>
  <si>
    <t>W_R.10048.01.01.01: E St Clair Yelm 115Kv Trans</t>
  </si>
  <si>
    <t>W_R.10050.02.01.01: E Carpenter Substation Feeder Dist</t>
  </si>
  <si>
    <t>W_R.10050.02.01.02: E Carpenter Substation Sub</t>
  </si>
  <si>
    <t>W_R.10050.03.01.01: E Hoffman Switching Station</t>
  </si>
  <si>
    <t>W_R.10054.02.01.01: E Glacier Energy Storage Project Sub</t>
  </si>
  <si>
    <t>W_R.10055.01.01.01: E Maxwelton Substation Feeders</t>
  </si>
  <si>
    <t>W_R.10055.01.01.03: E Maxwelton Substation Trans</t>
  </si>
  <si>
    <t>W_R.10055.02.01.01: E Whidbey Island 115Kv Row</t>
  </si>
  <si>
    <t>W_R.10055.03.01.01: E Whidbey Transmission Improvement</t>
  </si>
  <si>
    <t>W_R.10058.01.01.01: E Skookumchuck Wind Farm</t>
  </si>
  <si>
    <t>W_R.10059.01.01.03: CEF4 Living Lab Generator</t>
  </si>
  <si>
    <t>W_R.10059.03.01.03: E Resilience Enhancement (Non-CEIP)</t>
  </si>
  <si>
    <t>W_R.10059.07.01.01: ADMS Advanced Apps</t>
  </si>
  <si>
    <t>W_R.10062.01.01.01: Midlakes Substation Transmission</t>
  </si>
  <si>
    <t>W_R.10062.01.01.02: Midlakes Substation Distribution</t>
  </si>
  <si>
    <t>W_R.10062.02.01.02: Totem Lake Capacity Increase Dist</t>
  </si>
  <si>
    <t>W_R.10062.03.01.02: Berthusen Capacity Increase Dist</t>
  </si>
  <si>
    <t>W_R.10062.04.01.02: Sunrise Capacity Increase Dist</t>
  </si>
  <si>
    <t>W_R.10062.05.01.02: Maplewood Capacity Increase Dist</t>
  </si>
  <si>
    <t>W_R.10062.06.01.02: Southwick Capacity Increase Dist</t>
  </si>
  <si>
    <t>W_R.10062.07.01.02: Rose Hill Capacity Increase Dist</t>
  </si>
  <si>
    <t>W_R.10062.08.01.02: Rhodes Lake Capacity Increase Dist</t>
  </si>
  <si>
    <t>W_R.10062.11.01.02: Cedarhurst Capacity Increase Dist</t>
  </si>
  <si>
    <t>W_R.10062.12.01.02: Grady Subs Capacity Increase Dist</t>
  </si>
  <si>
    <t>W_X.10002.01.01.01: Water Heater Commerical Gas</t>
  </si>
  <si>
    <t>W_X.10002.01.01.02: Water Heater Residential Gas</t>
  </si>
  <si>
    <t>W_X.10006.02.01.01: EV Charging Program PSE Internal</t>
  </si>
  <si>
    <t>W_X.10006.05.01.01: DER Solar Projects and Programs CEIP</t>
  </si>
  <si>
    <t>W_X.10006.05.01.02: DER Storage Projects and Programs CEIP</t>
  </si>
  <si>
    <t>From Report File</t>
  </si>
  <si>
    <t>Reconciled</t>
  </si>
  <si>
    <t>2023 Net Additions</t>
  </si>
  <si>
    <t>&lt;------ reconciled ------&gt;</t>
  </si>
  <si>
    <t>Reconciled (Difference is immaterial)</t>
  </si>
  <si>
    <t>Reconciled (Difference Immaterial)</t>
  </si>
  <si>
    <t>JAK-5 from 2022 GRC Compliance Filing</t>
  </si>
  <si>
    <t>Colstrip</t>
  </si>
  <si>
    <t>Included in MYRP</t>
  </si>
  <si>
    <t>Total included in MYRP</t>
  </si>
  <si>
    <t>Remove Colstrip to separate Tracker (not part of STR review)</t>
  </si>
  <si>
    <t>Total in rates for MYRYP STR Review</t>
  </si>
  <si>
    <t>F.10002.01.16.01</t>
  </si>
  <si>
    <t>Placeholder WBS 53b: DER Circuit Enablemnt Virtual Power Plan</t>
  </si>
  <si>
    <t>X.10006.05.01.01</t>
  </si>
  <si>
    <t>W_K.10038.02.01.01: Rooftop Solar Program:DER Solar Project and Programs CEIP</t>
  </si>
  <si>
    <t>R.10059.02.01.03</t>
  </si>
  <si>
    <t>PLACEHOLDER WBS 38b: E Volt/Var Optimization</t>
  </si>
  <si>
    <t>F.10002.01.30.01</t>
  </si>
  <si>
    <t>PLACEHOLDER WBS 31b: Hosting Capacity and Customer Portal</t>
  </si>
  <si>
    <t>PLACEHOLDER WBS 24</t>
  </si>
  <si>
    <t>PLACEHOLDER WBS 7b: Demand Response transferred to Placeholder WBS 24</t>
  </si>
  <si>
    <t>F.10002.01.28.01</t>
  </si>
  <si>
    <t>PLACEHOLDER WBS 88b: DER Innovation Process CEIP</t>
  </si>
  <si>
    <t>K.10038.01.01.01</t>
  </si>
  <si>
    <t>W_K.10038.01.01.01: Cust Sited Energy Storage Demos CEIP</t>
  </si>
  <si>
    <t>YE 2023 Additions</t>
  </si>
  <si>
    <t>2023 Accum Depr</t>
  </si>
  <si>
    <t>Balance</t>
  </si>
  <si>
    <t>(AMA)</t>
  </si>
  <si>
    <t>Plant</t>
  </si>
  <si>
    <t>Closings</t>
  </si>
  <si>
    <t xml:space="preserve">(cumulative </t>
  </si>
  <si>
    <t>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</si>
</sst>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0.0000%"/>
    <numFmt numFmtId="167" formatCode="_(* #,##0.000000_);_(* \(#,##0.000000\);_(* &quot;-&quot;??????_);_(@_)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_(&quot;$&quot;* #,##0_);_(&quot;$&quot;* \(#,##0\);_(&quot;$&quot;* &quot;-&quot;??_);_(@_)"/>
    <numFmt numFmtId="172" formatCode="0.0%"/>
    <numFmt numFmtId="173" formatCode="&quot;ADJ&quot;\ 0.00\ &quot;ER&quot;"/>
  </numFmts>
  <fonts count="5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3E7E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indexed="64"/>
      </right>
      <top style="thin">
        <color rgb="FFC3E7E3"/>
      </top>
      <bottom style="thin">
        <color rgb="FFC3E7E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6" fillId="3" borderId="0" applyNumberFormat="0" applyBorder="0" applyAlignment="0" applyProtection="0"/>
    <xf numFmtId="0" fontId="32" fillId="7" borderId="39" applyNumberFormat="0" applyAlignment="0" applyProtection="0"/>
    <xf numFmtId="0" fontId="34" fillId="0" borderId="0"/>
  </cellStyleXfs>
  <cellXfs count="390">
    <xf numFmtId="0" fontId="0" fillId="0" borderId="0" xfId="0"/>
    <xf numFmtId="0" fontId="4" fillId="0" borderId="1" xfId="0" applyFont="1" applyBorder="1"/>
    <xf numFmtId="0" fontId="0" fillId="0" borderId="0" xfId="0" applyAlignment="1">
      <alignment horizontal="left"/>
    </xf>
    <xf numFmtId="43" fontId="0" fillId="0" borderId="0" xfId="0" applyNumberFormat="1"/>
    <xf numFmtId="10" fontId="0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43" fontId="0" fillId="0" borderId="0" xfId="1" applyFont="1"/>
    <xf numFmtId="0" fontId="0" fillId="0" borderId="0" xfId="0" applyBorder="1"/>
    <xf numFmtId="0" fontId="4" fillId="0" borderId="0" xfId="0" applyFont="1" applyBorder="1"/>
    <xf numFmtId="43" fontId="4" fillId="0" borderId="0" xfId="0" applyNumberFormat="1" applyFont="1" applyBorder="1"/>
    <xf numFmtId="43" fontId="4" fillId="0" borderId="0" xfId="0" applyNumberFormat="1" applyFont="1"/>
    <xf numFmtId="43" fontId="0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4"/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left"/>
    </xf>
    <xf numFmtId="0" fontId="5" fillId="0" borderId="0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43" fontId="8" fillId="0" borderId="0" xfId="4" applyNumberFormat="1"/>
    <xf numFmtId="43" fontId="8" fillId="0" borderId="0" xfId="4" applyNumberFormat="1" applyBorder="1"/>
    <xf numFmtId="43" fontId="8" fillId="0" borderId="0" xfId="4" applyNumberFormat="1" applyFill="1" applyBorder="1"/>
    <xf numFmtId="43" fontId="8" fillId="0" borderId="0" xfId="4" applyNumberFormat="1" applyFill="1"/>
    <xf numFmtId="0" fontId="8" fillId="0" borderId="0" xfId="4" applyFill="1"/>
    <xf numFmtId="0" fontId="8" fillId="0" borderId="0" xfId="4" applyAlignment="1">
      <alignment horizontal="center"/>
    </xf>
    <xf numFmtId="10" fontId="0" fillId="0" borderId="0" xfId="5" applyNumberFormat="1" applyFont="1"/>
    <xf numFmtId="0" fontId="9" fillId="0" borderId="0" xfId="6"/>
    <xf numFmtId="0" fontId="7" fillId="0" borderId="1" xfId="6" applyFont="1" applyBorder="1" applyAlignment="1">
      <alignment horizontal="center"/>
    </xf>
    <xf numFmtId="43" fontId="0" fillId="0" borderId="0" xfId="7" applyFont="1"/>
    <xf numFmtId="43" fontId="0" fillId="0" borderId="0" xfId="7" applyFont="1" applyFill="1"/>
    <xf numFmtId="0" fontId="7" fillId="0" borderId="0" xfId="6" applyFont="1"/>
    <xf numFmtId="43" fontId="0" fillId="0" borderId="1" xfId="7" applyFont="1" applyBorder="1"/>
    <xf numFmtId="43" fontId="0" fillId="0" borderId="0" xfId="7" applyFont="1" applyFill="1" applyBorder="1"/>
    <xf numFmtId="43" fontId="0" fillId="0" borderId="1" xfId="7" applyFont="1" applyBorder="1" applyAlignment="1">
      <alignment horizontal="center"/>
    </xf>
    <xf numFmtId="43" fontId="0" fillId="0" borderId="0" xfId="7" applyFont="1" applyBorder="1"/>
    <xf numFmtId="43" fontId="7" fillId="0" borderId="0" xfId="7" applyFont="1"/>
    <xf numFmtId="43" fontId="6" fillId="0" borderId="0" xfId="7" applyFont="1"/>
    <xf numFmtId="0" fontId="9" fillId="0" borderId="0" xfId="6" applyAlignment="1">
      <alignment horizontal="right"/>
    </xf>
    <xf numFmtId="10" fontId="9" fillId="0" borderId="0" xfId="6" applyNumberFormat="1" applyAlignment="1">
      <alignment horizontal="left"/>
    </xf>
    <xf numFmtId="0" fontId="3" fillId="0" borderId="0" xfId="6" applyFont="1"/>
    <xf numFmtId="0" fontId="9" fillId="0" borderId="0" xfId="6" applyFill="1" applyAlignment="1">
      <alignment horizontal="right"/>
    </xf>
    <xf numFmtId="0" fontId="9" fillId="0" borderId="0" xfId="6" applyFill="1"/>
    <xf numFmtId="43" fontId="0" fillId="0" borderId="1" xfId="7" applyFont="1" applyFill="1" applyBorder="1"/>
    <xf numFmtId="0" fontId="10" fillId="0" borderId="0" xfId="0" applyFont="1"/>
    <xf numFmtId="0" fontId="9" fillId="0" borderId="4" xfId="6" applyFill="1" applyBorder="1"/>
    <xf numFmtId="43" fontId="0" fillId="0" borderId="4" xfId="7" applyFont="1" applyFill="1" applyBorder="1"/>
    <xf numFmtId="43" fontId="0" fillId="0" borderId="5" xfId="7" applyFont="1" applyBorder="1"/>
    <xf numFmtId="43" fontId="7" fillId="0" borderId="6" xfId="7" applyFont="1" applyBorder="1"/>
    <xf numFmtId="43" fontId="7" fillId="0" borderId="7" xfId="7" applyFont="1" applyBorder="1"/>
    <xf numFmtId="43" fontId="6" fillId="0" borderId="7" xfId="7" applyFont="1" applyBorder="1"/>
    <xf numFmtId="0" fontId="5" fillId="0" borderId="0" xfId="4" applyFont="1"/>
    <xf numFmtId="0" fontId="5" fillId="0" borderId="7" xfId="4" applyFont="1" applyBorder="1"/>
    <xf numFmtId="43" fontId="5" fillId="0" borderId="7" xfId="4" applyNumberFormat="1" applyFont="1" applyBorder="1"/>
    <xf numFmtId="43" fontId="5" fillId="0" borderId="0" xfId="4" applyNumberFormat="1" applyFont="1" applyFill="1" applyBorder="1"/>
    <xf numFmtId="0" fontId="5" fillId="0" borderId="0" xfId="4" applyFont="1" applyBorder="1"/>
    <xf numFmtId="43" fontId="5" fillId="0" borderId="0" xfId="4" applyNumberFormat="1" applyFont="1" applyBorder="1"/>
    <xf numFmtId="0" fontId="5" fillId="0" borderId="2" xfId="4" applyFont="1" applyBorder="1"/>
    <xf numFmtId="43" fontId="5" fillId="0" borderId="2" xfId="4" applyNumberFormat="1" applyFont="1" applyBorder="1"/>
    <xf numFmtId="0" fontId="5" fillId="0" borderId="3" xfId="4" applyFont="1" applyBorder="1"/>
    <xf numFmtId="0" fontId="5" fillId="0" borderId="0" xfId="4" applyFont="1" applyAlignment="1">
      <alignment horizontal="center"/>
    </xf>
    <xf numFmtId="0" fontId="0" fillId="0" borderId="0" xfId="0" applyAlignment="1">
      <alignment horizontal="centerContinuous"/>
    </xf>
    <xf numFmtId="0" fontId="8" fillId="0" borderId="4" xfId="4" applyBorder="1"/>
    <xf numFmtId="0" fontId="5" fillId="0" borderId="4" xfId="4" applyFont="1" applyBorder="1"/>
    <xf numFmtId="0" fontId="11" fillId="0" borderId="0" xfId="4" applyFont="1" applyAlignment="1">
      <alignment horizontal="centerContinuous"/>
    </xf>
    <xf numFmtId="0" fontId="11" fillId="0" borderId="0" xfId="0" applyFont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43" fontId="4" fillId="0" borderId="7" xfId="0" applyNumberFormat="1" applyFont="1" applyBorder="1"/>
    <xf numFmtId="0" fontId="0" fillId="0" borderId="9" xfId="0" applyBorder="1"/>
    <xf numFmtId="0" fontId="12" fillId="0" borderId="0" xfId="0" applyFont="1"/>
    <xf numFmtId="0" fontId="12" fillId="0" borderId="4" xfId="0" applyFont="1" applyBorder="1"/>
    <xf numFmtId="0" fontId="8" fillId="0" borderId="1" xfId="4" applyBorder="1"/>
    <xf numFmtId="0" fontId="8" fillId="0" borderId="8" xfId="4" applyBorder="1"/>
    <xf numFmtId="0" fontId="0" fillId="0" borderId="0" xfId="0" applyFill="1" applyBorder="1"/>
    <xf numFmtId="0" fontId="9" fillId="0" borderId="1" xfId="6" applyBorder="1"/>
    <xf numFmtId="0" fontId="7" fillId="0" borderId="8" xfId="6" applyFont="1" applyFill="1" applyBorder="1" applyAlignment="1">
      <alignment horizontal="center"/>
    </xf>
    <xf numFmtId="166" fontId="0" fillId="0" borderId="0" xfId="5" applyNumberFormat="1" applyFont="1"/>
    <xf numFmtId="10" fontId="13" fillId="0" borderId="18" xfId="2" applyNumberFormat="1" applyFont="1" applyBorder="1"/>
    <xf numFmtId="0" fontId="13" fillId="0" borderId="0" xfId="8" applyFont="1"/>
    <xf numFmtId="165" fontId="13" fillId="0" borderId="0" xfId="8" applyNumberFormat="1" applyFont="1"/>
    <xf numFmtId="168" fontId="15" fillId="0" borderId="13" xfId="8" applyNumberFormat="1" applyFont="1" applyBorder="1"/>
    <xf numFmtId="168" fontId="15" fillId="0" borderId="12" xfId="8" applyNumberFormat="1" applyFont="1" applyBorder="1"/>
    <xf numFmtId="0" fontId="15" fillId="0" borderId="11" xfId="8" applyFont="1" applyBorder="1" applyAlignment="1">
      <alignment horizontal="left"/>
    </xf>
    <xf numFmtId="165" fontId="13" fillId="0" borderId="26" xfId="8" applyNumberFormat="1" applyFont="1" applyBorder="1"/>
    <xf numFmtId="165" fontId="13" fillId="0" borderId="25" xfId="8" applyNumberFormat="1" applyFont="1" applyBorder="1"/>
    <xf numFmtId="0" fontId="13" fillId="0" borderId="27" xfId="8" applyFont="1" applyBorder="1"/>
    <xf numFmtId="0" fontId="13" fillId="0" borderId="26" xfId="8" applyFont="1" applyBorder="1"/>
    <xf numFmtId="0" fontId="13" fillId="0" borderId="25" xfId="8" applyFont="1" applyBorder="1"/>
    <xf numFmtId="164" fontId="13" fillId="0" borderId="18" xfId="9" applyNumberFormat="1" applyFont="1" applyBorder="1"/>
    <xf numFmtId="164" fontId="13" fillId="0" borderId="0" xfId="9" applyNumberFormat="1" applyFont="1" applyBorder="1"/>
    <xf numFmtId="164" fontId="13" fillId="0" borderId="17" xfId="9" applyNumberFormat="1" applyFont="1" applyBorder="1"/>
    <xf numFmtId="0" fontId="13" fillId="0" borderId="18" xfId="8" applyFont="1" applyBorder="1"/>
    <xf numFmtId="0" fontId="13" fillId="0" borderId="0" xfId="8" applyFont="1" applyBorder="1" applyAlignment="1">
      <alignment horizontal="left"/>
    </xf>
    <xf numFmtId="0" fontId="13" fillId="0" borderId="17" xfId="8" applyFont="1" applyBorder="1" applyAlignment="1">
      <alignment horizontal="left"/>
    </xf>
    <xf numFmtId="0" fontId="16" fillId="0" borderId="0" xfId="8" applyFont="1" applyBorder="1" applyAlignment="1">
      <alignment horizontal="left"/>
    </xf>
    <xf numFmtId="164" fontId="13" fillId="0" borderId="24" xfId="9" applyNumberFormat="1" applyFont="1" applyBorder="1"/>
    <xf numFmtId="164" fontId="13" fillId="0" borderId="3" xfId="9" applyNumberFormat="1" applyFont="1" applyBorder="1"/>
    <xf numFmtId="164" fontId="13" fillId="0" borderId="23" xfId="9" applyNumberFormat="1" applyFont="1" applyBorder="1"/>
    <xf numFmtId="167" fontId="13" fillId="0" borderId="18" xfId="10" applyNumberFormat="1" applyFont="1" applyBorder="1"/>
    <xf numFmtId="167" fontId="13" fillId="0" borderId="0" xfId="10" applyNumberFormat="1" applyFont="1" applyBorder="1"/>
    <xf numFmtId="167" fontId="13" fillId="0" borderId="17" xfId="10" applyNumberFormat="1" applyFont="1" applyBorder="1"/>
    <xf numFmtId="165" fontId="13" fillId="0" borderId="22" xfId="8" applyNumberFormat="1" applyFont="1" applyBorder="1"/>
    <xf numFmtId="165" fontId="13" fillId="0" borderId="10" xfId="8" applyNumberFormat="1" applyFont="1" applyBorder="1"/>
    <xf numFmtId="165" fontId="13" fillId="0" borderId="21" xfId="8" applyNumberFormat="1" applyFont="1" applyBorder="1"/>
    <xf numFmtId="165" fontId="13" fillId="0" borderId="18" xfId="8" applyNumberFormat="1" applyFont="1" applyBorder="1"/>
    <xf numFmtId="165" fontId="13" fillId="0" borderId="0" xfId="8" applyNumberFormat="1" applyFont="1" applyBorder="1"/>
    <xf numFmtId="165" fontId="13" fillId="0" borderId="17" xfId="8" applyNumberFormat="1" applyFont="1" applyBorder="1"/>
    <xf numFmtId="10" fontId="13" fillId="0" borderId="18" xfId="10" applyNumberFormat="1" applyFont="1" applyBorder="1"/>
    <xf numFmtId="10" fontId="13" fillId="0" borderId="0" xfId="8" applyNumberFormat="1" applyFont="1" applyBorder="1"/>
    <xf numFmtId="10" fontId="13" fillId="0" borderId="17" xfId="8" applyNumberFormat="1" applyFont="1" applyBorder="1"/>
    <xf numFmtId="10" fontId="13" fillId="0" borderId="0" xfId="10" applyNumberFormat="1" applyFont="1" applyBorder="1"/>
    <xf numFmtId="10" fontId="13" fillId="0" borderId="17" xfId="10" applyNumberFormat="1" applyFont="1" applyBorder="1"/>
    <xf numFmtId="0" fontId="13" fillId="0" borderId="0" xfId="8" applyFont="1" applyBorder="1"/>
    <xf numFmtId="0" fontId="13" fillId="0" borderId="17" xfId="8" applyFont="1" applyBorder="1"/>
    <xf numFmtId="0" fontId="14" fillId="0" borderId="20" xfId="8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19" xfId="8" applyFont="1" applyBorder="1" applyAlignment="1">
      <alignment horizontal="center"/>
    </xf>
    <xf numFmtId="0" fontId="14" fillId="0" borderId="20" xfId="8" applyFont="1" applyBorder="1" applyAlignment="1">
      <alignment horizontal="centerContinuous"/>
    </xf>
    <xf numFmtId="0" fontId="14" fillId="0" borderId="1" xfId="8" applyFont="1" applyBorder="1" applyAlignment="1">
      <alignment horizontal="centerContinuous"/>
    </xf>
    <xf numFmtId="0" fontId="14" fillId="0" borderId="19" xfId="8" applyFont="1" applyBorder="1" applyAlignment="1">
      <alignment horizontal="centerContinuous"/>
    </xf>
    <xf numFmtId="0" fontId="14" fillId="0" borderId="18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7" xfId="8" applyFont="1" applyBorder="1" applyAlignment="1">
      <alignment horizontal="center"/>
    </xf>
    <xf numFmtId="0" fontId="14" fillId="0" borderId="18" xfId="8" applyFont="1" applyBorder="1" applyAlignment="1">
      <alignment horizontal="centerContinuous"/>
    </xf>
    <xf numFmtId="0" fontId="14" fillId="0" borderId="0" xfId="8" applyFont="1" applyBorder="1" applyAlignment="1">
      <alignment horizontal="centerContinuous"/>
    </xf>
    <xf numFmtId="0" fontId="14" fillId="0" borderId="17" xfId="8" applyFont="1" applyBorder="1" applyAlignment="1">
      <alignment horizontal="centerContinuous"/>
    </xf>
    <xf numFmtId="0" fontId="13" fillId="0" borderId="16" xfId="8" applyFont="1" applyBorder="1"/>
    <xf numFmtId="0" fontId="13" fillId="0" borderId="15" xfId="8" applyFont="1" applyBorder="1"/>
    <xf numFmtId="0" fontId="13" fillId="0" borderId="14" xfId="8" applyFont="1" applyBorder="1"/>
    <xf numFmtId="0" fontId="17" fillId="0" borderId="0" xfId="11" applyFont="1"/>
    <xf numFmtId="0" fontId="18" fillId="0" borderId="0" xfId="11" applyFont="1"/>
    <xf numFmtId="0" fontId="19" fillId="0" borderId="0" xfId="11" applyFont="1" applyAlignment="1">
      <alignment horizontal="right"/>
    </xf>
    <xf numFmtId="0" fontId="20" fillId="0" borderId="0" xfId="11" applyFont="1"/>
    <xf numFmtId="0" fontId="17" fillId="0" borderId="1" xfId="11" applyFont="1" applyBorder="1" applyAlignment="1">
      <alignment horizontal="center"/>
    </xf>
    <xf numFmtId="0" fontId="2" fillId="0" borderId="0" xfId="11"/>
    <xf numFmtId="0" fontId="18" fillId="0" borderId="0" xfId="11" applyFont="1" applyAlignment="1">
      <alignment horizontal="left" indent="1"/>
    </xf>
    <xf numFmtId="10" fontId="21" fillId="0" borderId="0" xfId="11" applyNumberFormat="1" applyFont="1" applyFill="1" applyBorder="1"/>
    <xf numFmtId="10" fontId="2" fillId="0" borderId="0" xfId="11" applyNumberFormat="1"/>
    <xf numFmtId="169" fontId="21" fillId="0" borderId="0" xfId="11" applyNumberFormat="1" applyFont="1" applyFill="1" applyBorder="1"/>
    <xf numFmtId="43" fontId="2" fillId="0" borderId="0" xfId="11" applyNumberFormat="1"/>
    <xf numFmtId="41" fontId="21" fillId="0" borderId="0" xfId="11" applyNumberFormat="1" applyFont="1" applyFill="1" applyBorder="1"/>
    <xf numFmtId="41" fontId="21" fillId="0" borderId="10" xfId="11" applyNumberFormat="1" applyFont="1" applyFill="1" applyBorder="1"/>
    <xf numFmtId="169" fontId="21" fillId="0" borderId="10" xfId="11" applyNumberFormat="1" applyFont="1" applyFill="1" applyBorder="1"/>
    <xf numFmtId="169" fontId="21" fillId="0" borderId="3" xfId="11" applyNumberFormat="1" applyFont="1" applyFill="1" applyBorder="1"/>
    <xf numFmtId="5" fontId="18" fillId="0" borderId="0" xfId="11" applyNumberFormat="1" applyFont="1"/>
    <xf numFmtId="43" fontId="21" fillId="0" borderId="0" xfId="11" applyNumberFormat="1" applyFont="1" applyFill="1" applyBorder="1"/>
    <xf numFmtId="43" fontId="21" fillId="0" borderId="28" xfId="11" applyNumberFormat="1" applyFont="1" applyFill="1" applyBorder="1"/>
    <xf numFmtId="169" fontId="21" fillId="0" borderId="28" xfId="11" applyNumberFormat="1" applyFont="1" applyFill="1" applyBorder="1"/>
    <xf numFmtId="10" fontId="22" fillId="0" borderId="0" xfId="11" applyNumberFormat="1" applyFont="1" applyFill="1" applyBorder="1"/>
    <xf numFmtId="42" fontId="21" fillId="0" borderId="0" xfId="11" applyNumberFormat="1" applyFont="1" applyFill="1" applyBorder="1"/>
    <xf numFmtId="42" fontId="18" fillId="0" borderId="0" xfId="11" applyNumberFormat="1" applyFont="1"/>
    <xf numFmtId="5" fontId="21" fillId="0" borderId="0" xfId="11" applyNumberFormat="1" applyFont="1" applyFill="1" applyBorder="1"/>
    <xf numFmtId="169" fontId="21" fillId="0" borderId="2" xfId="11" applyNumberFormat="1" applyFont="1" applyFill="1" applyBorder="1"/>
    <xf numFmtId="0" fontId="23" fillId="0" borderId="0" xfId="11" applyFont="1" applyFill="1"/>
    <xf numFmtId="169" fontId="18" fillId="0" borderId="0" xfId="11" applyNumberFormat="1" applyFont="1"/>
    <xf numFmtId="43" fontId="18" fillId="0" borderId="0" xfId="11" applyNumberFormat="1" applyFont="1"/>
    <xf numFmtId="164" fontId="13" fillId="0" borderId="18" xfId="9" applyNumberFormat="1" applyFont="1" applyBorder="1" applyAlignment="1">
      <alignment horizontal="right"/>
    </xf>
    <xf numFmtId="0" fontId="13" fillId="0" borderId="0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8" xfId="8" applyFont="1" applyBorder="1" applyAlignment="1">
      <alignment horizontal="center"/>
    </xf>
    <xf numFmtId="0" fontId="13" fillId="2" borderId="17" xfId="8" applyFont="1" applyFill="1" applyBorder="1" applyAlignment="1">
      <alignment horizontal="left"/>
    </xf>
    <xf numFmtId="0" fontId="13" fillId="2" borderId="0" xfId="8" applyFont="1" applyFill="1" applyBorder="1" applyAlignment="1">
      <alignment horizontal="left"/>
    </xf>
    <xf numFmtId="0" fontId="13" fillId="2" borderId="18" xfId="8" applyFont="1" applyFill="1" applyBorder="1"/>
    <xf numFmtId="164" fontId="13" fillId="2" borderId="17" xfId="9" applyNumberFormat="1" applyFont="1" applyFill="1" applyBorder="1"/>
    <xf numFmtId="164" fontId="13" fillId="2" borderId="0" xfId="9" applyNumberFormat="1" applyFont="1" applyFill="1" applyBorder="1"/>
    <xf numFmtId="164" fontId="13" fillId="2" borderId="18" xfId="9" applyNumberFormat="1" applyFont="1" applyFill="1" applyBorder="1" applyAlignment="1">
      <alignment horizontal="right"/>
    </xf>
    <xf numFmtId="0" fontId="14" fillId="0" borderId="0" xfId="8" applyFont="1" applyBorder="1" applyAlignment="1">
      <alignment horizontal="left"/>
    </xf>
    <xf numFmtId="0" fontId="13" fillId="0" borderId="0" xfId="0" applyFont="1"/>
    <xf numFmtId="4" fontId="24" fillId="0" borderId="4" xfId="4" applyNumberFormat="1" applyFont="1" applyBorder="1" applyAlignment="1">
      <alignment horizontal="left"/>
    </xf>
    <xf numFmtId="44" fontId="8" fillId="0" borderId="0" xfId="12" applyFont="1"/>
    <xf numFmtId="44" fontId="5" fillId="0" borderId="3" xfId="12" applyFont="1" applyBorder="1"/>
    <xf numFmtId="4" fontId="24" fillId="0" borderId="0" xfId="4" applyNumberFormat="1" applyFont="1" applyBorder="1" applyAlignment="1">
      <alignment horizontal="left"/>
    </xf>
    <xf numFmtId="0" fontId="8" fillId="0" borderId="0" xfId="4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0" fontId="13" fillId="0" borderId="0" xfId="1" applyNumberFormat="1" applyFont="1"/>
    <xf numFmtId="164" fontId="13" fillId="0" borderId="3" xfId="0" applyNumberFormat="1" applyFont="1" applyBorder="1"/>
    <xf numFmtId="0" fontId="25" fillId="0" borderId="11" xfId="0" applyFont="1" applyBorder="1"/>
    <xf numFmtId="168" fontId="25" fillId="0" borderId="12" xfId="1" applyNumberFormat="1" applyFont="1" applyBorder="1"/>
    <xf numFmtId="168" fontId="25" fillId="0" borderId="13" xfId="1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Continuous"/>
    </xf>
    <xf numFmtId="0" fontId="13" fillId="0" borderId="18" xfId="0" applyFont="1" applyBorder="1"/>
    <xf numFmtId="164" fontId="13" fillId="0" borderId="0" xfId="0" applyNumberFormat="1" applyFont="1" applyBorder="1"/>
    <xf numFmtId="170" fontId="13" fillId="0" borderId="0" xfId="1" applyNumberFormat="1" applyFont="1" applyBorder="1"/>
    <xf numFmtId="0" fontId="13" fillId="0" borderId="25" xfId="0" applyFont="1" applyBorder="1"/>
    <xf numFmtId="0" fontId="13" fillId="0" borderId="26" xfId="0" applyFont="1" applyBorder="1"/>
    <xf numFmtId="170" fontId="13" fillId="0" borderId="26" xfId="1" applyNumberFormat="1" applyFont="1" applyBorder="1"/>
    <xf numFmtId="0" fontId="14" fillId="0" borderId="18" xfId="0" applyFont="1" applyBorder="1" applyAlignment="1">
      <alignment horizontal="centerContinuous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164" fontId="13" fillId="0" borderId="18" xfId="0" applyNumberFormat="1" applyFont="1" applyBorder="1"/>
    <xf numFmtId="164" fontId="13" fillId="0" borderId="24" xfId="0" applyNumberFormat="1" applyFont="1" applyBorder="1"/>
    <xf numFmtId="170" fontId="13" fillId="0" borderId="27" xfId="1" applyNumberFormat="1" applyFont="1" applyBorder="1"/>
    <xf numFmtId="0" fontId="0" fillId="0" borderId="16" xfId="0" applyBorder="1"/>
    <xf numFmtId="0" fontId="0" fillId="0" borderId="18" xfId="0" applyBorder="1"/>
    <xf numFmtId="164" fontId="13" fillId="0" borderId="18" xfId="12" applyNumberFormat="1" applyFont="1" applyBorder="1"/>
    <xf numFmtId="164" fontId="13" fillId="0" borderId="22" xfId="12" applyNumberFormat="1" applyFont="1" applyBorder="1"/>
    <xf numFmtId="164" fontId="13" fillId="0" borderId="29" xfId="12" applyNumberFormat="1" applyFont="1" applyBorder="1"/>
    <xf numFmtId="0" fontId="0" fillId="0" borderId="15" xfId="0" applyBorder="1"/>
    <xf numFmtId="0" fontId="0" fillId="0" borderId="26" xfId="0" applyBorder="1"/>
    <xf numFmtId="10" fontId="8" fillId="0" borderId="0" xfId="2" applyNumberFormat="1" applyFont="1"/>
    <xf numFmtId="0" fontId="14" fillId="0" borderId="20" xfId="0" applyFont="1" applyBorder="1"/>
    <xf numFmtId="170" fontId="13" fillId="0" borderId="18" xfId="0" applyNumberFormat="1" applyFont="1" applyBorder="1"/>
    <xf numFmtId="0" fontId="0" fillId="4" borderId="0" xfId="0" applyFill="1"/>
    <xf numFmtId="0" fontId="0" fillId="0" borderId="0" xfId="0" applyAlignment="1">
      <alignment horizontal="center" wrapText="1"/>
    </xf>
    <xf numFmtId="44" fontId="0" fillId="0" borderId="0" xfId="0" applyNumberFormat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4" fillId="0" borderId="0" xfId="0" quotePrefix="1" applyFont="1"/>
    <xf numFmtId="0" fontId="4" fillId="6" borderId="37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 wrapText="1"/>
    </xf>
    <xf numFmtId="43" fontId="0" fillId="0" borderId="4" xfId="1" applyFont="1" applyBorder="1"/>
    <xf numFmtId="43" fontId="27" fillId="0" borderId="0" xfId="0" applyNumberFormat="1" applyFont="1" applyBorder="1"/>
    <xf numFmtId="0" fontId="0" fillId="0" borderId="1" xfId="0" applyBorder="1" applyAlignment="1">
      <alignment horizontal="left"/>
    </xf>
    <xf numFmtId="43" fontId="0" fillId="0" borderId="36" xfId="1" applyFont="1" applyBorder="1"/>
    <xf numFmtId="43" fontId="0" fillId="0" borderId="8" xfId="1" applyFont="1" applyBorder="1"/>
    <xf numFmtId="43" fontId="0" fillId="0" borderId="1" xfId="0" applyNumberFormat="1" applyBorder="1"/>
    <xf numFmtId="0" fontId="4" fillId="0" borderId="2" xfId="0" applyFont="1" applyBorder="1"/>
    <xf numFmtId="0" fontId="0" fillId="0" borderId="2" xfId="0" applyBorder="1"/>
    <xf numFmtId="0" fontId="28" fillId="0" borderId="0" xfId="0" applyFont="1"/>
    <xf numFmtId="0" fontId="4" fillId="0" borderId="0" xfId="0" applyFont="1"/>
    <xf numFmtId="0" fontId="0" fillId="0" borderId="0" xfId="0" pivotButton="1"/>
    <xf numFmtId="0" fontId="14" fillId="5" borderId="30" xfId="0" applyFont="1" applyFill="1" applyBorder="1"/>
    <xf numFmtId="0" fontId="14" fillId="5" borderId="10" xfId="0" applyFont="1" applyFill="1" applyBorder="1" applyAlignment="1">
      <alignment horizontal="center" wrapText="1"/>
    </xf>
    <xf numFmtId="0" fontId="14" fillId="5" borderId="31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left"/>
    </xf>
    <xf numFmtId="44" fontId="14" fillId="0" borderId="33" xfId="0" applyNumberFormat="1" applyFont="1" applyBorder="1"/>
    <xf numFmtId="44" fontId="14" fillId="0" borderId="34" xfId="0" applyNumberFormat="1" applyFont="1" applyBorder="1"/>
    <xf numFmtId="0" fontId="14" fillId="5" borderId="35" xfId="0" applyFont="1" applyFill="1" applyBorder="1" applyAlignment="1">
      <alignment horizontal="left"/>
    </xf>
    <xf numFmtId="44" fontId="14" fillId="5" borderId="1" xfId="0" applyNumberFormat="1" applyFont="1" applyFill="1" applyBorder="1"/>
    <xf numFmtId="44" fontId="14" fillId="5" borderId="36" xfId="0" applyNumberFormat="1" applyFont="1" applyFill="1" applyBorder="1"/>
    <xf numFmtId="0" fontId="29" fillId="0" borderId="0" xfId="13" applyFont="1" applyFill="1" applyAlignment="1">
      <alignment horizontal="left"/>
    </xf>
    <xf numFmtId="43" fontId="29" fillId="0" borderId="0" xfId="13" applyNumberFormat="1" applyFont="1" applyFill="1"/>
    <xf numFmtId="43" fontId="29" fillId="0" borderId="4" xfId="13" applyNumberFormat="1" applyFont="1" applyFill="1" applyBorder="1"/>
    <xf numFmtId="0" fontId="29" fillId="0" borderId="0" xfId="13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30" fillId="0" borderId="0" xfId="0" applyNumberFormat="1" applyFont="1"/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2" fillId="7" borderId="41" xfId="14" applyBorder="1" applyAlignment="1">
      <alignment horizontal="centerContinuous"/>
    </xf>
    <xf numFmtId="0" fontId="32" fillId="7" borderId="2" xfId="14" applyBorder="1" applyAlignment="1">
      <alignment horizontal="centerContinuous"/>
    </xf>
    <xf numFmtId="0" fontId="32" fillId="7" borderId="42" xfId="14" applyBorder="1" applyAlignment="1">
      <alignment horizontal="centerContinuous"/>
    </xf>
    <xf numFmtId="0" fontId="0" fillId="0" borderId="0" xfId="0" applyNumberFormat="1"/>
    <xf numFmtId="171" fontId="0" fillId="0" borderId="0" xfId="0" applyNumberFormat="1"/>
    <xf numFmtId="43" fontId="29" fillId="0" borderId="0" xfId="1" applyFont="1" applyFill="1"/>
    <xf numFmtId="169" fontId="0" fillId="0" borderId="0" xfId="1" applyNumberFormat="1" applyFont="1"/>
    <xf numFmtId="44" fontId="4" fillId="6" borderId="2" xfId="12" applyNumberFormat="1" applyFont="1" applyFill="1" applyBorder="1"/>
    <xf numFmtId="44" fontId="0" fillId="0" borderId="0" xfId="12" applyFont="1"/>
    <xf numFmtId="44" fontId="0" fillId="0" borderId="38" xfId="12" applyFont="1" applyBorder="1"/>
    <xf numFmtId="44" fontId="33" fillId="8" borderId="40" xfId="12" applyFont="1" applyFill="1" applyBorder="1"/>
    <xf numFmtId="0" fontId="0" fillId="0" borderId="41" xfId="0" applyBorder="1"/>
    <xf numFmtId="10" fontId="0" fillId="0" borderId="42" xfId="0" applyNumberFormat="1" applyBorder="1"/>
    <xf numFmtId="3" fontId="30" fillId="0" borderId="0" xfId="0" applyNumberFormat="1" applyFont="1" applyAlignment="1">
      <alignment horizontal="right" wrapText="1"/>
    </xf>
    <xf numFmtId="0" fontId="14" fillId="5" borderId="30" xfId="0" applyFont="1" applyFill="1" applyBorder="1" applyAlignment="1">
      <alignment vertical="top" wrapText="1"/>
    </xf>
    <xf numFmtId="169" fontId="0" fillId="0" borderId="0" xfId="0" applyNumberFormat="1"/>
    <xf numFmtId="171" fontId="0" fillId="0" borderId="0" xfId="0" applyNumberFormat="1" applyFill="1" applyBorder="1"/>
    <xf numFmtId="4" fontId="30" fillId="4" borderId="0" xfId="0" applyNumberFormat="1" applyFont="1" applyFill="1"/>
    <xf numFmtId="0" fontId="14" fillId="6" borderId="43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 wrapText="1"/>
    </xf>
    <xf numFmtId="0" fontId="14" fillId="6" borderId="45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left"/>
    </xf>
    <xf numFmtId="171" fontId="13" fillId="0" borderId="0" xfId="0" applyNumberFormat="1" applyFont="1" applyFill="1" applyBorder="1"/>
    <xf numFmtId="171" fontId="13" fillId="0" borderId="47" xfId="0" applyNumberFormat="1" applyFont="1" applyBorder="1"/>
    <xf numFmtId="169" fontId="13" fillId="0" borderId="0" xfId="1" applyNumberFormat="1" applyFont="1" applyFill="1" applyBorder="1"/>
    <xf numFmtId="169" fontId="13" fillId="0" borderId="47" xfId="0" applyNumberFormat="1" applyFont="1" applyBorder="1"/>
    <xf numFmtId="0" fontId="14" fillId="6" borderId="48" xfId="0" applyFont="1" applyFill="1" applyBorder="1" applyAlignment="1">
      <alignment horizontal="left"/>
    </xf>
    <xf numFmtId="171" fontId="14" fillId="6" borderId="49" xfId="0" applyNumberFormat="1" applyFont="1" applyFill="1" applyBorder="1"/>
    <xf numFmtId="171" fontId="14" fillId="6" borderId="50" xfId="0" applyNumberFormat="1" applyFont="1" applyFill="1" applyBorder="1"/>
    <xf numFmtId="0" fontId="29" fillId="0" borderId="0" xfId="13" applyFont="1" applyFill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 applyFill="1" applyBorder="1"/>
    <xf numFmtId="0" fontId="35" fillId="6" borderId="37" xfId="0" applyFont="1" applyFill="1" applyBorder="1" applyAlignment="1">
      <alignment horizontal="center"/>
    </xf>
    <xf numFmtId="0" fontId="36" fillId="0" borderId="0" xfId="0" applyFont="1"/>
    <xf numFmtId="171" fontId="37" fillId="0" borderId="0" xfId="12" applyNumberFormat="1" applyFont="1" applyFill="1" applyBorder="1"/>
    <xf numFmtId="169" fontId="36" fillId="0" borderId="0" xfId="1" applyNumberFormat="1" applyFont="1"/>
    <xf numFmtId="171" fontId="36" fillId="0" borderId="3" xfId="0" applyNumberFormat="1" applyFont="1" applyBorder="1"/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171" fontId="36" fillId="0" borderId="0" xfId="0" applyNumberFormat="1" applyFont="1" applyBorder="1"/>
    <xf numFmtId="172" fontId="0" fillId="4" borderId="0" xfId="2" applyNumberFormat="1" applyFont="1" applyFill="1"/>
    <xf numFmtId="164" fontId="0" fillId="0" borderId="0" xfId="12" applyNumberFormat="1" applyFont="1"/>
    <xf numFmtId="170" fontId="0" fillId="0" borderId="0" xfId="1" applyNumberFormat="1" applyFont="1"/>
    <xf numFmtId="0" fontId="0" fillId="0" borderId="10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>
      <alignment horizontal="centerContinuous"/>
    </xf>
    <xf numFmtId="44" fontId="0" fillId="0" borderId="0" xfId="12" applyNumberFormat="1" applyFont="1"/>
    <xf numFmtId="43" fontId="0" fillId="0" borderId="0" xfId="1" applyNumberFormat="1" applyFont="1"/>
    <xf numFmtId="44" fontId="0" fillId="0" borderId="10" xfId="0" applyNumberFormat="1" applyBorder="1"/>
    <xf numFmtId="44" fontId="0" fillId="0" borderId="0" xfId="1" applyNumberFormat="1" applyFont="1"/>
    <xf numFmtId="44" fontId="0" fillId="0" borderId="3" xfId="0" applyNumberFormat="1" applyBorder="1"/>
    <xf numFmtId="164" fontId="0" fillId="0" borderId="10" xfId="12" applyNumberFormat="1" applyFont="1" applyBorder="1"/>
    <xf numFmtId="9" fontId="13" fillId="0" borderId="27" xfId="2" applyFont="1" applyBorder="1"/>
    <xf numFmtId="37" fontId="19" fillId="0" borderId="0" xfId="11" applyNumberFormat="1" applyFont="1" applyAlignment="1">
      <alignment horizontal="left"/>
    </xf>
    <xf numFmtId="0" fontId="22" fillId="0" borderId="0" xfId="11" applyFont="1"/>
    <xf numFmtId="10" fontId="22" fillId="0" borderId="0" xfId="11" applyNumberFormat="1" applyFont="1"/>
    <xf numFmtId="171" fontId="22" fillId="0" borderId="0" xfId="11" applyNumberFormat="1" applyFont="1"/>
    <xf numFmtId="171" fontId="22" fillId="0" borderId="0" xfId="12" applyNumberFormat="1" applyFont="1"/>
    <xf numFmtId="9" fontId="22" fillId="0" borderId="0" xfId="2" applyNumberFormat="1" applyFont="1"/>
    <xf numFmtId="0" fontId="22" fillId="0" borderId="0" xfId="11" applyFont="1" applyAlignment="1">
      <alignment horizontal="left" indent="1"/>
    </xf>
    <xf numFmtId="0" fontId="21" fillId="0" borderId="0" xfId="11" applyFont="1"/>
    <xf numFmtId="169" fontId="21" fillId="0" borderId="0" xfId="11" applyNumberFormat="1" applyFont="1"/>
    <xf numFmtId="44" fontId="8" fillId="0" borderId="0" xfId="4" applyNumberFormat="1"/>
    <xf numFmtId="0" fontId="0" fillId="0" borderId="0" xfId="0" applyAlignment="1">
      <alignment wrapText="1"/>
    </xf>
    <xf numFmtId="0" fontId="14" fillId="0" borderId="17" xfId="8" applyFont="1" applyBorder="1"/>
    <xf numFmtId="0" fontId="38" fillId="0" borderId="0" xfId="0" applyFont="1"/>
    <xf numFmtId="0" fontId="39" fillId="0" borderId="0" xfId="0" applyFont="1"/>
    <xf numFmtId="0" fontId="0" fillId="0" borderId="0" xfId="0" applyFont="1"/>
    <xf numFmtId="0" fontId="38" fillId="0" borderId="52" xfId="0" applyNumberFormat="1" applyFont="1" applyFill="1" applyBorder="1" applyAlignment="1">
      <alignment horizontal="right"/>
    </xf>
    <xf numFmtId="173" fontId="38" fillId="0" borderId="53" xfId="0" applyNumberFormat="1" applyFont="1" applyFill="1" applyBorder="1" applyAlignment="1">
      <alignment horizontal="right"/>
    </xf>
    <xf numFmtId="43" fontId="38" fillId="0" borderId="0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2" fillId="0" borderId="0" xfId="0" applyFont="1"/>
    <xf numFmtId="43" fontId="3" fillId="0" borderId="0" xfId="0" applyNumberFormat="1" applyFont="1"/>
    <xf numFmtId="43" fontId="43" fillId="0" borderId="0" xfId="0" applyNumberFormat="1" applyFont="1"/>
    <xf numFmtId="43" fontId="3" fillId="0" borderId="1" xfId="0" applyNumberFormat="1" applyFont="1" applyBorder="1"/>
    <xf numFmtId="43" fontId="43" fillId="0" borderId="1" xfId="0" applyNumberFormat="1" applyFont="1" applyBorder="1"/>
    <xf numFmtId="9" fontId="3" fillId="0" borderId="0" xfId="0" applyNumberFormat="1" applyFont="1"/>
    <xf numFmtId="43" fontId="3" fillId="0" borderId="3" xfId="0" applyNumberFormat="1" applyFont="1" applyBorder="1"/>
    <xf numFmtId="43" fontId="43" fillId="0" borderId="3" xfId="0" applyNumberFormat="1" applyFont="1" applyBorder="1"/>
    <xf numFmtId="43" fontId="44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43" fontId="3" fillId="0" borderId="0" xfId="0" applyNumberFormat="1" applyFont="1" applyFill="1"/>
    <xf numFmtId="169" fontId="3" fillId="0" borderId="0" xfId="0" applyNumberFormat="1" applyFont="1" applyFill="1"/>
    <xf numFmtId="43" fontId="3" fillId="0" borderId="1" xfId="0" applyNumberFormat="1" applyFont="1" applyFill="1" applyBorder="1"/>
    <xf numFmtId="169" fontId="3" fillId="0" borderId="1" xfId="0" applyNumberFormat="1" applyFont="1" applyFill="1" applyBorder="1"/>
    <xf numFmtId="0" fontId="0" fillId="0" borderId="0" xfId="0" applyFill="1"/>
    <xf numFmtId="43" fontId="3" fillId="0" borderId="0" xfId="0" applyNumberFormat="1" applyFont="1" applyFill="1" applyBorder="1"/>
    <xf numFmtId="169" fontId="3" fillId="0" borderId="0" xfId="0" applyNumberFormat="1" applyFont="1" applyFill="1" applyBorder="1"/>
    <xf numFmtId="9" fontId="3" fillId="0" borderId="0" xfId="0" applyNumberFormat="1" applyFont="1" applyFill="1"/>
    <xf numFmtId="43" fontId="3" fillId="0" borderId="10" xfId="0" applyNumberFormat="1" applyFont="1" applyFill="1" applyBorder="1"/>
    <xf numFmtId="169" fontId="3" fillId="0" borderId="10" xfId="0" applyNumberFormat="1" applyFont="1" applyFill="1" applyBorder="1"/>
    <xf numFmtId="43" fontId="3" fillId="0" borderId="3" xfId="0" applyNumberFormat="1" applyFont="1" applyFill="1" applyBorder="1"/>
    <xf numFmtId="169" fontId="3" fillId="0" borderId="3" xfId="0" applyNumberFormat="1" applyFont="1" applyFill="1" applyBorder="1"/>
    <xf numFmtId="43" fontId="45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right"/>
    </xf>
    <xf numFmtId="10" fontId="0" fillId="0" borderId="0" xfId="2" applyNumberFormat="1" applyFont="1" applyFill="1" applyAlignment="1">
      <alignment horizontal="left"/>
    </xf>
    <xf numFmtId="43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3" fontId="49" fillId="0" borderId="0" xfId="4" applyNumberFormat="1" applyFont="1"/>
    <xf numFmtId="0" fontId="49" fillId="0" borderId="0" xfId="4" applyFont="1" applyAlignment="1">
      <alignment horizontal="centerContinuous"/>
    </xf>
    <xf numFmtId="44" fontId="49" fillId="0" borderId="0" xfId="4" applyNumberFormat="1" applyFont="1"/>
    <xf numFmtId="44" fontId="50" fillId="0" borderId="0" xfId="0" applyNumberFormat="1" applyFont="1"/>
    <xf numFmtId="0" fontId="50" fillId="0" borderId="0" xfId="0" applyFont="1" applyAlignment="1">
      <alignment horizontal="right"/>
    </xf>
    <xf numFmtId="0" fontId="0" fillId="9" borderId="30" xfId="0" applyFill="1" applyBorder="1"/>
    <xf numFmtId="0" fontId="0" fillId="9" borderId="10" xfId="0" applyFill="1" applyBorder="1"/>
    <xf numFmtId="0" fontId="0" fillId="9" borderId="31" xfId="0" applyFill="1" applyBorder="1"/>
    <xf numFmtId="0" fontId="0" fillId="9" borderId="46" xfId="0" applyFill="1" applyBorder="1"/>
    <xf numFmtId="0" fontId="0" fillId="9" borderId="0" xfId="0" applyFill="1" applyBorder="1"/>
    <xf numFmtId="0" fontId="0" fillId="9" borderId="47" xfId="0" applyFill="1" applyBorder="1"/>
    <xf numFmtId="0" fontId="0" fillId="9" borderId="35" xfId="0" applyFill="1" applyBorder="1"/>
    <xf numFmtId="0" fontId="0" fillId="9" borderId="1" xfId="0" applyFill="1" applyBorder="1"/>
    <xf numFmtId="0" fontId="0" fillId="9" borderId="36" xfId="0" applyFill="1" applyBorder="1"/>
    <xf numFmtId="0" fontId="28" fillId="9" borderId="0" xfId="0" applyFont="1" applyFill="1" applyBorder="1"/>
    <xf numFmtId="0" fontId="14" fillId="0" borderId="18" xfId="0" applyFont="1" applyBorder="1" applyAlignment="1">
      <alignment horizontal="center"/>
    </xf>
    <xf numFmtId="164" fontId="13" fillId="0" borderId="54" xfId="0" applyNumberFormat="1" applyFont="1" applyBorder="1"/>
    <xf numFmtId="0" fontId="51" fillId="0" borderId="18" xfId="0" applyFont="1" applyBorder="1" applyAlignment="1">
      <alignment horizontal="center"/>
    </xf>
    <xf numFmtId="0" fontId="51" fillId="0" borderId="18" xfId="8" applyFont="1" applyBorder="1" applyAlignment="1">
      <alignment horizontal="center"/>
    </xf>
    <xf numFmtId="0" fontId="52" fillId="0" borderId="0" xfId="0" applyFont="1" applyBorder="1"/>
    <xf numFmtId="0" fontId="52" fillId="0" borderId="17" xfId="0" applyFont="1" applyBorder="1"/>
  </cellXfs>
  <cellStyles count="16">
    <cellStyle name="Bad" xfId="13" builtinId="27"/>
    <cellStyle name="Calculation" xfId="14" builtinId="22"/>
    <cellStyle name="Comma" xfId="1" builtinId="3"/>
    <cellStyle name="Comma 2" xfId="7"/>
    <cellStyle name="Currency" xfId="12" builtinId="4"/>
    <cellStyle name="Currency 2" xfId="9"/>
    <cellStyle name="Normal" xfId="0" builtinId="0"/>
    <cellStyle name="Normal 2" xfId="4"/>
    <cellStyle name="Normal 2 2" xfId="8"/>
    <cellStyle name="Normal 3" xfId="3"/>
    <cellStyle name="Normal 4" xfId="6"/>
    <cellStyle name="Normal 5" xfId="11"/>
    <cellStyle name="Normal 53" xfId="15"/>
    <cellStyle name="Percent" xfId="2" builtinId="5"/>
    <cellStyle name="Percent 2" xfId="5"/>
    <cellStyle name="Percent 2 2" xfId="10"/>
  </cellStyles>
  <dxfs count="230"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wrapText="1" readingOrder="0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alignment wrapText="1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wrapText="1" readingOrder="0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20</xdr:col>
      <xdr:colOff>104187</xdr:colOff>
      <xdr:row>21</xdr:row>
      <xdr:rowOff>139064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735" y="571500"/>
          <a:ext cx="9180952" cy="35904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679450</xdr:colOff>
      <xdr:row>23</xdr:row>
      <xdr:rowOff>19050</xdr:rowOff>
    </xdr:from>
    <xdr:to>
      <xdr:col>7</xdr:col>
      <xdr:colOff>510574</xdr:colOff>
      <xdr:row>41</xdr:row>
      <xdr:rowOff>9112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4075" y="4038600"/>
          <a:ext cx="4584099" cy="34190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552450</xdr:colOff>
      <xdr:row>11</xdr:row>
      <xdr:rowOff>63500</xdr:rowOff>
    </xdr:from>
    <xdr:to>
      <xdr:col>3</xdr:col>
      <xdr:colOff>558800</xdr:colOff>
      <xdr:row>13</xdr:row>
      <xdr:rowOff>152400</xdr:rowOff>
    </xdr:to>
    <xdr:cxnSp macro="">
      <xdr:nvCxnSpPr>
        <xdr:cNvPr id="3" name="Straight Arrow Connector 2"/>
        <xdr:cNvCxnSpPr/>
      </xdr:nvCxnSpPr>
      <xdr:spPr>
        <a:xfrm flipV="1">
          <a:off x="4067175" y="1787525"/>
          <a:ext cx="6350" cy="479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13</xdr:col>
      <xdr:colOff>28575</xdr:colOff>
      <xdr:row>19</xdr:row>
      <xdr:rowOff>152400</xdr:rowOff>
    </xdr:to>
    <xdr:pic>
      <xdr:nvPicPr>
        <xdr:cNvPr id="4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495550"/>
          <a:ext cx="6134100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6351</xdr:colOff>
      <xdr:row>22</xdr:row>
      <xdr:rowOff>133350</xdr:rowOff>
    </xdr:from>
    <xdr:to>
      <xdr:col>15</xdr:col>
      <xdr:colOff>303857</xdr:colOff>
      <xdr:row>39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2451" y="4197350"/>
          <a:ext cx="5783906" cy="3003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32</xdr:col>
      <xdr:colOff>512305</xdr:colOff>
      <xdr:row>21</xdr:row>
      <xdr:rowOff>142464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6100" y="736600"/>
          <a:ext cx="16361905" cy="328571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ee, Susan" refreshedDate="45379.67468009259" createdVersion="6" refreshedVersion="6" minRefreshableVersion="3" recordCount="449">
  <cacheSource type="worksheet">
    <worksheetSource ref="A4:J453" sheet="Source Data - Act v Plan by WBS"/>
  </cacheSource>
  <cacheFields count="10">
    <cacheField name="WBS" numFmtId="0">
      <sharedItems/>
    </cacheField>
    <cacheField name="PB - WBS Level 3" numFmtId="0">
      <sharedItems/>
    </cacheField>
    <cacheField name="Energy" numFmtId="0">
      <sharedItems count="6">
        <s v="Common"/>
        <s v="Electric"/>
        <s v="Gas"/>
        <s v="G" u="1"/>
        <s v="E" u="1"/>
        <s v="C" u="1"/>
      </sharedItems>
    </cacheField>
    <cacheField name="Project" numFmtId="0">
      <sharedItems containsBlank="1" count="40">
        <m/>
        <s v="Not Ops"/>
        <s v="Projected"/>
        <s v="Energize Eastside"/>
        <s v="Grid Modernization"/>
        <s v="CIAC - Electric"/>
        <s v="Customer Construction Electric"/>
        <s v="Major Projects Electric"/>
        <s v="PI Electric"/>
        <s v="Emergent Electric"/>
        <s v="Capacity Electric"/>
        <s v="AMI Meters and Modules Deployment"/>
        <s v="Gas Modernization"/>
        <s v="Major Projects Gas"/>
        <s v="Customer Construction Gas"/>
        <s v="CIAC - Gas"/>
        <s v="PI Gas"/>
        <s v="Emergent Gas"/>
        <s v="Pipe Replacement"/>
        <s v="Capacity Gas"/>
        <s v="Bainbridge Tlines Trans"/>
        <s v="Sammamish Juanita 115Kv Tline"/>
        <s v="Thurston Transmission Capacity"/>
        <s v="EV Circuit"/>
        <s v="Resilience Enhancement"/>
        <s v="Marine Crossing"/>
        <s v="AMI - Common" u="1"/>
        <s v="Capacity - Gas" u="1"/>
        <s v="Major Projects Electric - Not in JAK5" u="1"/>
        <s v="AMI - Gas" u="1"/>
        <s v="AMI - Electric" u="1"/>
        <s v="Customer Requests - Gas" u="1"/>
        <s v="Sammamish Juanita" u="1"/>
        <s v="Customer Requests - Electric" u="1"/>
        <e v="#N/A" u="1"/>
        <s v="Capacity - Electric" u="1"/>
        <s v="Public Improvement - Gas" u="1"/>
        <s v="Public Improvement - Electric" u="1"/>
        <s v="Pipeline Replacement" u="1"/>
        <s v="Pipeline Replacement - Not in JAK5 " u="1"/>
      </sharedItems>
    </cacheField>
    <cacheField name="U&amp;U Category" numFmtId="0">
      <sharedItems containsBlank="1" count="9">
        <m/>
        <s v="Not Ops"/>
        <s v="Projected"/>
        <s v="Specific: Specific"/>
        <s v="Programmatic: Programmatic"/>
        <s v="Programmatic Customer Driven"/>
        <s v="Programmatic Programmatic" u="1"/>
        <e v="#N/A" u="1"/>
        <s v="Specific" u="1"/>
      </sharedItems>
    </cacheField>
    <cacheField name="Explanation" numFmtId="0">
      <sharedItems containsBlank="1" containsMixedTypes="1" containsNumber="1" containsInteger="1" minValue="1" maxValue="9" count="20">
        <m/>
        <s v="9 - Projected"/>
        <s v="6E - Grid Mod"/>
        <s v="3E - CIAC, NCC, PI"/>
        <s v="3G - CIAC, NCC, PI"/>
        <s v="7E - Maj Proj"/>
        <s v="4 - Emergent Work"/>
        <s v="1 - AMI"/>
        <s v="6G - Gas Mod"/>
        <s v="7G - Maj Proj"/>
        <s v="8 - Pipe Replacement"/>
        <s v="2 - Bainbridge"/>
        <s v="10 - Sammamish"/>
        <s v="11 - Thurston"/>
        <n v="2" u="1"/>
        <n v="1" u="1"/>
        <n v="3" u="1"/>
        <n v="8" u="1"/>
        <n v="9" u="1"/>
        <n v="4" u="1"/>
      </sharedItems>
    </cacheField>
    <cacheField name="Area" numFmtId="0">
      <sharedItems count="8">
        <s v="Facilities"/>
        <s v="IT"/>
        <s v="Other"/>
        <s v="Storm"/>
        <s v="Operations"/>
        <s v="Generation"/>
        <s v="AMI"/>
        <s v="NP&amp;S"/>
      </sharedItems>
    </cacheField>
    <cacheField name="2023 EOP Total Actual CWIP Closings" numFmtId="0">
      <sharedItems containsString="0" containsBlank="1" containsNumber="1" minValue="-158815791.07999998" maxValue="14562652.299999999"/>
    </cacheField>
    <cacheField name="JAK5 SEF16 Forecast CWIP Closings" numFmtId="0">
      <sharedItems containsSemiMixedTypes="0" containsString="0" containsNumber="1" minValue="-104544526.2964678" maxValue="40119811.454329111"/>
    </cacheField>
    <cacheField name="Variance" numFmtId="0">
      <sharedItems containsSemiMixedTypes="0" containsString="0" containsNumber="1" minValue="-155747833.56489983" maxValue="76703906.5246057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ree, Susan" refreshedDate="45379.67645752315" createdVersion="6" refreshedVersion="6" minRefreshableVersion="3" recordCount="449">
  <cacheSource type="worksheet">
    <worksheetSource ref="A4:K453" sheet="Source Data - Act v Plan by WBS"/>
  </cacheSource>
  <cacheFields count="11">
    <cacheField name="WBS" numFmtId="0">
      <sharedItems/>
    </cacheField>
    <cacheField name="PB - WBS Level 3" numFmtId="0">
      <sharedItems count="584">
        <s v="W_C.10002.02.02.02: CLSD PSE HQ Refresh Phase 2"/>
        <s v="W_C.10002.02.02.04: CLSD Remodel Bellevue 9th Floor"/>
        <s v="W_C.10002.02.04.01: Facility Optimizatn Bothell G Lease Exit"/>
        <s v="W_C.10002.07.01.01: CLSD Puyallup Service Center Rebuild"/>
        <s v="W_C.10002.08.02.01: CLSD Operational Training Center"/>
        <s v="W_C.10003.01.01.01: CLSD Furniture and Fixture Installation"/>
        <s v="W_C.10003.01.03.01: Unplanned Facility Improvements"/>
        <s v="W_C.10005.01.02.01: Security System Installations Electric"/>
        <s v="W_C.10005.01.02.02: WECC Mitigation Security Installations"/>
        <s v="W_C.10006.01.01.01: Fleet Capital Purchase"/>
        <s v="W_C.10006.01.01.03: Fleet Radio Upgrade"/>
        <s v="W_C.10009.01.01.01: Storm OH Replacement Dist"/>
        <s v="W_C.10009.01.01.02: Storm OH Replacement Trans"/>
        <s v="W_C.10010.02.01.01: Shuffleton Reloc at Kent Serv Center"/>
        <s v="W_C.40001.01.01.01: Success Factors Application"/>
        <s v="W_F.10002.01.14.01: Data Governance Foundation"/>
        <s v="W_F.10002.01.17.01: iDOT Replacement"/>
        <s v="W_F.10002.01.18.01: Cap and Invest Billing"/>
        <s v="W_F.10002.01.23.01: Complex Billing CEIP"/>
        <s v="W_F.10002.03.02.01: Field Resources Call Out Tool"/>
        <s v="W_F.10002.03.03.01: Multi-Channel Workforce Management"/>
        <s v="W_F.10002.04.01.01: Travel mgmt.-Exp Rpting and Elect pmt"/>
        <s v="W_F.10002.05.02.01: Check Payment Processing"/>
        <s v="W_F.10002.06.01.01: eGain Replacement"/>
        <s v="W_F.10002.06.02.01: Customer Experience Enhancement Program"/>
        <s v="W_F.10002.06.06.01: Bill Discount Rate"/>
        <s v="W_F.10002.07.06.01: Time Varying Rates Pilot"/>
        <s v="W_F.10002.09.02.01: Enterprise PPM Tool"/>
        <s v="W_F.10003.02.01.07: Data Center Hardware Refresh"/>
        <s v="W_F.10003.03.02.01: Transport Network Modernization"/>
        <s v="W_F.10013.09.01.03: PSE ITSR"/>
        <s v="W_F.10015.02.06.02: Gas Control Upgrade 2022"/>
        <s v="W_F.10015.02.14.02: OSI Soft PI Historian"/>
        <s v="W_F.10015.02.17.03: CLSD ADMS Advanced Apps"/>
        <s v="W_F.10015.02.20.01: Annual Market Changes to Support CAISO"/>
        <s v="W_F.10015.02.23.01: ERX Migration"/>
        <s v="W_F.10015.04.02.04: MDMS License Extension 2022-2026"/>
        <s v="W_F.10015.05.04.01: Quality Framework"/>
        <s v="W_F.10015.06.05.02: SAP HR Support Packs 2022-2026"/>
        <s v="W_F.10015.06.23.02: SAP BW 7.5 Functional Upgrade"/>
        <s v="W_F.10015.06.25.01: SAP Annual Upgrades 2022-2026"/>
        <s v="W_F.10015.06.26.01: Enhanced SAP Monitoring Alerting BPM"/>
        <s v="W_F.10015.06.27.01: Cloud Connector SLS11 to SLS15 Upgrade"/>
        <s v="W_F.10015.08.11.06: ServiceNow Improvements 2022-2026"/>
        <s v="W_F.10015.08.14.03: Sitecore 9.3 to 10.2 Upgrade"/>
        <s v="W_F.10015.08.18.01: Microservices NET Core Upgrade"/>
        <s v="W_F.10015.08.19.01: Terraform Upgrade"/>
        <s v="W_F.10015.08.23.01: Xamarin Forms Migration to MAUI"/>
        <s v="W_F.10015.11.04.01: Windows Server 2012 Upgrade"/>
        <s v="W_F.10015.11.06.01: Migration to Dynatrace SaaS"/>
        <s v="W_F.10016.01.01.03: IT Enterprise Architecture Tool 2022"/>
        <s v="W_F.10017.02.01.03: CLSD Annual Comm Room Tech Refresh 2022"/>
        <s v="W_F.10017.02.02.03: Annual Data Center Tech Refresh 2022-26"/>
        <s v="W_F.10017.03.05.02: Annual End User PC Refresh 2022-2026"/>
        <s v="W_F.10017.05.03.02: Annual MS Enterprise Agreement Growth"/>
        <s v="W_F.10017.05.07.01: DC Battery Management"/>
        <s v="W_F.10017.07.01.03: IPP SharePoint Upgrade NERC"/>
        <s v="W_F.10017.08.02.03: Annual Telecom SCADA Refresh 2022-26"/>
        <s v="W_F.10017.08.03.01: Enhanced Substation Communications"/>
        <s v="W_F.10017.08.07.01: 700MHz Spectrum"/>
        <s v="W_F.10017.08.08.01: ASAT to RTAC Replacement"/>
        <s v="W_F.10017.10.06.04: Annual Server Growth 2022-2026"/>
        <s v="W_F.10017.10.09.02: Hyper Converged Infra Refresh"/>
        <s v="W_F.10017.10.18.01: Directory Services Optimization"/>
        <s v="W_F.10017.11.01.04: Annual Storage Growth 2022-2026"/>
        <s v="W_F.10017.12.01.03: Annual Fiber Refresh Repair 2022-26"/>
        <s v="W_F.10017.12.05.03: Annual Telecom RF Refresh 2022-26"/>
        <s v="W_F.10017.12.06.03: Annual Telecom Equip Growth Tool 2022-26"/>
        <s v="W_F.10017.12.08.04: Annual Telecom Network Refresh 2022-2026"/>
        <s v="W_F.10017.12.23.04: Annual Network Tech Refresh 2022-2026"/>
        <s v="W_F.10017.12.25.02: Annual Audio Visual Tech Refresh 2022-26"/>
        <s v="W_F.10017.12.26.01: Generation Sites"/>
        <s v="W_F.10017.12.26.02: Generation Infrastructure Prgrm 2022-26"/>
        <s v="W_F.10017.13.01.03: CLSD Annual Voice Equipment Refresh New"/>
        <s v="W_F.10017.13.05.01: ACTR 2021"/>
        <s v="W_F.10017.13.06.01: Voice Recording Tech Refresh"/>
        <s v="W_F.10017.15.01.04: Cloud Cost Optimization Tooling Refresh"/>
        <s v="W_F.10018.02.03.02: Opex to Capital Maint 2022-2026"/>
        <s v="W_F.10018.02.04.01: Annual Enterprise App Growth 2022-2026"/>
        <s v="W_F.10025.01.04.01: Physical Security Roadmap"/>
        <s v="W_F.10025.01.04.02: Cyber Audit Web Server Upgrade"/>
        <s v="W_F.10025.02.01.07: Transportation Security Admin TSA"/>
        <s v="W_F.10025.02.01.08: Cyber Security Roadmap"/>
        <s v="W_F.10026.01.01.01: Robotic Process Automation"/>
        <s v="W_K.10001.01.01.01: LBK Hydro Plant Work"/>
        <s v="W_K.10001.01.01.02: LBK Small Tools"/>
        <s v="W_K.10001.01.02.01: UBK Hydro Plant Work"/>
        <s v="W_K.10001.01.02.02: UBK Small Tools"/>
        <s v="W_K.10002.01.02.06: UBK U2 Runner Replacement"/>
        <s v="W_K.10003.01.01.01: LBK Crest Improvement and Floodwall"/>
        <s v="W_K.10003.01.01.03: LBK Hatchery Raceway Project"/>
        <s v="W_K.10003.02.01.01: UBK Phase II Spillway Stabilization"/>
        <s v="W_K.10004.01.01.01: COL 500Kv Trans Line"/>
        <s v="W_K.10006.01.01.02: ENC Thermal Plant Work"/>
        <s v="W_K.10007.01.01.02: FERN Thermal Plant Work"/>
        <s v="W_K.10007.01.01.03: FERN Major Maintenance Activity"/>
        <s v="W_K.10008.01.01.03: FREDDY 1 Thermal Plant Work"/>
        <s v="W_K.10009.01.01.03: FRA Small Tools"/>
        <s v="W_K.10009.01.01.04: FRA Thermal Plant Work"/>
        <s v="W_K.10010.01.01.04: FRE Thermal Plant Work"/>
        <s v="W_K.10013.01.01.01: GLD Small Tools"/>
        <s v="W_K.10013.01.01.02: GLD Thermal Plant Work"/>
        <s v="W_K.10015.01.01.01: HPK Ongoing UOP Replacements"/>
        <s v="W_K.10015.01.01.02: HPK Small Tools"/>
        <s v="W_K.10015.01.01.03: HPK Wind Plant Work"/>
        <s v="W_K.10016.01.01.01: JP Operational Capital"/>
        <s v="W_K.10017.01.01.01: BKR Aquatic Riparian Habitat"/>
        <s v="W_K.10018.01.01.01: LSR1 Ongoing Uop Replacements"/>
        <s v="W_K.10018.01.01.02: LSR1 Small Tools"/>
        <s v="W_K.10018.01.01.03: LSR1 Wind Plant Work"/>
        <s v="W_K.10019.01.01.01: MTF Small Tools"/>
        <s v="W_K.10019.01.01.02: MTF Thermal Plant Work"/>
        <s v="W_K.10021.01.01.01: SNO Hydro Plant Work"/>
        <s v="W_K.10021.01.01.02: SNO Small Tools"/>
        <s v="W_K.10023.01.01.02: SMS Thermal Plant Work"/>
        <s v="W_K.10025.01.02.01: LNG 1 Mile Pipe Connector"/>
        <s v="W_K.10025.01.02.02: LNG 4 Mile Pipe To Plant"/>
        <s v="W_K.10025.02.01.01: TLNG Operational Plant"/>
        <s v="W_K.10026.01.01.03: WHH Small Tools"/>
        <s v="W_K.10026.01.01.04: WHH Thermal Plant Work"/>
        <s v="W_K.10028.01.01.01: WLD Small Tools"/>
        <s v="W_K.10028.01.01.03: WLD Wind Plant Work"/>
        <s v="W_K.10028.01.01.04: WLD Ongoing UOP Replacements"/>
        <s v="W_R.10005.01.01.01: E Eastside 230Kv Subs Richards Creek"/>
        <s v="W_R.10005.01.01.02: E Eastside 230Kv Subs Talbot Hill"/>
        <s v="W_R.10005.01.01.07: E Eastside 230Kv Tlines"/>
        <s v="W_R.10006.01.01.03: E Substation SCADA CEIP"/>
        <s v="W_R.10006.01.01.04: E Trans Automation"/>
        <s v="W_R.10006.01.01.07: E Electric System Modeling"/>
        <s v="W_R.10007.06.01.01: E 5 Yr Electric Refundable CIAC"/>
        <s v="W_R.10007.07.01.01: E Customer Reimbursed"/>
        <s v="W_R.10007.08.01.01: E OH UG Commercial Services"/>
        <s v="W_R.10007.08.02.01: E OH UG Residential Services"/>
        <s v="W_R.10007.08.02.02: E UG Residential Services In Plats"/>
        <s v="W_R.10007.09.01.01: E Commercial Line Extension"/>
        <s v="W_R.10007.09.02.01: E Multi Family Line Extension"/>
        <s v="W_R.10007.09.03.02: E Plats Line Extension"/>
        <s v="W_R.10007.09.04.01: E Single Family Line Extension"/>
        <s v="W_R.10007.12.01.01: E Microsoft Campus Rebuild"/>
        <s v="W_R.10007.12.03.01: E Customer Reimbursed Major Projects"/>
        <s v="W_R.10008.01.01.01: E Conversions Sched 73 Cust Driven"/>
        <s v="W_R.10008.01.01.02: E OH UG Reloc - Removal Cust Driven Dist"/>
        <s v="W_R.10008.03.01.01: E Conversions Sched 74 PI Driven"/>
        <s v="W_R.10008.03.01.03: E OH UG Rel PI Driven NonReimb Dist"/>
        <s v="W_R.10008.03.01.04: E OH UG Rel PI Driven Reimburse Dist"/>
        <s v="W_R.10008.03.01.05: E PI Driven Relocations Trans"/>
        <s v="W_R.10008.03.01.14: E Sound Transit Reimburse"/>
        <s v="W_R.10008.03.01.18: E WSDOT Fish Passage Relocation"/>
        <s v="W_R.10008.05.01.01: E Sound Transit Dist"/>
        <s v="W_R.10008.05.01.02: E Sound Transit East Link Dist"/>
        <s v="W_R.10008.07.01.01: E WSDOT Clr Zone Pole Prog Dist"/>
        <s v="W_R.10009.01.01.01: E BPA 3rd AC Transmission Intertie Work"/>
        <s v="W_R.10009.02.01.03: E Central Bellevue Dist Rel Feeder"/>
        <s v="W_R.10009.04.01.02: E Damage Claims Cap Writeoff"/>
        <s v="W_R.10009.05.01.01: E Emergency NonOutage OH Repl Dist"/>
        <s v="W_R.10009.05.01.02: E Emergency NonOutage OH Repl Trans"/>
        <s v="W_R.10009.05.01.03: E Emergency NonOutage UG Repl Dist"/>
        <s v="W_R.10009.05.02.01: E Emergency OH Replacement Trans"/>
        <s v="W_R.10009.05.02.02: E Emergency Outage OH Replacement Dist"/>
        <s v="W_R.10009.05.02.03: E Emergency Outage UG Replacement Dist"/>
        <s v="W_R.10009.05.02.04: E Unplanned OH Distribution Abnormals"/>
        <s v="W_R.10009.05.02.05: E Unplanned UG Distribution Abnormals"/>
        <s v="W_R.10009.07.01.01: E OH System Capacity New Dist"/>
        <s v="W_R.10009.07.01.03: E UG System Capacity New Dist"/>
        <s v="W_R.10009.07.01.07: E System Planning Software"/>
        <s v="W_R.10009.07.03.01: E OH UG System Improv Opport New Dist"/>
        <s v="W_R.10009.08.01.02: E UG Cable Remediation Dist"/>
        <s v="W_R.10009.08.01.07: E UG Cable Remediation Progr IPM"/>
        <s v="W_R.10009.08.02.05: E OH Clearance Alley Syst Dist"/>
        <s v="W_R.10009.08.02.07: E OH Sys Rel Upgrades Outage Dist"/>
        <s v="W_R.10009.08.02.09: E OH Syst Rel Upgrades Rebuild Dist"/>
        <s v="W_R.10009.08.02.10: E OH Syst Rel Upgrades UG Convers Dist"/>
        <s v="W_R.10009.08.02.11: E OH Syst Rel Upgr Gang OP Switches Dist"/>
        <s v="W_R.10009.08.02.12: E OH Syst Rel Upgr Reclosers Dist"/>
        <s v="W_R.10009.08.02.14: E OH Syst Rel Upgr Tree WirE Dist"/>
        <s v="W_R.10009.08.02.15: E OH Syst Rel Upgr Fusesaver Dist"/>
        <s v="W_R.10009.08.02.17: E OH System Capacity Upgrade Dist"/>
        <s v="W_R.10009.08.02.19: E OH System Reliability Upgrades Trans"/>
        <s v="W_R.10009.08.02.22: E 6 Copper Open Wire 2nd Repl Dist"/>
        <s v="W_R.10009.08.02.24: E Sedro Mar Pt 230 Remediate Underbuild"/>
        <s v="W_R.10009.08.02.25: E UG Syst Rel Upgrades Dist"/>
        <s v="W_R.10009.08.02.28: E UG System Capacity Upgrade Dist"/>
        <s v="W_R.10009.08.03.01: E Fish And Wildlife Program Dist"/>
        <s v="W_R.10009.08.05.02: E Emergent Pole Replacement Dist"/>
        <s v="W_R.10009.08.05.03: E Emergent Pole Replacement Trans"/>
        <s v="W_R.10009.08.05.05: E Pole Replacement Plan Dist"/>
        <s v="W_R.10009.08.05.07: E Pole Replacement Plan Trans"/>
        <s v="W_R.10009.08.05.16: E Pole Inspection and Restoration Dist"/>
        <s v="W_R.10009.08.05.17: E Pole Inspection and Restoration Trans"/>
        <s v="W_R.10009.12.01.01: C AMI Network Installations Gen Plant"/>
        <s v="W_R.10009.12.01.03: E AMI Netwrk Installtion TransDist"/>
        <s v="W_R.10009.12.01.04: E AMI Electric Meter Deployment"/>
        <s v="W_R.10009.12.01.05: G AMI Gas Module Deployment"/>
        <s v="W_R.10009.12.01.08: E Opt Out AMR to NCM Capital Exch"/>
        <s v="W_R.10009.12.01.09: G Opt Out AMI to NCM Capital Exch"/>
        <s v="W_R.10009.12.03.01: E Distribution Automation Dist"/>
        <s v="W_R.10009.14.04.01: E Substation Replacement SpcC Dist"/>
        <s v="W_R.10009.14.05.02: E Emergent Substation Replacement Dist"/>
        <s v="W_R.10009.14.05.03: E Emergent Substation Replacement Trans"/>
        <s v="W_R.10009.14.05.06: E Substation Reliability Dist"/>
        <s v="W_R.10009.14.05.07: E Subs Replacement Fuses Dist"/>
        <s v="W_R.10009.14.05.09: E Substation Reliability Trans"/>
        <s v="W_R.10009.14.07.01: E Subs Replacement Breaker Replcmt Trans"/>
        <s v="W_R.10009.17.01.01: E Mazama Pcket Gopher Habitat Mitigation"/>
        <s v="W_R.10011.01.01.03: G Gas System Monitoring Equip Replc"/>
        <s v="W_R.10011.01.01.04: G Gauges Sems Dist"/>
        <s v="W_R.10011.01.01.06: G Remote Telemetry Units Dist"/>
        <s v="W_R.10011.01.01.07: G Williams Pipeline Equipment Upgrades"/>
        <s v="W_R.10012.01.01.01: G Altered Modified Comm Ind Mains"/>
        <s v="W_R.10012.01.01.02: G Altered Modified Comm Ind Service"/>
        <s v="W_R.10012.01.02.01: G Altered Modified Residential Mains"/>
        <s v="W_R.10012.01.02.02: G Altered Modified Residential Services"/>
        <s v="W_R.10012.02.01.01: G 5 Yr Gas Refundable CIAC"/>
        <s v="W_R.10012.03.01.01: G Commercial Industrial Mains"/>
        <s v="W_R.10012.03.02.01: G Multi Family Mains"/>
        <s v="W_R.10012.03.03.01: G Plats Mains"/>
        <s v="W_R.10012.03.03.02: G Residential Mains"/>
        <s v="W_R.10012.04.01.01: G Commercial Industrial Service"/>
        <s v="W_R.10012.04.02.01: G Multi Family Service"/>
        <s v="W_R.10012.04.03.02: G Residential Services"/>
        <s v="W_R.10012.04.03.03: G Residential Services In Plat Dev"/>
        <s v="W_R.10012.06.01.01: G Gas Retire Only No Additions"/>
        <s v="W_R.10013.01.01.01: G Cust Driven Relocate Reimburse Dist"/>
        <s v="W_R.10013.04.01.01: G PI Driven Relocate NonReimb Dist"/>
        <s v="W_R.10013.04.01.02: G PI Driven Relocate Reimb Dist"/>
        <s v="W_R.10013.04.01.04: G Sound Transit Reimburse"/>
        <s v="W_R.10013.04.01.06: G WSDOT Fish Passage Relocation"/>
        <s v="W_R.10013.05.01.01: G Seattle Core Alaskan Way Viaduct"/>
        <s v="W_R.10013.05.01.02: G Seattle Core IP Main"/>
        <s v="W_R.10013.06.01.01: G Sound Transit Dist"/>
        <s v="W_R.10013.07.01.01: G Relocate Bulk Dist Like Kind Dist"/>
        <s v="W_R.10013.07.01.02: G System Improv Opport Dist"/>
        <s v="W_R.10014.01.01.01: G Swarr Propane Air Plant Upgrades"/>
        <s v="W_R.10015.01.01.01: G CP System Improv Main With Serv Dist"/>
        <s v="W_R.10015.01.01.02: G CP System Improv Service Dist"/>
        <s v="W_R.10015.01.01.03: G CP System Improv Dist"/>
        <s v="W_R.10015.01.01.05: G Emergent CP System Improv Dist"/>
        <s v="W_R.10015.02.01.02: G Damage Claims Cap Writeoff"/>
        <s v="W_R.10015.03.01.01: G DIMP Brdg Sld Dist Unmaintain Facil"/>
        <s v="W_R.10015.03.02.01: G DIMP Mobile Home Encroachment Program"/>
        <s v="W_R.10015.03.04.01: G DIMP Dupont Pipe Repl Main With Serv"/>
        <s v="W_R.10015.03.04.02: G DIMP Older Stw Repl Main With Service"/>
        <s v="W_R.10015.03.04.03: G DIMP Older Stw Repl Service Only"/>
        <s v="W_R.10015.03.06.01: G DIMP Legacy Cross Bore Inspection Dist"/>
        <s v="W_R.10015.03.07.01: G DIMP Continuing Surveillance Other"/>
        <s v="W_R.10015.03.07.03: G DIMP Shallow Serv and Main Repl"/>
        <s v="W_R.10015.03.08.01: G DIMP Buried MSA Serv Or Riser Repl Opp"/>
        <s v="W_R.10015.03.09.01: G DIMP Preventative Maint Facilities"/>
        <s v="W_R.10015.03.09.03: G DIMP Preventive Maint Dist Reg Dist"/>
        <s v="W_R.10015.03.09.07: G DIMP Preventive Maint Farm Taps Dist"/>
        <s v="W_R.10015.03.09.14: G Idle Riser Remediation"/>
        <s v="W_R.10015.03.09.15: G Buried Meter Riser Replacement"/>
        <s v="W_R.10015.03.10.02: G-DIMP Unmaintainable STW Main in Casing"/>
        <s v="W_R.10015.03.11.01: G DIMP Guard Posts"/>
        <s v="W_R.10015.04.01.02: G Leak Repair Main"/>
        <s v="W_R.10015.04.01.03: G Leak Repair Service"/>
        <s v="W_R.10015.04.01.04: G Scattered Short Main Rehab"/>
        <s v="W_R.10015.04.01.05: G Service Replacement Misc"/>
        <s v="W_R.10015.04.01.06: G Sewer Cross Bore Repair Main"/>
        <s v="W_R.10015.04.01.07: G Sewer Cross Bore Repair Service"/>
        <s v="W_R.10015.04.01.09: G Gas Work Release Service"/>
        <s v="W_R.10015.04.01.12: G Nonhaz Main Repair Methane PRP"/>
        <s v="W_R.10015.04.01.13: G Nonhaz Service Repair Methane PRP"/>
        <s v="W_R.10015.05.01.01: G System Capacity New Dist"/>
        <s v="W_R.10015.06.01.02: G Odorizer Componant Repl Bulk Dist"/>
        <s v="W_R.10015.06.01.04: G System Capacity Upgrade Bulk Dist"/>
        <s v="W_R.10015.06.01.05: G System Capacity Upgrade Dist"/>
        <s v="W_R.10015.07.01.01: G Gas Lightups Clearing"/>
        <s v="W_R.10015.08.02.02: G Alternative Fuels"/>
        <s v="W_R.10019.01.01.01: E Port Madison Subs"/>
        <s v="W_R.10019.01.01.02: Bainbridge Trans WIN-MUR Loop"/>
        <s v="W_R.10024.01.01.04: G AMR Operations"/>
        <s v="W_R.10024.01.01.05: E AMR Operations"/>
        <s v="W_R.10024.01.01.07: E Opt Out AMR to NCM Capital Exch"/>
        <s v="W_R.10024.01.01.09: G AMI Operations"/>
        <s v="W_R.10024.02.01.01: G NonRegistering Meters Dist"/>
        <s v="W_R.10024.02.01.03: G Periodic Meter Changeout IMO Dist"/>
        <s v="W_R.10031.01.01.02: E Lake Hills Phantom Lake 115Kv Tline"/>
        <s v="W_R.10031.03.01.01: E Sammamish Juanita 115Kv Tline"/>
        <s v="W_R.10033.01.01.03: E Small Tool Electric Operations Tool"/>
        <s v="W_R.10033.01.01.09: G Small Tool Gas Operations Tool"/>
        <s v="W_R.10033.02.01.01: C Operational Training ISR Program"/>
        <s v="W_R.10036.02.01.01: C Capitalization of Real Estate Permits"/>
        <s v="W_R.10036.03.01.01: C Transient Deterrent"/>
        <s v="W_R.10039.02.01.01: E Buckley Substation Feeder"/>
        <s v="W_R.10039.02.01.02: E Buckley Substation Sub"/>
        <s v="W_R.10039.02.01.06: E Electr Enum 55Kv To 115Kv Fiber"/>
        <s v="W_R.10045.01.01.01: E Talbot Asbury Ug 115Kv Repl Tline"/>
        <s v="W_R.10051.02.01.01: E Thurston Transmission Capacity"/>
        <s v="W_R.10054.01.01.01: E Bellingham Sedro 4 115Kv Recond Tline"/>
        <s v="W_R.10059.02.01.02: E Circuit Enablement EV"/>
        <s v="W_R.10059.03.01.01: E Resilience Enhancement Substation"/>
        <s v="W_R.10059.04.01.01: E Wildfire Resilience"/>
        <s v="W_R.10060.01.01.01: G Vashon Marine Crossing"/>
        <s v="W_R.10060.01.01.02: G Vashon Interim Supply at Gig Harbor"/>
        <s v="W_X.10003.01.01.01: Street and Area Lighting Services"/>
        <s v="W_X.10003.01.03.01: Street Light Replacement"/>
        <s v="W_X.10003.01.03.02: Smart Street Lighting"/>
        <s v="W_X.10005.01.01.01: Wireless and Wireline Construction"/>
        <s v="W_X.10006.01.01.01: Customer Sited Energy Storage Pilot"/>
        <s v="W_X.10006.02.02.02: EV Charging Program Infrastructure"/>
        <s v="W_X.10006.03.01.05: Community Solar Program 2022-25"/>
        <s v="W_X.10007.01.01.01: Covid 19 Work for WUTC Order"/>
        <s v="Placeholder WBS 53b: DER Circuit Enablemnt Virtual Power Plan"/>
        <s v="W_K.10038.02.01.01: Rooftop Solar Program:DER Solar Project and Programs CEIP"/>
        <s v="PLACEHOLDER WBS 38b: E Volt/Var Optimization"/>
        <s v="PLACEHOLDER WBS 31b: Hosting Capacity and Customer Portal"/>
        <s v="PLACEHOLDER WBS 7b: Demand Response transferred to Placeholder WBS 24"/>
        <s v="PLACEHOLDER WBS 88b: DER Innovation Process CEIP"/>
        <s v="W_K.10038.01.01.01: Cust Sited Energy Storage Demos CEIP"/>
        <s v="W_C.10002.12.01.01: Hybrid Working Transition to 50 Percent"/>
        <s v="W_C.10003.01.01.03: Furniture Fixtures HVAC Refresh"/>
        <s v="W_C.10006.01.01.04: EEI Fleet Electrical Commitment"/>
        <s v="W_F.10002.01.20.01: Front Office Enhancements"/>
        <s v="W_F.10002.01.26.01: Urbint Enhancement"/>
        <s v="W_F.10002.01.31.01: Sendout Replacement"/>
        <s v="W_F.10002.06.05.02: PSE 2030 Digital Experience Non CEIP"/>
        <s v="W_F.10002.06.08.04: Billing Correction Automation"/>
        <s v="W_F.10002.07.03.01: GIS Upgrade Smallworld"/>
        <s v="W_F.10002.07.04.01: Streetlight New Business DB SAP Conversn"/>
        <s v="W_F.10002.07.08.01: eGRC Archer"/>
        <s v="W_F.10003.04.01.01: Digital Workplace Transformation"/>
        <s v="W_F.10015.01.03.02: Oracle Upgrades 2023"/>
        <s v="W_F.10015.02.24.01: PI Vision Suite Migration"/>
        <s v="W_F.10015.04.07.01: LoadSEER Non-production Environmnt Purch"/>
        <s v="W_F.10015.05.04.02: Annual Quality Framework Enhancemnt 2023"/>
        <s v="W_F.10015.05.10.01: Work Manager Upgrade"/>
        <s v="W_F.10015.06.24.03: POI - HANA DR Enablement"/>
        <s v="W_F.10015.06.26.02: SAP Business Process Monitoring"/>
        <s v="W_F.10015.06.28.01: Annual SQL Server Patches"/>
        <s v="W_F.10015.08.11.07: Annual ServiceNow Platform Upgrades"/>
        <s v="W_F.10015.08.14.04: Sitecore Autoscaling 2023"/>
        <s v="W_F.10015.08.14.05: Consolidate Web Platforms"/>
        <s v="W_F.10015.08.18.02: Microservices Refactoring with Cassandra"/>
        <s v="W_F.10015.08.20.01: Annual Splunk Growth (2023-27)"/>
        <s v="W_F.10015.08.20.02: Splunk Version Upgrades 2023"/>
        <s v="W_F.10015.08.20.03: Annual Splunk Security Improvements"/>
        <s v="W_F.10015.08.21.01: DataStax Astra Migration"/>
        <s v="W_F.10015.08.24.01: Twilio/SendGrid Replacement"/>
        <s v="W_F.10016.01.01.04: IT Enterprise Architecture 2023-27"/>
        <s v="W_F.10017.02.02.04: Annual Data Center Tech Refresh (2023+)"/>
        <s v="W_F.10017.03.08.01: Annual  AV/Conf Room Tech Refresh"/>
        <s v="W_F.10017.05.07.02: DC Battery Management 2022-26"/>
        <s v="W_F.10017.07.01.04: OpenText ECM Upgrade"/>
        <s v="W_F.10017.09.11.01: Annual Network&amp;Voice Tech Refresh/Growth"/>
        <s v="W_F.10017.10.20.01: Annual Corporate Comm Room Tech Refresh"/>
        <s v="W_F.10017.10.21.01: Purch &amp; Implmnt Syst Orchestration Tool"/>
        <s v="W_F.10017.12.29.01: Annual Telecom Comm Sites Tech Refresh"/>
        <s v="W_F.10025.01.04.05: Reconeyez Wireless Video"/>
        <s v="W_F.10025.01.05.01: Zero Trust Strategy for TSA Gas Pipeline"/>
        <s v="W_F.10025.01.05.03: Jackson Prairie IT Infrastructure"/>
        <s v="W_F.10026.01.01.03: Robotic Process Automation (2023-27)"/>
        <s v="W_K.10008.01.01.05: FREDDY 1 Major Maintenance Activity"/>
        <s v="W_K.10011.01.03.01: FRE Major Maintenance Activity"/>
        <s v="W_K.10020.01.01.07: MTF Major Maintenance"/>
        <s v="W_R.10006.01.01.08: E Substation SCADA (Non-CEIP)"/>
        <s v="W_R.10009.08.07.01: E Fault Location"/>
        <s v="W_R.10015.03.09.16: G NRF Retirement Program"/>
        <s v="W_R.10015.08.01.02: G Enhanced Methane Emissions Reduction"/>
        <s v="W_R.10034.01.01.03: E Pierce Co 230Kv Alderton Tline"/>
        <s v="W_R.10035.01.01.01: E Alderton Electron Hgts 115Kv Ph2 Tline"/>
        <s v="W_R.10059.06.01.01: E Conservation Voltage Reduction"/>
        <s v="W_X.10006.02.03.02: Transprtatn Electrificatn Plan General"/>
        <s v="W_C.10002.02.02.01: CLSD East Building Retirement"/>
        <s v="W_C.10002.04.03.01: CLSD New Headquarters TI"/>
        <s v="W_C.10002.09.01.01: CLSD BUCC relocation"/>
        <s v="PLACEHOLDER WBS 34: Crystal Mountain "/>
        <s v="W_F.10002.01.34.01: IWM Enhancements"/>
        <s v="W_K.10012.01.01.10: BPCC Faster Pmt Posting"/>
        <s v="W_R.10059.02.01.09: E Property Acquisition Cir Enablement"/>
        <s v="W_C.10002.02.03.01: RedWest Vacate and SKC Buildout"/>
        <s v="W_C.20001.01.01.01: Transformer Retirement and Disposal"/>
        <s v="W_C.20001.02.01.01: Treated Wood Disposal"/>
        <s v="W_F.10015.04.04.01: GIS SmallWorld Upgrade"/>
        <s v="W_F.10017.05.04.02: AV Updates"/>
        <s v="W_F.10017.07.01.02: OpenText Migrations"/>
        <s v="W_F.10017.13.02.02: Annual VOIP Deployment and Refresh"/>
        <s v="W_K.10035.01.01.02: FRA Unit 2 to 4 Hot Gas Path"/>
        <s v="W_R.10009.12.04.01: E Trans Automation Placeholder"/>
        <s v="W_R.10009.14.05.15: E Subs CAP Transient Security Issues Dis"/>
        <s v="W_R.10037.01.01.07: G Scrap Sale Plt Meters Dist"/>
        <s v="W_R.10044.01.01.03: E Lake Holm Substation Subs"/>
        <s v="W_R.10009.07.03.02: E OH UG System Improv Opport New Trans"/>
        <s v="W_R.10039.03.01.01: E White River Krain Substation"/>
        <s v="W_F.10007.02.01.02: IT Operational Funding"/>
        <s v="W_R.10003.01.01.01: E Lake Tradition 230Kv Development"/>
        <s v="W_R.10037.01.01.06: G Removal Cost Meters"/>
        <s v="W_R.10037.01.01.01: E Removal Cost Meters"/>
        <s v="W_R.10015.06.01.11: G Project Initiation"/>
        <s v="W_R.10009.08.02.23: E Project Initiation"/>
        <s v="W_R.99999.99.99.99: General Transmission Project (Offest to Energize Eastside)"/>
        <s v="W_C.10004.01.01.02: Wireless PCS Construction"/>
        <s v="W_F.10002.01.22.01: Click Schedule Replacement"/>
        <s v="W_F.10002.01.25.01: Transmission &amp; Generation Facilities DB"/>
        <s v="W_F.10015.02.17.01: Distribution Management System"/>
        <s v="W_F.10015.08.13.03: UI Enhancements Phase 3"/>
        <s v="W_F.10017.05.04.01: Workplace Mobility Program"/>
        <s v="W_F.10017.13.03.02: VOIP Deployment and Refresh"/>
        <s v="W_K.10006.01.01.01: ENC Small Tools"/>
        <s v="W_K.10010.01.01.03: FRE Small Tools"/>
        <s v="W_K.10020.01.01.03: MTF CT Major Maintenance"/>
        <s v="W_K.10023.01.01.01: SMS Small Tools"/>
        <s v="W_R.10004.01.01.01: C Franchises"/>
        <s v="W_R.10005.01.01.04: E Eastside 230Kv Subs Rose Hill"/>
        <s v="W_R.10008.02.01.01: E Franchises"/>
        <s v="W_R.10008.07.02.01: E King County Clr Zone Pole Prog Dist"/>
        <s v="W_R.10009.03.01.01: E Clyde Hill Switching Station"/>
        <s v="W_R.10009.08.02.18: E OH Sys Capacity Upgrades Uprates Trans"/>
        <s v="W_R.10009.08.02.20: E OH Transformer PCB Remediation"/>
        <s v="W_R.10009.08.05.04: E Pole Replacement Due To Joint Use"/>
        <s v="W_R.10009.08.06.01: E Root Cause Analysis"/>
        <s v="W_R.10009.09.01.02: E Emergent Major Projects Trans"/>
        <s v="W_R.10009.10.01.01: E Issaquah Highland Substation"/>
        <s v="W_R.10009.12.02.04: E Conservation Voltage Reduction"/>
        <s v="W_R.10009.12.03.04: E Network and Automate Grid"/>
        <s v="W_R.10009.14.05.01: E Digital Fault Recorders Replacement"/>
        <s v="W_R.10009.14.05.05: E Subs Replacement Circuit Switcher Dist"/>
        <s v="W_R.10009.14.05.11: E Subs Replacement Vegetation Management"/>
        <s v="W_R.10009.14.06.01: E Subs Replacement Transformers Dist"/>
        <s v="W_R.10011.01.01.10: G Service Replacements CBP"/>
        <s v="W_R.10013.02.01.01: G Franchises"/>
        <s v="W_R.10015.03.05.04: G DIMP Regulator Station Sidewalk Regs"/>
        <s v="W_R.10015.03.06.02: G DIMP Legacy Crss Bore Replacement Dist"/>
        <s v="W_R.10015.03.09.05: G DIMP Preventive Maintenance MSA Dist"/>
        <s v="W_R.10015.04.01.08: G Gas Work Release Main"/>
        <s v="W_R.10015.06.01.01: G Cold Weather Action Reinforcement"/>
        <s v="W_R.10018.01.01.01: E Covington Area Capacity Project"/>
        <s v="W_R.10019.01.01.03: E Rebuild Winslow Tap"/>
        <s v="W_R.10019.01.01.04: E Murden Cove Subs"/>
        <s v="W_R.10019.03.01.01: E So Brm Bngr 115Kv 230Kv Prprty Purch"/>
        <s v="W_R.10020.02.01.01: E Wind RidgE Kittitas 115Kv Tline"/>
        <s v="W_R.10039.02.01.03: E Electr Enum 55Kv 115Kv Sub Electr Hght"/>
        <s v="W_R.10039.02.01.05: E Electr Enum 55Kv To 115Kv Sub Enum"/>
        <s v="W_R.10052.01.01.01: E Kent-Tukwila Area Capacity Project"/>
        <s v="W_R.10052.01.01.02: E Briscoe Park Substation Tline"/>
        <s v="W_R.10054.03.01.01: E Lynden Substation Expansion"/>
        <s v="W_R.10056.01.01.01: E Wilkeson Substation Sub"/>
        <s v="W_R.10059.01.01.01: E Smart Grid Living Lab"/>
        <s v="W_R.10059.02.01.01: E ADMS Circuit Enablement"/>
        <s v="W_R.10059.05.01.01: E Submarine Cable - Mercer Island"/>
        <s v="W_X.10006.03.01.02: Community Solar Program"/>
        <s v="W_F.10002.01.27.01: Asset Change Work Management"/>
        <s v="W_F.10002.05.03.01: EA and Magic Access DB Replacement"/>
        <s v="PLACEHOLDER WBS 21: IP Scada"/>
        <s v="W_F.10002.06.04.01: Arrearage Management Plan"/>
        <s v="W_F.10002.06.07.01: Cust Usage Disaggregation and Presentmnt"/>
        <s v="W_F.10002.07.05.01: Third Party Risk"/>
        <s v="W_F.10002.07.07.01: Multi-Family Solar"/>
        <s v="W_F.10002.07.09.01: Supply Chain Stabilization Phase 3"/>
        <s v="W_K.10025.01.02.03: LNG Clover Creek Limit Station Modi" u="1"/>
        <s v="W_R.10027.02.01.02: E BelRed Area Capacity Project" u="1"/>
        <s v="W_R.10009.02.01.02: E Central Bellevue Dist Growth Feeder" u="1"/>
        <s v="W_F.10026.01.01.02: Workspace Reservation System" u="1"/>
        <s v="c" u="1"/>
        <s v="W_R.10009.14.01.02: E Substation Replacement Battery Trans" u="1"/>
        <s v="W_R.10009.14.03.03: E Purchase PAC Engineering Software" u="1"/>
        <s v="W_F.10003.03.01.01: Wireless Spectrum" u="1"/>
        <s v="W_F.10015.06.24.01: POI HANA Memory Uplift (MAR)" u="1"/>
        <s v="W_C.10010.06.01.01: Shuffleton Reloc at Todd Road" u="1"/>
        <s v="W_F.10015.11.01.01: Enterprise Application Data Archiving" u="1"/>
        <s v="W_R.10055.02.01.01: E Whidbey Island 115Kv Row" u="1"/>
        <s v="W_R.10008.03.01.13: E Elec Facility Replacement Trans" u="1"/>
        <s v="W_F.10017.12.27.01: Move of Telecom Core" u="1"/>
        <s v="W_X.10006.02.01.01: EV Charging Program PSE Internal" u="1"/>
        <s v="Placeholder WBS 48: Data Enablement and Enrichment Program" u="1"/>
        <s v="W_K.10012.01.05.04: CLSD IWM Work Management System" u="1"/>
        <s v="W_R.99999.99.99.99: General Transmission Project (Rate Case Only)" u="1"/>
        <s v="W_F.10025.02.01.04: Tenable.io" u="1"/>
        <s v="W_R.10007.02.01.02: E Bellingham Substation Rebuild Sub" u="1"/>
        <s v="W_F.10015.02.17.02: ADMS SCADA" u="1"/>
        <s v="W_F.10015.11.03.01: Gas Control Workstations Upgrade" u="1"/>
        <s v="PLACEHOLDER WBS 65: Pipeline Modernization" u="1"/>
        <s v="W_R.10024.04.01.01: Click Enhancements" u="1"/>
        <s v="W_R.10009.14.01.01: E Substation Replacement Battery Dist" u="1"/>
        <s v="W_R.10050.04.01.01: E Nisqually Sub Proj Property Purchase" u="1"/>
        <s v="W_R.10022.01.01.01: E Sumner Valley Area Capacity" u="1"/>
        <s v="W_C.10002.09.01.01: BUCC Relocation" u="1"/>
        <s v="W_F.10017.02.02.02: Annual Data Center Refresh and Growth" u="1"/>
        <s v="W_F.10015.08.09.06: PSE.com Outage Notification Engine" u="1"/>
        <s v="W_K.10012.01.01.04: BPCC Customer Self Service" u="1"/>
        <s v="W_F.10025.02.01.06: CDC Extension &amp; Efficiency" u="1"/>
        <s v="W_R.10009.14.03.01: E Subs Repl Electron Mech Relays Dist" u="1"/>
        <s v="W_K.10003.02.01.02: UBK W Pass Dike Instrmt n Stability Eval" u="1"/>
        <s v="W_F.10015.04.02.05: MDMS DB Partitioning Truncation" u="1"/>
        <s v="W_R.10040.01.01.01: E Seabeck Area Reliability Improvement" u="1"/>
        <s v="W_F.10018.02.02.01: IT Client Software Growth" u="1"/>
        <s v="W_F.10015.08.11.05: ServiceNow 2021" u="1"/>
        <s v="W_F.10018.02.03.01: Opex to Capex Maint" u="1"/>
        <s v="W_R.10029.01.01.01: G Tolt Hp 16in Phase 1 Main" u="1"/>
        <s v="W_R.10013.05.01.03: G Seattle Core Other Projects" u="1"/>
        <s v="W_F.10017.03.01.03: PC and TB Refresh New" u="1"/>
        <s v="W_F.10017.12.05.02: Annual RF Refresh New" u="1"/>
        <s v="W_K.10012.01.02.18: CLSD Data Analytics 2.0" u="1"/>
        <s v="PLACEHOLDER WBS 63: E King County Franchise Fee" u="1"/>
        <s v="W_F.10002.01.16.01: DER Cir Enable - Virtual PowerPlant CEIP" u="1"/>
        <s v="W_F.10017.04.03.02: eWFM Back Office Component" u="1"/>
        <s v="W_C.10002.02.02.02: PSE HQ Refresh Phase 2" u="1"/>
        <s v="W_R.10009.08.02.03: E North Bend Subs Rebuild Subs" u="1"/>
        <s v="W_F.10017.05.08.01: Underground Fuel Tank Removal" u="1"/>
        <s v="W_K.10025.01.03.01: LNG IT Business Enablement" u="1"/>
        <s v="W_C.10002.07.01.01: Puyallup Serv Center Rebuild" u="1"/>
        <s v="W_F.10017.08.02.02: CLSD Annual Scada Refresh New" u="1"/>
        <s v="W_F.10017.12.01.02: CLSD Annual Fiber Refresh New" u="1"/>
        <s v="W_R.10047.02.01.02: G SP Alignment Trans and Dist" u="1"/>
        <s v="W_R.10059.03.01.01: E Resilience Enhancement CEIP" u="1"/>
        <s v="W_F.10015.02.14.03: Elec OSI PI Asst Framewrk PI Vision Migr" u="1"/>
        <s v="W_F.10002.06.03.01: CLSD Data POI Operations Program" u="1"/>
        <s v="W_K.10005.01.02.01: COL U3 U4 Operational (non-production)" u="1"/>
        <s v="W_F.10017.02.01.03: Annual Comm Room Tech Refresh 2022-26" u="1"/>
        <s v="W_R.10042.01.01.01: E Silverdale 115Kv Tap To VJN Tline" u="1"/>
        <s v="W_R.10009.14.05.06: E Subs Replacement Dist" u="1"/>
        <s v="W_F.10015.06.05.01: SAP HR Support Packs" u="1"/>
        <s v="W_F.10015.05.03.01: Mitigate 2008" u="1"/>
        <s v="W_F.10017.10.19.01: Data Center UPS Battery Replacement" u="1"/>
        <s v="W_F.10017.13.04.01: Corp SIP trunking expansion" u="1"/>
        <s v="W_F.10017.09.08.01: DDoS Protection (Layer 7)" u="1"/>
        <s v="W_F.10002.04.02.01: HANA 2.0 and HW Upgrade            " u="1"/>
        <s v="W_F.10017.02.01.02: CLSD CLSD Annual Comm Room Refresh" u="1"/>
        <s v="W_R.10033.01.01.19: E Small Tools PTS on CC4587" u="1"/>
        <s v="W_F.10017.12.23.03: Network Refresh n Growth New" u="1"/>
        <s v="W_X.10006.03.01.04: Community Solar Program IT" u="1"/>
        <s v="W_F.10015.06.20.01: SAP Transport Tool Upgrade" u="1"/>
        <s v="W_K.10002.01.01.01: LBK Clubhouse Remodel Visitor Center" u="1"/>
        <s v="W_R.10013.03.01.02: G I5 Tacoma Hov Relocate" u="1"/>
        <s v="W_R.10035.02.01.01: E Greenwater Tap 55 155Kv Conversion" u="1"/>
        <s v="W_R.10009.08.02.01: E Bellingham Subs" u="1"/>
        <s v="W_R.10039.02.01.07: E Electr Enum 55Kv To 115Kv Tline" u="1"/>
        <s v="W_F.10002.09.01.01: Power Plan Upgrade" u="1"/>
        <s v="W_R.10027.01.01.01: E Moorlnds Vitulli 115Kv Reconduc Trans" u="1"/>
        <s v="W_K.10012.01.05.11: IWM EFR Electric First Response" u="1"/>
        <s v="W_F.10015.08.03.05: IAM Stability and Enhancement" u="1"/>
        <s v="W_R.10009.14.05.10: E Subs Replacement Transfer Trip Dist" u="1"/>
        <s v="W_R.10028.01.01.01: E North Bellevue Bank No3" u="1"/>
        <s v="W_F.10015.02.03.01: EMS 3X Upgrade" u="1"/>
        <s v="W_C.10002.04.03.01: New Headquarters TI" u="1"/>
        <s v="W_F.10015.12.01.01: MIGRATE FROM TABLEAU TO POWER BI" u="1"/>
        <s v="W_R.10050.02.01.01: E Carpenter Substation Feeder Dist" u="1"/>
        <s v="W_K.10025.01.02.06: LNG Golden Givens New Limit Station" u="1"/>
        <s v="W_F.10013.09.01.02: PSE ITSR" u="1"/>
        <s v="W_F.10015.04.02.03: MDMS 7.5 Upgrade" u="1"/>
        <s v="W_F.10002.05.01.01: Automate GEN RFP Review Process Modeling" u="1"/>
        <s v="W_C.10002.03.01.03: South King Complex" u="1"/>
        <s v="W_F.10007.02.01.02: IT Operational Program" u="1"/>
        <s v="W_F.10016.01.01.02: IT Enterprise Architecture System" u="1"/>
        <s v="W_X.10006.04.01.02: Renewable Natural Gas Program IT" u="1"/>
        <s v="W_K.10022.01.01.04: SNO U5 Erosion Repair" u="1"/>
        <s v="W_R.10027.02.01.01: E Vernell Substation Feeder" u="1"/>
        <s v="W_F.10017.09.04.07: SAP Security Roles Optimization" u="1"/>
        <s v="W_K.10014.01.01.02: GLD CT Major Inspection" u="1"/>
        <s v="W_K.10020.01.01.03: MTF CT Major Inspection" u="1"/>
        <s v="W_F.10015.02.18.02: Geospacial Load Forecasting" u="1"/>
        <s v="W_F.10017.02.04.02: Enterpr Monitoring Standardization 2022" u="1"/>
        <s v="W_F.10017.09.05.02: RSA Token Refresh" u="1"/>
        <s v="W_F.10017.12.08.01: Annual Telecom Netwrk Refrh n Grwth" u="1"/>
        <s v="W_R.10058.01.01.01: E Skookumchuck Wind Farm" u="1"/>
        <s v="W_R.10055.01.01.03: E Maxwelton Substation Trans" u="1"/>
        <s v="W_K.10002.01.01.06: LBK FSC Guide Net Replacement" u="1"/>
        <s v="W_K.10017.01.02.01: HPK Eagle Conservation Plan" u="1"/>
        <s v="W_F.10015.02.22.01: ESO Video Wall Replacement" u="1"/>
        <s v="W_R.10011.01.01.02: G ERX Pilot Dist" u="1"/>
        <s v="W_C.10002.08.02.01: Operational Training Center" u="1"/>
        <s v="W_R.10015.06.01.06: G System Capacity Uprate Bulk Dist" u="1"/>
        <s v="W_F.10015.11.02.01: Command Center Upgrade 2021" u="1"/>
        <s v="W_F.10002.01.02.04: PCI Upgrade for EIM Changes" u="1"/>
        <s v="W_R.10055.01.01.01: E Maxwelton Substation Feeders" u="1"/>
        <s v="W_F.10017.15.01.03: Automation API Platform" u="1"/>
        <s v="W_C.10002.02.02.01: East Bldg Retirement" u="1"/>
        <s v="W_R.10019.03.01.03: E West Kitsap Reliability Project" u="1"/>
        <s v="W_F.10017.10.14.01: Windows 10 Base Image" u="1"/>
        <s v="W_K.10017.01.01.03: BKR Elk Habitat" u="1"/>
        <s v="W_F.10002.01.02.03: Endur APM Upgrade" u="1"/>
        <s v="W_C.10002.06.01.01: Snoqualmie Technology Center" u="1"/>
        <s v="W_R.10013.05.01.05: G Seattle Core Services" u="1"/>
        <s v="W_F.10002.01.15.01: Cust GEN Integration Pwrclerk to PSE Sys" u="1"/>
        <s v="W_C.10003.01.01.01: Furniture and Fixture Installation" u="1"/>
        <s v="W_F.10015.08.16.01: Cassandra Upgrade 2021" u="1"/>
        <s v="W_F.10002.07.01.01: IMPACT" u="1"/>
        <s v="W_F.10017.10.16.01: CheckPoint Capsule Cloud Replacement" u="1"/>
        <s v="W_C.10002.10.01.01: Site Devlpmnt Feasibility and Mastr Plan" u="1"/>
        <s v="W_R.10005.01.01.08: E Talbot Hill Paccar Reconductor" u="1"/>
        <s v="W_K.10017.01.03.01: LSR1 Eagle Conservation Plan" u="1"/>
        <s v="W_K.10017.01.01.02: BKR Develop Recreation Capital" u="1"/>
        <s v="W_R.10009.08.02.13: E UG Sys Rel Upgr Pm Switch Dist" u="1"/>
        <s v="W_F.10017.11.01.03: Annual Strge Bckup Growth Refresh New" u="1"/>
      </sharedItems>
    </cacheField>
    <cacheField name="Energy" numFmtId="0">
      <sharedItems/>
    </cacheField>
    <cacheField name="Project" numFmtId="0">
      <sharedItems containsBlank="1"/>
    </cacheField>
    <cacheField name="U&amp;U Category" numFmtId="0">
      <sharedItems containsBlank="1"/>
    </cacheField>
    <cacheField name="Explanation" numFmtId="0">
      <sharedItems containsBlank="1"/>
    </cacheField>
    <cacheField name="Area" numFmtId="0">
      <sharedItems count="9">
        <s v="Facilities"/>
        <s v="IT"/>
        <s v="Other"/>
        <s v="Storm"/>
        <s v="Operations"/>
        <s v="Generation"/>
        <s v="AMI"/>
        <s v="NP&amp;S"/>
        <s v="HR" u="1"/>
      </sharedItems>
    </cacheField>
    <cacheField name="2023 EOP Total Actual CWIP Closings" numFmtId="0">
      <sharedItems containsString="0" containsBlank="1" containsNumber="1" minValue="-158815791.07999998" maxValue="14562652.299999999"/>
    </cacheField>
    <cacheField name="JAK5 SEF16 Forecast CWIP Closings" numFmtId="0">
      <sharedItems containsSemiMixedTypes="0" containsString="0" containsNumber="1" minValue="-104544526.2964678" maxValue="40119811.454329111"/>
    </cacheField>
    <cacheField name="Variance" numFmtId="0">
      <sharedItems containsSemiMixedTypes="0" containsString="0" containsNumber="1" minValue="-155747833.56489983" maxValue="76703906.52460575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9">
  <r>
    <s v="C.10002.02.02.02"/>
    <s v="W_C.10002.02.02.02: CLSD PSE HQ Refresh Phase 2"/>
    <x v="0"/>
    <x v="0"/>
    <x v="0"/>
    <x v="0"/>
    <x v="0"/>
    <n v="-1136.8900000000001"/>
    <n v="0"/>
    <n v="-1136.8900000000001"/>
  </r>
  <r>
    <s v="C.10002.02.02.04"/>
    <s v="W_C.10002.02.02.04: CLSD Remodel Bellevue 9th Floor"/>
    <x v="0"/>
    <x v="0"/>
    <x v="0"/>
    <x v="0"/>
    <x v="0"/>
    <n v="-3137460.19"/>
    <n v="0"/>
    <n v="-3137460.19"/>
  </r>
  <r>
    <s v="C.10002.02.04.01"/>
    <s v="W_C.10002.02.04.01: Facility Optimizatn Bothell G Lease Exit"/>
    <x v="0"/>
    <x v="0"/>
    <x v="0"/>
    <x v="0"/>
    <x v="0"/>
    <n v="-1454822.02"/>
    <n v="0"/>
    <n v="-1454822.02"/>
  </r>
  <r>
    <s v="C.10002.07.01.01"/>
    <s v="W_C.10002.07.01.01: CLSD Puyallup Service Center Rebuild"/>
    <x v="0"/>
    <x v="0"/>
    <x v="0"/>
    <x v="0"/>
    <x v="0"/>
    <n v="-3163.1400000000003"/>
    <n v="0"/>
    <n v="-3163.1400000000003"/>
  </r>
  <r>
    <s v="C.10002.08.02.01"/>
    <s v="W_C.10002.08.02.01: CLSD Operational Training Center"/>
    <x v="0"/>
    <x v="0"/>
    <x v="0"/>
    <x v="0"/>
    <x v="0"/>
    <n v="-957996.1100000001"/>
    <n v="0"/>
    <n v="-957996.1100000001"/>
  </r>
  <r>
    <s v="C.10003.01.01.01"/>
    <s v="W_C.10003.01.01.01: CLSD Furniture and Fixture Installation"/>
    <x v="0"/>
    <x v="0"/>
    <x v="0"/>
    <x v="0"/>
    <x v="0"/>
    <n v="-299505.27"/>
    <n v="-3000000.0000000005"/>
    <n v="2700494.7300000004"/>
  </r>
  <r>
    <s v="C.10003.01.03.01"/>
    <s v="W_C.10003.01.03.01: Unplanned Facility Improvements"/>
    <x v="1"/>
    <x v="0"/>
    <x v="0"/>
    <x v="0"/>
    <x v="0"/>
    <n v="-22263.42"/>
    <n v="0"/>
    <n v="-22263.42"/>
  </r>
  <r>
    <s v="C.10005.01.02.01"/>
    <s v="W_C.10005.01.02.01: Security System Installations Electric"/>
    <x v="1"/>
    <x v="0"/>
    <x v="0"/>
    <x v="0"/>
    <x v="1"/>
    <n v="-28851.060000000009"/>
    <n v="-4150542.9239990781"/>
    <n v="4121691.8639990781"/>
  </r>
  <r>
    <s v="C.10005.01.02.02"/>
    <s v="W_C.10005.01.02.02: WECC Mitigation Security Installations"/>
    <x v="1"/>
    <x v="0"/>
    <x v="0"/>
    <x v="0"/>
    <x v="1"/>
    <n v="-14028826.310000001"/>
    <n v="-7015753.7989489995"/>
    <n v="-7013072.511051001"/>
  </r>
  <r>
    <s v="C.10006.01.01.01"/>
    <s v="W_C.10006.01.01.01: Fleet Capital Purchase"/>
    <x v="1"/>
    <x v="0"/>
    <x v="0"/>
    <x v="0"/>
    <x v="2"/>
    <n v="-1679811.81"/>
    <n v="-999999.99999999942"/>
    <n v="-679811.81000000064"/>
  </r>
  <r>
    <s v="C.10006.01.01.03"/>
    <s v="W_C.10006.01.01.03: Fleet Radio Upgrade"/>
    <x v="0"/>
    <x v="0"/>
    <x v="0"/>
    <x v="0"/>
    <x v="2"/>
    <n v="-213317.6"/>
    <n v="-299999.99999999994"/>
    <n v="86682.399999999936"/>
  </r>
  <r>
    <s v="C.10009.01.01.01"/>
    <s v="W_C.10009.01.01.01: Storm OH Replacement Dist"/>
    <x v="1"/>
    <x v="1"/>
    <x v="1"/>
    <x v="0"/>
    <x v="3"/>
    <n v="-3338732.2712695785"/>
    <n v="-2712513.0791971558"/>
    <n v="-626219.19207242271"/>
  </r>
  <r>
    <s v="C.10009.01.01.02"/>
    <s v="W_C.10009.01.01.02: Storm OH Replacement Trans"/>
    <x v="1"/>
    <x v="1"/>
    <x v="1"/>
    <x v="0"/>
    <x v="3"/>
    <n v="-1038901.7100000001"/>
    <n v="-1056886.4310916138"/>
    <n v="17984.721091613756"/>
  </r>
  <r>
    <s v="C.10010.02.01.01"/>
    <s v="W_C.10010.02.01.01: Shuffleton Reloc at Kent Serv Center"/>
    <x v="0"/>
    <x v="0"/>
    <x v="0"/>
    <x v="0"/>
    <x v="0"/>
    <n v="-730.16000000000008"/>
    <n v="0"/>
    <n v="-730.16000000000008"/>
  </r>
  <r>
    <s v="C.40001.01.01.01"/>
    <s v="W_C.40001.01.01.01: Success Factors Application"/>
    <x v="0"/>
    <x v="0"/>
    <x v="0"/>
    <x v="0"/>
    <x v="1"/>
    <n v="-31187.46"/>
    <n v="0"/>
    <n v="-31187.46"/>
  </r>
  <r>
    <s v="F.10002.01.14.01"/>
    <s v="W_F.10002.01.14.01: Data Governance Foundation"/>
    <x v="0"/>
    <x v="0"/>
    <x v="0"/>
    <x v="0"/>
    <x v="1"/>
    <n v="-2813318.35"/>
    <n v="-3510776.5000000033"/>
    <n v="697458.15000000317"/>
  </r>
  <r>
    <s v="F.10002.01.17.01"/>
    <s v="W_F.10002.01.17.01: iDOT Replacement"/>
    <x v="0"/>
    <x v="0"/>
    <x v="0"/>
    <x v="0"/>
    <x v="1"/>
    <n v="2178.6799999999998"/>
    <n v="0"/>
    <n v="2178.6799999999998"/>
  </r>
  <r>
    <s v="F.10002.01.18.01"/>
    <s v="W_F.10002.01.18.01: Cap and Invest Billing"/>
    <x v="0"/>
    <x v="0"/>
    <x v="0"/>
    <x v="0"/>
    <x v="1"/>
    <n v="-3262565.93"/>
    <n v="0"/>
    <n v="-3262565.93"/>
  </r>
  <r>
    <s v="F.10002.01.23.01"/>
    <s v="W_F.10002.01.23.01: Complex Billing CEIP"/>
    <x v="0"/>
    <x v="0"/>
    <x v="0"/>
    <x v="0"/>
    <x v="1"/>
    <n v="-1906500.52"/>
    <n v="-975493.83509245317"/>
    <n v="-931006.68490754685"/>
  </r>
  <r>
    <s v="F.10002.03.02.01"/>
    <s v="W_F.10002.03.02.01: Field Resources Call Out Tool"/>
    <x v="1"/>
    <x v="0"/>
    <x v="0"/>
    <x v="0"/>
    <x v="1"/>
    <n v="8597.42"/>
    <n v="0"/>
    <n v="8597.42"/>
  </r>
  <r>
    <s v="F.10002.03.03.01"/>
    <s v="W_F.10002.03.03.01: Multi-Channel Workforce Management"/>
    <x v="0"/>
    <x v="0"/>
    <x v="0"/>
    <x v="0"/>
    <x v="1"/>
    <n v="-1269752.1399999999"/>
    <n v="-4469507.2760326117"/>
    <n v="3199755.1360326121"/>
  </r>
  <r>
    <s v="F.10002.04.01.01"/>
    <s v="W_F.10002.04.01.01: Travel mgmt.-Exp Rpting and Elect pmt"/>
    <x v="0"/>
    <x v="0"/>
    <x v="0"/>
    <x v="0"/>
    <x v="1"/>
    <n v="-1281.01"/>
    <n v="0"/>
    <n v="-1281.01"/>
  </r>
  <r>
    <s v="F.10002.05.02.01"/>
    <s v="W_F.10002.05.02.01: Check Payment Processing"/>
    <x v="0"/>
    <x v="0"/>
    <x v="0"/>
    <x v="0"/>
    <x v="1"/>
    <n v="-1294.48"/>
    <n v="0"/>
    <n v="-1294.48"/>
  </r>
  <r>
    <s v="F.10002.06.01.01"/>
    <s v="W_F.10002.06.01.01: eGain Replacement"/>
    <x v="0"/>
    <x v="0"/>
    <x v="0"/>
    <x v="0"/>
    <x v="1"/>
    <n v="478.33"/>
    <n v="0"/>
    <n v="478.33"/>
  </r>
  <r>
    <s v="F.10002.06.02.01"/>
    <s v="W_F.10002.06.02.01: Customer Experience Enhancement Program"/>
    <x v="0"/>
    <x v="0"/>
    <x v="0"/>
    <x v="0"/>
    <x v="1"/>
    <n v="-2149992.8199999998"/>
    <n v="0"/>
    <n v="-2149992.8199999998"/>
  </r>
  <r>
    <s v="F.10002.06.06.01"/>
    <s v="W_F.10002.06.06.01: Bill Discount Rate"/>
    <x v="0"/>
    <x v="0"/>
    <x v="0"/>
    <x v="0"/>
    <x v="1"/>
    <n v="-2714622"/>
    <n v="0"/>
    <n v="-2714622"/>
  </r>
  <r>
    <s v="F.10002.07.06.01"/>
    <s v="W_F.10002.07.06.01: Time Varying Rates Pilot"/>
    <x v="1"/>
    <x v="0"/>
    <x v="0"/>
    <x v="0"/>
    <x v="1"/>
    <n v="-4294742.08"/>
    <n v="-6226556.3942071535"/>
    <n v="1931814.3142071534"/>
  </r>
  <r>
    <s v="F.10002.09.02.01"/>
    <s v="W_F.10002.09.02.01: Enterprise PPM Tool"/>
    <x v="0"/>
    <x v="0"/>
    <x v="0"/>
    <x v="0"/>
    <x v="1"/>
    <n v="-3016387.9300000006"/>
    <n v="-2130526.2727742712"/>
    <n v="-885861.65722572943"/>
  </r>
  <r>
    <s v="F.10003.02.01.07"/>
    <s v="W_F.10003.02.01.07: Data Center Hardware Refresh"/>
    <x v="0"/>
    <x v="0"/>
    <x v="0"/>
    <x v="0"/>
    <x v="1"/>
    <n v="-11719941.200000001"/>
    <n v="-19898747.474077597"/>
    <n v="8178806.2740775961"/>
  </r>
  <r>
    <s v="F.10003.03.02.01"/>
    <s v="W_F.10003.03.02.01: Transport Network Modernization"/>
    <x v="0"/>
    <x v="0"/>
    <x v="0"/>
    <x v="0"/>
    <x v="1"/>
    <n v="-768647.57"/>
    <n v="0"/>
    <n v="-768647.57"/>
  </r>
  <r>
    <s v="F.10013.09.01.03"/>
    <s v="W_F.10013.09.01.03: PSE ITSR"/>
    <x v="0"/>
    <x v="0"/>
    <x v="0"/>
    <x v="0"/>
    <x v="1"/>
    <n v="-1662783.6699999997"/>
    <n v="-2004756.4599013247"/>
    <n v="341972.78990132501"/>
  </r>
  <r>
    <s v="F.10015.02.06.02"/>
    <s v="W_F.10015.02.06.02: Gas Control Upgrade 2022"/>
    <x v="2"/>
    <x v="0"/>
    <x v="0"/>
    <x v="0"/>
    <x v="1"/>
    <n v="-6651845"/>
    <n v="-3510776.5000000033"/>
    <n v="-3141068.4999999967"/>
  </r>
  <r>
    <s v="F.10015.02.14.02"/>
    <s v="W_F.10015.02.14.02: OSI Soft PI Historian"/>
    <x v="1"/>
    <x v="0"/>
    <x v="0"/>
    <x v="0"/>
    <x v="1"/>
    <n v="-142.27000000000001"/>
    <n v="0"/>
    <n v="-142.27000000000001"/>
  </r>
  <r>
    <s v="F.10015.02.17.03"/>
    <s v="W_F.10015.02.17.03: CLSD ADMS Advanced Apps"/>
    <x v="1"/>
    <x v="2"/>
    <x v="2"/>
    <x v="1"/>
    <x v="4"/>
    <n v="-32603.37"/>
    <n v="0"/>
    <n v="-32603.37"/>
  </r>
  <r>
    <s v="F.10015.02.20.01"/>
    <s v="W_F.10015.02.20.01: Annual Market Changes to Support CAISO"/>
    <x v="0"/>
    <x v="0"/>
    <x v="0"/>
    <x v="0"/>
    <x v="1"/>
    <n v="-78559.510000000009"/>
    <n v="0"/>
    <n v="-78559.510000000009"/>
  </r>
  <r>
    <s v="F.10015.02.23.01"/>
    <s v="W_F.10015.02.23.01: ERX Migration"/>
    <x v="0"/>
    <x v="2"/>
    <x v="2"/>
    <x v="1"/>
    <x v="4"/>
    <n v="-86238.400000000009"/>
    <n v="0"/>
    <n v="-86238.400000000009"/>
  </r>
  <r>
    <s v="F.10015.04.02.04"/>
    <s v="W_F.10015.04.02.04: MDMS License Extension 2022-2026"/>
    <x v="0"/>
    <x v="0"/>
    <x v="0"/>
    <x v="0"/>
    <x v="1"/>
    <n v="-215968.57"/>
    <n v="0"/>
    <n v="-215968.57"/>
  </r>
  <r>
    <s v="F.10015.05.04.01"/>
    <s v="W_F.10015.05.04.01: Quality Framework"/>
    <x v="0"/>
    <x v="0"/>
    <x v="0"/>
    <x v="0"/>
    <x v="1"/>
    <n v="-26817.3"/>
    <n v="0"/>
    <n v="-26817.3"/>
  </r>
  <r>
    <s v="F.10015.06.05.02"/>
    <s v="W_F.10015.06.05.02: SAP HR Support Packs 2022-2026"/>
    <x v="0"/>
    <x v="0"/>
    <x v="0"/>
    <x v="0"/>
    <x v="1"/>
    <n v="-328596.65999999997"/>
    <n v="0"/>
    <n v="-328596.65999999997"/>
  </r>
  <r>
    <s v="F.10015.06.23.02"/>
    <s v="W_F.10015.06.23.02: SAP BW 7.5 Functional Upgrade"/>
    <x v="0"/>
    <x v="0"/>
    <x v="0"/>
    <x v="0"/>
    <x v="1"/>
    <n v="-16812.05"/>
    <n v="0"/>
    <n v="-16812.05"/>
  </r>
  <r>
    <s v="F.10015.06.25.01"/>
    <s v="W_F.10015.06.25.01: SAP Annual Upgrades 2022-2026"/>
    <x v="0"/>
    <x v="0"/>
    <x v="0"/>
    <x v="0"/>
    <x v="1"/>
    <n v="-501758.06999999995"/>
    <n v="0"/>
    <n v="-501758.06999999995"/>
  </r>
  <r>
    <s v="F.10015.06.26.01"/>
    <s v="W_F.10015.06.26.01: Enhanced SAP Monitoring Alerting BPM"/>
    <x v="0"/>
    <x v="0"/>
    <x v="0"/>
    <x v="0"/>
    <x v="1"/>
    <n v="-752.48000000000013"/>
    <n v="0"/>
    <n v="-752.48000000000013"/>
  </r>
  <r>
    <s v="F.10015.06.27.01"/>
    <s v="W_F.10015.06.27.01: Cloud Connector SLS11 to SLS15 Upgrade"/>
    <x v="0"/>
    <x v="0"/>
    <x v="0"/>
    <x v="0"/>
    <x v="1"/>
    <n v="-212438.2"/>
    <n v="0"/>
    <n v="-212438.2"/>
  </r>
  <r>
    <s v="F.10015.08.11.06"/>
    <s v="W_F.10015.08.11.06: ServiceNow Improvements 2022-2026"/>
    <x v="0"/>
    <x v="0"/>
    <x v="0"/>
    <x v="0"/>
    <x v="1"/>
    <n v="-1687241.67"/>
    <n v="0"/>
    <n v="-1687241.67"/>
  </r>
  <r>
    <s v="F.10015.08.14.03"/>
    <s v="W_F.10015.08.14.03: Sitecore 9.3 to 10.2 Upgrade"/>
    <x v="0"/>
    <x v="0"/>
    <x v="0"/>
    <x v="0"/>
    <x v="1"/>
    <n v="-1356429.5599999998"/>
    <n v="0"/>
    <n v="-1356429.5599999998"/>
  </r>
  <r>
    <s v="F.10015.08.18.01"/>
    <s v="W_F.10015.08.18.01: Microservices NET Core Upgrade"/>
    <x v="0"/>
    <x v="0"/>
    <x v="0"/>
    <x v="0"/>
    <x v="1"/>
    <n v="176.26"/>
    <n v="0"/>
    <n v="176.26"/>
  </r>
  <r>
    <s v="F.10015.08.19.01"/>
    <s v="W_F.10015.08.19.01: Terraform Upgrade"/>
    <x v="0"/>
    <x v="0"/>
    <x v="0"/>
    <x v="0"/>
    <x v="1"/>
    <n v="7583.27"/>
    <n v="0"/>
    <n v="7583.27"/>
  </r>
  <r>
    <s v="F.10015.08.23.01"/>
    <s v="W_F.10015.08.23.01: Xamarin Forms Migration to MAUI"/>
    <x v="0"/>
    <x v="0"/>
    <x v="0"/>
    <x v="0"/>
    <x v="1"/>
    <n v="-748465.54"/>
    <n v="0"/>
    <n v="-748465.54"/>
  </r>
  <r>
    <s v="F.10015.11.04.01"/>
    <s v="W_F.10015.11.04.01: Windows Server 2012 Upgrade"/>
    <x v="0"/>
    <x v="0"/>
    <x v="0"/>
    <x v="0"/>
    <x v="1"/>
    <n v="-3579613.96"/>
    <n v="0"/>
    <n v="-3579613.96"/>
  </r>
  <r>
    <s v="F.10015.11.06.01"/>
    <s v="W_F.10015.11.06.01: Migration to Dynatrace SaaS"/>
    <x v="0"/>
    <x v="0"/>
    <x v="0"/>
    <x v="0"/>
    <x v="1"/>
    <n v="-2868.41"/>
    <n v="0"/>
    <n v="-2868.41"/>
  </r>
  <r>
    <s v="F.10016.01.01.03"/>
    <s v="W_F.10016.01.01.03: IT Enterprise Architecture Tool 2022"/>
    <x v="0"/>
    <x v="0"/>
    <x v="0"/>
    <x v="0"/>
    <x v="1"/>
    <n v="-162419.6"/>
    <n v="0"/>
    <n v="-162419.6"/>
  </r>
  <r>
    <s v="F.10017.02.01.03"/>
    <s v="W_F.10017.02.01.03: CLSD Annual Comm Room Tech Refresh 2022"/>
    <x v="0"/>
    <x v="0"/>
    <x v="0"/>
    <x v="0"/>
    <x v="1"/>
    <n v="1371.58"/>
    <n v="0"/>
    <n v="1371.58"/>
  </r>
  <r>
    <s v="F.10017.02.02.03"/>
    <s v="W_F.10017.02.02.03: Annual Data Center Tech Refresh 2022-26"/>
    <x v="0"/>
    <x v="0"/>
    <x v="0"/>
    <x v="0"/>
    <x v="1"/>
    <n v="35140.990000000005"/>
    <n v="0"/>
    <n v="35140.990000000005"/>
  </r>
  <r>
    <s v="F.10017.03.05.02"/>
    <s v="W_F.10017.03.05.02: Annual End User PC Refresh 2022-2026"/>
    <x v="0"/>
    <x v="0"/>
    <x v="0"/>
    <x v="0"/>
    <x v="1"/>
    <n v="-5155266.5999999996"/>
    <n v="0"/>
    <n v="-5155266.5999999996"/>
  </r>
  <r>
    <s v="F.10017.05.03.02"/>
    <s v="W_F.10017.05.03.02: Annual MS Enterprise Agreement Growth"/>
    <x v="0"/>
    <x v="0"/>
    <x v="0"/>
    <x v="0"/>
    <x v="1"/>
    <n v="-215501.25"/>
    <n v="0"/>
    <n v="-215501.25"/>
  </r>
  <r>
    <s v="F.10017.05.07.01"/>
    <s v="W_F.10017.05.07.01: DC Battery Management"/>
    <x v="0"/>
    <x v="0"/>
    <x v="0"/>
    <x v="0"/>
    <x v="1"/>
    <n v="-2505.86"/>
    <n v="0"/>
    <n v="-2505.86"/>
  </r>
  <r>
    <s v="F.10017.07.01.03"/>
    <s v="W_F.10017.07.01.03: IPP SharePoint Upgrade NERC"/>
    <x v="0"/>
    <x v="0"/>
    <x v="0"/>
    <x v="0"/>
    <x v="1"/>
    <n v="32784.700000000004"/>
    <n v="0"/>
    <n v="32784.700000000004"/>
  </r>
  <r>
    <s v="F.10017.08.02.03"/>
    <s v="W_F.10017.08.02.03: Annual Telecom SCADA Refresh 2022-26"/>
    <x v="1"/>
    <x v="0"/>
    <x v="0"/>
    <x v="0"/>
    <x v="1"/>
    <n v="-92479"/>
    <n v="0"/>
    <n v="-92479"/>
  </r>
  <r>
    <s v="F.10017.08.03.01"/>
    <s v="W_F.10017.08.03.01: Enhanced Substation Communications"/>
    <x v="1"/>
    <x v="0"/>
    <x v="0"/>
    <x v="0"/>
    <x v="1"/>
    <n v="-2659583.0299999998"/>
    <n v="0"/>
    <n v="-2659583.0299999998"/>
  </r>
  <r>
    <s v="F.10017.08.07.01"/>
    <s v="W_F.10017.08.07.01: 700MHz Spectrum"/>
    <x v="1"/>
    <x v="0"/>
    <x v="0"/>
    <x v="0"/>
    <x v="1"/>
    <n v="-10201.11"/>
    <n v="0"/>
    <n v="-10201.11"/>
  </r>
  <r>
    <s v="F.10017.08.08.01"/>
    <s v="W_F.10017.08.08.01: ASAT to RTAC Replacement"/>
    <x v="1"/>
    <x v="0"/>
    <x v="0"/>
    <x v="0"/>
    <x v="1"/>
    <n v="-294545.07"/>
    <n v="0"/>
    <n v="-294545.07"/>
  </r>
  <r>
    <s v="F.10017.10.06.04"/>
    <s v="W_F.10017.10.06.04: Annual Server Growth 2022-2026"/>
    <x v="0"/>
    <x v="0"/>
    <x v="0"/>
    <x v="0"/>
    <x v="1"/>
    <n v="-205120.47000000003"/>
    <n v="0"/>
    <n v="-205120.47000000003"/>
  </r>
  <r>
    <s v="F.10017.10.09.02"/>
    <s v="W_F.10017.10.09.02: Hyper Converged Infra Refresh"/>
    <x v="0"/>
    <x v="0"/>
    <x v="0"/>
    <x v="0"/>
    <x v="1"/>
    <n v="-1560297.85"/>
    <n v="0"/>
    <n v="-1560297.85"/>
  </r>
  <r>
    <s v="F.10017.10.18.01"/>
    <s v="W_F.10017.10.18.01: Directory Services Optimization"/>
    <x v="0"/>
    <x v="0"/>
    <x v="0"/>
    <x v="0"/>
    <x v="1"/>
    <n v="-115491.54000000001"/>
    <n v="0"/>
    <n v="-115491.54000000001"/>
  </r>
  <r>
    <s v="F.10017.11.01.04"/>
    <s v="W_F.10017.11.01.04: Annual Storage Growth 2022-2026"/>
    <x v="0"/>
    <x v="0"/>
    <x v="0"/>
    <x v="0"/>
    <x v="1"/>
    <n v="-121.9"/>
    <n v="0"/>
    <n v="-121.9"/>
  </r>
  <r>
    <s v="F.10017.12.01.03"/>
    <s v="W_F.10017.12.01.03: Annual Fiber Refresh Repair 2022-26"/>
    <x v="1"/>
    <x v="0"/>
    <x v="0"/>
    <x v="0"/>
    <x v="1"/>
    <n v="-489415.45"/>
    <n v="0"/>
    <n v="-489415.45"/>
  </r>
  <r>
    <s v="F.10017.12.05.03"/>
    <s v="W_F.10017.12.05.03: Annual Telecom RF Refresh 2022-26"/>
    <x v="1"/>
    <x v="0"/>
    <x v="0"/>
    <x v="0"/>
    <x v="1"/>
    <n v="-222361.19999999998"/>
    <n v="0"/>
    <n v="-222361.19999999998"/>
  </r>
  <r>
    <s v="F.10017.12.06.03"/>
    <s v="W_F.10017.12.06.03: Annual Telecom Equip Growth Tool 2022-26"/>
    <x v="1"/>
    <x v="0"/>
    <x v="0"/>
    <x v="0"/>
    <x v="1"/>
    <n v="-148786.75"/>
    <n v="0"/>
    <n v="-148786.75"/>
  </r>
  <r>
    <s v="F.10017.12.08.04"/>
    <s v="W_F.10017.12.08.04: Annual Telecom Network Refresh 2022-2026"/>
    <x v="1"/>
    <x v="0"/>
    <x v="0"/>
    <x v="0"/>
    <x v="1"/>
    <n v="-411865.72"/>
    <n v="0"/>
    <n v="-411865.72"/>
  </r>
  <r>
    <s v="F.10017.12.23.04"/>
    <s v="W_F.10017.12.23.04: Annual Network Tech Refresh 2022-2026"/>
    <x v="0"/>
    <x v="0"/>
    <x v="0"/>
    <x v="0"/>
    <x v="1"/>
    <n v="-460673.31"/>
    <n v="0"/>
    <n v="-460673.31"/>
  </r>
  <r>
    <s v="F.10017.12.25.02"/>
    <s v="W_F.10017.12.25.02: Annual Audio Visual Tech Refresh 2022-26"/>
    <x v="0"/>
    <x v="0"/>
    <x v="0"/>
    <x v="0"/>
    <x v="1"/>
    <n v="-2073.23"/>
    <n v="0"/>
    <n v="-2073.23"/>
  </r>
  <r>
    <s v="F.10017.12.26.01"/>
    <s v="W_F.10017.12.26.01: Generation Sites"/>
    <x v="1"/>
    <x v="0"/>
    <x v="0"/>
    <x v="0"/>
    <x v="1"/>
    <n v="-447.47"/>
    <n v="0"/>
    <n v="-447.47"/>
  </r>
  <r>
    <s v="F.10017.12.26.02"/>
    <s v="W_F.10017.12.26.02: Generation Infrastructure Prgrm 2022-26"/>
    <x v="1"/>
    <x v="0"/>
    <x v="0"/>
    <x v="0"/>
    <x v="1"/>
    <n v="-2356558.71"/>
    <n v="0"/>
    <n v="-2356558.71"/>
  </r>
  <r>
    <s v="F.10017.13.01.03"/>
    <s v="W_F.10017.13.01.03: CLSD Annual Voice Equipment Refresh New"/>
    <x v="0"/>
    <x v="0"/>
    <x v="0"/>
    <x v="0"/>
    <x v="1"/>
    <n v="-11682.27"/>
    <n v="0"/>
    <n v="-11682.27"/>
  </r>
  <r>
    <s v="F.10017.13.05.01"/>
    <s v="W_F.10017.13.05.01: ACTR 2021"/>
    <x v="0"/>
    <x v="0"/>
    <x v="0"/>
    <x v="0"/>
    <x v="1"/>
    <n v="-1036876.43"/>
    <n v="0"/>
    <n v="-1036876.43"/>
  </r>
  <r>
    <s v="F.10017.13.06.01"/>
    <s v="W_F.10017.13.06.01: Voice Recording Tech Refresh"/>
    <x v="0"/>
    <x v="0"/>
    <x v="0"/>
    <x v="0"/>
    <x v="1"/>
    <n v="-580285.51"/>
    <n v="0"/>
    <n v="-580285.51"/>
  </r>
  <r>
    <s v="F.10017.15.01.04"/>
    <s v="W_F.10017.15.01.04: Cloud Cost Optimization Tooling Refresh"/>
    <x v="0"/>
    <x v="0"/>
    <x v="0"/>
    <x v="0"/>
    <x v="1"/>
    <n v="-46884.63"/>
    <n v="0"/>
    <n v="-46884.63"/>
  </r>
  <r>
    <s v="F.10018.02.03.02"/>
    <s v="W_F.10018.02.03.02: Opex to Capital Maint 2022-2026"/>
    <x v="0"/>
    <x v="0"/>
    <x v="0"/>
    <x v="0"/>
    <x v="1"/>
    <n v="-23098678.969999999"/>
    <n v="0"/>
    <n v="-23098678.969999999"/>
  </r>
  <r>
    <s v="F.10018.02.04.01"/>
    <s v="W_F.10018.02.04.01: Annual Enterprise App Growth 2022-2026"/>
    <x v="0"/>
    <x v="0"/>
    <x v="0"/>
    <x v="0"/>
    <x v="1"/>
    <n v="-453856.88999999996"/>
    <n v="0"/>
    <n v="-453856.88999999996"/>
  </r>
  <r>
    <s v="F.10025.01.04.01"/>
    <s v="W_F.10025.01.04.01: Physical Security Roadmap"/>
    <x v="1"/>
    <x v="0"/>
    <x v="0"/>
    <x v="0"/>
    <x v="1"/>
    <n v="-3162412.83"/>
    <n v="0"/>
    <n v="-3162412.83"/>
  </r>
  <r>
    <s v="F.10025.01.04.02"/>
    <s v="W_F.10025.01.04.02: Cyber Audit Web Server Upgrade"/>
    <x v="0"/>
    <x v="0"/>
    <x v="0"/>
    <x v="0"/>
    <x v="1"/>
    <n v="-2.1599999999999682"/>
    <n v="0"/>
    <n v="-2.1599999999999682"/>
  </r>
  <r>
    <s v="F.10025.02.01.07"/>
    <s v="W_F.10025.02.01.07: Transportation Security Admin TSA"/>
    <x v="0"/>
    <x v="0"/>
    <x v="0"/>
    <x v="0"/>
    <x v="1"/>
    <n v="-243997.36000000002"/>
    <n v="0"/>
    <n v="-243997.36000000002"/>
  </r>
  <r>
    <s v="F.10025.02.01.08"/>
    <s v="W_F.10025.02.01.08: Cyber Security Roadmap"/>
    <x v="0"/>
    <x v="0"/>
    <x v="0"/>
    <x v="0"/>
    <x v="1"/>
    <n v="-875253.88000000012"/>
    <n v="-2006158.0000000044"/>
    <n v="1130904.1200000043"/>
  </r>
  <r>
    <s v="F.10026.01.01.01"/>
    <s v="W_F.10026.01.01.01: Robotic Process Automation"/>
    <x v="0"/>
    <x v="0"/>
    <x v="0"/>
    <x v="0"/>
    <x v="1"/>
    <n v="-32828.839999999982"/>
    <n v="-1002452.9929552966"/>
    <n v="969624.15295529668"/>
  </r>
  <r>
    <s v="K.10001.01.01.01"/>
    <s v="W_K.10001.01.01.01: LBK Hydro Plant Work"/>
    <x v="1"/>
    <x v="0"/>
    <x v="0"/>
    <x v="0"/>
    <x v="5"/>
    <n v="-333967.66000000003"/>
    <n v="0"/>
    <n v="-333967.66000000003"/>
  </r>
  <r>
    <s v="K.10001.01.01.02"/>
    <s v="W_K.10001.01.01.02: LBK Small Tools"/>
    <x v="1"/>
    <x v="0"/>
    <x v="0"/>
    <x v="0"/>
    <x v="5"/>
    <n v="-28404.17"/>
    <n v="-519.3025718322632"/>
    <n v="-27884.867428167734"/>
  </r>
  <r>
    <s v="K.10001.01.02.01"/>
    <s v="W_K.10001.01.02.01: UBK Hydro Plant Work"/>
    <x v="1"/>
    <x v="0"/>
    <x v="0"/>
    <x v="0"/>
    <x v="5"/>
    <n v="-692849.32000000007"/>
    <n v="-520556.19948164519"/>
    <n v="-172293.12051835487"/>
  </r>
  <r>
    <s v="K.10001.01.02.02"/>
    <s v="W_K.10001.01.02.02: UBK Small Tools"/>
    <x v="1"/>
    <x v="0"/>
    <x v="0"/>
    <x v="0"/>
    <x v="5"/>
    <n v="-38015.090000000004"/>
    <n v="0"/>
    <n v="-38015.090000000004"/>
  </r>
  <r>
    <s v="K.10002.01.02.06"/>
    <s v="W_K.10002.01.02.06: UBK U2 Runner Replacement"/>
    <x v="1"/>
    <x v="0"/>
    <x v="0"/>
    <x v="0"/>
    <x v="5"/>
    <n v="-8661.9599999999991"/>
    <n v="0"/>
    <n v="-8661.9599999999991"/>
  </r>
  <r>
    <s v="K.10003.01.01.01"/>
    <s v="W_K.10003.01.01.01: LBK Crest Improvement and Floodwall"/>
    <x v="1"/>
    <x v="0"/>
    <x v="0"/>
    <x v="0"/>
    <x v="5"/>
    <n v="-12166.64"/>
    <n v="0"/>
    <n v="-12166.64"/>
  </r>
  <r>
    <s v="K.10003.01.01.03"/>
    <s v="W_K.10003.01.01.03: LBK Hatchery Raceway Project"/>
    <x v="1"/>
    <x v="0"/>
    <x v="0"/>
    <x v="0"/>
    <x v="5"/>
    <n v="-10290041.15"/>
    <n v="-9245928.526850177"/>
    <n v="-1044112.6231498234"/>
  </r>
  <r>
    <s v="K.10003.02.01.01"/>
    <s v="W_K.10003.02.01.01: UBK Phase II Spillway Stabilization"/>
    <x v="1"/>
    <x v="0"/>
    <x v="0"/>
    <x v="0"/>
    <x v="5"/>
    <n v="-5144336.99"/>
    <n v="-4501342.2193697849"/>
    <n v="-642994.77063021529"/>
  </r>
  <r>
    <s v="K.10004.01.01.01"/>
    <s v="W_K.10004.01.01.01: COL 500Kv Trans Line"/>
    <x v="1"/>
    <x v="0"/>
    <x v="0"/>
    <x v="0"/>
    <x v="5"/>
    <n v="-334796.18000000005"/>
    <n v="-966780"/>
    <n v="631983.81999999995"/>
  </r>
  <r>
    <s v="K.10006.01.01.02"/>
    <s v="W_K.10006.01.01.02: ENC Thermal Plant Work"/>
    <x v="1"/>
    <x v="0"/>
    <x v="0"/>
    <x v="0"/>
    <x v="5"/>
    <n v="-1456724.73"/>
    <n v="-195278.32699202772"/>
    <n v="-1261446.4030079723"/>
  </r>
  <r>
    <s v="K.10007.01.01.02"/>
    <s v="W_K.10007.01.01.02: FERN Thermal Plant Work"/>
    <x v="1"/>
    <x v="0"/>
    <x v="0"/>
    <x v="0"/>
    <x v="5"/>
    <n v="-4161827.87"/>
    <n v="-315571.14894611394"/>
    <n v="-3846256.7210538862"/>
  </r>
  <r>
    <s v="K.10007.01.01.03"/>
    <s v="W_K.10007.01.01.03: FERN Major Maintenance Activity"/>
    <x v="1"/>
    <x v="0"/>
    <x v="0"/>
    <x v="0"/>
    <x v="5"/>
    <n v="-26306575.300000001"/>
    <n v="0"/>
    <n v="-26306575.300000001"/>
  </r>
  <r>
    <s v="K.10008.01.01.03"/>
    <s v="W_K.10008.01.01.03: FREDDY 1 Thermal Plant Work"/>
    <x v="1"/>
    <x v="0"/>
    <x v="0"/>
    <x v="0"/>
    <x v="5"/>
    <n v="-766151.29"/>
    <n v="-4455701.3619814906"/>
    <n v="3689550.0719814906"/>
  </r>
  <r>
    <s v="K.10009.01.01.03"/>
    <s v="W_K.10009.01.01.03: FRA Small Tools"/>
    <x v="1"/>
    <x v="0"/>
    <x v="0"/>
    <x v="0"/>
    <x v="5"/>
    <n v="-1423.3899999999999"/>
    <n v="-27.994684835583648"/>
    <n v="-1395.3953151644162"/>
  </r>
  <r>
    <s v="K.10009.01.01.04"/>
    <s v="W_K.10009.01.01.04: FRA Thermal Plant Work"/>
    <x v="1"/>
    <x v="0"/>
    <x v="0"/>
    <x v="0"/>
    <x v="5"/>
    <n v="-4466532.1399999997"/>
    <n v="0"/>
    <n v="-4466532.1399999997"/>
  </r>
  <r>
    <s v="K.10010.01.01.04"/>
    <s v="W_K.10010.01.01.04: FRE Thermal Plant Work"/>
    <x v="1"/>
    <x v="0"/>
    <x v="0"/>
    <x v="0"/>
    <x v="5"/>
    <n v="-481105.61"/>
    <n v="0"/>
    <n v="-481105.61"/>
  </r>
  <r>
    <s v="K.10013.01.01.01"/>
    <s v="W_K.10013.01.01.01: GLD Small Tools"/>
    <x v="1"/>
    <x v="0"/>
    <x v="0"/>
    <x v="0"/>
    <x v="5"/>
    <n v="-75472.11"/>
    <n v="0"/>
    <n v="-75472.11"/>
  </r>
  <r>
    <s v="K.10013.01.01.02"/>
    <s v="W_K.10013.01.01.02: GLD Thermal Plant Work"/>
    <x v="1"/>
    <x v="0"/>
    <x v="0"/>
    <x v="0"/>
    <x v="5"/>
    <n v="-619258.31000000006"/>
    <n v="0"/>
    <n v="-619258.31000000006"/>
  </r>
  <r>
    <s v="K.10015.01.01.01"/>
    <s v="W_K.10015.01.01.01: HPK Ongoing UOP Replacements"/>
    <x v="1"/>
    <x v="0"/>
    <x v="0"/>
    <x v="0"/>
    <x v="5"/>
    <n v="-2194459.17"/>
    <n v="-2039804.7649654183"/>
    <n v="-154654.40503458166"/>
  </r>
  <r>
    <s v="K.10015.01.01.02"/>
    <s v="W_K.10015.01.01.02: HPK Small Tools"/>
    <x v="1"/>
    <x v="0"/>
    <x v="0"/>
    <x v="0"/>
    <x v="5"/>
    <n v="-27766.219999999998"/>
    <n v="-47.150131837136961"/>
    <n v="-27719.06986816286"/>
  </r>
  <r>
    <s v="K.10015.01.01.03"/>
    <s v="W_K.10015.01.01.03: HPK Wind Plant Work"/>
    <x v="1"/>
    <x v="0"/>
    <x v="0"/>
    <x v="0"/>
    <x v="5"/>
    <n v="-2406.3499999999995"/>
    <n v="-8.220930000000001"/>
    <n v="-2398.1290699999995"/>
  </r>
  <r>
    <s v="K.10016.01.01.01"/>
    <s v="W_K.10016.01.01.01: JP Operational Capital"/>
    <x v="2"/>
    <x v="0"/>
    <x v="0"/>
    <x v="0"/>
    <x v="5"/>
    <n v="-1462705.48"/>
    <n v="-2612889.5491013769"/>
    <n v="1150184.0691013769"/>
  </r>
  <r>
    <s v="K.10017.01.01.01"/>
    <s v="W_K.10017.01.01.01: BKR Aquatic Riparian Habitat"/>
    <x v="1"/>
    <x v="0"/>
    <x v="0"/>
    <x v="0"/>
    <x v="5"/>
    <n v="-76346.58"/>
    <n v="0"/>
    <n v="-76346.58"/>
  </r>
  <r>
    <s v="K.10018.01.01.01"/>
    <s v="W_K.10018.01.01.01: LSR1 Ongoing Uop Replacements"/>
    <x v="1"/>
    <x v="0"/>
    <x v="0"/>
    <x v="0"/>
    <x v="5"/>
    <n v="-9827167.8300000019"/>
    <n v="-4646610.824600324"/>
    <n v="-5180557.0053996779"/>
  </r>
  <r>
    <s v="K.10018.01.01.02"/>
    <s v="W_K.10018.01.01.02: LSR1 Small Tools"/>
    <x v="1"/>
    <x v="0"/>
    <x v="0"/>
    <x v="0"/>
    <x v="5"/>
    <n v="-12479.72"/>
    <n v="0"/>
    <n v="-12479.72"/>
  </r>
  <r>
    <s v="K.10018.01.01.03"/>
    <s v="W_K.10018.01.01.03: LSR1 Wind Plant Work"/>
    <x v="1"/>
    <x v="0"/>
    <x v="0"/>
    <x v="0"/>
    <x v="5"/>
    <n v="-84891.27"/>
    <n v="0"/>
    <n v="-84891.27"/>
  </r>
  <r>
    <s v="K.10019.01.01.01"/>
    <s v="W_K.10019.01.01.01: MTF Small Tools"/>
    <x v="1"/>
    <x v="0"/>
    <x v="0"/>
    <x v="0"/>
    <x v="5"/>
    <n v="-108514.34"/>
    <n v="-361.50202961105344"/>
    <n v="-108152.83797038894"/>
  </r>
  <r>
    <s v="K.10019.01.01.02"/>
    <s v="W_K.10019.01.01.02: MTF Thermal Plant Work"/>
    <x v="1"/>
    <x v="0"/>
    <x v="0"/>
    <x v="0"/>
    <x v="5"/>
    <n v="-2603299.02"/>
    <n v="-1306704.4822524022"/>
    <n v="-1296594.5377475978"/>
  </r>
  <r>
    <s v="K.10021.01.01.01"/>
    <s v="W_K.10021.01.01.01: SNO Hydro Plant Work"/>
    <x v="1"/>
    <x v="0"/>
    <x v="0"/>
    <x v="0"/>
    <x v="5"/>
    <n v="-272266.40000000002"/>
    <n v="0"/>
    <n v="-272266.40000000002"/>
  </r>
  <r>
    <s v="K.10021.01.01.02"/>
    <s v="W_K.10021.01.01.02: SNO Small Tools"/>
    <x v="1"/>
    <x v="0"/>
    <x v="0"/>
    <x v="0"/>
    <x v="5"/>
    <n v="-7085.23"/>
    <n v="0"/>
    <n v="-7085.23"/>
  </r>
  <r>
    <s v="K.10023.01.01.02"/>
    <s v="W_K.10023.01.01.02: SMS Thermal Plant Work"/>
    <x v="1"/>
    <x v="0"/>
    <x v="0"/>
    <x v="0"/>
    <x v="5"/>
    <n v="-1555245.8742493314"/>
    <n v="0"/>
    <n v="-1555245.8742493314"/>
  </r>
  <r>
    <s v="K.10025.01.02.01"/>
    <s v="W_K.10025.01.02.01: LNG 1 Mile Pipe Connector"/>
    <x v="2"/>
    <x v="0"/>
    <x v="0"/>
    <x v="0"/>
    <x v="5"/>
    <n v="-480.01"/>
    <n v="0"/>
    <n v="-480.01"/>
  </r>
  <r>
    <s v="K.10025.01.02.02"/>
    <s v="W_K.10025.01.02.02: LNG 4 Mile Pipe To Plant"/>
    <x v="2"/>
    <x v="0"/>
    <x v="0"/>
    <x v="0"/>
    <x v="5"/>
    <n v="-267.82999999999947"/>
    <n v="0"/>
    <n v="-267.82999999999947"/>
  </r>
  <r>
    <s v="K.10025.02.01.01"/>
    <s v="W_K.10025.02.01.01: TLNG Operational Plant"/>
    <x v="2"/>
    <x v="0"/>
    <x v="0"/>
    <x v="0"/>
    <x v="5"/>
    <n v="-440382.14999999997"/>
    <n v="0"/>
    <n v="-440382.14999999997"/>
  </r>
  <r>
    <s v="K.10026.01.01.03"/>
    <s v="W_K.10026.01.01.03: WHH Small Tools"/>
    <x v="1"/>
    <x v="0"/>
    <x v="0"/>
    <x v="0"/>
    <x v="5"/>
    <n v="-28240.09"/>
    <n v="-291.34078131383092"/>
    <n v="-27948.749218686171"/>
  </r>
  <r>
    <s v="K.10026.01.01.04"/>
    <s v="W_K.10026.01.01.04: WHH Thermal Plant Work"/>
    <x v="1"/>
    <x v="0"/>
    <x v="0"/>
    <x v="0"/>
    <x v="5"/>
    <n v="-226808.65"/>
    <n v="0"/>
    <n v="-226808.65"/>
  </r>
  <r>
    <s v="K.10028.01.01.01"/>
    <s v="W_K.10028.01.01.01: WLD Small Tools"/>
    <x v="1"/>
    <x v="0"/>
    <x v="0"/>
    <x v="0"/>
    <x v="5"/>
    <n v="-1386.4999999999998"/>
    <n v="-12794.258073584531"/>
    <n v="11407.758073584531"/>
  </r>
  <r>
    <s v="K.10028.01.01.03"/>
    <s v="W_K.10028.01.01.03: WLD Wind Plant Work"/>
    <x v="1"/>
    <x v="0"/>
    <x v="0"/>
    <x v="0"/>
    <x v="5"/>
    <n v="-36492.78"/>
    <n v="0"/>
    <n v="-36492.78"/>
  </r>
  <r>
    <s v="K.10028.01.01.04"/>
    <s v="W_K.10028.01.01.04: WLD Ongoing UOP Replacements"/>
    <x v="1"/>
    <x v="0"/>
    <x v="0"/>
    <x v="0"/>
    <x v="5"/>
    <n v="-3485416.2700000009"/>
    <n v="-3095100.5623999964"/>
    <n v="-390315.70760000451"/>
  </r>
  <r>
    <s v="R.10005.01.01.01"/>
    <s v="W_R.10005.01.01.01: E Eastside 230Kv Subs Richards Creek"/>
    <x v="1"/>
    <x v="3"/>
    <x v="3"/>
    <x v="0"/>
    <x v="4"/>
    <n v="-44509897.400000006"/>
    <n v="-37051853.939228952"/>
    <n v="-7458043.460771054"/>
  </r>
  <r>
    <s v="R.10005.01.01.02"/>
    <s v="W_R.10005.01.01.02: E Eastside 230Kv Subs Talbot Hill"/>
    <x v="1"/>
    <x v="2"/>
    <x v="2"/>
    <x v="1"/>
    <x v="4"/>
    <n v="-423.68"/>
    <n v="-1007314.4742219325"/>
    <n v="1006890.7942219324"/>
  </r>
  <r>
    <s v="R.10005.01.01.07"/>
    <s v="W_R.10005.01.01.07: E Eastside 230Kv Tlines"/>
    <x v="1"/>
    <x v="3"/>
    <x v="3"/>
    <x v="0"/>
    <x v="4"/>
    <n v="-158815791.07999998"/>
    <n v="-3067957.5151001564"/>
    <n v="-155747833.56489983"/>
  </r>
  <r>
    <s v="R.10006.01.01.03"/>
    <s v="W_R.10006.01.01.03: E Substation SCADA CEIP"/>
    <x v="1"/>
    <x v="4"/>
    <x v="4"/>
    <x v="2"/>
    <x v="4"/>
    <n v="-5194074.5275619645"/>
    <n v="-10122925.179183614"/>
    <n v="4928850.651621649"/>
  </r>
  <r>
    <s v="R.10006.01.01.04"/>
    <s v="W_R.10006.01.01.04: E Trans Automation"/>
    <x v="1"/>
    <x v="4"/>
    <x v="4"/>
    <x v="2"/>
    <x v="4"/>
    <n v="-499538.91000000003"/>
    <n v="-1434359.9340381329"/>
    <n v="934821.02403813286"/>
  </r>
  <r>
    <s v="R.10006.01.01.07"/>
    <s v="W_R.10006.01.01.07: E Electric System Modeling"/>
    <x v="1"/>
    <x v="4"/>
    <x v="4"/>
    <x v="2"/>
    <x v="4"/>
    <n v="-155913.93"/>
    <n v="0"/>
    <n v="-155913.93"/>
  </r>
  <r>
    <s v="R.10007.06.01.01"/>
    <s v="W_R.10007.06.01.01: E 5 Yr Electric Refundable CIAC"/>
    <x v="1"/>
    <x v="5"/>
    <x v="5"/>
    <x v="3"/>
    <x v="4"/>
    <n v="14562652.299999999"/>
    <n v="6382400.0000000037"/>
    <n v="8180252.2999999952"/>
  </r>
  <r>
    <s v="R.10007.07.01.01"/>
    <s v="W_R.10007.07.01.01: E Customer Reimbursed"/>
    <x v="1"/>
    <x v="6"/>
    <x v="5"/>
    <x v="3"/>
    <x v="4"/>
    <n v="-8041.6500000000005"/>
    <n v="-3258429.238160836"/>
    <n v="3250387.5881608361"/>
  </r>
  <r>
    <s v="R.10007.08.01.01"/>
    <s v="W_R.10007.08.01.01: E OH UG Commercial Services"/>
    <x v="1"/>
    <x v="6"/>
    <x v="5"/>
    <x v="3"/>
    <x v="4"/>
    <n v="-5512507.0853848783"/>
    <n v="-3452.753015949349"/>
    <n v="-5509054.3323689289"/>
  </r>
  <r>
    <s v="R.10007.08.02.01"/>
    <s v="W_R.10007.08.02.01: E OH UG Residential Services"/>
    <x v="1"/>
    <x v="6"/>
    <x v="5"/>
    <x v="3"/>
    <x v="4"/>
    <n v="-7582881.0731643969"/>
    <n v="-17543.818873808475"/>
    <n v="-7565337.2542905882"/>
  </r>
  <r>
    <s v="R.10007.08.02.02"/>
    <s v="W_R.10007.08.02.02: E UG Residential Services In Plats"/>
    <x v="2"/>
    <x v="6"/>
    <x v="5"/>
    <x v="4"/>
    <x v="4"/>
    <n v="-646283.88695918606"/>
    <n v="0"/>
    <n v="-646283.88695918606"/>
  </r>
  <r>
    <s v="R.10007.09.01.01"/>
    <s v="W_R.10007.09.01.01: E Commercial Line Extension"/>
    <x v="1"/>
    <x v="6"/>
    <x v="5"/>
    <x v="3"/>
    <x v="4"/>
    <n v="-30083911.437621254"/>
    <n v="-328048.10019989865"/>
    <n v="-29755863.337421358"/>
  </r>
  <r>
    <s v="R.10007.09.02.01"/>
    <s v="W_R.10007.09.02.01: E Multi Family Line Extension"/>
    <x v="1"/>
    <x v="6"/>
    <x v="5"/>
    <x v="3"/>
    <x v="4"/>
    <n v="-7266526.9215241875"/>
    <n v="-449542.03568699415"/>
    <n v="-6816984.8858371936"/>
  </r>
  <r>
    <s v="R.10007.09.03.02"/>
    <s v="W_R.10007.09.03.02: E Plats Line Extension"/>
    <x v="1"/>
    <x v="6"/>
    <x v="5"/>
    <x v="3"/>
    <x v="4"/>
    <n v="-16922789.327885289"/>
    <n v="-251838.00168329367"/>
    <n v="-16670951.326201996"/>
  </r>
  <r>
    <s v="R.10007.09.04.01"/>
    <s v="W_R.10007.09.04.01: E Single Family Line Extension"/>
    <x v="1"/>
    <x v="6"/>
    <x v="5"/>
    <x v="3"/>
    <x v="4"/>
    <n v="-15356014.49040377"/>
    <n v="-194567.04748128986"/>
    <n v="-15161447.44292248"/>
  </r>
  <r>
    <s v="R.10007.12.01.01"/>
    <s v="W_R.10007.12.01.01: E Microsoft Campus Rebuild"/>
    <x v="1"/>
    <x v="2"/>
    <x v="2"/>
    <x v="1"/>
    <x v="4"/>
    <n v="779464.2824756623"/>
    <n v="0"/>
    <n v="779464.2824756623"/>
  </r>
  <r>
    <s v="R.10007.12.03.01"/>
    <s v="W_R.10007.12.03.01: E Customer Reimbursed Major Projects"/>
    <x v="1"/>
    <x v="7"/>
    <x v="4"/>
    <x v="5"/>
    <x v="4"/>
    <n v="734743.39999999991"/>
    <n v="0"/>
    <n v="734743.39999999991"/>
  </r>
  <r>
    <s v="R.10008.01.01.01"/>
    <s v="W_R.10008.01.01.01: E Conversions Sched 73 Cust Driven"/>
    <x v="1"/>
    <x v="8"/>
    <x v="5"/>
    <x v="3"/>
    <x v="4"/>
    <n v="-810990.75939100282"/>
    <n v="-1757174.0094785567"/>
    <n v="946183.25008755387"/>
  </r>
  <r>
    <s v="R.10008.01.01.02"/>
    <s v="W_R.10008.01.01.02: E OH UG Reloc - Removal Cust Driven Dist"/>
    <x v="1"/>
    <x v="8"/>
    <x v="5"/>
    <x v="3"/>
    <x v="4"/>
    <n v="-1131792.849469675"/>
    <n v="-2096.7850320589341"/>
    <n v="-1129696.0644376162"/>
  </r>
  <r>
    <s v="R.10008.03.01.01"/>
    <s v="W_R.10008.03.01.01: E Conversions Sched 74 PI Driven"/>
    <x v="1"/>
    <x v="8"/>
    <x v="5"/>
    <x v="3"/>
    <x v="4"/>
    <n v="-3259646.2076432169"/>
    <n v="-129512.63623745092"/>
    <n v="-3130133.5714057661"/>
  </r>
  <r>
    <s v="R.10008.03.01.03"/>
    <s v="W_R.10008.03.01.03: E OH UG Rel PI Driven NonReimb Dist"/>
    <x v="1"/>
    <x v="8"/>
    <x v="5"/>
    <x v="3"/>
    <x v="4"/>
    <n v="-13148591.727722567"/>
    <n v="-939758.49658805644"/>
    <n v="-12208833.23113451"/>
  </r>
  <r>
    <s v="R.10008.03.01.04"/>
    <s v="W_R.10008.03.01.04: E OH UG Rel PI Driven Reimburse Dist"/>
    <x v="1"/>
    <x v="8"/>
    <x v="5"/>
    <x v="3"/>
    <x v="4"/>
    <n v="-2124295.2299937215"/>
    <n v="-1273712.1873202061"/>
    <n v="-850583.04267351539"/>
  </r>
  <r>
    <s v="R.10008.03.01.05"/>
    <s v="W_R.10008.03.01.05: E PI Driven Relocations Trans"/>
    <x v="1"/>
    <x v="8"/>
    <x v="5"/>
    <x v="3"/>
    <x v="4"/>
    <n v="-1637663"/>
    <n v="-42777.416438186134"/>
    <n v="-1594885.5835618139"/>
  </r>
  <r>
    <s v="R.10008.03.01.14"/>
    <s v="W_R.10008.03.01.14: E Sound Transit Reimburse"/>
    <x v="1"/>
    <x v="2"/>
    <x v="2"/>
    <x v="1"/>
    <x v="4"/>
    <n v="-757576.12361765897"/>
    <n v="-197094.4790335955"/>
    <n v="-560481.64458406344"/>
  </r>
  <r>
    <s v="R.10008.03.01.18"/>
    <s v="W_R.10008.03.01.18: E WSDOT Fish Passage Relocation"/>
    <x v="1"/>
    <x v="2"/>
    <x v="2"/>
    <x v="1"/>
    <x v="4"/>
    <n v="-1292404.7968045236"/>
    <n v="0"/>
    <n v="-1292404.7968045236"/>
  </r>
  <r>
    <s v="R.10008.05.01.01"/>
    <s v="W_R.10008.05.01.01: E Sound Transit Dist"/>
    <x v="1"/>
    <x v="2"/>
    <x v="2"/>
    <x v="1"/>
    <x v="4"/>
    <n v="-472148.33"/>
    <n v="0"/>
    <n v="-472148.33"/>
  </r>
  <r>
    <s v="R.10008.05.01.02"/>
    <s v="W_R.10008.05.01.02: E Sound Transit East Link Dist"/>
    <x v="1"/>
    <x v="2"/>
    <x v="2"/>
    <x v="1"/>
    <x v="4"/>
    <n v="-7722.8900000000012"/>
    <n v="0"/>
    <n v="-7722.8900000000012"/>
  </r>
  <r>
    <s v="R.10008.07.01.01"/>
    <s v="W_R.10008.07.01.01: E WSDOT Clr Zone Pole Prog Dist"/>
    <x v="1"/>
    <x v="8"/>
    <x v="5"/>
    <x v="3"/>
    <x v="4"/>
    <n v="-54192.090000000004"/>
    <n v="-2601507.427617657"/>
    <n v="2547315.3376176571"/>
  </r>
  <r>
    <s v="R.10009.01.01.01"/>
    <s v="W_R.10009.01.01.01: E BPA 3rd AC Transmission Intertie Work"/>
    <x v="1"/>
    <x v="2"/>
    <x v="2"/>
    <x v="1"/>
    <x v="4"/>
    <n v="-5735.3399999999983"/>
    <n v="-1303933.4285756261"/>
    <n v="1298198.088575626"/>
  </r>
  <r>
    <s v="R.10009.02.01.03"/>
    <s v="W_R.10009.02.01.03: E Central Bellevue Dist Rel Feeder"/>
    <x v="1"/>
    <x v="4"/>
    <x v="4"/>
    <x v="2"/>
    <x v="4"/>
    <n v="-267380.51999999996"/>
    <n v="-2498008.7604297181"/>
    <n v="2230628.240429718"/>
  </r>
  <r>
    <s v="R.10009.04.01.02"/>
    <s v="W_R.10009.04.01.02: E Damage Claims Cap Writeoff"/>
    <x v="1"/>
    <x v="0"/>
    <x v="0"/>
    <x v="0"/>
    <x v="2"/>
    <n v="-2517619.42"/>
    <n v="0"/>
    <n v="-2517619.42"/>
  </r>
  <r>
    <s v="R.10009.05.01.01"/>
    <s v="W_R.10009.05.01.01: E Emergency NonOutage OH Repl Dist"/>
    <x v="1"/>
    <x v="9"/>
    <x v="4"/>
    <x v="6"/>
    <x v="4"/>
    <n v="-2406256.4755644454"/>
    <n v="-3642840.7176343375"/>
    <n v="1236584.2420698921"/>
  </r>
  <r>
    <s v="R.10009.05.01.02"/>
    <s v="W_R.10009.05.01.02: E Emergency NonOutage OH Repl Trans"/>
    <x v="1"/>
    <x v="9"/>
    <x v="4"/>
    <x v="6"/>
    <x v="4"/>
    <n v="-2372040.1500000004"/>
    <n v="-1756507.0783757369"/>
    <n v="-615533.07162426342"/>
  </r>
  <r>
    <s v="R.10009.05.01.03"/>
    <s v="W_R.10009.05.01.03: E Emergency NonOutage UG Repl Dist"/>
    <x v="1"/>
    <x v="9"/>
    <x v="4"/>
    <x v="6"/>
    <x v="4"/>
    <n v="-2139720.5425188881"/>
    <n v="-1606939.8124574216"/>
    <n v="-532780.73006146657"/>
  </r>
  <r>
    <s v="R.10009.05.02.01"/>
    <s v="W_R.10009.05.02.01: E Emergency OH Replacement Trans"/>
    <x v="1"/>
    <x v="9"/>
    <x v="4"/>
    <x v="6"/>
    <x v="4"/>
    <n v="-6318232.3241704041"/>
    <n v="-1189417.440160949"/>
    <n v="-5128814.8840094553"/>
  </r>
  <r>
    <s v="R.10009.05.02.02"/>
    <s v="W_R.10009.05.02.02: E Emergency Outage OH Replacement Dist"/>
    <x v="1"/>
    <x v="9"/>
    <x v="4"/>
    <x v="6"/>
    <x v="4"/>
    <n v="-25478963.849993762"/>
    <n v="-16869284.057530042"/>
    <n v="-8609679.7924637198"/>
  </r>
  <r>
    <s v="R.10009.05.02.03"/>
    <s v="W_R.10009.05.02.03: E Emergency Outage UG Replacement Dist"/>
    <x v="1"/>
    <x v="9"/>
    <x v="4"/>
    <x v="6"/>
    <x v="4"/>
    <n v="-30365295.775305152"/>
    <n v="-18644248.913706027"/>
    <n v="-11721046.861599125"/>
  </r>
  <r>
    <s v="R.10009.05.02.04"/>
    <s v="W_R.10009.05.02.04: E Unplanned OH Distribution Abnormals"/>
    <x v="1"/>
    <x v="9"/>
    <x v="4"/>
    <x v="6"/>
    <x v="4"/>
    <n v="-4177086.3413060443"/>
    <n v="-5064605.6706447974"/>
    <n v="887519.32933875313"/>
  </r>
  <r>
    <s v="R.10009.05.02.05"/>
    <s v="W_R.10009.05.02.05: E Unplanned UG Distribution Abnormals"/>
    <x v="1"/>
    <x v="9"/>
    <x v="4"/>
    <x v="6"/>
    <x v="4"/>
    <n v="-6532201.7105618957"/>
    <n v="-77270.408691708741"/>
    <n v="-6454931.3018701868"/>
  </r>
  <r>
    <s v="R.10009.07.01.01"/>
    <s v="W_R.10009.07.01.01: E OH System Capacity New Dist"/>
    <x v="1"/>
    <x v="10"/>
    <x v="4"/>
    <x v="0"/>
    <x v="4"/>
    <n v="5362.9899999999989"/>
    <n v="0"/>
    <n v="5362.9899999999989"/>
  </r>
  <r>
    <s v="R.10009.07.01.03"/>
    <s v="W_R.10009.07.01.03: E UG System Capacity New Dist"/>
    <x v="1"/>
    <x v="10"/>
    <x v="4"/>
    <x v="0"/>
    <x v="4"/>
    <n v="-2746811.24"/>
    <n v="-534307.19782597886"/>
    <n v="-2212504.0421740212"/>
  </r>
  <r>
    <s v="R.10009.07.01.07"/>
    <s v="W_R.10009.07.01.07: E System Planning Software"/>
    <x v="1"/>
    <x v="2"/>
    <x v="2"/>
    <x v="1"/>
    <x v="4"/>
    <n v="-43840.73"/>
    <n v="0"/>
    <n v="-43840.73"/>
  </r>
  <r>
    <s v="R.10009.07.03.01"/>
    <s v="W_R.10009.07.03.01: E OH UG System Improv Opport New Dist"/>
    <x v="1"/>
    <x v="8"/>
    <x v="5"/>
    <x v="3"/>
    <x v="4"/>
    <n v="-289356.60653857101"/>
    <n v="-23122.496188339908"/>
    <n v="-266234.11035023112"/>
  </r>
  <r>
    <s v="R.10009.08.01.02"/>
    <s v="W_R.10009.08.01.02: E UG Cable Remediation Dist"/>
    <x v="1"/>
    <x v="4"/>
    <x v="4"/>
    <x v="2"/>
    <x v="4"/>
    <n v="-13184031.87364202"/>
    <n v="-13489572.617585285"/>
    <n v="305540.74394326471"/>
  </r>
  <r>
    <s v="R.10009.08.01.07"/>
    <s v="W_R.10009.08.01.07: E UG Cable Remediation Progr IPM"/>
    <x v="1"/>
    <x v="4"/>
    <x v="4"/>
    <x v="2"/>
    <x v="4"/>
    <n v="-26591228.166296277"/>
    <n v="0"/>
    <n v="-26591228.166296277"/>
  </r>
  <r>
    <s v="R.10009.08.02.05"/>
    <s v="W_R.10009.08.02.05: E OH Clearance Alley Syst Dist"/>
    <x v="1"/>
    <x v="4"/>
    <x v="4"/>
    <x v="2"/>
    <x v="4"/>
    <n v="-8130037.159317242"/>
    <n v="-46177442.508803926"/>
    <n v="38047405.349486686"/>
  </r>
  <r>
    <s v="R.10009.08.02.07"/>
    <s v="W_R.10009.08.02.07: E OH Sys Rel Upgrades Outage Dist"/>
    <x v="1"/>
    <x v="4"/>
    <x v="4"/>
    <x v="2"/>
    <x v="4"/>
    <n v="-1991093.3701229529"/>
    <n v="-12358911.537837982"/>
    <n v="10367818.16771503"/>
  </r>
  <r>
    <s v="R.10009.08.02.09"/>
    <s v="W_R.10009.08.02.09: E OH Syst Rel Upgrades Rebuild Dist"/>
    <x v="1"/>
    <x v="4"/>
    <x v="4"/>
    <x v="2"/>
    <x v="4"/>
    <n v="-4644157.8318888973"/>
    <n v="-3468753.4409467499"/>
    <n v="-1175404.3909421475"/>
  </r>
  <r>
    <s v="R.10009.08.02.10"/>
    <s v="W_R.10009.08.02.10: E OH Syst Rel Upgrades UG Convers Dist"/>
    <x v="1"/>
    <x v="4"/>
    <x v="4"/>
    <x v="2"/>
    <x v="4"/>
    <n v="-13874827.599354368"/>
    <n v="-2743343.3116766242"/>
    <n v="-11131484.287677743"/>
  </r>
  <r>
    <s v="R.10009.08.02.11"/>
    <s v="W_R.10009.08.02.11: E OH Syst Rel Upgr Gang OP Switches Dist"/>
    <x v="1"/>
    <x v="2"/>
    <x v="2"/>
    <x v="1"/>
    <x v="4"/>
    <n v="-135145.16999999998"/>
    <n v="0"/>
    <n v="-135145.16999999998"/>
  </r>
  <r>
    <s v="R.10009.08.02.12"/>
    <s v="W_R.10009.08.02.12: E OH Syst Rel Upgr Reclosers Dist"/>
    <x v="1"/>
    <x v="2"/>
    <x v="2"/>
    <x v="1"/>
    <x v="4"/>
    <n v="-3089040.7899999996"/>
    <n v="-2883351.1757637528"/>
    <n v="-205689.61423624679"/>
  </r>
  <r>
    <s v="R.10009.08.02.14"/>
    <s v="W_R.10009.08.02.14: E OH Syst Rel Upgr Tree WirE Dist"/>
    <x v="1"/>
    <x v="4"/>
    <x v="4"/>
    <x v="2"/>
    <x v="4"/>
    <n v="-19054204.977935247"/>
    <n v="-11728176.84713937"/>
    <n v="-7326028.1307958774"/>
  </r>
  <r>
    <s v="R.10009.08.02.15"/>
    <s v="W_R.10009.08.02.15: E OH Syst Rel Upgr Fusesaver Dist"/>
    <x v="1"/>
    <x v="4"/>
    <x v="4"/>
    <x v="2"/>
    <x v="4"/>
    <n v="-1311998.2014965296"/>
    <n v="-2842255.0083662439"/>
    <n v="1530256.8068697143"/>
  </r>
  <r>
    <s v="R.10009.08.02.17"/>
    <s v="W_R.10009.08.02.17: E OH System Capacity Upgrade Dist"/>
    <x v="1"/>
    <x v="4"/>
    <x v="4"/>
    <x v="2"/>
    <x v="4"/>
    <n v="-11013199.759829553"/>
    <n v="-598051.27450237027"/>
    <n v="-10415148.485327182"/>
  </r>
  <r>
    <s v="R.10009.08.02.19"/>
    <s v="W_R.10009.08.02.19: E OH System Reliability Upgrades Trans"/>
    <x v="1"/>
    <x v="2"/>
    <x v="2"/>
    <x v="1"/>
    <x v="4"/>
    <n v="-140467.14000000001"/>
    <n v="-343.58994116342234"/>
    <n v="-140123.55005883658"/>
  </r>
  <r>
    <s v="R.10009.08.02.22"/>
    <s v="W_R.10009.08.02.22: E 6 Copper Open Wire 2nd Repl Dist"/>
    <x v="1"/>
    <x v="4"/>
    <x v="4"/>
    <x v="2"/>
    <x v="4"/>
    <n v="-963883.77984976454"/>
    <n v="0"/>
    <n v="-963883.77984976454"/>
  </r>
  <r>
    <s v="R.10009.08.02.24"/>
    <s v="W_R.10009.08.02.24: E Sedro Mar Pt 230 Remediate Underbuild"/>
    <x v="1"/>
    <x v="2"/>
    <x v="2"/>
    <x v="1"/>
    <x v="4"/>
    <n v="-20759.32"/>
    <n v="0"/>
    <n v="-20759.32"/>
  </r>
  <r>
    <s v="R.10009.08.02.25"/>
    <s v="W_R.10009.08.02.25: E UG Syst Rel Upgrades Dist"/>
    <x v="1"/>
    <x v="4"/>
    <x v="4"/>
    <x v="2"/>
    <x v="4"/>
    <n v="-15526234.392010286"/>
    <n v="-161747.64343363733"/>
    <n v="-15364486.748576649"/>
  </r>
  <r>
    <s v="R.10009.08.02.28"/>
    <s v="W_R.10009.08.02.28: E UG System Capacity Upgrade Dist"/>
    <x v="1"/>
    <x v="2"/>
    <x v="2"/>
    <x v="1"/>
    <x v="4"/>
    <n v="-944312.64973241067"/>
    <n v="-2439.4244755307986"/>
    <n v="-941873.22525687993"/>
  </r>
  <r>
    <s v="R.10009.08.03.01"/>
    <s v="W_R.10009.08.03.01: E Fish And Wildlife Program Dist"/>
    <x v="1"/>
    <x v="0"/>
    <x v="0"/>
    <x v="0"/>
    <x v="2"/>
    <n v="-277293.58741736418"/>
    <n v="0"/>
    <n v="-277293.58741736418"/>
  </r>
  <r>
    <s v="R.10009.08.05.02"/>
    <s v="W_R.10009.08.05.02: E Emergent Pole Replacement Dist"/>
    <x v="1"/>
    <x v="9"/>
    <x v="4"/>
    <x v="6"/>
    <x v="4"/>
    <n v="-4360134.8086507739"/>
    <n v="-1208886.284194574"/>
    <n v="-3151248.5244562002"/>
  </r>
  <r>
    <s v="R.10009.08.05.03"/>
    <s v="W_R.10009.08.05.03: E Emergent Pole Replacement Trans"/>
    <x v="1"/>
    <x v="9"/>
    <x v="4"/>
    <x v="6"/>
    <x v="4"/>
    <n v="-38573.47"/>
    <n v="-219797.88139630793"/>
    <n v="181224.41139630793"/>
  </r>
  <r>
    <s v="R.10009.08.05.05"/>
    <s v="W_R.10009.08.05.05: E Pole Replacement Plan Dist"/>
    <x v="1"/>
    <x v="4"/>
    <x v="4"/>
    <x v="2"/>
    <x v="4"/>
    <n v="-6867195.1160102468"/>
    <n v="-27730275.612953339"/>
    <n v="20863080.496943094"/>
  </r>
  <r>
    <s v="R.10009.08.05.07"/>
    <s v="W_R.10009.08.05.07: E Pole Replacement Plan Trans"/>
    <x v="1"/>
    <x v="4"/>
    <x v="4"/>
    <x v="2"/>
    <x v="4"/>
    <n v="-11986074.226060275"/>
    <n v="-5896473.0104704974"/>
    <n v="-6089601.2155897776"/>
  </r>
  <r>
    <s v="R.10009.08.05.16"/>
    <s v="W_R.10009.08.05.16: E Pole Inspection and Restoration Dist"/>
    <x v="1"/>
    <x v="4"/>
    <x v="4"/>
    <x v="2"/>
    <x v="4"/>
    <n v="-1037790.98"/>
    <n v="-132602.58469901333"/>
    <n v="-905188.39530098671"/>
  </r>
  <r>
    <s v="R.10009.08.05.17"/>
    <s v="W_R.10009.08.05.17: E Pole Inspection and Restoration Trans"/>
    <x v="1"/>
    <x v="4"/>
    <x v="4"/>
    <x v="2"/>
    <x v="4"/>
    <n v="-115430.08000000002"/>
    <n v="-8484.2528510976499"/>
    <n v="-106945.82714890236"/>
  </r>
  <r>
    <s v="R.10009.12.01.01"/>
    <s v="W_R.10009.12.01.01: C AMI Network Installations Gen Plant"/>
    <x v="0"/>
    <x v="11"/>
    <x v="4"/>
    <x v="7"/>
    <x v="6"/>
    <n v="-80813.69"/>
    <n v="0"/>
    <n v="-80813.69"/>
  </r>
  <r>
    <s v="R.10009.12.01.03"/>
    <s v="W_R.10009.12.01.03: E AMI Netwrk Installtion TransDist"/>
    <x v="1"/>
    <x v="11"/>
    <x v="4"/>
    <x v="7"/>
    <x v="6"/>
    <n v="-100838.31000000001"/>
    <n v="0"/>
    <n v="-100838.31000000001"/>
  </r>
  <r>
    <s v="R.10009.12.01.04"/>
    <s v="W_R.10009.12.01.04: E AMI Electric Meter Deployment"/>
    <x v="1"/>
    <x v="11"/>
    <x v="4"/>
    <x v="7"/>
    <x v="6"/>
    <n v="-27840619.771862037"/>
    <n v="-104544526.2964678"/>
    <n v="76703906.524605751"/>
  </r>
  <r>
    <s v="R.10009.12.01.05"/>
    <s v="W_R.10009.12.01.05: G AMI Gas Module Deployment"/>
    <x v="2"/>
    <x v="11"/>
    <x v="4"/>
    <x v="7"/>
    <x v="6"/>
    <n v="-6439970.9736460894"/>
    <n v="-62537804.720619835"/>
    <n v="56097833.746973746"/>
  </r>
  <r>
    <s v="R.10009.12.01.08"/>
    <s v="W_R.10009.12.01.08: E Opt Out AMR to NCM Capital Exch"/>
    <x v="1"/>
    <x v="2"/>
    <x v="2"/>
    <x v="1"/>
    <x v="4"/>
    <n v="-7171.4800000000005"/>
    <n v="61120.296803631776"/>
    <n v="-68291.776803631772"/>
  </r>
  <r>
    <s v="R.10009.12.01.09"/>
    <s v="W_R.10009.12.01.09: G Opt Out AMI to NCM Capital Exch"/>
    <x v="2"/>
    <x v="2"/>
    <x v="2"/>
    <x v="1"/>
    <x v="4"/>
    <n v="-270.436445034256"/>
    <n v="-2399.9999999999973"/>
    <n v="2129.5635549657413"/>
  </r>
  <r>
    <s v="R.10009.12.03.01"/>
    <s v="W_R.10009.12.03.01: E Distribution Automation Dist"/>
    <x v="1"/>
    <x v="4"/>
    <x v="4"/>
    <x v="2"/>
    <x v="4"/>
    <n v="-4055737.6486428548"/>
    <n v="-9717623.2223387007"/>
    <n v="5661885.5736958459"/>
  </r>
  <r>
    <s v="R.10009.14.04.01"/>
    <s v="W_R.10009.14.04.01: E Substation Replacement SpcC Dist"/>
    <x v="1"/>
    <x v="4"/>
    <x v="4"/>
    <x v="2"/>
    <x v="4"/>
    <n v="-23434.89"/>
    <n v="0"/>
    <n v="-23434.89"/>
  </r>
  <r>
    <s v="R.10009.14.05.02"/>
    <s v="W_R.10009.14.05.02: E Emergent Substation Replacement Dist"/>
    <x v="1"/>
    <x v="9"/>
    <x v="4"/>
    <x v="6"/>
    <x v="4"/>
    <n v="-6192262.1800000006"/>
    <n v="-6277278.1563269272"/>
    <n v="85015.976326926611"/>
  </r>
  <r>
    <s v="R.10009.14.05.03"/>
    <s v="W_R.10009.14.05.03: E Emergent Substation Replacement Trans"/>
    <x v="1"/>
    <x v="9"/>
    <x v="4"/>
    <x v="6"/>
    <x v="4"/>
    <n v="-2189643.1"/>
    <n v="-2472772.7424335591"/>
    <n v="283129.64243355906"/>
  </r>
  <r>
    <s v="R.10009.14.05.06"/>
    <s v="W_R.10009.14.05.06: E Substation Reliability Dist"/>
    <x v="1"/>
    <x v="4"/>
    <x v="4"/>
    <x v="2"/>
    <x v="4"/>
    <n v="-10412305.507208887"/>
    <n v="-14286949.097328121"/>
    <n v="3874643.5901192334"/>
  </r>
  <r>
    <s v="R.10009.14.05.07"/>
    <s v="W_R.10009.14.05.07: E Subs Replacement Fuses Dist"/>
    <x v="1"/>
    <x v="4"/>
    <x v="4"/>
    <x v="2"/>
    <x v="4"/>
    <n v="-15464.249154319601"/>
    <n v="-12557.455440509662"/>
    <n v="-2906.7937138099387"/>
  </r>
  <r>
    <s v="R.10009.14.05.09"/>
    <s v="W_R.10009.14.05.09: E Substation Reliability Trans"/>
    <x v="1"/>
    <x v="2"/>
    <x v="2"/>
    <x v="1"/>
    <x v="4"/>
    <n v="-1854282.2609922818"/>
    <n v="0"/>
    <n v="-1854282.2609922818"/>
  </r>
  <r>
    <s v="R.10009.14.07.01"/>
    <s v="W_R.10009.14.07.01: E Subs Replacement Breaker Replcmt Trans"/>
    <x v="1"/>
    <x v="4"/>
    <x v="4"/>
    <x v="2"/>
    <x v="4"/>
    <n v="-8155.2199999999993"/>
    <n v="-282885.45113292593"/>
    <n v="274730.23113292595"/>
  </r>
  <r>
    <s v="R.10009.17.01.01"/>
    <s v="W_R.10009.17.01.01: E Mazama Pcket Gopher Habitat Mitigation"/>
    <x v="1"/>
    <x v="2"/>
    <x v="2"/>
    <x v="1"/>
    <x v="4"/>
    <n v="-106259.76000000001"/>
    <n v="-350000.00000000041"/>
    <n v="243740.2400000004"/>
  </r>
  <r>
    <s v="R.10011.01.01.03"/>
    <s v="W_R.10011.01.01.03: G Gas System Monitoring Equip Replc"/>
    <x v="2"/>
    <x v="12"/>
    <x v="4"/>
    <x v="8"/>
    <x v="4"/>
    <n v="-453596.06000000006"/>
    <n v="-1187215.4833934451"/>
    <n v="733619.42339344509"/>
  </r>
  <r>
    <s v="R.10011.01.01.04"/>
    <s v="W_R.10011.01.01.04: G Gauges Sems Dist"/>
    <x v="2"/>
    <x v="12"/>
    <x v="4"/>
    <x v="8"/>
    <x v="4"/>
    <n v="-142381.01"/>
    <n v="-188614.82987705726"/>
    <n v="46233.819877057249"/>
  </r>
  <r>
    <s v="R.10011.01.01.06"/>
    <s v="W_R.10011.01.01.06: G Remote Telemetry Units Dist"/>
    <x v="2"/>
    <x v="2"/>
    <x v="2"/>
    <x v="1"/>
    <x v="4"/>
    <n v="-122749.41"/>
    <n v="0"/>
    <n v="-122749.41"/>
  </r>
  <r>
    <s v="R.10011.01.01.07"/>
    <s v="W_R.10011.01.01.07: G Williams Pipeline Equipment Upgrades"/>
    <x v="2"/>
    <x v="13"/>
    <x v="4"/>
    <x v="9"/>
    <x v="4"/>
    <n v="-320771.7"/>
    <n v="-576037.5544989194"/>
    <n v="255265.85449891939"/>
  </r>
  <r>
    <s v="R.10012.01.01.01"/>
    <s v="W_R.10012.01.01.01: G Altered Modified Comm Ind Mains"/>
    <x v="2"/>
    <x v="14"/>
    <x v="5"/>
    <x v="4"/>
    <x v="4"/>
    <n v="-1472992.01"/>
    <n v="0"/>
    <n v="-1472992.01"/>
  </r>
  <r>
    <s v="R.10012.01.01.02"/>
    <s v="W_R.10012.01.01.02: G Altered Modified Comm Ind Service"/>
    <x v="2"/>
    <x v="14"/>
    <x v="5"/>
    <x v="4"/>
    <x v="4"/>
    <n v="-2093679.8505118317"/>
    <n v="-19817.837709763291"/>
    <n v="-2073862.0128020684"/>
  </r>
  <r>
    <s v="R.10012.01.02.01"/>
    <s v="W_R.10012.01.02.01: G Altered Modified Residential Mains"/>
    <x v="2"/>
    <x v="14"/>
    <x v="5"/>
    <x v="4"/>
    <x v="4"/>
    <n v="-322903.42423175828"/>
    <n v="-34389.036907058799"/>
    <n v="-288514.38732469949"/>
  </r>
  <r>
    <s v="R.10012.01.02.02"/>
    <s v="W_R.10012.01.02.02: G Altered Modified Residential Services"/>
    <x v="2"/>
    <x v="14"/>
    <x v="5"/>
    <x v="4"/>
    <x v="4"/>
    <n v="-11895177.780253317"/>
    <n v="-17159.511265195943"/>
    <n v="-11878018.268988121"/>
  </r>
  <r>
    <s v="R.10012.02.01.01"/>
    <s v="W_R.10012.02.01.01: G 5 Yr Gas Refundable CIAC"/>
    <x v="2"/>
    <x v="15"/>
    <x v="5"/>
    <x v="4"/>
    <x v="4"/>
    <n v="198563.8"/>
    <n v="3005100"/>
    <n v="-2806536.2"/>
  </r>
  <r>
    <s v="R.10012.03.01.01"/>
    <s v="W_R.10012.03.01.01: G Commercial Industrial Mains"/>
    <x v="2"/>
    <x v="14"/>
    <x v="5"/>
    <x v="4"/>
    <x v="4"/>
    <n v="-10504158.727816181"/>
    <n v="-177108.11498440625"/>
    <n v="-10327050.612831775"/>
  </r>
  <r>
    <s v="R.10012.03.02.01"/>
    <s v="W_R.10012.03.02.01: G Multi Family Mains"/>
    <x v="2"/>
    <x v="14"/>
    <x v="5"/>
    <x v="4"/>
    <x v="4"/>
    <n v="-2768771.462433415"/>
    <n v="-35940.955616185987"/>
    <n v="-2732830.5068172291"/>
  </r>
  <r>
    <s v="R.10012.03.03.01"/>
    <s v="W_R.10012.03.03.01: G Plats Mains"/>
    <x v="2"/>
    <x v="14"/>
    <x v="5"/>
    <x v="4"/>
    <x v="4"/>
    <n v="-8307148.0599999996"/>
    <n v="-337792.25247504498"/>
    <n v="-7969355.8075249549"/>
  </r>
  <r>
    <s v="R.10012.03.03.02"/>
    <s v="W_R.10012.03.03.02: G Residential Mains"/>
    <x v="2"/>
    <x v="14"/>
    <x v="5"/>
    <x v="4"/>
    <x v="4"/>
    <n v="-3109124.8301923983"/>
    <n v="-26571.915949503546"/>
    <n v="-3082552.9142428949"/>
  </r>
  <r>
    <s v="R.10012.04.01.01"/>
    <s v="W_R.10012.04.01.01: G Commercial Industrial Service"/>
    <x v="2"/>
    <x v="14"/>
    <x v="5"/>
    <x v="4"/>
    <x v="4"/>
    <n v="-7672221.6546261068"/>
    <n v="-7135.7059427120903"/>
    <n v="-7665085.9486833951"/>
  </r>
  <r>
    <s v="R.10012.04.02.01"/>
    <s v="W_R.10012.04.02.01: G Multi Family Service"/>
    <x v="2"/>
    <x v="14"/>
    <x v="5"/>
    <x v="4"/>
    <x v="4"/>
    <n v="-3195490.0480205156"/>
    <n v="-497.08362264671564"/>
    <n v="-3194992.9643978691"/>
  </r>
  <r>
    <s v="R.10012.04.03.02"/>
    <s v="W_R.10012.04.03.02: G Residential Services"/>
    <x v="2"/>
    <x v="14"/>
    <x v="5"/>
    <x v="4"/>
    <x v="4"/>
    <n v="-23735597.699419755"/>
    <n v="-335.97149033117768"/>
    <n v="-23735261.727929424"/>
  </r>
  <r>
    <s v="R.10012.04.03.03"/>
    <s v="W_R.10012.04.03.03: G Residential Services In Plat Dev"/>
    <x v="2"/>
    <x v="14"/>
    <x v="5"/>
    <x v="4"/>
    <x v="4"/>
    <n v="-7990777.4568597265"/>
    <n v="0"/>
    <n v="-7990777.4568597265"/>
  </r>
  <r>
    <s v="R.10012.06.01.01"/>
    <s v="W_R.10012.06.01.01: G Gas Retire Only No Additions"/>
    <x v="2"/>
    <x v="14"/>
    <x v="5"/>
    <x v="4"/>
    <x v="4"/>
    <n v="-1650613.8911316695"/>
    <n v="0"/>
    <n v="-1650613.8911316695"/>
  </r>
  <r>
    <s v="R.10013.01.01.01"/>
    <s v="W_R.10013.01.01.01: G Cust Driven Relocate Reimburse Dist"/>
    <x v="2"/>
    <x v="14"/>
    <x v="5"/>
    <x v="4"/>
    <x v="4"/>
    <n v="-121043.48999999999"/>
    <n v="-15613608.879516477"/>
    <n v="15492565.389516477"/>
  </r>
  <r>
    <s v="R.10013.04.01.01"/>
    <s v="W_R.10013.04.01.01: G PI Driven Relocate NonReimb Dist"/>
    <x v="2"/>
    <x v="16"/>
    <x v="5"/>
    <x v="4"/>
    <x v="4"/>
    <n v="-35901727.902302429"/>
    <n v="-111550.10453963163"/>
    <n v="-35790177.797762796"/>
  </r>
  <r>
    <s v="R.10013.04.01.02"/>
    <s v="W_R.10013.04.01.02: G PI Driven Relocate Reimb Dist"/>
    <x v="2"/>
    <x v="16"/>
    <x v="5"/>
    <x v="4"/>
    <x v="4"/>
    <n v="-1060031.0369270334"/>
    <n v="-22867.544331385841"/>
    <n v="-1037163.4925956476"/>
  </r>
  <r>
    <s v="R.10013.04.01.04"/>
    <s v="W_R.10013.04.01.04: G Sound Transit Reimburse"/>
    <x v="2"/>
    <x v="2"/>
    <x v="2"/>
    <x v="1"/>
    <x v="4"/>
    <n v="-1333382.6600000001"/>
    <n v="0"/>
    <n v="-1333382.6600000001"/>
  </r>
  <r>
    <s v="R.10013.04.01.06"/>
    <s v="W_R.10013.04.01.06: G WSDOT Fish Passage Relocation"/>
    <x v="2"/>
    <x v="2"/>
    <x v="2"/>
    <x v="1"/>
    <x v="4"/>
    <n v="-619359.33000000007"/>
    <n v="0"/>
    <n v="-619359.33000000007"/>
  </r>
  <r>
    <s v="R.10013.05.01.01"/>
    <s v="W_R.10013.05.01.01: G Seattle Core Alaskan Way Viaduct"/>
    <x v="2"/>
    <x v="16"/>
    <x v="5"/>
    <x v="4"/>
    <x v="4"/>
    <n v="9426.8999999999942"/>
    <n v="0"/>
    <n v="9426.8999999999942"/>
  </r>
  <r>
    <s v="R.10013.05.01.02"/>
    <s v="W_R.10013.05.01.02: G Seattle Core IP Main"/>
    <x v="2"/>
    <x v="2"/>
    <x v="2"/>
    <x v="1"/>
    <x v="4"/>
    <n v="-794.06"/>
    <n v="0"/>
    <n v="-794.06"/>
  </r>
  <r>
    <s v="R.10013.06.01.01"/>
    <s v="W_R.10013.06.01.01: G Sound Transit Dist"/>
    <x v="2"/>
    <x v="2"/>
    <x v="2"/>
    <x v="1"/>
    <x v="4"/>
    <n v="-336.5"/>
    <n v="0"/>
    <n v="-336.5"/>
  </r>
  <r>
    <s v="R.10013.07.01.01"/>
    <s v="W_R.10013.07.01.01: G Relocate Bulk Dist Like Kind Dist"/>
    <x v="2"/>
    <x v="16"/>
    <x v="5"/>
    <x v="4"/>
    <x v="4"/>
    <n v="-391890.36423175829"/>
    <n v="-6744.3420826951178"/>
    <n v="-385146.02214906318"/>
  </r>
  <r>
    <s v="R.10013.07.01.02"/>
    <s v="W_R.10013.07.01.02: G System Improv Opport Dist"/>
    <x v="2"/>
    <x v="16"/>
    <x v="5"/>
    <x v="4"/>
    <x v="4"/>
    <n v="-69817.070000000007"/>
    <n v="-2770.3443842876318"/>
    <n v="-67046.725615712377"/>
  </r>
  <r>
    <s v="R.10014.01.01.01"/>
    <s v="W_R.10014.01.01.01: G Swarr Propane Air Plant Upgrades"/>
    <x v="2"/>
    <x v="13"/>
    <x v="4"/>
    <x v="9"/>
    <x v="4"/>
    <n v="-2876519.4599999995"/>
    <n v="0"/>
    <n v="-2876519.4599999995"/>
  </r>
  <r>
    <s v="R.10015.01.01.01"/>
    <s v="W_R.10015.01.01.01: G CP System Improv Main With Serv Dist"/>
    <x v="2"/>
    <x v="17"/>
    <x v="4"/>
    <x v="6"/>
    <x v="4"/>
    <n v="-184180.97000000003"/>
    <n v="-429333.65074284392"/>
    <n v="245152.68074284389"/>
  </r>
  <r>
    <s v="R.10015.01.01.02"/>
    <s v="W_R.10015.01.01.02: G CP System Improv Service Dist"/>
    <x v="2"/>
    <x v="17"/>
    <x v="4"/>
    <x v="6"/>
    <x v="4"/>
    <n v="-2767569.4869907317"/>
    <n v="-3578145.4171307739"/>
    <n v="810575.93014004221"/>
  </r>
  <r>
    <s v="R.10015.01.01.03"/>
    <s v="W_R.10015.01.01.03: G CP System Improv Dist"/>
    <x v="2"/>
    <x v="17"/>
    <x v="4"/>
    <x v="6"/>
    <x v="4"/>
    <n v="-924204.17000000016"/>
    <n v="-1307244.2242086243"/>
    <n v="383040.05420862418"/>
  </r>
  <r>
    <s v="R.10015.01.01.05"/>
    <s v="W_R.10015.01.01.05: G Emergent CP System Improv Dist"/>
    <x v="2"/>
    <x v="17"/>
    <x v="4"/>
    <x v="6"/>
    <x v="4"/>
    <n v="-2180001.2442317582"/>
    <n v="-1506973.3174859753"/>
    <n v="-673027.92674578284"/>
  </r>
  <r>
    <s v="R.10015.02.01.02"/>
    <s v="W_R.10015.02.01.02: G Damage Claims Cap Writeoff"/>
    <x v="2"/>
    <x v="0"/>
    <x v="0"/>
    <x v="0"/>
    <x v="2"/>
    <n v="-123834.78999999998"/>
    <n v="0"/>
    <n v="-123834.78999999998"/>
  </r>
  <r>
    <s v="R.10015.03.01.01"/>
    <s v="W_R.10015.03.01.01: G DIMP Brdg Sld Dist Unmaintain Facil"/>
    <x v="2"/>
    <x v="12"/>
    <x v="4"/>
    <x v="8"/>
    <x v="4"/>
    <n v="-352107.17289311904"/>
    <n v="-625050.26624476083"/>
    <n v="272943.09335164179"/>
  </r>
  <r>
    <s v="R.10015.03.02.01"/>
    <s v="W_R.10015.03.02.01: G DIMP Mobile Home Encroachment Program"/>
    <x v="2"/>
    <x v="12"/>
    <x v="4"/>
    <x v="8"/>
    <x v="4"/>
    <n v="-752419.54020554142"/>
    <n v="-624510.63401803852"/>
    <n v="-127908.9061875029"/>
  </r>
  <r>
    <s v="R.10015.03.04.01"/>
    <s v="W_R.10015.03.04.01: G DIMP Dupont Pipe Repl Main With Serv"/>
    <x v="2"/>
    <x v="18"/>
    <x v="4"/>
    <x v="10"/>
    <x v="4"/>
    <n v="-49271824.509905539"/>
    <n v="-44009686.222595572"/>
    <n v="-5262138.287309967"/>
  </r>
  <r>
    <s v="R.10015.03.04.02"/>
    <s v="W_R.10015.03.04.02: G DIMP Older Stw Repl Main With Service"/>
    <x v="2"/>
    <x v="12"/>
    <x v="4"/>
    <x v="8"/>
    <x v="4"/>
    <n v="-1430500.6300000004"/>
    <n v="-3749768.5819981149"/>
    <n v="2319267.9519981146"/>
  </r>
  <r>
    <s v="R.10015.03.04.03"/>
    <s v="W_R.10015.03.04.03: G DIMP Older Stw Repl Service Only"/>
    <x v="2"/>
    <x v="12"/>
    <x v="4"/>
    <x v="8"/>
    <x v="4"/>
    <n v="-651433.83091583464"/>
    <n v="-1449293.4231263725"/>
    <n v="797859.59221053787"/>
  </r>
  <r>
    <s v="R.10015.03.06.01"/>
    <s v="W_R.10015.03.06.01: G DIMP Legacy Cross Bore Inspection Dist"/>
    <x v="2"/>
    <x v="18"/>
    <x v="4"/>
    <x v="10"/>
    <x v="4"/>
    <n v="-95795.199999999997"/>
    <n v="0"/>
    <n v="-95795.199999999997"/>
  </r>
  <r>
    <s v="R.10015.03.07.01"/>
    <s v="W_R.10015.03.07.01: G DIMP Continuing Surveillance Other"/>
    <x v="2"/>
    <x v="12"/>
    <x v="4"/>
    <x v="8"/>
    <x v="4"/>
    <n v="-62919.437061768433"/>
    <n v="-531422.58285930974"/>
    <n v="468503.14579754131"/>
  </r>
  <r>
    <s v="R.10015.03.07.03"/>
    <s v="W_R.10015.03.07.03: G DIMP Shallow Serv and Main Repl"/>
    <x v="2"/>
    <x v="12"/>
    <x v="4"/>
    <x v="8"/>
    <x v="4"/>
    <n v="-2695663.9240990998"/>
    <n v="-2702523.9300158662"/>
    <n v="6860.0059167663567"/>
  </r>
  <r>
    <s v="R.10015.03.08.01"/>
    <s v="W_R.10015.03.08.01: G DIMP Buried MSA Serv Or Riser Repl Opp"/>
    <x v="2"/>
    <x v="12"/>
    <x v="4"/>
    <x v="8"/>
    <x v="4"/>
    <n v="-824.92000000000007"/>
    <n v="-2025.39265001081"/>
    <n v="1200.47265001081"/>
  </r>
  <r>
    <s v="R.10015.03.09.01"/>
    <s v="W_R.10015.03.09.01: G DIMP Preventative Maint Facilities"/>
    <x v="2"/>
    <x v="12"/>
    <x v="4"/>
    <x v="8"/>
    <x v="4"/>
    <n v="-1967967.6142317585"/>
    <n v="-3267068.2414549603"/>
    <n v="1299100.6272232018"/>
  </r>
  <r>
    <s v="R.10015.03.09.03"/>
    <s v="W_R.10015.03.09.03: G DIMP Preventive Maint Dist Reg Dist"/>
    <x v="2"/>
    <x v="12"/>
    <x v="4"/>
    <x v="8"/>
    <x v="4"/>
    <n v="-3935224.7000000007"/>
    <n v="-3683508.9904270922"/>
    <n v="-251715.70957290847"/>
  </r>
  <r>
    <s v="R.10015.03.09.07"/>
    <s v="W_R.10015.03.09.07: G DIMP Preventive Maint Farm Taps Dist"/>
    <x v="2"/>
    <x v="12"/>
    <x v="4"/>
    <x v="8"/>
    <x v="4"/>
    <n v="-201883.58"/>
    <n v="-429745.23016552208"/>
    <n v="227861.65016552209"/>
  </r>
  <r>
    <s v="R.10015.03.09.14"/>
    <s v="W_R.10015.03.09.14: G Idle Riser Remediation"/>
    <x v="2"/>
    <x v="12"/>
    <x v="4"/>
    <x v="8"/>
    <x v="4"/>
    <n v="-712659.35018657148"/>
    <n v="-4103148.8046456487"/>
    <n v="3390489.4544590772"/>
  </r>
  <r>
    <s v="R.10015.03.09.15"/>
    <s v="W_R.10015.03.09.15: G Buried Meter Riser Replacement"/>
    <x v="2"/>
    <x v="18"/>
    <x v="4"/>
    <x v="10"/>
    <x v="4"/>
    <n v="-6038892.223055413"/>
    <n v="-5653600.1325064488"/>
    <n v="-385292.09054896422"/>
  </r>
  <r>
    <s v="R.10015.03.10.02"/>
    <s v="W_R.10015.03.10.02: G-DIMP Unmaintainable STW Main in Casing"/>
    <x v="2"/>
    <x v="2"/>
    <x v="2"/>
    <x v="1"/>
    <x v="4"/>
    <n v="-148211.1511587915"/>
    <n v="0"/>
    <n v="-148211.1511587915"/>
  </r>
  <r>
    <s v="R.10015.03.11.01"/>
    <s v="W_R.10015.03.11.01: G DIMP Guard Posts"/>
    <x v="2"/>
    <x v="12"/>
    <x v="4"/>
    <x v="8"/>
    <x v="4"/>
    <n v="-42149.364231758293"/>
    <n v="-180175.30185413003"/>
    <n v="138025.93762237174"/>
  </r>
  <r>
    <s v="R.10015.04.01.02"/>
    <s v="W_R.10015.04.01.02: G Leak Repair Main"/>
    <x v="2"/>
    <x v="2"/>
    <x v="2"/>
    <x v="1"/>
    <x v="4"/>
    <n v="-2315739.2355960906"/>
    <n v="-3754567.2705454882"/>
    <n v="1438828.0349493977"/>
  </r>
  <r>
    <s v="R.10015.04.01.03"/>
    <s v="W_R.10015.04.01.03: G Leak Repair Service"/>
    <x v="2"/>
    <x v="17"/>
    <x v="4"/>
    <x v="6"/>
    <x v="4"/>
    <n v="-352751.58934313926"/>
    <n v="-1026506.7600291376"/>
    <n v="673755.1706859984"/>
  </r>
  <r>
    <s v="R.10015.04.01.04"/>
    <s v="W_R.10015.04.01.04: G Scattered Short Main Rehab"/>
    <x v="2"/>
    <x v="17"/>
    <x v="4"/>
    <x v="6"/>
    <x v="4"/>
    <n v="-1279814.0942317583"/>
    <n v="-2029436.6604549391"/>
    <n v="749622.56622318085"/>
  </r>
  <r>
    <s v="R.10015.04.01.05"/>
    <s v="W_R.10015.04.01.05: G Service Replacement Misc"/>
    <x v="2"/>
    <x v="17"/>
    <x v="4"/>
    <x v="6"/>
    <x v="4"/>
    <n v="-10043107.29948145"/>
    <n v="-9056163.8387702424"/>
    <n v="-986943.46071120724"/>
  </r>
  <r>
    <s v="R.10015.04.01.06"/>
    <s v="W_R.10015.04.01.06: G Sewer Cross Bore Repair Main"/>
    <x v="2"/>
    <x v="17"/>
    <x v="4"/>
    <x v="6"/>
    <x v="4"/>
    <n v="-240389.55"/>
    <n v="-297924.5009148001"/>
    <n v="57534.950914800109"/>
  </r>
  <r>
    <s v="R.10015.04.01.07"/>
    <s v="W_R.10015.04.01.07: G Sewer Cross Bore Repair Service"/>
    <x v="2"/>
    <x v="17"/>
    <x v="4"/>
    <x v="6"/>
    <x v="4"/>
    <n v="-4787.1899999999996"/>
    <n v="-148439.5139193655"/>
    <n v="143652.3239193655"/>
  </r>
  <r>
    <s v="R.10015.04.01.09"/>
    <s v="W_R.10015.04.01.09: G Gas Work Release Service"/>
    <x v="2"/>
    <x v="17"/>
    <x v="4"/>
    <x v="6"/>
    <x v="4"/>
    <n v="-248141.69423175833"/>
    <n v="-1205412.4114736328"/>
    <n v="957270.71724187443"/>
  </r>
  <r>
    <s v="R.10015.04.01.12"/>
    <s v="W_R.10015.04.01.12: G Nonhaz Main Repair Methane PRP"/>
    <x v="2"/>
    <x v="18"/>
    <x v="4"/>
    <x v="10"/>
    <x v="4"/>
    <n v="-3825169.7299999995"/>
    <n v="0"/>
    <n v="-3825169.7299999995"/>
  </r>
  <r>
    <s v="R.10015.04.01.13"/>
    <s v="W_R.10015.04.01.13: G Nonhaz Service Repair Methane PRP"/>
    <x v="2"/>
    <x v="18"/>
    <x v="4"/>
    <x v="10"/>
    <x v="4"/>
    <n v="-661462.49559882458"/>
    <n v="0"/>
    <n v="-661462.49559882458"/>
  </r>
  <r>
    <s v="R.10015.05.01.01"/>
    <s v="W_R.10015.05.01.01: G System Capacity New Dist"/>
    <x v="2"/>
    <x v="2"/>
    <x v="2"/>
    <x v="1"/>
    <x v="4"/>
    <n v="-1530.8"/>
    <n v="-1176.1589987058437"/>
    <n v="-354.64100129415624"/>
  </r>
  <r>
    <s v="R.10015.06.01.02"/>
    <s v="W_R.10015.06.01.02: G Odorizer Componant Repl Bulk Dist"/>
    <x v="2"/>
    <x v="12"/>
    <x v="4"/>
    <x v="8"/>
    <x v="4"/>
    <n v="-30357.300000000003"/>
    <n v="-192004.56225498812"/>
    <n v="161647.26225498813"/>
  </r>
  <r>
    <s v="R.10015.06.01.04"/>
    <s v="W_R.10015.06.01.04: G System Capacity Upgrade Bulk Dist"/>
    <x v="2"/>
    <x v="19"/>
    <x v="4"/>
    <x v="0"/>
    <x v="4"/>
    <n v="-2580429.9736258262"/>
    <n v="-8824690.6817541234"/>
    <n v="6244260.7081282977"/>
  </r>
  <r>
    <s v="R.10015.06.01.05"/>
    <s v="W_R.10015.06.01.05: G System Capacity Upgrade Dist"/>
    <x v="2"/>
    <x v="19"/>
    <x v="4"/>
    <x v="0"/>
    <x v="4"/>
    <n v="-3239929.69"/>
    <n v="-4989828.6341764741"/>
    <n v="1749898.9441764741"/>
  </r>
  <r>
    <s v="R.10015.07.01.01"/>
    <s v="W_R.10015.07.01.01: G Gas Lightups Clearing"/>
    <x v="2"/>
    <x v="2"/>
    <x v="2"/>
    <x v="1"/>
    <x v="4"/>
    <n v="-346.02644804097525"/>
    <n v="0"/>
    <n v="-346.02644804097525"/>
  </r>
  <r>
    <s v="R.10015.08.02.02"/>
    <s v="W_R.10015.08.02.02: G Alternative Fuels"/>
    <x v="2"/>
    <x v="2"/>
    <x v="2"/>
    <x v="1"/>
    <x v="4"/>
    <n v="-161561.24"/>
    <n v="-6458825.6809999952"/>
    <n v="6297264.440999995"/>
  </r>
  <r>
    <s v="R.10019.01.01.01"/>
    <s v="W_R.10019.01.01.01: E Port Madison Subs"/>
    <x v="1"/>
    <x v="2"/>
    <x v="2"/>
    <x v="1"/>
    <x v="4"/>
    <n v="-380747.7737545399"/>
    <n v="0"/>
    <n v="-380747.7737545399"/>
  </r>
  <r>
    <s v="R.10019.01.01.02"/>
    <s v="W_R.10019.01.01.02: Bainbridge Trans WIN-MUR Loop"/>
    <x v="1"/>
    <x v="20"/>
    <x v="3"/>
    <x v="11"/>
    <x v="4"/>
    <n v="-617924.75170522952"/>
    <n v="-1131175.8880827052"/>
    <n v="513251.13637747569"/>
  </r>
  <r>
    <s v="R.10024.01.01.04"/>
    <s v="W_R.10024.01.01.04: G AMR Operations"/>
    <x v="2"/>
    <x v="2"/>
    <x v="2"/>
    <x v="1"/>
    <x v="4"/>
    <n v="-17769.763644497842"/>
    <n v="-1504618.5"/>
    <n v="1486848.7363555022"/>
  </r>
  <r>
    <s v="R.10024.01.01.05"/>
    <s v="W_R.10024.01.01.05: E AMR Operations"/>
    <x v="1"/>
    <x v="2"/>
    <x v="2"/>
    <x v="1"/>
    <x v="4"/>
    <n v="-62851.043824734457"/>
    <n v="0"/>
    <n v="-62851.043824734457"/>
  </r>
  <r>
    <s v="R.10024.01.01.07"/>
    <s v="W_R.10024.01.01.07: E Opt Out AMR to NCM Capital Exch"/>
    <x v="1"/>
    <x v="2"/>
    <x v="2"/>
    <x v="1"/>
    <x v="4"/>
    <n v="-323491.58117287129"/>
    <n v="-5483.3921518843536"/>
    <n v="-318008.18902098696"/>
  </r>
  <r>
    <s v="R.10024.01.01.09"/>
    <s v="W_R.10024.01.01.09: G AMI Operations"/>
    <x v="2"/>
    <x v="2"/>
    <x v="2"/>
    <x v="1"/>
    <x v="4"/>
    <n v="-453634.87382154108"/>
    <n v="-974194.62083176814"/>
    <n v="520559.74701022706"/>
  </r>
  <r>
    <s v="R.10024.02.01.01"/>
    <s v="W_R.10024.02.01.01: G NonRegistering Meters Dist"/>
    <x v="2"/>
    <x v="17"/>
    <x v="4"/>
    <x v="6"/>
    <x v="4"/>
    <n v="-453746.58106083988"/>
    <n v="-189383.4311452531"/>
    <n v="-264363.14991558681"/>
  </r>
  <r>
    <s v="R.10024.02.01.03"/>
    <s v="W_R.10024.02.01.03: G Periodic Meter Changeout IMO Dist"/>
    <x v="2"/>
    <x v="12"/>
    <x v="4"/>
    <x v="8"/>
    <x v="4"/>
    <n v="-848270.26872199017"/>
    <n v="-1331904.7345001313"/>
    <n v="483634.46577814117"/>
  </r>
  <r>
    <s v="R.10031.01.01.02"/>
    <s v="W_R.10031.01.01.02: E Lake Hills Phantom Lake 115Kv Tline"/>
    <x v="1"/>
    <x v="7"/>
    <x v="4"/>
    <x v="5"/>
    <x v="4"/>
    <n v="-624116.57000000007"/>
    <n v="0"/>
    <n v="-624116.57000000007"/>
  </r>
  <r>
    <s v="R.10031.03.01.01"/>
    <s v="W_R.10031.03.01.01: E Sammamish Juanita 115Kv Tline"/>
    <x v="1"/>
    <x v="21"/>
    <x v="3"/>
    <x v="12"/>
    <x v="4"/>
    <n v="-44028432.891698539"/>
    <n v="-9047247.2370254043"/>
    <n v="-34981185.654673137"/>
  </r>
  <r>
    <s v="R.10033.01.01.03"/>
    <s v="W_R.10033.01.01.03: E Small Tool Electric Operations Tool"/>
    <x v="1"/>
    <x v="2"/>
    <x v="2"/>
    <x v="1"/>
    <x v="4"/>
    <n v="-4173800.6999999997"/>
    <n v="-2044206.999999996"/>
    <n v="-2129593.7000000039"/>
  </r>
  <r>
    <s v="R.10033.01.01.09"/>
    <s v="W_R.10033.01.01.09: G Small Tool Gas Operations Tool"/>
    <x v="2"/>
    <x v="2"/>
    <x v="2"/>
    <x v="1"/>
    <x v="4"/>
    <n v="-1748850.5200000003"/>
    <n v="-1370745.999999996"/>
    <n v="-378104.52000000421"/>
  </r>
  <r>
    <s v="R.10033.02.01.01"/>
    <s v="W_R.10033.02.01.01: C Operational Training ISR Program"/>
    <x v="0"/>
    <x v="2"/>
    <x v="2"/>
    <x v="1"/>
    <x v="4"/>
    <n v="-2278.79"/>
    <n v="-500000.00000000041"/>
    <n v="497721.21000000043"/>
  </r>
  <r>
    <s v="R.10036.02.01.01"/>
    <s v="W_R.10036.02.01.01: C Capitalization of Real Estate Permits"/>
    <x v="1"/>
    <x v="2"/>
    <x v="2"/>
    <x v="1"/>
    <x v="4"/>
    <n v="-413845.27999999997"/>
    <n v="-800000.00000000081"/>
    <n v="386154.72000000085"/>
  </r>
  <r>
    <s v="R.10036.03.01.01"/>
    <s v="W_R.10036.03.01.01: C Transient Deterrent"/>
    <x v="0"/>
    <x v="2"/>
    <x v="2"/>
    <x v="1"/>
    <x v="4"/>
    <n v="-14588.580000000002"/>
    <n v="-600000"/>
    <n v="585411.42000000004"/>
  </r>
  <r>
    <s v="R.10039.02.01.01"/>
    <s v="W_R.10039.02.01.01: E Buckley Substation Feeder"/>
    <x v="1"/>
    <x v="7"/>
    <x v="4"/>
    <x v="5"/>
    <x v="4"/>
    <n v="-8740.1426829300908"/>
    <n v="-33464.042713734896"/>
    <n v="24723.900030804805"/>
  </r>
  <r>
    <s v="R.10039.02.01.02"/>
    <s v="W_R.10039.02.01.02: E Buckley Substation Sub"/>
    <x v="1"/>
    <x v="7"/>
    <x v="4"/>
    <x v="5"/>
    <x v="4"/>
    <n v="-589047.8020893184"/>
    <n v="-348759.9182160495"/>
    <n v="-240287.8838732689"/>
  </r>
  <r>
    <s v="R.10039.02.01.06"/>
    <s v="W_R.10039.02.01.06: E Electr Enum 55Kv To 115Kv Fiber"/>
    <x v="1"/>
    <x v="7"/>
    <x v="4"/>
    <x v="5"/>
    <x v="4"/>
    <n v="-332803.5"/>
    <n v="0"/>
    <n v="-332803.5"/>
  </r>
  <r>
    <s v="R.10045.01.01.01"/>
    <s v="W_R.10045.01.01.01: E Talbot Asbury Ug 115Kv Repl Tline"/>
    <x v="1"/>
    <x v="7"/>
    <x v="4"/>
    <x v="5"/>
    <x v="4"/>
    <n v="-2275718.2799999998"/>
    <n v="0"/>
    <n v="-2275718.2799999998"/>
  </r>
  <r>
    <s v="R.10051.02.01.01"/>
    <s v="W_R.10051.02.01.01: E Thurston Transmission Capacity"/>
    <x v="1"/>
    <x v="22"/>
    <x v="3"/>
    <x v="13"/>
    <x v="4"/>
    <n v="-19661839.260000002"/>
    <n v="-10173066.606914049"/>
    <n v="-9488772.6530859526"/>
  </r>
  <r>
    <s v="R.10054.01.01.01"/>
    <s v="W_R.10054.01.01.01: E Bellingham Sedro 4 115Kv Recond Tline"/>
    <x v="1"/>
    <x v="7"/>
    <x v="4"/>
    <x v="5"/>
    <x v="4"/>
    <n v="-4427.7899999999991"/>
    <n v="-1243996.6522279081"/>
    <n v="1239568.8622279081"/>
  </r>
  <r>
    <s v="R.10059.02.01.02"/>
    <s v="W_R.10059.02.01.02: E Circuit Enablement EV"/>
    <x v="1"/>
    <x v="23"/>
    <x v="4"/>
    <x v="0"/>
    <x v="4"/>
    <n v="-1442703.39398975"/>
    <n v="-7165996.3759999918"/>
    <n v="5723292.9820102416"/>
  </r>
  <r>
    <s v="R.10059.03.01.01"/>
    <s v="W_R.10059.03.01.01: E Resilience Enhancement Substation"/>
    <x v="1"/>
    <x v="24"/>
    <x v="4"/>
    <x v="0"/>
    <x v="4"/>
    <n v="-1258562.3289936027"/>
    <n v="-4266596.526499996"/>
    <n v="3008034.1975063933"/>
  </r>
  <r>
    <s v="R.10059.04.01.01"/>
    <s v="W_R.10059.04.01.01: E Wildfire Resilience"/>
    <x v="1"/>
    <x v="2"/>
    <x v="2"/>
    <x v="1"/>
    <x v="4"/>
    <n v="-3266.9763681120999"/>
    <n v="-1885788.5200000035"/>
    <n v="1882521.5436318915"/>
  </r>
  <r>
    <s v="R.10060.01.01.01"/>
    <s v="W_R.10060.01.01.01: G Vashon Marine Crossing"/>
    <x v="2"/>
    <x v="2"/>
    <x v="2"/>
    <x v="1"/>
    <x v="4"/>
    <n v="-1024585.86"/>
    <n v="0"/>
    <n v="-1024585.86"/>
  </r>
  <r>
    <s v="R.10060.01.01.02"/>
    <s v="W_R.10060.01.01.02: G Vashon Interim Supply at Gig Harbor"/>
    <x v="2"/>
    <x v="25"/>
    <x v="3"/>
    <x v="0"/>
    <x v="4"/>
    <n v="-110540.0559775251"/>
    <n v="0"/>
    <n v="-110540.0559775251"/>
  </r>
  <r>
    <s v="X.10003.01.01.01"/>
    <s v="W_X.10003.01.01.01: Street and Area Lighting Services"/>
    <x v="1"/>
    <x v="0"/>
    <x v="0"/>
    <x v="0"/>
    <x v="7"/>
    <n v="-2774952.2051824466"/>
    <n v="-4757737.4334327346"/>
    <n v="1982785.2282502879"/>
  </r>
  <r>
    <s v="X.10003.01.03.01"/>
    <s v="W_X.10003.01.03.01: Street Light Replacement"/>
    <x v="1"/>
    <x v="0"/>
    <x v="0"/>
    <x v="0"/>
    <x v="7"/>
    <n v="-1813298.1"/>
    <n v="-1610902.4702044392"/>
    <n v="-202395.62979556085"/>
  </r>
  <r>
    <s v="X.10003.01.03.02"/>
    <s v="W_X.10003.01.03.02: Smart Street Lighting"/>
    <x v="1"/>
    <x v="0"/>
    <x v="0"/>
    <x v="0"/>
    <x v="7"/>
    <n v="-2995082.71"/>
    <n v="-229013.27651958822"/>
    <n v="-2766069.4334804118"/>
  </r>
  <r>
    <s v="X.10005.01.01.01"/>
    <s v="W_X.10005.01.01.01: Wireless and Wireline Construction"/>
    <x v="1"/>
    <x v="0"/>
    <x v="0"/>
    <x v="0"/>
    <x v="7"/>
    <n v="-1026939.6350094073"/>
    <n v="-945078.68989740359"/>
    <n v="-81860.945112003712"/>
  </r>
  <r>
    <s v="X.10006.01.01.01"/>
    <s v="W_X.10006.01.01.01: Customer Sited Energy Storage Pilot"/>
    <x v="1"/>
    <x v="0"/>
    <x v="0"/>
    <x v="0"/>
    <x v="7"/>
    <n v="140154.20000000001"/>
    <n v="0"/>
    <n v="140154.20000000001"/>
  </r>
  <r>
    <s v="X.10006.02.02.02"/>
    <s v="W_X.10006.02.02.02: EV Charging Program Infrastructure"/>
    <x v="1"/>
    <x v="0"/>
    <x v="0"/>
    <x v="0"/>
    <x v="7"/>
    <n v="-2297632.6732302085"/>
    <n v="-6022703.3382038157"/>
    <n v="3725070.6649736073"/>
  </r>
  <r>
    <s v="X.10006.03.01.05"/>
    <s v="W_X.10006.03.01.05: Community Solar Program 2022-25"/>
    <x v="1"/>
    <x v="0"/>
    <x v="0"/>
    <x v="0"/>
    <x v="7"/>
    <n v="-1829357.0899999996"/>
    <n v="0"/>
    <n v="-1829357.0899999996"/>
  </r>
  <r>
    <s v="X.10007.01.01.01"/>
    <s v="W_X.10007.01.01.01: Covid 19 Work for WUTC Order"/>
    <x v="0"/>
    <x v="0"/>
    <x v="0"/>
    <x v="0"/>
    <x v="7"/>
    <n v="-744122.07000000007"/>
    <n v="0"/>
    <n v="-744122.07000000007"/>
  </r>
  <r>
    <s v="F.10002.01.16.01"/>
    <s v="Placeholder WBS 53b: DER Circuit Enablemnt Virtual Power Plan"/>
    <x v="1"/>
    <x v="0"/>
    <x v="0"/>
    <x v="0"/>
    <x v="1"/>
    <m/>
    <n v="-12011.948750007665"/>
    <n v="12011.948750007665"/>
  </r>
  <r>
    <s v="X.10006.05.01.01"/>
    <s v="W_K.10038.02.01.01: Rooftop Solar Program:DER Solar Project and Programs CEIP"/>
    <x v="1"/>
    <x v="0"/>
    <x v="0"/>
    <x v="0"/>
    <x v="7"/>
    <m/>
    <n v="-3379999.9999999907"/>
    <n v="3379999.9999999907"/>
  </r>
  <r>
    <s v="R.10059.02.01.03"/>
    <s v="PLACEHOLDER WBS 38b: E Volt/Var Optimization"/>
    <x v="1"/>
    <x v="0"/>
    <x v="0"/>
    <x v="0"/>
    <x v="4"/>
    <m/>
    <n v="-779493.89760000783"/>
    <n v="779493.89760000783"/>
  </r>
  <r>
    <s v="F.10002.01.30.01"/>
    <s v="PLACEHOLDER WBS 31b: Hosting Capacity and Customer Portal"/>
    <x v="0"/>
    <x v="0"/>
    <x v="0"/>
    <x v="0"/>
    <x v="1"/>
    <m/>
    <n v="-194225.09758083988"/>
    <n v="194225.09758083988"/>
  </r>
  <r>
    <s v="PLACEHOLDER WBS 24"/>
    <s v="PLACEHOLDER WBS 7b: Demand Response transferred to Placeholder WBS 24"/>
    <x v="1"/>
    <x v="0"/>
    <x v="0"/>
    <x v="0"/>
    <x v="7"/>
    <m/>
    <n v="-321149.78495599958"/>
    <n v="321149.78495599958"/>
  </r>
  <r>
    <s v="F.10002.01.28.01"/>
    <s v="PLACEHOLDER WBS 88b: DER Innovation Process CEIP"/>
    <x v="1"/>
    <x v="0"/>
    <x v="0"/>
    <x v="0"/>
    <x v="7"/>
    <m/>
    <n v="-409618.9999999993"/>
    <n v="409618.9999999993"/>
  </r>
  <r>
    <s v="K.10038.01.01.01"/>
    <s v="W_K.10038.01.01.01: Cust Sited Energy Storage Demos CEIP"/>
    <x v="1"/>
    <x v="0"/>
    <x v="0"/>
    <x v="0"/>
    <x v="7"/>
    <m/>
    <n v="-1039999.9999999983"/>
    <n v="1039999.9999999983"/>
  </r>
  <r>
    <s v="C.10002.12.01.01"/>
    <s v="W_C.10002.12.01.01: Hybrid Working Transition to 50 Percent"/>
    <x v="0"/>
    <x v="0"/>
    <x v="0"/>
    <x v="0"/>
    <x v="0"/>
    <n v="-1045825.5800000001"/>
    <n v="0"/>
    <n v="-1045825.5800000001"/>
  </r>
  <r>
    <s v="C.10003.01.01.03"/>
    <s v="W_C.10003.01.01.03: Furniture Fixtures HVAC Refresh"/>
    <x v="0"/>
    <x v="0"/>
    <x v="0"/>
    <x v="0"/>
    <x v="0"/>
    <n v="-3014945.66"/>
    <n v="0"/>
    <n v="-3014945.66"/>
  </r>
  <r>
    <s v="C.10006.01.01.04"/>
    <s v="W_C.10006.01.01.04: EEI Fleet Electrical Commitment"/>
    <x v="1"/>
    <x v="0"/>
    <x v="0"/>
    <x v="0"/>
    <x v="0"/>
    <n v="-348942.11"/>
    <n v="0"/>
    <n v="-348942.11"/>
  </r>
  <r>
    <s v="F.10002.01.20.01"/>
    <s v="W_F.10002.01.20.01: Front Office Enhancements"/>
    <x v="1"/>
    <x v="0"/>
    <x v="0"/>
    <x v="0"/>
    <x v="1"/>
    <n v="-2216233.5699999998"/>
    <n v="0"/>
    <n v="-2216233.5699999998"/>
  </r>
  <r>
    <s v="F.10002.01.26.01"/>
    <s v="W_F.10002.01.26.01: Urbint Enhancement"/>
    <x v="2"/>
    <x v="0"/>
    <x v="0"/>
    <x v="0"/>
    <x v="1"/>
    <n v="-259777.62"/>
    <n v="-1556639.0985517884"/>
    <n v="1296861.4785517883"/>
  </r>
  <r>
    <s v="F.10002.01.31.01"/>
    <s v="W_F.10002.01.31.01: Sendout Replacement"/>
    <x v="2"/>
    <x v="0"/>
    <x v="0"/>
    <x v="0"/>
    <x v="1"/>
    <n v="-211064.18"/>
    <n v="0"/>
    <n v="-211064.18"/>
  </r>
  <r>
    <s v="F.10002.06.05.02"/>
    <s v="W_F.10002.06.05.02: PSE 2030 Digital Experience Non CEIP"/>
    <x v="0"/>
    <x v="0"/>
    <x v="0"/>
    <x v="0"/>
    <x v="1"/>
    <n v="-278769.55"/>
    <n v="-2075710.4702499928"/>
    <n v="1796940.9202499927"/>
  </r>
  <r>
    <s v="F.10002.06.08.04"/>
    <s v="W_F.10002.06.08.04: Billing Correction Automation"/>
    <x v="0"/>
    <x v="0"/>
    <x v="0"/>
    <x v="0"/>
    <x v="1"/>
    <n v="-3229430.16"/>
    <n v="0"/>
    <n v="-3229430.16"/>
  </r>
  <r>
    <s v="F.10002.07.03.01"/>
    <s v="W_F.10002.07.03.01: GIS Upgrade Smallworld"/>
    <x v="0"/>
    <x v="0"/>
    <x v="0"/>
    <x v="0"/>
    <x v="1"/>
    <n v="-1534151.84"/>
    <n v="0"/>
    <n v="-1534151.84"/>
  </r>
  <r>
    <s v="F.10002.07.04.01"/>
    <s v="W_F.10002.07.04.01: Streetlight New Business DB SAP Conversn"/>
    <x v="1"/>
    <x v="0"/>
    <x v="0"/>
    <x v="0"/>
    <x v="1"/>
    <n v="-143896.11000000002"/>
    <n v="0"/>
    <n v="-143896.11000000002"/>
  </r>
  <r>
    <s v="F.10002.07.08.01"/>
    <s v="W_F.10002.07.08.01: eGRC Archer"/>
    <x v="0"/>
    <x v="0"/>
    <x v="0"/>
    <x v="0"/>
    <x v="1"/>
    <n v="-944878.86"/>
    <n v="0"/>
    <n v="-944878.86"/>
  </r>
  <r>
    <s v="F.10003.04.01.01"/>
    <s v="W_F.10003.04.01.01: Digital Workplace Transformation"/>
    <x v="0"/>
    <x v="0"/>
    <x v="0"/>
    <x v="0"/>
    <x v="1"/>
    <n v="-957357.45"/>
    <n v="0"/>
    <n v="-957357.45"/>
  </r>
  <r>
    <s v="F.10015.01.03.02"/>
    <s v="W_F.10015.01.03.02: Oracle Upgrades 2023"/>
    <x v="0"/>
    <x v="0"/>
    <x v="0"/>
    <x v="0"/>
    <x v="1"/>
    <n v="-53665.39"/>
    <n v="0"/>
    <n v="-53665.39"/>
  </r>
  <r>
    <s v="F.10015.02.24.01"/>
    <s v="W_F.10015.02.24.01: PI Vision Suite Migration"/>
    <x v="0"/>
    <x v="0"/>
    <x v="0"/>
    <x v="0"/>
    <x v="1"/>
    <n v="-647845.66"/>
    <n v="0"/>
    <n v="-647845.66"/>
  </r>
  <r>
    <s v="F.10015.04.07.01"/>
    <s v="W_F.10015.04.07.01: LoadSEER Non-production Environmnt Purch"/>
    <x v="1"/>
    <x v="0"/>
    <x v="0"/>
    <x v="0"/>
    <x v="1"/>
    <n v="-175823.08"/>
    <n v="0"/>
    <n v="-175823.08"/>
  </r>
  <r>
    <s v="F.10015.05.04.02"/>
    <s v="W_F.10015.05.04.02: Annual Quality Framework Enhancemnt 2023"/>
    <x v="0"/>
    <x v="0"/>
    <x v="0"/>
    <x v="0"/>
    <x v="1"/>
    <n v="-175716.3"/>
    <n v="0"/>
    <n v="-175716.3"/>
  </r>
  <r>
    <s v="F.10015.05.10.01"/>
    <s v="W_F.10015.05.10.01: Work Manager Upgrade"/>
    <x v="0"/>
    <x v="0"/>
    <x v="0"/>
    <x v="0"/>
    <x v="1"/>
    <n v="-270244.25"/>
    <n v="0"/>
    <n v="-270244.25"/>
  </r>
  <r>
    <s v="F.10015.06.24.03"/>
    <s v="W_F.10015.06.24.03: POI - HANA DR Enablement"/>
    <x v="0"/>
    <x v="0"/>
    <x v="0"/>
    <x v="0"/>
    <x v="1"/>
    <n v="-156400.57"/>
    <n v="0"/>
    <n v="-156400.57"/>
  </r>
  <r>
    <s v="F.10015.06.26.02"/>
    <s v="W_F.10015.06.26.02: SAP Business Process Monitoring"/>
    <x v="0"/>
    <x v="0"/>
    <x v="0"/>
    <x v="0"/>
    <x v="1"/>
    <n v="-49287.6"/>
    <n v="0"/>
    <n v="-49287.6"/>
  </r>
  <r>
    <s v="F.10015.06.28.01"/>
    <s v="W_F.10015.06.28.01: Annual SQL Server Patches"/>
    <x v="0"/>
    <x v="0"/>
    <x v="0"/>
    <x v="0"/>
    <x v="1"/>
    <n v="-137262.07999999999"/>
    <n v="0"/>
    <n v="-137262.07999999999"/>
  </r>
  <r>
    <s v="F.10015.08.11.07"/>
    <s v="W_F.10015.08.11.07: Annual ServiceNow Platform Upgrades"/>
    <x v="0"/>
    <x v="0"/>
    <x v="0"/>
    <x v="0"/>
    <x v="1"/>
    <n v="-35417.21"/>
    <n v="0"/>
    <n v="-35417.21"/>
  </r>
  <r>
    <s v="F.10015.08.14.04"/>
    <s v="W_F.10015.08.14.04: Sitecore Autoscaling 2023"/>
    <x v="0"/>
    <x v="0"/>
    <x v="0"/>
    <x v="0"/>
    <x v="1"/>
    <n v="-485772.88"/>
    <n v="0"/>
    <n v="-485772.88"/>
  </r>
  <r>
    <s v="F.10015.08.14.05"/>
    <s v="W_F.10015.08.14.05: Consolidate Web Platforms"/>
    <x v="0"/>
    <x v="0"/>
    <x v="0"/>
    <x v="0"/>
    <x v="1"/>
    <n v="-482646.76"/>
    <n v="0"/>
    <n v="-482646.76"/>
  </r>
  <r>
    <s v="F.10015.08.18.02"/>
    <s v="W_F.10015.08.18.02: Microservices Refactoring with Cassandra"/>
    <x v="0"/>
    <x v="0"/>
    <x v="0"/>
    <x v="0"/>
    <x v="1"/>
    <n v="-390708.47999999998"/>
    <n v="0"/>
    <n v="-390708.47999999998"/>
  </r>
  <r>
    <s v="F.10015.08.20.01"/>
    <s v="W_F.10015.08.20.01: Annual Splunk Growth (2023-27)"/>
    <x v="0"/>
    <x v="0"/>
    <x v="0"/>
    <x v="0"/>
    <x v="1"/>
    <n v="-84038.26"/>
    <n v="0"/>
    <n v="-84038.26"/>
  </r>
  <r>
    <s v="F.10015.08.20.02"/>
    <s v="W_F.10015.08.20.02: Splunk Version Upgrades 2023"/>
    <x v="0"/>
    <x v="0"/>
    <x v="0"/>
    <x v="0"/>
    <x v="1"/>
    <n v="-175404.75"/>
    <n v="0"/>
    <n v="-175404.75"/>
  </r>
  <r>
    <s v="F.10015.08.20.03"/>
    <s v="W_F.10015.08.20.03: Annual Splunk Security Improvements"/>
    <x v="0"/>
    <x v="0"/>
    <x v="0"/>
    <x v="0"/>
    <x v="1"/>
    <n v="-68963.759999999995"/>
    <n v="0"/>
    <n v="-68963.759999999995"/>
  </r>
  <r>
    <s v="F.10015.08.21.01"/>
    <s v="W_F.10015.08.21.01: DataStax Astra Migration"/>
    <x v="0"/>
    <x v="0"/>
    <x v="0"/>
    <x v="0"/>
    <x v="1"/>
    <n v="-471605"/>
    <n v="0"/>
    <n v="-471605"/>
  </r>
  <r>
    <s v="F.10015.08.24.01"/>
    <s v="W_F.10015.08.24.01: Twilio/SendGrid Replacement"/>
    <x v="0"/>
    <x v="0"/>
    <x v="0"/>
    <x v="0"/>
    <x v="1"/>
    <n v="-772496.25000000012"/>
    <n v="0"/>
    <n v="-772496.25000000012"/>
  </r>
  <r>
    <s v="F.10016.01.01.04"/>
    <s v="W_F.10016.01.01.04: IT Enterprise Architecture 2023-27"/>
    <x v="0"/>
    <x v="0"/>
    <x v="0"/>
    <x v="0"/>
    <x v="1"/>
    <n v="-184143.81"/>
    <n v="0"/>
    <n v="-184143.81"/>
  </r>
  <r>
    <s v="F.10017.02.02.04"/>
    <s v="W_F.10017.02.02.04: Annual Data Center Tech Refresh (2023+)"/>
    <x v="0"/>
    <x v="0"/>
    <x v="0"/>
    <x v="0"/>
    <x v="1"/>
    <n v="-428200.25"/>
    <n v="0"/>
    <n v="-428200.25"/>
  </r>
  <r>
    <s v="F.10017.03.08.01"/>
    <s v="W_F.10017.03.08.01: Annual  AV/Conf Room Tech Refresh"/>
    <x v="0"/>
    <x v="0"/>
    <x v="0"/>
    <x v="0"/>
    <x v="1"/>
    <n v="-139126.70000000001"/>
    <n v="0"/>
    <n v="-139126.70000000001"/>
  </r>
  <r>
    <s v="F.10017.05.07.02"/>
    <s v="W_F.10017.05.07.02: DC Battery Management 2022-26"/>
    <x v="0"/>
    <x v="0"/>
    <x v="0"/>
    <x v="0"/>
    <x v="1"/>
    <n v="-186899.47999999998"/>
    <n v="0"/>
    <n v="-186899.47999999998"/>
  </r>
  <r>
    <s v="F.10017.07.01.04"/>
    <s v="W_F.10017.07.01.04: OpenText ECM Upgrade"/>
    <x v="0"/>
    <x v="0"/>
    <x v="0"/>
    <x v="0"/>
    <x v="1"/>
    <n v="-522840.7"/>
    <n v="0"/>
    <n v="-522840.7"/>
  </r>
  <r>
    <s v="F.10017.09.11.01"/>
    <s v="W_F.10017.09.11.01: Annual Network&amp;Voice Tech Refresh/Growth"/>
    <x v="0"/>
    <x v="0"/>
    <x v="0"/>
    <x v="0"/>
    <x v="1"/>
    <n v="-799360.76"/>
    <n v="0"/>
    <n v="-799360.76"/>
  </r>
  <r>
    <s v="F.10017.10.20.01"/>
    <s v="W_F.10017.10.20.01: Annual Corporate Comm Room Tech Refresh"/>
    <x v="0"/>
    <x v="0"/>
    <x v="0"/>
    <x v="0"/>
    <x v="1"/>
    <n v="-129316.09"/>
    <n v="0"/>
    <n v="-129316.09"/>
  </r>
  <r>
    <s v="F.10017.10.21.01"/>
    <s v="W_F.10017.10.21.01: Purch &amp; Implmnt Syst Orchestration Tool"/>
    <x v="0"/>
    <x v="0"/>
    <x v="0"/>
    <x v="0"/>
    <x v="1"/>
    <n v="-126827.98"/>
    <n v="0"/>
    <n v="-126827.98"/>
  </r>
  <r>
    <s v="F.10017.12.29.01"/>
    <s v="W_F.10017.12.29.01: Annual Telecom Comm Sites Tech Refresh"/>
    <x v="0"/>
    <x v="0"/>
    <x v="0"/>
    <x v="0"/>
    <x v="1"/>
    <n v="-335795.19"/>
    <n v="0"/>
    <n v="-335795.19"/>
  </r>
  <r>
    <s v="F.10025.01.04.05"/>
    <s v="W_F.10025.01.04.05: Reconeyez Wireless Video"/>
    <x v="0"/>
    <x v="0"/>
    <x v="0"/>
    <x v="0"/>
    <x v="1"/>
    <n v="-616432.77"/>
    <n v="0"/>
    <n v="-616432.77"/>
  </r>
  <r>
    <s v="F.10025.01.05.01"/>
    <s v="W_F.10025.01.05.01: Zero Trust Strategy for TSA Gas Pipeline"/>
    <x v="2"/>
    <x v="0"/>
    <x v="0"/>
    <x v="0"/>
    <x v="1"/>
    <n v="-1372689.31"/>
    <n v="0"/>
    <n v="-1372689.31"/>
  </r>
  <r>
    <s v="F.10025.01.05.03"/>
    <s v="W_F.10025.01.05.03: Jackson Prairie IT Infrastructure"/>
    <x v="2"/>
    <x v="0"/>
    <x v="0"/>
    <x v="0"/>
    <x v="1"/>
    <n v="-213097.9"/>
    <n v="0"/>
    <n v="-213097.9"/>
  </r>
  <r>
    <s v="F.10026.01.01.03"/>
    <s v="W_F.10026.01.01.03: Robotic Process Automation (2023-27)"/>
    <x v="0"/>
    <x v="0"/>
    <x v="0"/>
    <x v="0"/>
    <x v="1"/>
    <n v="-415822.3"/>
    <n v="0"/>
    <n v="-415822.3"/>
  </r>
  <r>
    <s v="K.10008.01.01.05"/>
    <s v="W_K.10008.01.01.05: FREDDY 1 Major Maintenance Activity"/>
    <x v="1"/>
    <x v="0"/>
    <x v="0"/>
    <x v="0"/>
    <x v="5"/>
    <n v="-3892596.55"/>
    <n v="0"/>
    <n v="-3892596.55"/>
  </r>
  <r>
    <s v="K.10011.01.03.01"/>
    <s v="W_K.10011.01.03.01: FRE Major Maintenance Activity"/>
    <x v="1"/>
    <x v="0"/>
    <x v="0"/>
    <x v="0"/>
    <x v="5"/>
    <n v="-3436991.0099999993"/>
    <n v="0"/>
    <n v="-3436991.0099999993"/>
  </r>
  <r>
    <s v="K.10020.01.01.07"/>
    <s v="W_K.10020.01.01.07: MTF Major Maintenance"/>
    <x v="1"/>
    <x v="0"/>
    <x v="0"/>
    <x v="0"/>
    <x v="5"/>
    <n v="-24497000.530000001"/>
    <n v="0"/>
    <n v="-24497000.530000001"/>
  </r>
  <r>
    <s v="R.10006.01.01.08"/>
    <s v="W_R.10006.01.01.08: E Substation SCADA (Non-CEIP)"/>
    <x v="1"/>
    <x v="4"/>
    <x v="4"/>
    <x v="2"/>
    <x v="4"/>
    <n v="-1735036.521348729"/>
    <n v="0"/>
    <n v="-1735036.521348729"/>
  </r>
  <r>
    <s v="R.10009.08.07.01"/>
    <s v="W_R.10009.08.07.01: E Fault Location"/>
    <x v="1"/>
    <x v="2"/>
    <x v="2"/>
    <x v="1"/>
    <x v="4"/>
    <n v="-45509.87"/>
    <n v="0"/>
    <n v="-45509.87"/>
  </r>
  <r>
    <s v="R.10015.03.09.16"/>
    <s v="W_R.10015.03.09.16: G NRF Retirement Program"/>
    <x v="2"/>
    <x v="2"/>
    <x v="2"/>
    <x v="1"/>
    <x v="4"/>
    <n v="-17267.640000000003"/>
    <n v="0"/>
    <n v="-17267.640000000003"/>
  </r>
  <r>
    <s v="R.10015.08.01.02"/>
    <s v="W_R.10015.08.01.02: G Enhanced Methane Emissions Reduction"/>
    <x v="2"/>
    <x v="18"/>
    <x v="4"/>
    <x v="10"/>
    <x v="4"/>
    <n v="-3890525.25"/>
    <n v="0"/>
    <n v="-3890525.25"/>
  </r>
  <r>
    <s v="R.10034.01.01.03"/>
    <s v="W_R.10034.01.01.03: E Pierce Co 230Kv Alderton Tline"/>
    <x v="1"/>
    <x v="2"/>
    <x v="2"/>
    <x v="1"/>
    <x v="4"/>
    <n v="-16426.059999999998"/>
    <n v="0"/>
    <n v="-16426.059999999998"/>
  </r>
  <r>
    <s v="R.10035.01.01.01"/>
    <s v="W_R.10035.01.01.01: E Alderton Electron Hgts 115Kv Ph2 Tline"/>
    <x v="1"/>
    <x v="2"/>
    <x v="3"/>
    <x v="0"/>
    <x v="4"/>
    <n v="-1635.29"/>
    <n v="0"/>
    <n v="-1635.29"/>
  </r>
  <r>
    <s v="R.10059.06.01.01"/>
    <s v="W_R.10059.06.01.01: E Conservation Voltage Reduction"/>
    <x v="1"/>
    <x v="4"/>
    <x v="4"/>
    <x v="2"/>
    <x v="4"/>
    <n v="-10674.04"/>
    <n v="0"/>
    <n v="-10674.04"/>
  </r>
  <r>
    <s v="X.10006.02.03.02"/>
    <s v="W_X.10006.02.03.02: Transprtatn Electrificatn Plan General"/>
    <x v="1"/>
    <x v="0"/>
    <x v="0"/>
    <x v="0"/>
    <x v="7"/>
    <n v="-396715.91"/>
    <n v="0"/>
    <n v="-396715.91"/>
  </r>
  <r>
    <s v="C.10002.02.02.01"/>
    <s v="W_C.10002.02.02.01: CLSD East Building Retirement"/>
    <x v="0"/>
    <x v="0"/>
    <x v="0"/>
    <x v="0"/>
    <x v="0"/>
    <n v="0"/>
    <n v="-12462842.578559984"/>
    <n v="12462842.578559984"/>
  </r>
  <r>
    <s v="C.10002.04.03.01"/>
    <s v="W_C.10002.04.03.01: CLSD New Headquarters TI"/>
    <x v="0"/>
    <x v="0"/>
    <x v="0"/>
    <x v="0"/>
    <x v="0"/>
    <n v="0"/>
    <n v="-14472.17"/>
    <n v="14472.17"/>
  </r>
  <r>
    <s v="C.10002.09.01.01"/>
    <s v="W_C.10002.09.01.01: CLSD BUCC relocation"/>
    <x v="0"/>
    <x v="0"/>
    <x v="0"/>
    <x v="0"/>
    <x v="0"/>
    <n v="0"/>
    <n v="-707.89717266828973"/>
    <n v="707.89717266828973"/>
  </r>
  <r>
    <s v="PLACEHOLDER WBS 34"/>
    <s v="PLACEHOLDER WBS 34: Crystal Mountain "/>
    <x v="1"/>
    <x v="0"/>
    <x v="0"/>
    <x v="0"/>
    <x v="5"/>
    <n v="0"/>
    <n v="-13040.026999999964"/>
    <n v="13040.026999999964"/>
  </r>
  <r>
    <s v="F.10002.01.34.01"/>
    <s v="W_F.10002.01.34.01: IWM Enhancements"/>
    <x v="0"/>
    <x v="0"/>
    <x v="0"/>
    <x v="0"/>
    <x v="1"/>
    <n v="0"/>
    <n v="-752309.25"/>
    <n v="752309.25"/>
  </r>
  <r>
    <s v="K.10012.01.01.10"/>
    <s v="W_K.10012.01.01.10: BPCC Faster Pmt Posting"/>
    <x v="0"/>
    <x v="0"/>
    <x v="0"/>
    <x v="0"/>
    <x v="1"/>
    <n v="0"/>
    <n v="-4834241.3076954903"/>
    <n v="4834241.3076954903"/>
  </r>
  <r>
    <s v="R.10059.02.01.09"/>
    <s v="W_R.10059.02.01.09: E Property Acquisition Cir Enablement"/>
    <x v="1"/>
    <x v="4"/>
    <x v="4"/>
    <x v="2"/>
    <x v="4"/>
    <n v="0"/>
    <n v="-5600000.0000000037"/>
    <n v="5600000.0000000037"/>
  </r>
  <r>
    <s v="C.10002.02.03.01"/>
    <s v="W_C.10002.02.03.01: RedWest Vacate and SKC Buildout"/>
    <x v="0"/>
    <x v="0"/>
    <x v="0"/>
    <x v="0"/>
    <x v="0"/>
    <n v="0"/>
    <n v="-5000000.0000000037"/>
    <n v="5000000.0000000037"/>
  </r>
  <r>
    <s v="C.20001.01.01.01"/>
    <s v="W_C.20001.01.01.01: Transformer Retirement and Disposal"/>
    <x v="1"/>
    <x v="0"/>
    <x v="0"/>
    <x v="0"/>
    <x v="2"/>
    <n v="0"/>
    <n v="-1658458.9199999992"/>
    <n v="1658458.9199999992"/>
  </r>
  <r>
    <s v="C.20001.02.01.01"/>
    <s v="W_C.20001.02.01.01: Treated Wood Disposal"/>
    <x v="1"/>
    <x v="0"/>
    <x v="0"/>
    <x v="0"/>
    <x v="2"/>
    <n v="0"/>
    <n v="-431725.07999999978"/>
    <n v="431725.07999999978"/>
  </r>
  <r>
    <s v="F.10015.04.04.01"/>
    <s v="W_F.10015.04.04.01: GIS SmallWorld Upgrade"/>
    <x v="0"/>
    <x v="0"/>
    <x v="0"/>
    <x v="0"/>
    <x v="1"/>
    <n v="0"/>
    <n v="-2000000.000000004"/>
    <n v="2000000.000000004"/>
  </r>
  <r>
    <s v="F.10017.05.04.02"/>
    <s v="W_F.10017.05.04.02: AV Updates"/>
    <x v="0"/>
    <x v="0"/>
    <x v="0"/>
    <x v="0"/>
    <x v="1"/>
    <n v="0"/>
    <n v="-1003078.9999999995"/>
    <n v="1003078.9999999995"/>
  </r>
  <r>
    <s v="F.10017.07.01.02"/>
    <s v="W_F.10017.07.01.02: OpenText Migrations"/>
    <x v="0"/>
    <x v="0"/>
    <x v="0"/>
    <x v="0"/>
    <x v="1"/>
    <n v="0"/>
    <n v="-852336.81811125285"/>
    <n v="852336.81811125285"/>
  </r>
  <r>
    <s v="F.10017.13.02.02"/>
    <s v="W_F.10017.13.02.02: Annual VOIP Deployment and Refresh"/>
    <x v="0"/>
    <x v="0"/>
    <x v="0"/>
    <x v="0"/>
    <x v="1"/>
    <n v="0"/>
    <n v="-4.3576999492663603E-2"/>
    <n v="4.3576999492663603E-2"/>
  </r>
  <r>
    <s v="K.10035.01.01.02"/>
    <s v="W_K.10035.01.01.02: FRA Unit 2 to 4 Hot Gas Path"/>
    <x v="1"/>
    <x v="0"/>
    <x v="0"/>
    <x v="0"/>
    <x v="5"/>
    <n v="0"/>
    <n v="-1447.5462448451858"/>
    <n v="1447.5462448451858"/>
  </r>
  <r>
    <s v="R.10009.12.04.01"/>
    <s v="W_R.10009.12.04.01: E Trans Automation Placeholder"/>
    <x v="1"/>
    <x v="2"/>
    <x v="2"/>
    <x v="1"/>
    <x v="4"/>
    <n v="0"/>
    <n v="-524.70298175999994"/>
    <n v="524.70298175999994"/>
  </r>
  <r>
    <s v="R.10009.14.05.15"/>
    <s v="W_R.10009.14.05.15: E Subs CAP Transient Security Issues Dis"/>
    <x v="1"/>
    <x v="2"/>
    <x v="2"/>
    <x v="1"/>
    <x v="4"/>
    <n v="0"/>
    <n v="-25677.839382580027"/>
    <n v="25677.839382580027"/>
  </r>
  <r>
    <s v="R.10037.01.01.07"/>
    <s v="W_R.10037.01.01.07: G Scrap Sale Plt Meters Dist"/>
    <x v="2"/>
    <x v="0"/>
    <x v="0"/>
    <x v="0"/>
    <x v="2"/>
    <n v="0"/>
    <n v="-1920.0000000000036"/>
    <n v="1920.0000000000036"/>
  </r>
  <r>
    <s v="R.10044.01.01.03"/>
    <s v="W_R.10044.01.01.03: E Lake Holm Substation Subs"/>
    <x v="1"/>
    <x v="2"/>
    <x v="2"/>
    <x v="1"/>
    <x v="4"/>
    <n v="0"/>
    <n v="-385505.82864000025"/>
    <n v="385505.82864000025"/>
  </r>
  <r>
    <s v="R.10009.07.03.02"/>
    <s v="W_R.10009.07.03.02: E OH UG System Improv Opport New Trans"/>
    <x v="1"/>
    <x v="8"/>
    <x v="5"/>
    <x v="3"/>
    <x v="4"/>
    <n v="0"/>
    <n v="-366.15172416000001"/>
    <n v="366.15172416000001"/>
  </r>
  <r>
    <s v="R.10039.03.01.01"/>
    <s v="W_R.10039.03.01.01: E White River Krain Substation"/>
    <x v="1"/>
    <x v="7"/>
    <x v="4"/>
    <x v="5"/>
    <x v="4"/>
    <n v="0"/>
    <n v="-9072.57"/>
    <n v="9072.57"/>
  </r>
  <r>
    <s v="F.10007.02.01.02"/>
    <s v="W_F.10007.02.01.02: IT Operational Funding"/>
    <x v="0"/>
    <x v="0"/>
    <x v="0"/>
    <x v="0"/>
    <x v="1"/>
    <n v="0"/>
    <n v="-31095448.999999966"/>
    <n v="31095448.999999966"/>
  </r>
  <r>
    <s v="R.10003.01.01.01"/>
    <s v="W_R.10003.01.01.01: E Lake Tradition 230Kv Development"/>
    <x v="1"/>
    <x v="2"/>
    <x v="2"/>
    <x v="1"/>
    <x v="4"/>
    <n v="0"/>
    <n v="-27570.89"/>
    <n v="27570.89"/>
  </r>
  <r>
    <s v="R.10037.01.01.06"/>
    <s v="W_R.10037.01.01.06: G Removal Cost Meters"/>
    <x v="2"/>
    <x v="0"/>
    <x v="0"/>
    <x v="0"/>
    <x v="2"/>
    <n v="0"/>
    <n v="-127819.20000000042"/>
    <n v="127819.20000000042"/>
  </r>
  <r>
    <s v="R.10037.01.01.01"/>
    <s v="W_R.10037.01.01.01: E Removal Cost Meters"/>
    <x v="1"/>
    <x v="0"/>
    <x v="0"/>
    <x v="0"/>
    <x v="2"/>
    <n v="0"/>
    <n v="-456998.8599999994"/>
    <n v="456998.8599999994"/>
  </r>
  <r>
    <s v="R.10015.06.01.11"/>
    <s v="W_R.10015.06.01.11: G Project Initiation"/>
    <x v="2"/>
    <x v="19"/>
    <x v="4"/>
    <x v="0"/>
    <x v="4"/>
    <n v="0"/>
    <n v="-2830389.3665578598"/>
    <n v="2830389.3665578598"/>
  </r>
  <r>
    <s v="R.10009.08.02.23"/>
    <s v="W_R.10009.08.02.23: E Project Initiation"/>
    <x v="1"/>
    <x v="10"/>
    <x v="4"/>
    <x v="0"/>
    <x v="4"/>
    <n v="0"/>
    <n v="-31978133.108033676"/>
    <n v="31978133.108033676"/>
  </r>
  <r>
    <s v="R.99999.99.99.99"/>
    <s v="W_R.99999.99.99.99: General Transmission Project (Offest to Energize Eastside)"/>
    <x v="1"/>
    <x v="2"/>
    <x v="2"/>
    <x v="1"/>
    <x v="4"/>
    <n v="0"/>
    <n v="40119811.454329111"/>
    <n v="-40119811.454329111"/>
  </r>
  <r>
    <s v="C.10004.01.01.02"/>
    <s v="W_C.10004.01.01.02: Wireless PCS Construction"/>
    <x v="1"/>
    <x v="2"/>
    <x v="2"/>
    <x v="1"/>
    <x v="4"/>
    <n v="0"/>
    <n v="-59235.828801300908"/>
    <n v="59235.828801300908"/>
  </r>
  <r>
    <s v="F.10002.01.22.01"/>
    <s v="W_F.10002.01.22.01: Click Schedule Replacement"/>
    <x v="0"/>
    <x v="0"/>
    <x v="0"/>
    <x v="0"/>
    <x v="1"/>
    <n v="0"/>
    <n v="-7264315.7932416741"/>
    <n v="7264315.7932416741"/>
  </r>
  <r>
    <s v="F.10002.01.25.01"/>
    <s v="W_F.10002.01.25.01: Transmission &amp; Generation Facilities DB"/>
    <x v="1"/>
    <x v="0"/>
    <x v="0"/>
    <x v="0"/>
    <x v="1"/>
    <n v="0"/>
    <n v="-3293534.9291970716"/>
    <n v="3293534.9291970716"/>
  </r>
  <r>
    <s v="F.10015.02.17.01"/>
    <s v="W_F.10015.02.17.01: Distribution Management System"/>
    <x v="1"/>
    <x v="0"/>
    <x v="0"/>
    <x v="0"/>
    <x v="1"/>
    <n v="0"/>
    <n v="-13682163.113017503"/>
    <n v="13682163.113017503"/>
  </r>
  <r>
    <s v="F.10015.08.13.03"/>
    <s v="W_F.10015.08.13.03: UI Enhancements Phase 3"/>
    <x v="0"/>
    <x v="0"/>
    <x v="0"/>
    <x v="0"/>
    <x v="1"/>
    <n v="0"/>
    <n v="-951662.06136646483"/>
    <n v="951662.06136646483"/>
  </r>
  <r>
    <s v="F.10017.05.04.01"/>
    <s v="W_F.10017.05.04.01: Workplace Mobility Program"/>
    <x v="0"/>
    <x v="0"/>
    <x v="0"/>
    <x v="0"/>
    <x v="1"/>
    <n v="0"/>
    <n v="-1002546.142512465"/>
    <n v="1002546.142512465"/>
  </r>
  <r>
    <s v="F.10017.13.03.02"/>
    <s v="W_F.10017.13.03.02: VOIP Deployment and Refresh"/>
    <x v="1"/>
    <x v="0"/>
    <x v="0"/>
    <x v="0"/>
    <x v="1"/>
    <n v="0"/>
    <n v="-421.66687436472955"/>
    <n v="421.66687436472955"/>
  </r>
  <r>
    <s v="K.10006.01.01.01"/>
    <s v="W_K.10006.01.01.01: ENC Small Tools"/>
    <x v="1"/>
    <x v="0"/>
    <x v="0"/>
    <x v="0"/>
    <x v="5"/>
    <n v="0"/>
    <n v="-247.00998259545034"/>
    <n v="247.00998259545034"/>
  </r>
  <r>
    <s v="K.10010.01.01.03"/>
    <s v="W_K.10010.01.01.03: FRE Small Tools"/>
    <x v="1"/>
    <x v="0"/>
    <x v="0"/>
    <x v="0"/>
    <x v="5"/>
    <n v="0"/>
    <n v="-1030.8043452929946"/>
    <n v="1030.8043452929946"/>
  </r>
  <r>
    <s v="K.10020.01.01.03"/>
    <s v="W_K.10020.01.01.03: MTF CT Major Maintenance"/>
    <x v="1"/>
    <x v="0"/>
    <x v="0"/>
    <x v="0"/>
    <x v="5"/>
    <n v="0"/>
    <n v="4193238.3499930049"/>
    <n v="-4193238.3499930049"/>
  </r>
  <r>
    <s v="K.10023.01.01.01"/>
    <s v="W_K.10023.01.01.01: SMS Small Tools"/>
    <x v="1"/>
    <x v="0"/>
    <x v="0"/>
    <x v="0"/>
    <x v="5"/>
    <n v="0"/>
    <n v="-1057.8890008416356"/>
    <n v="1057.8890008416356"/>
  </r>
  <r>
    <s v="R.10004.01.01.01"/>
    <s v="W_R.10004.01.01.01: C Franchises"/>
    <x v="0"/>
    <x v="2"/>
    <x v="2"/>
    <x v="1"/>
    <x v="4"/>
    <n v="0"/>
    <n v="-146624.00000000041"/>
    <n v="146624.00000000041"/>
  </r>
  <r>
    <s v="R.10005.01.01.04"/>
    <s v="W_R.10005.01.01.04: E Eastside 230Kv Subs Rose Hill"/>
    <x v="1"/>
    <x v="2"/>
    <x v="2"/>
    <x v="1"/>
    <x v="4"/>
    <n v="0"/>
    <n v="-8529285.6655276697"/>
    <n v="8529285.6655276697"/>
  </r>
  <r>
    <s v="R.10008.02.01.01"/>
    <s v="W_R.10008.02.01.01: E Franchises"/>
    <x v="1"/>
    <x v="2"/>
    <x v="2"/>
    <x v="1"/>
    <x v="4"/>
    <n v="0"/>
    <n v="-2433475.0000000047"/>
    <n v="2433475.0000000047"/>
  </r>
  <r>
    <s v="R.10008.07.02.01"/>
    <s v="W_R.10008.07.02.01: E King County Clr Zone Pole Prog Dist"/>
    <x v="1"/>
    <x v="8"/>
    <x v="5"/>
    <x v="3"/>
    <x v="4"/>
    <n v="0"/>
    <n v="-3027511.3667107685"/>
    <n v="3027511.3667107685"/>
  </r>
  <r>
    <s v="R.10009.03.01.01"/>
    <s v="W_R.10009.03.01.01: E Clyde Hill Switching Station"/>
    <x v="1"/>
    <x v="7"/>
    <x v="4"/>
    <x v="5"/>
    <x v="4"/>
    <n v="0"/>
    <n v="-293524.86"/>
    <n v="293524.86"/>
  </r>
  <r>
    <s v="R.10009.08.02.18"/>
    <s v="W_R.10009.08.02.18: E OH Sys Capacity Upgrades Uprates Trans"/>
    <x v="1"/>
    <x v="2"/>
    <x v="2"/>
    <x v="1"/>
    <x v="4"/>
    <n v="0"/>
    <n v="-809.57372929571864"/>
    <n v="809.57372929571864"/>
  </r>
  <r>
    <s v="R.10009.08.02.20"/>
    <s v="W_R.10009.08.02.20: E OH Transformer PCB Remediation"/>
    <x v="1"/>
    <x v="2"/>
    <x v="2"/>
    <x v="1"/>
    <x v="4"/>
    <n v="0"/>
    <n v="-3019.2287270564416"/>
    <n v="3019.2287270564416"/>
  </r>
  <r>
    <s v="R.10009.08.05.04"/>
    <s v="W_R.10009.08.05.04: E Pole Replacement Due To Joint Use"/>
    <x v="1"/>
    <x v="0"/>
    <x v="0"/>
    <x v="0"/>
    <x v="7"/>
    <n v="0"/>
    <n v="-1548118.7639594919"/>
    <n v="1548118.7639594919"/>
  </r>
  <r>
    <s v="R.10009.08.06.01"/>
    <s v="W_R.10009.08.06.01: E Root Cause Analysis"/>
    <x v="1"/>
    <x v="7"/>
    <x v="4"/>
    <x v="5"/>
    <x v="4"/>
    <n v="0"/>
    <n v="-896569.74399518361"/>
    <n v="896569.74399518361"/>
  </r>
  <r>
    <s v="R.10009.09.01.02"/>
    <s v="W_R.10009.09.01.02: E Emergent Major Projects Trans"/>
    <x v="1"/>
    <x v="2"/>
    <x v="2"/>
    <x v="1"/>
    <x v="4"/>
    <n v="0"/>
    <n v="-1168.2136096328079"/>
    <n v="1168.2136096328079"/>
  </r>
  <r>
    <s v="R.10009.10.01.01"/>
    <s v="W_R.10009.10.01.01: E Issaquah Highland Substation"/>
    <x v="1"/>
    <x v="7"/>
    <x v="4"/>
    <x v="5"/>
    <x v="4"/>
    <n v="0"/>
    <n v="-131192.39999999997"/>
    <n v="131192.39999999997"/>
  </r>
  <r>
    <s v="R.10009.12.02.04"/>
    <s v="W_R.10009.12.02.04: E Conservation Voltage Reduction"/>
    <x v="1"/>
    <x v="4"/>
    <x v="4"/>
    <x v="2"/>
    <x v="4"/>
    <n v="0"/>
    <n v="-19619.743762079994"/>
    <n v="19619.743762079994"/>
  </r>
  <r>
    <s v="R.10009.12.03.04"/>
    <s v="W_R.10009.12.03.04: E Network and Automate Grid"/>
    <x v="1"/>
    <x v="4"/>
    <x v="4"/>
    <x v="2"/>
    <x v="4"/>
    <n v="0"/>
    <n v="-235723.56499999951"/>
    <n v="235723.56499999951"/>
  </r>
  <r>
    <s v="R.10009.14.05.01"/>
    <s v="W_R.10009.14.05.01: E Digital Fault Recorders Replacement"/>
    <x v="1"/>
    <x v="2"/>
    <x v="2"/>
    <x v="1"/>
    <x v="4"/>
    <n v="0"/>
    <n v="-27319.3194416431"/>
    <n v="27319.3194416431"/>
  </r>
  <r>
    <s v="R.10009.14.05.05"/>
    <s v="W_R.10009.14.05.05: E Subs Replacement Circuit Switcher Dist"/>
    <x v="1"/>
    <x v="4"/>
    <x v="4"/>
    <x v="2"/>
    <x v="4"/>
    <n v="0"/>
    <n v="-11481.873981504688"/>
    <n v="11481.873981504688"/>
  </r>
  <r>
    <s v="R.10009.14.05.11"/>
    <s v="W_R.10009.14.05.11: E Subs Replacement Vegetation Management"/>
    <x v="1"/>
    <x v="2"/>
    <x v="2"/>
    <x v="1"/>
    <x v="4"/>
    <n v="0"/>
    <n v="-197744.84222017261"/>
    <n v="197744.84222017261"/>
  </r>
  <r>
    <s v="R.10009.14.06.01"/>
    <s v="W_R.10009.14.06.01: E Subs Replacement Transformers Dist"/>
    <x v="1"/>
    <x v="4"/>
    <x v="4"/>
    <x v="2"/>
    <x v="4"/>
    <n v="0"/>
    <n v="-27477.059530902337"/>
    <n v="27477.059530902337"/>
  </r>
  <r>
    <s v="R.10011.01.01.10"/>
    <s v="W_R.10011.01.01.10: G Service Replacements CBP"/>
    <x v="2"/>
    <x v="2"/>
    <x v="2"/>
    <x v="1"/>
    <x v="4"/>
    <n v="0"/>
    <n v="-59.562392879999997"/>
    <n v="59.562392879999997"/>
  </r>
  <r>
    <s v="R.10013.02.01.01"/>
    <s v="W_R.10013.02.01.01: G Franchises"/>
    <x v="2"/>
    <x v="2"/>
    <x v="2"/>
    <x v="1"/>
    <x v="4"/>
    <n v="0"/>
    <n v="-1810156.0000000042"/>
    <n v="1810156.0000000042"/>
  </r>
  <r>
    <s v="R.10015.03.05.04"/>
    <s v="W_R.10015.03.05.04: G DIMP Regulator Station Sidewalk Regs"/>
    <x v="2"/>
    <x v="2"/>
    <x v="2"/>
    <x v="1"/>
    <x v="4"/>
    <n v="0"/>
    <n v="-49.703927520000008"/>
    <n v="49.703927520000008"/>
  </r>
  <r>
    <s v="R.10015.03.06.02"/>
    <s v="W_R.10015.03.06.02: G DIMP Legacy Crss Bore Replacement Dist"/>
    <x v="2"/>
    <x v="18"/>
    <x v="4"/>
    <x v="10"/>
    <x v="4"/>
    <n v="0"/>
    <n v="-1085.1389019671803"/>
    <n v="1085.1389019671803"/>
  </r>
  <r>
    <s v="R.10015.03.09.05"/>
    <s v="W_R.10015.03.09.05: G DIMP Preventive Maintenance MSA Dist"/>
    <x v="2"/>
    <x v="12"/>
    <x v="4"/>
    <x v="8"/>
    <x v="4"/>
    <n v="0"/>
    <n v="-227997.05396916272"/>
    <n v="227997.05396916272"/>
  </r>
  <r>
    <s v="R.10015.04.01.08"/>
    <s v="W_R.10015.04.01.08: G Gas Work Release Main"/>
    <x v="2"/>
    <x v="17"/>
    <x v="4"/>
    <x v="6"/>
    <x v="4"/>
    <n v="0"/>
    <n v="-148843.13564760002"/>
    <n v="148843.13564760002"/>
  </r>
  <r>
    <s v="R.10015.06.01.01"/>
    <s v="W_R.10015.06.01.01: G Cold Weather Action Reinforcement"/>
    <x v="2"/>
    <x v="19"/>
    <x v="4"/>
    <x v="0"/>
    <x v="4"/>
    <n v="0"/>
    <n v="-28888.675200000012"/>
    <n v="28888.675200000012"/>
  </r>
  <r>
    <s v="R.10018.01.01.01"/>
    <s v="W_R.10018.01.01.01: E Covington Area Capacity Project"/>
    <x v="1"/>
    <x v="2"/>
    <x v="2"/>
    <x v="1"/>
    <x v="4"/>
    <n v="0"/>
    <n v="-680074.44000000029"/>
    <n v="680074.44000000029"/>
  </r>
  <r>
    <s v="R.10019.01.01.03"/>
    <s v="W_R.10019.01.01.03: E Rebuild Winslow Tap"/>
    <x v="1"/>
    <x v="2"/>
    <x v="2"/>
    <x v="1"/>
    <x v="4"/>
    <n v="0"/>
    <n v="-11263990.043497428"/>
    <n v="11263990.043497428"/>
  </r>
  <r>
    <s v="R.10019.01.01.04"/>
    <s v="W_R.10019.01.01.04: E Murden Cove Subs"/>
    <x v="1"/>
    <x v="20"/>
    <x v="3"/>
    <x v="11"/>
    <x v="4"/>
    <n v="0"/>
    <n v="-11427708.012799999"/>
    <n v="11427708.012799999"/>
  </r>
  <r>
    <s v="R.10019.03.01.01"/>
    <s v="W_R.10019.03.01.01: E So Brm Bngr 115Kv 230Kv Prprty Purch"/>
    <x v="1"/>
    <x v="2"/>
    <x v="2"/>
    <x v="1"/>
    <x v="4"/>
    <n v="0"/>
    <n v="-1457506.97"/>
    <n v="1457506.97"/>
  </r>
  <r>
    <s v="R.10020.02.01.01"/>
    <s v="W_R.10020.02.01.01: E Wind RidgE Kittitas 115Kv Tline"/>
    <x v="1"/>
    <x v="7"/>
    <x v="4"/>
    <x v="5"/>
    <x v="4"/>
    <n v="0"/>
    <n v="-336742.25999999995"/>
    <n v="336742.25999999995"/>
  </r>
  <r>
    <s v="R.10039.02.01.03"/>
    <s v="W_R.10039.02.01.03: E Electr Enum 55Kv 115Kv Sub Electr Hght"/>
    <x v="1"/>
    <x v="7"/>
    <x v="4"/>
    <x v="5"/>
    <x v="4"/>
    <n v="0"/>
    <n v="-32985.933926084843"/>
    <n v="32985.933926084843"/>
  </r>
  <r>
    <s v="R.10039.02.01.05"/>
    <s v="W_R.10039.02.01.05: E Electr Enum 55Kv To 115Kv Sub Enum"/>
    <x v="1"/>
    <x v="7"/>
    <x v="4"/>
    <x v="5"/>
    <x v="4"/>
    <n v="0"/>
    <n v="-23091.114418321577"/>
    <n v="23091.114418321577"/>
  </r>
  <r>
    <s v="R.10052.01.01.01"/>
    <s v="W_R.10052.01.01.01: E Kent-Tukwila Area Capacity Project"/>
    <x v="1"/>
    <x v="7"/>
    <x v="4"/>
    <x v="5"/>
    <x v="4"/>
    <n v="0"/>
    <n v="-725216.84904763056"/>
    <n v="725216.84904763056"/>
  </r>
  <r>
    <s v="R.10052.01.01.02"/>
    <s v="W_R.10052.01.01.02: E Briscoe Park Substation Tline"/>
    <x v="1"/>
    <x v="7"/>
    <x v="4"/>
    <x v="5"/>
    <x v="4"/>
    <n v="0"/>
    <n v="-24582.460000000003"/>
    <n v="24582.460000000003"/>
  </r>
  <r>
    <s v="R.10054.03.01.01"/>
    <s v="W_R.10054.03.01.01: E Lynden Substation Expansion"/>
    <x v="1"/>
    <x v="7"/>
    <x v="4"/>
    <x v="5"/>
    <x v="4"/>
    <n v="0"/>
    <n v="-7233886.9230798203"/>
    <n v="7233886.9230798203"/>
  </r>
  <r>
    <s v="R.10056.01.01.01"/>
    <s v="W_R.10056.01.01.01: E Wilkeson Substation Sub"/>
    <x v="1"/>
    <x v="7"/>
    <x v="4"/>
    <x v="5"/>
    <x v="4"/>
    <n v="0"/>
    <n v="-1883740.9732457648"/>
    <n v="1883740.9732457648"/>
  </r>
  <r>
    <s v="R.10059.01.01.01"/>
    <s v="W_R.10059.01.01.01: E Smart Grid Living Lab"/>
    <x v="1"/>
    <x v="4"/>
    <x v="4"/>
    <x v="2"/>
    <x v="4"/>
    <n v="0"/>
    <n v="-900000"/>
    <n v="900000"/>
  </r>
  <r>
    <s v="R.10059.02.01.01"/>
    <s v="W_R.10059.02.01.01: E ADMS Circuit Enablement"/>
    <x v="1"/>
    <x v="4"/>
    <x v="4"/>
    <x v="2"/>
    <x v="4"/>
    <n v="0"/>
    <n v="-1154777.0333071921"/>
    <n v="1154777.0333071921"/>
  </r>
  <r>
    <s v="R.10059.05.01.01"/>
    <s v="W_R.10059.05.01.01: E Submarine Cable - Mercer Island"/>
    <x v="1"/>
    <x v="4"/>
    <x v="4"/>
    <x v="2"/>
    <x v="4"/>
    <n v="0"/>
    <n v="-3771577.0399999958"/>
    <n v="3771577.0399999958"/>
  </r>
  <r>
    <s v="X.10006.03.01.02"/>
    <s v="W_X.10006.03.01.02: Community Solar Program"/>
    <x v="1"/>
    <x v="0"/>
    <x v="0"/>
    <x v="0"/>
    <x v="7"/>
    <n v="0"/>
    <n v="-9453083.7009711824"/>
    <n v="9453083.7009711824"/>
  </r>
  <r>
    <s v="F.10002.01.27.01"/>
    <s v="W_F.10002.01.27.01: Asset Change Work Management"/>
    <x v="1"/>
    <x v="0"/>
    <x v="0"/>
    <x v="0"/>
    <x v="1"/>
    <n v="0"/>
    <n v="-1504618.5"/>
    <n v="1504618.5"/>
  </r>
  <r>
    <s v="F.10002.05.03.01"/>
    <s v="W_F.10002.05.03.01: EA and Magic Access DB Replacement"/>
    <x v="1"/>
    <x v="0"/>
    <x v="0"/>
    <x v="0"/>
    <x v="1"/>
    <n v="0"/>
    <n v="-2849402.9636734715"/>
    <n v="2849402.9636734715"/>
  </r>
  <r>
    <s v="R.10006.01.01.02"/>
    <s v="PLACEHOLDER WBS 21: IP Scada"/>
    <x v="1"/>
    <x v="0"/>
    <x v="0"/>
    <x v="0"/>
    <x v="1"/>
    <n v="0"/>
    <n v="-2250000.0000000005"/>
    <n v="2250000.0000000005"/>
  </r>
  <r>
    <s v="F.10002.06.04.01"/>
    <s v="W_F.10002.06.04.01: Arrearage Management Plan"/>
    <x v="0"/>
    <x v="0"/>
    <x v="0"/>
    <x v="0"/>
    <x v="1"/>
    <n v="0"/>
    <n v="-3113278.1971035767"/>
    <n v="3113278.1971035767"/>
  </r>
  <r>
    <s v="F.10002.06.07.01"/>
    <s v="W_F.10002.06.07.01: Cust Usage Disaggregation and Presentmnt"/>
    <x v="1"/>
    <x v="0"/>
    <x v="0"/>
    <x v="0"/>
    <x v="1"/>
    <n v="0"/>
    <n v="-2000000.000000004"/>
    <n v="2000000.000000004"/>
  </r>
  <r>
    <s v="F.10002.07.05.01"/>
    <s v="W_F.10002.07.05.01: Third Party Risk"/>
    <x v="0"/>
    <x v="0"/>
    <x v="0"/>
    <x v="0"/>
    <x v="1"/>
    <n v="0"/>
    <n v="-3009237"/>
    <n v="3009237"/>
  </r>
  <r>
    <s v="F.10002.07.07.01"/>
    <s v="W_F.10002.07.07.01: Multi-Family Solar"/>
    <x v="1"/>
    <x v="0"/>
    <x v="0"/>
    <x v="0"/>
    <x v="1"/>
    <n v="0"/>
    <n v="-942894.25999999931"/>
    <n v="942894.25999999931"/>
  </r>
  <r>
    <s v="F.10002.07.09.01"/>
    <s v="W_F.10002.07.09.01: Supply Chain Stabilization Phase 3"/>
    <x v="0"/>
    <x v="0"/>
    <x v="0"/>
    <x v="0"/>
    <x v="1"/>
    <n v="0"/>
    <n v="-539634.88749795302"/>
    <n v="539634.887497953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9">
  <r>
    <s v="C.10002.02.02.02"/>
    <x v="0"/>
    <s v="Common"/>
    <m/>
    <m/>
    <m/>
    <x v="0"/>
    <n v="-1136.8900000000001"/>
    <n v="0"/>
    <n v="-1136.8900000000001"/>
    <m/>
  </r>
  <r>
    <s v="C.10002.02.02.04"/>
    <x v="1"/>
    <s v="Common"/>
    <m/>
    <m/>
    <m/>
    <x v="0"/>
    <n v="-3137460.19"/>
    <n v="0"/>
    <n v="-3137460.19"/>
    <m/>
  </r>
  <r>
    <s v="C.10002.02.04.01"/>
    <x v="2"/>
    <s v="Common"/>
    <m/>
    <m/>
    <m/>
    <x v="0"/>
    <n v="-1454822.02"/>
    <n v="0"/>
    <n v="-1454822.02"/>
    <m/>
  </r>
  <r>
    <s v="C.10002.07.01.01"/>
    <x v="3"/>
    <s v="Common"/>
    <m/>
    <m/>
    <m/>
    <x v="0"/>
    <n v="-3163.1400000000003"/>
    <n v="0"/>
    <n v="-3163.1400000000003"/>
    <m/>
  </r>
  <r>
    <s v="C.10002.08.02.01"/>
    <x v="4"/>
    <s v="Common"/>
    <m/>
    <m/>
    <m/>
    <x v="0"/>
    <n v="-957996.1100000001"/>
    <n v="0"/>
    <n v="-957996.1100000001"/>
    <m/>
  </r>
  <r>
    <s v="C.10003.01.01.01"/>
    <x v="5"/>
    <s v="Common"/>
    <m/>
    <m/>
    <m/>
    <x v="0"/>
    <n v="-299505.27"/>
    <n v="-3000000.0000000005"/>
    <n v="2700494.7300000004"/>
    <m/>
  </r>
  <r>
    <s v="C.10003.01.03.01"/>
    <x v="6"/>
    <s v="Electric"/>
    <m/>
    <m/>
    <m/>
    <x v="0"/>
    <n v="-22263.42"/>
    <n v="0"/>
    <n v="-22263.42"/>
    <m/>
  </r>
  <r>
    <s v="C.10005.01.02.01"/>
    <x v="7"/>
    <s v="Electric"/>
    <m/>
    <m/>
    <m/>
    <x v="1"/>
    <n v="-28851.060000000009"/>
    <n v="-4150542.9239990781"/>
    <n v="4121691.8639990781"/>
    <m/>
  </r>
  <r>
    <s v="C.10005.01.02.02"/>
    <x v="8"/>
    <s v="Electric"/>
    <m/>
    <m/>
    <m/>
    <x v="1"/>
    <n v="-14028826.310000001"/>
    <n v="-7015753.7989489995"/>
    <n v="-7013072.511051001"/>
    <m/>
  </r>
  <r>
    <s v="C.10006.01.01.01"/>
    <x v="9"/>
    <s v="Electric"/>
    <m/>
    <m/>
    <m/>
    <x v="2"/>
    <n v="-1679811.81"/>
    <n v="-999999.99999999942"/>
    <n v="-679811.81000000064"/>
    <m/>
  </r>
  <r>
    <s v="C.10006.01.01.03"/>
    <x v="10"/>
    <s v="Common"/>
    <m/>
    <m/>
    <m/>
    <x v="2"/>
    <n v="-213317.6"/>
    <n v="-299999.99999999994"/>
    <n v="86682.399999999936"/>
    <m/>
  </r>
  <r>
    <s v="C.10009.01.01.01"/>
    <x v="11"/>
    <s v="Electric"/>
    <s v="Not Ops"/>
    <s v="Not Ops"/>
    <m/>
    <x v="3"/>
    <n v="-3338732.2712695785"/>
    <n v="-2712513.0791971558"/>
    <n v="-626219.19207242271"/>
    <m/>
  </r>
  <r>
    <s v="C.10009.01.01.02"/>
    <x v="12"/>
    <s v="Electric"/>
    <s v="Not Ops"/>
    <s v="Not Ops"/>
    <m/>
    <x v="3"/>
    <n v="-1038901.7100000001"/>
    <n v="-1056886.4310916138"/>
    <n v="17984.721091613756"/>
    <m/>
  </r>
  <r>
    <s v="C.10010.02.01.01"/>
    <x v="13"/>
    <s v="Common"/>
    <m/>
    <m/>
    <m/>
    <x v="0"/>
    <n v="-730.16000000000008"/>
    <n v="0"/>
    <n v="-730.16000000000008"/>
    <m/>
  </r>
  <r>
    <s v="C.40001.01.01.01"/>
    <x v="14"/>
    <s v="Common"/>
    <m/>
    <m/>
    <m/>
    <x v="1"/>
    <n v="-31187.46"/>
    <n v="0"/>
    <n v="-31187.46"/>
    <m/>
  </r>
  <r>
    <s v="F.10002.01.14.01"/>
    <x v="15"/>
    <s v="Common"/>
    <m/>
    <m/>
    <m/>
    <x v="1"/>
    <n v="-2813318.35"/>
    <n v="-3510776.5000000033"/>
    <n v="697458.15000000317"/>
    <m/>
  </r>
  <r>
    <s v="F.10002.01.17.01"/>
    <x v="16"/>
    <s v="Common"/>
    <m/>
    <m/>
    <m/>
    <x v="1"/>
    <n v="2178.6799999999998"/>
    <n v="0"/>
    <n v="2178.6799999999998"/>
    <m/>
  </r>
  <r>
    <s v="F.10002.01.18.01"/>
    <x v="17"/>
    <s v="Common"/>
    <m/>
    <m/>
    <m/>
    <x v="1"/>
    <n v="-3262565.93"/>
    <n v="0"/>
    <n v="-3262565.93"/>
    <m/>
  </r>
  <r>
    <s v="F.10002.01.23.01"/>
    <x v="18"/>
    <s v="Common"/>
    <m/>
    <m/>
    <m/>
    <x v="1"/>
    <n v="-1906500.52"/>
    <n v="-975493.83509245317"/>
    <n v="-931006.68490754685"/>
    <m/>
  </r>
  <r>
    <s v="F.10002.03.02.01"/>
    <x v="19"/>
    <s v="Electric"/>
    <m/>
    <m/>
    <m/>
    <x v="1"/>
    <n v="8597.42"/>
    <n v="0"/>
    <n v="8597.42"/>
    <m/>
  </r>
  <r>
    <s v="F.10002.03.03.01"/>
    <x v="20"/>
    <s v="Common"/>
    <m/>
    <m/>
    <m/>
    <x v="1"/>
    <n v="-1269752.1399999999"/>
    <n v="-4469507.2760326117"/>
    <n v="3199755.1360326121"/>
    <m/>
  </r>
  <r>
    <s v="F.10002.04.01.01"/>
    <x v="21"/>
    <s v="Common"/>
    <m/>
    <m/>
    <m/>
    <x v="1"/>
    <n v="-1281.01"/>
    <n v="0"/>
    <n v="-1281.01"/>
    <m/>
  </r>
  <r>
    <s v="F.10002.05.02.01"/>
    <x v="22"/>
    <s v="Common"/>
    <m/>
    <m/>
    <m/>
    <x v="1"/>
    <n v="-1294.48"/>
    <n v="0"/>
    <n v="-1294.48"/>
    <m/>
  </r>
  <r>
    <s v="F.10002.06.01.01"/>
    <x v="23"/>
    <s v="Common"/>
    <m/>
    <m/>
    <m/>
    <x v="1"/>
    <n v="478.33"/>
    <n v="0"/>
    <n v="478.33"/>
    <m/>
  </r>
  <r>
    <s v="F.10002.06.02.01"/>
    <x v="24"/>
    <s v="Common"/>
    <m/>
    <m/>
    <m/>
    <x v="1"/>
    <n v="-2149992.8199999998"/>
    <n v="0"/>
    <n v="-2149992.8199999998"/>
    <m/>
  </r>
  <r>
    <s v="F.10002.06.06.01"/>
    <x v="25"/>
    <s v="Common"/>
    <m/>
    <m/>
    <m/>
    <x v="1"/>
    <n v="-2714622"/>
    <n v="0"/>
    <n v="-2714622"/>
    <m/>
  </r>
  <r>
    <s v="F.10002.07.06.01"/>
    <x v="26"/>
    <s v="Electric"/>
    <m/>
    <m/>
    <m/>
    <x v="1"/>
    <n v="-4294742.08"/>
    <n v="-6226556.3942071535"/>
    <n v="1931814.3142071534"/>
    <m/>
  </r>
  <r>
    <s v="F.10002.09.02.01"/>
    <x v="27"/>
    <s v="Common"/>
    <m/>
    <m/>
    <m/>
    <x v="1"/>
    <n v="-3016387.9300000006"/>
    <n v="-2130526.2727742712"/>
    <n v="-885861.65722572943"/>
    <m/>
  </r>
  <r>
    <s v="F.10003.02.01.07"/>
    <x v="28"/>
    <s v="Common"/>
    <m/>
    <m/>
    <m/>
    <x v="1"/>
    <n v="-11719941.200000001"/>
    <n v="-19898747.474077597"/>
    <n v="8178806.2740775961"/>
    <m/>
  </r>
  <r>
    <s v="F.10003.03.02.01"/>
    <x v="29"/>
    <s v="Common"/>
    <m/>
    <m/>
    <m/>
    <x v="1"/>
    <n v="-768647.57"/>
    <n v="0"/>
    <n v="-768647.57"/>
    <m/>
  </r>
  <r>
    <s v="F.10013.09.01.03"/>
    <x v="30"/>
    <s v="Common"/>
    <m/>
    <m/>
    <m/>
    <x v="1"/>
    <n v="-1662783.6699999997"/>
    <n v="-2004756.4599013247"/>
    <n v="341972.78990132501"/>
    <m/>
  </r>
  <r>
    <s v="F.10015.02.06.02"/>
    <x v="31"/>
    <s v="Gas"/>
    <m/>
    <m/>
    <m/>
    <x v="1"/>
    <n v="-6651845"/>
    <n v="-3510776.5000000033"/>
    <n v="-3141068.4999999967"/>
    <m/>
  </r>
  <r>
    <s v="F.10015.02.14.02"/>
    <x v="32"/>
    <s v="Electric"/>
    <m/>
    <m/>
    <m/>
    <x v="1"/>
    <n v="-142.27000000000001"/>
    <n v="0"/>
    <n v="-142.27000000000001"/>
    <m/>
  </r>
  <r>
    <s v="F.10015.02.17.03"/>
    <x v="33"/>
    <s v="Electric"/>
    <s v="Projected"/>
    <s v="Projected"/>
    <s v="9 - Projected"/>
    <x v="4"/>
    <n v="-32603.37"/>
    <n v="0"/>
    <n v="-32603.37"/>
    <m/>
  </r>
  <r>
    <s v="F.10015.02.20.01"/>
    <x v="34"/>
    <s v="Common"/>
    <m/>
    <m/>
    <m/>
    <x v="1"/>
    <n v="-78559.510000000009"/>
    <n v="0"/>
    <n v="-78559.510000000009"/>
    <m/>
  </r>
  <r>
    <s v="F.10015.02.23.01"/>
    <x v="35"/>
    <s v="Common"/>
    <s v="Projected"/>
    <s v="Projected"/>
    <s v="9 - Projected"/>
    <x v="4"/>
    <n v="-86238.400000000009"/>
    <n v="0"/>
    <n v="-86238.400000000009"/>
    <m/>
  </r>
  <r>
    <s v="F.10015.04.02.04"/>
    <x v="36"/>
    <s v="Common"/>
    <m/>
    <m/>
    <m/>
    <x v="1"/>
    <n v="-215968.57"/>
    <n v="0"/>
    <n v="-215968.57"/>
    <m/>
  </r>
  <r>
    <s v="F.10015.05.04.01"/>
    <x v="37"/>
    <s v="Common"/>
    <m/>
    <m/>
    <m/>
    <x v="1"/>
    <n v="-26817.3"/>
    <n v="0"/>
    <n v="-26817.3"/>
    <m/>
  </r>
  <r>
    <s v="F.10015.06.05.02"/>
    <x v="38"/>
    <s v="Common"/>
    <m/>
    <m/>
    <m/>
    <x v="1"/>
    <n v="-328596.65999999997"/>
    <n v="0"/>
    <n v="-328596.65999999997"/>
    <m/>
  </r>
  <r>
    <s v="F.10015.06.23.02"/>
    <x v="39"/>
    <s v="Common"/>
    <m/>
    <m/>
    <m/>
    <x v="1"/>
    <n v="-16812.05"/>
    <n v="0"/>
    <n v="-16812.05"/>
    <m/>
  </r>
  <r>
    <s v="F.10015.06.25.01"/>
    <x v="40"/>
    <s v="Common"/>
    <m/>
    <m/>
    <m/>
    <x v="1"/>
    <n v="-501758.06999999995"/>
    <n v="0"/>
    <n v="-501758.06999999995"/>
    <m/>
  </r>
  <r>
    <s v="F.10015.06.26.01"/>
    <x v="41"/>
    <s v="Common"/>
    <m/>
    <m/>
    <m/>
    <x v="1"/>
    <n v="-752.48000000000013"/>
    <n v="0"/>
    <n v="-752.48000000000013"/>
    <m/>
  </r>
  <r>
    <s v="F.10015.06.27.01"/>
    <x v="42"/>
    <s v="Common"/>
    <m/>
    <m/>
    <m/>
    <x v="1"/>
    <n v="-212438.2"/>
    <n v="0"/>
    <n v="-212438.2"/>
    <m/>
  </r>
  <r>
    <s v="F.10015.08.11.06"/>
    <x v="43"/>
    <s v="Common"/>
    <m/>
    <m/>
    <m/>
    <x v="1"/>
    <n v="-1687241.67"/>
    <n v="0"/>
    <n v="-1687241.67"/>
    <m/>
  </r>
  <r>
    <s v="F.10015.08.14.03"/>
    <x v="44"/>
    <s v="Common"/>
    <m/>
    <m/>
    <m/>
    <x v="1"/>
    <n v="-1356429.5599999998"/>
    <n v="0"/>
    <n v="-1356429.5599999998"/>
    <m/>
  </r>
  <r>
    <s v="F.10015.08.18.01"/>
    <x v="45"/>
    <s v="Common"/>
    <m/>
    <m/>
    <m/>
    <x v="1"/>
    <n v="176.26"/>
    <n v="0"/>
    <n v="176.26"/>
    <m/>
  </r>
  <r>
    <s v="F.10015.08.19.01"/>
    <x v="46"/>
    <s v="Common"/>
    <m/>
    <m/>
    <m/>
    <x v="1"/>
    <n v="7583.27"/>
    <n v="0"/>
    <n v="7583.27"/>
    <m/>
  </r>
  <r>
    <s v="F.10015.08.23.01"/>
    <x v="47"/>
    <s v="Common"/>
    <m/>
    <m/>
    <m/>
    <x v="1"/>
    <n v="-748465.54"/>
    <n v="0"/>
    <n v="-748465.54"/>
    <m/>
  </r>
  <r>
    <s v="F.10015.11.04.01"/>
    <x v="48"/>
    <s v="Common"/>
    <m/>
    <m/>
    <m/>
    <x v="1"/>
    <n v="-3579613.96"/>
    <n v="0"/>
    <n v="-3579613.96"/>
    <m/>
  </r>
  <r>
    <s v="F.10015.11.06.01"/>
    <x v="49"/>
    <s v="Common"/>
    <m/>
    <m/>
    <m/>
    <x v="1"/>
    <n v="-2868.41"/>
    <n v="0"/>
    <n v="-2868.41"/>
    <m/>
  </r>
  <r>
    <s v="F.10016.01.01.03"/>
    <x v="50"/>
    <s v="Common"/>
    <m/>
    <m/>
    <m/>
    <x v="1"/>
    <n v="-162419.6"/>
    <n v="0"/>
    <n v="-162419.6"/>
    <m/>
  </r>
  <r>
    <s v="F.10017.02.01.03"/>
    <x v="51"/>
    <s v="Common"/>
    <m/>
    <m/>
    <m/>
    <x v="1"/>
    <n v="1371.58"/>
    <n v="0"/>
    <n v="1371.58"/>
    <m/>
  </r>
  <r>
    <s v="F.10017.02.02.03"/>
    <x v="52"/>
    <s v="Common"/>
    <m/>
    <m/>
    <m/>
    <x v="1"/>
    <n v="35140.990000000005"/>
    <n v="0"/>
    <n v="35140.990000000005"/>
    <m/>
  </r>
  <r>
    <s v="F.10017.03.05.02"/>
    <x v="53"/>
    <s v="Common"/>
    <m/>
    <m/>
    <m/>
    <x v="1"/>
    <n v="-5155266.5999999996"/>
    <n v="0"/>
    <n v="-5155266.5999999996"/>
    <m/>
  </r>
  <r>
    <s v="F.10017.05.03.02"/>
    <x v="54"/>
    <s v="Common"/>
    <m/>
    <m/>
    <m/>
    <x v="1"/>
    <n v="-215501.25"/>
    <n v="0"/>
    <n v="-215501.25"/>
    <m/>
  </r>
  <r>
    <s v="F.10017.05.07.01"/>
    <x v="55"/>
    <s v="Common"/>
    <m/>
    <m/>
    <m/>
    <x v="1"/>
    <n v="-2505.86"/>
    <n v="0"/>
    <n v="-2505.86"/>
    <m/>
  </r>
  <r>
    <s v="F.10017.07.01.03"/>
    <x v="56"/>
    <s v="Common"/>
    <m/>
    <m/>
    <m/>
    <x v="1"/>
    <n v="32784.700000000004"/>
    <n v="0"/>
    <n v="32784.700000000004"/>
    <m/>
  </r>
  <r>
    <s v="F.10017.08.02.03"/>
    <x v="57"/>
    <s v="Electric"/>
    <m/>
    <m/>
    <m/>
    <x v="1"/>
    <n v="-92479"/>
    <n v="0"/>
    <n v="-92479"/>
    <m/>
  </r>
  <r>
    <s v="F.10017.08.03.01"/>
    <x v="58"/>
    <s v="Electric"/>
    <m/>
    <m/>
    <m/>
    <x v="1"/>
    <n v="-2659583.0299999998"/>
    <n v="0"/>
    <n v="-2659583.0299999998"/>
    <m/>
  </r>
  <r>
    <s v="F.10017.08.07.01"/>
    <x v="59"/>
    <s v="Electric"/>
    <m/>
    <m/>
    <m/>
    <x v="1"/>
    <n v="-10201.11"/>
    <n v="0"/>
    <n v="-10201.11"/>
    <m/>
  </r>
  <r>
    <s v="F.10017.08.08.01"/>
    <x v="60"/>
    <s v="Electric"/>
    <m/>
    <m/>
    <m/>
    <x v="1"/>
    <n v="-294545.07"/>
    <n v="0"/>
    <n v="-294545.07"/>
    <m/>
  </r>
  <r>
    <s v="F.10017.10.06.04"/>
    <x v="61"/>
    <s v="Common"/>
    <m/>
    <m/>
    <m/>
    <x v="1"/>
    <n v="-205120.47000000003"/>
    <n v="0"/>
    <n v="-205120.47000000003"/>
    <m/>
  </r>
  <r>
    <s v="F.10017.10.09.02"/>
    <x v="62"/>
    <s v="Common"/>
    <m/>
    <m/>
    <m/>
    <x v="1"/>
    <n v="-1560297.85"/>
    <n v="0"/>
    <n v="-1560297.85"/>
    <m/>
  </r>
  <r>
    <s v="F.10017.10.18.01"/>
    <x v="63"/>
    <s v="Common"/>
    <m/>
    <m/>
    <m/>
    <x v="1"/>
    <n v="-115491.54000000001"/>
    <n v="0"/>
    <n v="-115491.54000000001"/>
    <m/>
  </r>
  <r>
    <s v="F.10017.11.01.04"/>
    <x v="64"/>
    <s v="Common"/>
    <m/>
    <m/>
    <m/>
    <x v="1"/>
    <n v="-121.9"/>
    <n v="0"/>
    <n v="-121.9"/>
    <m/>
  </r>
  <r>
    <s v="F.10017.12.01.03"/>
    <x v="65"/>
    <s v="Electric"/>
    <m/>
    <m/>
    <m/>
    <x v="1"/>
    <n v="-489415.45"/>
    <n v="0"/>
    <n v="-489415.45"/>
    <m/>
  </r>
  <r>
    <s v="F.10017.12.05.03"/>
    <x v="66"/>
    <s v="Electric"/>
    <m/>
    <m/>
    <m/>
    <x v="1"/>
    <n v="-222361.19999999998"/>
    <n v="0"/>
    <n v="-222361.19999999998"/>
    <m/>
  </r>
  <r>
    <s v="F.10017.12.06.03"/>
    <x v="67"/>
    <s v="Electric"/>
    <m/>
    <m/>
    <m/>
    <x v="1"/>
    <n v="-148786.75"/>
    <n v="0"/>
    <n v="-148786.75"/>
    <m/>
  </r>
  <r>
    <s v="F.10017.12.08.04"/>
    <x v="68"/>
    <s v="Electric"/>
    <m/>
    <m/>
    <m/>
    <x v="1"/>
    <n v="-411865.72"/>
    <n v="0"/>
    <n v="-411865.72"/>
    <m/>
  </r>
  <r>
    <s v="F.10017.12.23.04"/>
    <x v="69"/>
    <s v="Common"/>
    <m/>
    <m/>
    <m/>
    <x v="1"/>
    <n v="-460673.31"/>
    <n v="0"/>
    <n v="-460673.31"/>
    <m/>
  </r>
  <r>
    <s v="F.10017.12.25.02"/>
    <x v="70"/>
    <s v="Common"/>
    <m/>
    <m/>
    <m/>
    <x v="1"/>
    <n v="-2073.23"/>
    <n v="0"/>
    <n v="-2073.23"/>
    <m/>
  </r>
  <r>
    <s v="F.10017.12.26.01"/>
    <x v="71"/>
    <s v="Electric"/>
    <m/>
    <m/>
    <m/>
    <x v="1"/>
    <n v="-447.47"/>
    <n v="0"/>
    <n v="-447.47"/>
    <m/>
  </r>
  <r>
    <s v="F.10017.12.26.02"/>
    <x v="72"/>
    <s v="Electric"/>
    <m/>
    <m/>
    <m/>
    <x v="1"/>
    <n v="-2356558.71"/>
    <n v="0"/>
    <n v="-2356558.71"/>
    <m/>
  </r>
  <r>
    <s v="F.10017.13.01.03"/>
    <x v="73"/>
    <s v="Common"/>
    <m/>
    <m/>
    <m/>
    <x v="1"/>
    <n v="-11682.27"/>
    <n v="0"/>
    <n v="-11682.27"/>
    <m/>
  </r>
  <r>
    <s v="F.10017.13.05.01"/>
    <x v="74"/>
    <s v="Common"/>
    <m/>
    <m/>
    <m/>
    <x v="1"/>
    <n v="-1036876.43"/>
    <n v="0"/>
    <n v="-1036876.43"/>
    <m/>
  </r>
  <r>
    <s v="F.10017.13.06.01"/>
    <x v="75"/>
    <s v="Common"/>
    <m/>
    <m/>
    <m/>
    <x v="1"/>
    <n v="-580285.51"/>
    <n v="0"/>
    <n v="-580285.51"/>
    <m/>
  </r>
  <r>
    <s v="F.10017.15.01.04"/>
    <x v="76"/>
    <s v="Common"/>
    <m/>
    <m/>
    <m/>
    <x v="1"/>
    <n v="-46884.63"/>
    <n v="0"/>
    <n v="-46884.63"/>
    <m/>
  </r>
  <r>
    <s v="F.10018.02.03.02"/>
    <x v="77"/>
    <s v="Common"/>
    <m/>
    <m/>
    <m/>
    <x v="1"/>
    <n v="-23098678.969999999"/>
    <n v="0"/>
    <n v="-23098678.969999999"/>
    <m/>
  </r>
  <r>
    <s v="F.10018.02.04.01"/>
    <x v="78"/>
    <s v="Common"/>
    <m/>
    <m/>
    <m/>
    <x v="1"/>
    <n v="-453856.88999999996"/>
    <n v="0"/>
    <n v="-453856.88999999996"/>
    <m/>
  </r>
  <r>
    <s v="F.10025.01.04.01"/>
    <x v="79"/>
    <s v="Electric"/>
    <m/>
    <m/>
    <m/>
    <x v="1"/>
    <n v="-3162412.83"/>
    <n v="0"/>
    <n v="-3162412.83"/>
    <m/>
  </r>
  <r>
    <s v="F.10025.01.04.02"/>
    <x v="80"/>
    <s v="Common"/>
    <m/>
    <m/>
    <m/>
    <x v="1"/>
    <n v="-2.1599999999999682"/>
    <n v="0"/>
    <n v="-2.1599999999999682"/>
    <m/>
  </r>
  <r>
    <s v="F.10025.02.01.07"/>
    <x v="81"/>
    <s v="Common"/>
    <m/>
    <m/>
    <m/>
    <x v="1"/>
    <n v="-243997.36000000002"/>
    <n v="0"/>
    <n v="-243997.36000000002"/>
    <s v="Part of W_F.10007.02.01.02: IT Operational Program in the GRC"/>
  </r>
  <r>
    <s v="F.10025.02.01.08"/>
    <x v="82"/>
    <s v="Common"/>
    <m/>
    <m/>
    <m/>
    <x v="1"/>
    <n v="-875253.88000000012"/>
    <n v="-2006158.0000000044"/>
    <n v="1130904.1200000043"/>
    <m/>
  </r>
  <r>
    <s v="F.10026.01.01.01"/>
    <x v="83"/>
    <s v="Common"/>
    <m/>
    <m/>
    <m/>
    <x v="1"/>
    <n v="-32828.839999999982"/>
    <n v="-1002452.9929552966"/>
    <n v="969624.15295529668"/>
    <m/>
  </r>
  <r>
    <s v="K.10001.01.01.01"/>
    <x v="84"/>
    <s v="Electric"/>
    <m/>
    <m/>
    <m/>
    <x v="5"/>
    <n v="-333967.66000000003"/>
    <n v="0"/>
    <n v="-333967.66000000003"/>
    <m/>
  </r>
  <r>
    <s v="K.10001.01.01.02"/>
    <x v="85"/>
    <s v="Electric"/>
    <m/>
    <m/>
    <m/>
    <x v="5"/>
    <n v="-28404.17"/>
    <n v="-519.3025718322632"/>
    <n v="-27884.867428167734"/>
    <m/>
  </r>
  <r>
    <s v="K.10001.01.02.01"/>
    <x v="86"/>
    <s v="Electric"/>
    <m/>
    <m/>
    <m/>
    <x v="5"/>
    <n v="-692849.32000000007"/>
    <n v="-520556.19948164519"/>
    <n v="-172293.12051835487"/>
    <m/>
  </r>
  <r>
    <s v="K.10001.01.02.02"/>
    <x v="87"/>
    <s v="Electric"/>
    <m/>
    <m/>
    <m/>
    <x v="5"/>
    <n v="-38015.090000000004"/>
    <n v="0"/>
    <n v="-38015.090000000004"/>
    <m/>
  </r>
  <r>
    <s v="K.10002.01.02.06"/>
    <x v="88"/>
    <s v="Electric"/>
    <m/>
    <m/>
    <m/>
    <x v="5"/>
    <n v="-8661.9599999999991"/>
    <n v="0"/>
    <n v="-8661.9599999999991"/>
    <m/>
  </r>
  <r>
    <s v="K.10003.01.01.01"/>
    <x v="89"/>
    <s v="Electric"/>
    <m/>
    <m/>
    <m/>
    <x v="5"/>
    <n v="-12166.64"/>
    <n v="0"/>
    <n v="-12166.64"/>
    <m/>
  </r>
  <r>
    <s v="K.10003.01.01.03"/>
    <x v="90"/>
    <s v="Electric"/>
    <m/>
    <m/>
    <m/>
    <x v="5"/>
    <n v="-10290041.15"/>
    <n v="-9245928.526850177"/>
    <n v="-1044112.6231498234"/>
    <m/>
  </r>
  <r>
    <s v="K.10003.02.01.01"/>
    <x v="91"/>
    <s v="Electric"/>
    <m/>
    <m/>
    <m/>
    <x v="5"/>
    <n v="-5144336.99"/>
    <n v="-4501342.2193697849"/>
    <n v="-642994.77063021529"/>
    <m/>
  </r>
  <r>
    <s v="K.10004.01.01.01"/>
    <x v="92"/>
    <s v="Electric"/>
    <m/>
    <m/>
    <m/>
    <x v="5"/>
    <n v="-334796.18000000005"/>
    <n v="-966780"/>
    <n v="631983.81999999995"/>
    <m/>
  </r>
  <r>
    <s v="K.10006.01.01.02"/>
    <x v="93"/>
    <s v="Electric"/>
    <m/>
    <m/>
    <m/>
    <x v="5"/>
    <n v="-1456724.73"/>
    <n v="-195278.32699202772"/>
    <n v="-1261446.4030079723"/>
    <m/>
  </r>
  <r>
    <s v="K.10007.01.01.02"/>
    <x v="94"/>
    <s v="Electric"/>
    <m/>
    <m/>
    <m/>
    <x v="5"/>
    <n v="-4161827.87"/>
    <n v="-315571.14894611394"/>
    <n v="-3846256.7210538862"/>
    <m/>
  </r>
  <r>
    <s v="K.10007.01.01.03"/>
    <x v="95"/>
    <s v="Electric"/>
    <m/>
    <m/>
    <m/>
    <x v="5"/>
    <n v="-26306575.300000001"/>
    <n v="0"/>
    <n v="-26306575.300000001"/>
    <m/>
  </r>
  <r>
    <s v="K.10008.01.01.03"/>
    <x v="96"/>
    <s v="Electric"/>
    <m/>
    <m/>
    <m/>
    <x v="5"/>
    <n v="-766151.29"/>
    <n v="-4455701.3619814906"/>
    <n v="3689550.0719814906"/>
    <m/>
  </r>
  <r>
    <s v="K.10009.01.01.03"/>
    <x v="97"/>
    <s v="Electric"/>
    <m/>
    <m/>
    <m/>
    <x v="5"/>
    <n v="-1423.3899999999999"/>
    <n v="-27.994684835583648"/>
    <n v="-1395.3953151644162"/>
    <m/>
  </r>
  <r>
    <s v="K.10009.01.01.04"/>
    <x v="98"/>
    <s v="Electric"/>
    <m/>
    <m/>
    <m/>
    <x v="5"/>
    <n v="-4466532.1399999997"/>
    <n v="0"/>
    <n v="-4466532.1399999997"/>
    <m/>
  </r>
  <r>
    <s v="K.10010.01.01.04"/>
    <x v="99"/>
    <s v="Electric"/>
    <m/>
    <m/>
    <m/>
    <x v="5"/>
    <n v="-481105.61"/>
    <n v="0"/>
    <n v="-481105.61"/>
    <m/>
  </r>
  <r>
    <s v="K.10013.01.01.01"/>
    <x v="100"/>
    <s v="Electric"/>
    <m/>
    <m/>
    <m/>
    <x v="5"/>
    <n v="-75472.11"/>
    <n v="0"/>
    <n v="-75472.11"/>
    <m/>
  </r>
  <r>
    <s v="K.10013.01.01.02"/>
    <x v="101"/>
    <s v="Electric"/>
    <m/>
    <m/>
    <m/>
    <x v="5"/>
    <n v="-619258.31000000006"/>
    <n v="0"/>
    <n v="-619258.31000000006"/>
    <m/>
  </r>
  <r>
    <s v="K.10015.01.01.01"/>
    <x v="102"/>
    <s v="Electric"/>
    <m/>
    <m/>
    <m/>
    <x v="5"/>
    <n v="-2194459.17"/>
    <n v="-2039804.7649654183"/>
    <n v="-154654.40503458166"/>
    <m/>
  </r>
  <r>
    <s v="K.10015.01.01.02"/>
    <x v="103"/>
    <s v="Electric"/>
    <m/>
    <m/>
    <m/>
    <x v="5"/>
    <n v="-27766.219999999998"/>
    <n v="-47.150131837136961"/>
    <n v="-27719.06986816286"/>
    <m/>
  </r>
  <r>
    <s v="K.10015.01.01.03"/>
    <x v="104"/>
    <s v="Electric"/>
    <m/>
    <m/>
    <m/>
    <x v="5"/>
    <n v="-2406.3499999999995"/>
    <n v="-8.220930000000001"/>
    <n v="-2398.1290699999995"/>
    <m/>
  </r>
  <r>
    <s v="K.10016.01.01.01"/>
    <x v="105"/>
    <s v="Gas"/>
    <m/>
    <m/>
    <m/>
    <x v="5"/>
    <n v="-1462705.48"/>
    <n v="-2612889.5491013769"/>
    <n v="1150184.0691013769"/>
    <m/>
  </r>
  <r>
    <s v="K.10017.01.01.01"/>
    <x v="106"/>
    <s v="Electric"/>
    <m/>
    <m/>
    <m/>
    <x v="5"/>
    <n v="-76346.58"/>
    <n v="0"/>
    <n v="-76346.58"/>
    <m/>
  </r>
  <r>
    <s v="K.10018.01.01.01"/>
    <x v="107"/>
    <s v="Electric"/>
    <m/>
    <m/>
    <m/>
    <x v="5"/>
    <n v="-9827167.8300000019"/>
    <n v="-4646610.824600324"/>
    <n v="-5180557.0053996779"/>
    <m/>
  </r>
  <r>
    <s v="K.10018.01.01.02"/>
    <x v="108"/>
    <s v="Electric"/>
    <m/>
    <m/>
    <m/>
    <x v="5"/>
    <n v="-12479.72"/>
    <n v="0"/>
    <n v="-12479.72"/>
    <m/>
  </r>
  <r>
    <s v="K.10018.01.01.03"/>
    <x v="109"/>
    <s v="Electric"/>
    <m/>
    <m/>
    <m/>
    <x v="5"/>
    <n v="-84891.27"/>
    <n v="0"/>
    <n v="-84891.27"/>
    <m/>
  </r>
  <r>
    <s v="K.10019.01.01.01"/>
    <x v="110"/>
    <s v="Electric"/>
    <m/>
    <m/>
    <m/>
    <x v="5"/>
    <n v="-108514.34"/>
    <n v="-361.50202961105344"/>
    <n v="-108152.83797038894"/>
    <m/>
  </r>
  <r>
    <s v="K.10019.01.01.02"/>
    <x v="111"/>
    <s v="Electric"/>
    <m/>
    <m/>
    <m/>
    <x v="5"/>
    <n v="-2603299.02"/>
    <n v="-1306704.4822524022"/>
    <n v="-1296594.5377475978"/>
    <m/>
  </r>
  <r>
    <s v="K.10021.01.01.01"/>
    <x v="112"/>
    <s v="Electric"/>
    <m/>
    <m/>
    <m/>
    <x v="5"/>
    <n v="-272266.40000000002"/>
    <n v="0"/>
    <n v="-272266.40000000002"/>
    <m/>
  </r>
  <r>
    <s v="K.10021.01.01.02"/>
    <x v="113"/>
    <s v="Electric"/>
    <m/>
    <m/>
    <m/>
    <x v="5"/>
    <n v="-7085.23"/>
    <n v="0"/>
    <n v="-7085.23"/>
    <m/>
  </r>
  <r>
    <s v="K.10023.01.01.02"/>
    <x v="114"/>
    <s v="Electric"/>
    <m/>
    <m/>
    <m/>
    <x v="5"/>
    <n v="-1555245.8742493314"/>
    <n v="0"/>
    <n v="-1555245.8742493314"/>
    <m/>
  </r>
  <r>
    <s v="K.10025.01.02.01"/>
    <x v="115"/>
    <s v="Gas"/>
    <m/>
    <m/>
    <m/>
    <x v="5"/>
    <n v="-480.01"/>
    <n v="0"/>
    <n v="-480.01"/>
    <m/>
  </r>
  <r>
    <s v="K.10025.01.02.02"/>
    <x v="116"/>
    <s v="Gas"/>
    <m/>
    <m/>
    <m/>
    <x v="5"/>
    <n v="-267.82999999999947"/>
    <n v="0"/>
    <n v="-267.82999999999947"/>
    <m/>
  </r>
  <r>
    <s v="K.10025.02.01.01"/>
    <x v="117"/>
    <s v="Gas"/>
    <m/>
    <m/>
    <m/>
    <x v="5"/>
    <n v="-440382.14999999997"/>
    <n v="0"/>
    <n v="-440382.14999999997"/>
    <m/>
  </r>
  <r>
    <s v="K.10026.01.01.03"/>
    <x v="118"/>
    <s v="Electric"/>
    <m/>
    <m/>
    <m/>
    <x v="5"/>
    <n v="-28240.09"/>
    <n v="-291.34078131383092"/>
    <n v="-27948.749218686171"/>
    <m/>
  </r>
  <r>
    <s v="K.10026.01.01.04"/>
    <x v="119"/>
    <s v="Electric"/>
    <m/>
    <m/>
    <m/>
    <x v="5"/>
    <n v="-226808.65"/>
    <n v="0"/>
    <n v="-226808.65"/>
    <m/>
  </r>
  <r>
    <s v="K.10028.01.01.01"/>
    <x v="120"/>
    <s v="Electric"/>
    <m/>
    <m/>
    <m/>
    <x v="5"/>
    <n v="-1386.4999999999998"/>
    <n v="-12794.258073584531"/>
    <n v="11407.758073584531"/>
    <m/>
  </r>
  <r>
    <s v="K.10028.01.01.03"/>
    <x v="121"/>
    <s v="Electric"/>
    <m/>
    <m/>
    <m/>
    <x v="5"/>
    <n v="-36492.78"/>
    <n v="0"/>
    <n v="-36492.78"/>
    <s v="Part of W_F.10007.02.01.02: IT Operational Program in the GRC"/>
  </r>
  <r>
    <s v="K.10028.01.01.04"/>
    <x v="122"/>
    <s v="Electric"/>
    <m/>
    <m/>
    <m/>
    <x v="5"/>
    <n v="-3485416.2700000009"/>
    <n v="-3095100.5623999964"/>
    <n v="-390315.70760000451"/>
    <m/>
  </r>
  <r>
    <s v="R.10005.01.01.01"/>
    <x v="123"/>
    <s v="Electric"/>
    <s v="Energize Eastside"/>
    <s v="Specific: Specific"/>
    <m/>
    <x v="4"/>
    <n v="-44509897.400000006"/>
    <n v="-37051853.939228952"/>
    <n v="-7458043.460771054"/>
    <m/>
  </r>
  <r>
    <s v="R.10005.01.01.02"/>
    <x v="124"/>
    <s v="Electric"/>
    <s v="Projected"/>
    <s v="Projected"/>
    <s v="9 - Projected"/>
    <x v="4"/>
    <n v="-423.68"/>
    <n v="-1007314.4742219325"/>
    <n v="1006890.7942219324"/>
    <m/>
  </r>
  <r>
    <s v="R.10005.01.01.07"/>
    <x v="125"/>
    <s v="Electric"/>
    <s v="Energize Eastside"/>
    <s v="Specific: Specific"/>
    <m/>
    <x v="4"/>
    <n v="-158815791.07999998"/>
    <n v="-3067957.5151001564"/>
    <n v="-155747833.56489983"/>
    <m/>
  </r>
  <r>
    <s v="R.10006.01.01.03"/>
    <x v="126"/>
    <s v="Electric"/>
    <s v="Grid Modernization"/>
    <s v="Programmatic: Programmatic"/>
    <s v="6E - Grid Mod"/>
    <x v="4"/>
    <n v="-5194074.5275619645"/>
    <n v="-10122925.179183614"/>
    <n v="4928850.651621649"/>
    <m/>
  </r>
  <r>
    <s v="R.10006.01.01.04"/>
    <x v="127"/>
    <s v="Electric"/>
    <s v="Grid Modernization"/>
    <s v="Programmatic: Programmatic"/>
    <s v="6E - Grid Mod"/>
    <x v="4"/>
    <n v="-499538.91000000003"/>
    <n v="-1434359.9340381329"/>
    <n v="934821.02403813286"/>
    <m/>
  </r>
  <r>
    <s v="R.10006.01.01.07"/>
    <x v="128"/>
    <s v="Electric"/>
    <s v="Grid Modernization"/>
    <s v="Programmatic: Programmatic"/>
    <s v="6E - Grid Mod"/>
    <x v="4"/>
    <n v="-155913.93"/>
    <n v="0"/>
    <n v="-155913.93"/>
    <m/>
  </r>
  <r>
    <s v="R.10007.06.01.01"/>
    <x v="129"/>
    <s v="Electric"/>
    <s v="CIAC - Electric"/>
    <s v="Programmatic Customer Driven"/>
    <s v="3E - CIAC, NCC, PI"/>
    <x v="4"/>
    <n v="14562652.299999999"/>
    <n v="6382400.0000000037"/>
    <n v="8180252.2999999952"/>
    <m/>
  </r>
  <r>
    <s v="R.10007.07.01.01"/>
    <x v="130"/>
    <s v="Electric"/>
    <s v="Customer Construction Electric"/>
    <s v="Programmatic Customer Driven"/>
    <s v="3E - CIAC, NCC, PI"/>
    <x v="4"/>
    <n v="-8041.6500000000005"/>
    <n v="-3258429.238160836"/>
    <n v="3250387.5881608361"/>
    <m/>
  </r>
  <r>
    <s v="R.10007.08.01.01"/>
    <x v="131"/>
    <s v="Electric"/>
    <s v="Customer Construction Electric"/>
    <s v="Programmatic Customer Driven"/>
    <s v="3E - CIAC, NCC, PI"/>
    <x v="4"/>
    <n v="-5512507.0853848783"/>
    <n v="-3452.753015949349"/>
    <n v="-5509054.3323689289"/>
    <m/>
  </r>
  <r>
    <s v="R.10007.08.02.01"/>
    <x v="132"/>
    <s v="Electric"/>
    <s v="Customer Construction Electric"/>
    <s v="Programmatic Customer Driven"/>
    <s v="3E - CIAC, NCC, PI"/>
    <x v="4"/>
    <n v="-7582881.0731643969"/>
    <n v="-17543.818873808475"/>
    <n v="-7565337.2542905882"/>
    <m/>
  </r>
  <r>
    <s v="R.10007.08.02.02"/>
    <x v="133"/>
    <s v="Gas"/>
    <s v="Customer Construction Electric"/>
    <s v="Programmatic Customer Driven"/>
    <s v="3G - CIAC, NCC, PI"/>
    <x v="4"/>
    <n v="-646283.88695918606"/>
    <n v="0"/>
    <n v="-646283.88695918606"/>
    <m/>
  </r>
  <r>
    <s v="R.10007.09.01.01"/>
    <x v="134"/>
    <s v="Electric"/>
    <s v="Customer Construction Electric"/>
    <s v="Programmatic Customer Driven"/>
    <s v="3E - CIAC, NCC, PI"/>
    <x v="4"/>
    <n v="-30083911.437621254"/>
    <n v="-328048.10019989865"/>
    <n v="-29755863.337421358"/>
    <m/>
  </r>
  <r>
    <s v="R.10007.09.02.01"/>
    <x v="135"/>
    <s v="Electric"/>
    <s v="Customer Construction Electric"/>
    <s v="Programmatic Customer Driven"/>
    <s v="3E - CIAC, NCC, PI"/>
    <x v="4"/>
    <n v="-7266526.9215241875"/>
    <n v="-449542.03568699415"/>
    <n v="-6816984.8858371936"/>
    <m/>
  </r>
  <r>
    <s v="R.10007.09.03.02"/>
    <x v="136"/>
    <s v="Electric"/>
    <s v="Customer Construction Electric"/>
    <s v="Programmatic Customer Driven"/>
    <s v="3E - CIAC, NCC, PI"/>
    <x v="4"/>
    <n v="-16922789.327885289"/>
    <n v="-251838.00168329367"/>
    <n v="-16670951.326201996"/>
    <m/>
  </r>
  <r>
    <s v="R.10007.09.04.01"/>
    <x v="137"/>
    <s v="Electric"/>
    <s v="Customer Construction Electric"/>
    <s v="Programmatic Customer Driven"/>
    <s v="3E - CIAC, NCC, PI"/>
    <x v="4"/>
    <n v="-15356014.49040377"/>
    <n v="-194567.04748128986"/>
    <n v="-15161447.44292248"/>
    <m/>
  </r>
  <r>
    <s v="R.10007.12.01.01"/>
    <x v="138"/>
    <s v="Electric"/>
    <s v="Projected"/>
    <s v="Projected"/>
    <s v="9 - Projected"/>
    <x v="4"/>
    <n v="779464.2824756623"/>
    <n v="0"/>
    <n v="779464.2824756623"/>
    <m/>
  </r>
  <r>
    <s v="R.10007.12.03.01"/>
    <x v="139"/>
    <s v="Electric"/>
    <s v="Major Projects Electric"/>
    <s v="Programmatic: Programmatic"/>
    <s v="7E - Maj Proj"/>
    <x v="4"/>
    <n v="734743.39999999991"/>
    <n v="0"/>
    <n v="734743.39999999991"/>
    <m/>
  </r>
  <r>
    <s v="R.10008.01.01.01"/>
    <x v="140"/>
    <s v="Electric"/>
    <s v="PI Electric"/>
    <s v="Programmatic Customer Driven"/>
    <s v="3E - CIAC, NCC, PI"/>
    <x v="4"/>
    <n v="-810990.75939100282"/>
    <n v="-1757174.0094785567"/>
    <n v="946183.25008755387"/>
    <m/>
  </r>
  <r>
    <s v="R.10008.01.01.02"/>
    <x v="141"/>
    <s v="Electric"/>
    <s v="PI Electric"/>
    <s v="Programmatic Customer Driven"/>
    <s v="3E - CIAC, NCC, PI"/>
    <x v="4"/>
    <n v="-1131792.849469675"/>
    <n v="-2096.7850320589341"/>
    <n v="-1129696.0644376162"/>
    <m/>
  </r>
  <r>
    <s v="R.10008.03.01.01"/>
    <x v="142"/>
    <s v="Electric"/>
    <s v="PI Electric"/>
    <s v="Programmatic Customer Driven"/>
    <s v="3E - CIAC, NCC, PI"/>
    <x v="4"/>
    <n v="-3259646.2076432169"/>
    <n v="-129512.63623745092"/>
    <n v="-3130133.5714057661"/>
    <m/>
  </r>
  <r>
    <s v="R.10008.03.01.03"/>
    <x v="143"/>
    <s v="Electric"/>
    <s v="PI Electric"/>
    <s v="Programmatic Customer Driven"/>
    <s v="3E - CIAC, NCC, PI"/>
    <x v="4"/>
    <n v="-13148591.727722567"/>
    <n v="-939758.49658805644"/>
    <n v="-12208833.23113451"/>
    <m/>
  </r>
  <r>
    <s v="R.10008.03.01.04"/>
    <x v="144"/>
    <s v="Electric"/>
    <s v="PI Electric"/>
    <s v="Programmatic Customer Driven"/>
    <s v="3E - CIAC, NCC, PI"/>
    <x v="4"/>
    <n v="-2124295.2299937215"/>
    <n v="-1273712.1873202061"/>
    <n v="-850583.04267351539"/>
    <m/>
  </r>
  <r>
    <s v="R.10008.03.01.05"/>
    <x v="145"/>
    <s v="Electric"/>
    <s v="PI Electric"/>
    <s v="Programmatic Customer Driven"/>
    <s v="3E - CIAC, NCC, PI"/>
    <x v="4"/>
    <n v="-1637663"/>
    <n v="-42777.416438186134"/>
    <n v="-1594885.5835618139"/>
    <m/>
  </r>
  <r>
    <s v="R.10008.03.01.14"/>
    <x v="146"/>
    <s v="Electric"/>
    <s v="Projected"/>
    <s v="Projected"/>
    <s v="9 - Projected"/>
    <x v="4"/>
    <n v="-757576.12361765897"/>
    <n v="-197094.4790335955"/>
    <n v="-560481.64458406344"/>
    <m/>
  </r>
  <r>
    <s v="R.10008.03.01.18"/>
    <x v="147"/>
    <s v="Electric"/>
    <s v="Projected"/>
    <s v="Projected"/>
    <s v="9 - Projected"/>
    <x v="4"/>
    <n v="-1292404.7968045236"/>
    <n v="0"/>
    <n v="-1292404.7968045236"/>
    <m/>
  </r>
  <r>
    <s v="R.10008.05.01.01"/>
    <x v="148"/>
    <s v="Electric"/>
    <s v="Projected"/>
    <s v="Projected"/>
    <s v="9 - Projected"/>
    <x v="4"/>
    <n v="-472148.33"/>
    <n v="0"/>
    <n v="-472148.33"/>
    <m/>
  </r>
  <r>
    <s v="R.10008.05.01.02"/>
    <x v="149"/>
    <s v="Electric"/>
    <s v="Projected"/>
    <s v="Projected"/>
    <s v="9 - Projected"/>
    <x v="4"/>
    <n v="-7722.8900000000012"/>
    <n v="0"/>
    <n v="-7722.8900000000012"/>
    <m/>
  </r>
  <r>
    <s v="R.10008.07.01.01"/>
    <x v="150"/>
    <s v="Electric"/>
    <s v="PI Electric"/>
    <s v="Programmatic Customer Driven"/>
    <s v="3E - CIAC, NCC, PI"/>
    <x v="4"/>
    <n v="-54192.090000000004"/>
    <n v="-2601507.427617657"/>
    <n v="2547315.3376176571"/>
    <m/>
  </r>
  <r>
    <s v="R.10009.01.01.01"/>
    <x v="151"/>
    <s v="Electric"/>
    <s v="Projected"/>
    <s v="Projected"/>
    <s v="9 - Projected"/>
    <x v="4"/>
    <n v="-5735.3399999999983"/>
    <n v="-1303933.4285756261"/>
    <n v="1298198.088575626"/>
    <m/>
  </r>
  <r>
    <s v="R.10009.02.01.03"/>
    <x v="152"/>
    <s v="Electric"/>
    <s v="Grid Modernization"/>
    <s v="Programmatic: Programmatic"/>
    <s v="6E - Grid Mod"/>
    <x v="4"/>
    <n v="-267380.51999999996"/>
    <n v="-2498008.7604297181"/>
    <n v="2230628.240429718"/>
    <m/>
  </r>
  <r>
    <s v="R.10009.04.01.02"/>
    <x v="153"/>
    <s v="Electric"/>
    <m/>
    <m/>
    <m/>
    <x v="2"/>
    <n v="-2517619.42"/>
    <n v="0"/>
    <n v="-2517619.42"/>
    <m/>
  </r>
  <r>
    <s v="R.10009.05.01.01"/>
    <x v="154"/>
    <s v="Electric"/>
    <s v="Emergent Electric"/>
    <s v="Programmatic: Programmatic"/>
    <s v="4 - Emergent Work"/>
    <x v="4"/>
    <n v="-2406256.4755644454"/>
    <n v="-3642840.7176343375"/>
    <n v="1236584.2420698921"/>
    <m/>
  </r>
  <r>
    <s v="R.10009.05.01.02"/>
    <x v="155"/>
    <s v="Electric"/>
    <s v="Emergent Electric"/>
    <s v="Programmatic: Programmatic"/>
    <s v="4 - Emergent Work"/>
    <x v="4"/>
    <n v="-2372040.1500000004"/>
    <n v="-1756507.0783757369"/>
    <n v="-615533.07162426342"/>
    <m/>
  </r>
  <r>
    <s v="R.10009.05.01.03"/>
    <x v="156"/>
    <s v="Electric"/>
    <s v="Emergent Electric"/>
    <s v="Programmatic: Programmatic"/>
    <s v="4 - Emergent Work"/>
    <x v="4"/>
    <n v="-2139720.5425188881"/>
    <n v="-1606939.8124574216"/>
    <n v="-532780.73006146657"/>
    <m/>
  </r>
  <r>
    <s v="R.10009.05.02.01"/>
    <x v="157"/>
    <s v="Electric"/>
    <s v="Emergent Electric"/>
    <s v="Programmatic: Programmatic"/>
    <s v="4 - Emergent Work"/>
    <x v="4"/>
    <n v="-6318232.3241704041"/>
    <n v="-1189417.440160949"/>
    <n v="-5128814.8840094553"/>
    <m/>
  </r>
  <r>
    <s v="R.10009.05.02.02"/>
    <x v="158"/>
    <s v="Electric"/>
    <s v="Emergent Electric"/>
    <s v="Programmatic: Programmatic"/>
    <s v="4 - Emergent Work"/>
    <x v="4"/>
    <n v="-25478963.849993762"/>
    <n v="-16869284.057530042"/>
    <n v="-8609679.7924637198"/>
    <m/>
  </r>
  <r>
    <s v="R.10009.05.02.03"/>
    <x v="159"/>
    <s v="Electric"/>
    <s v="Emergent Electric"/>
    <s v="Programmatic: Programmatic"/>
    <s v="4 - Emergent Work"/>
    <x v="4"/>
    <n v="-30365295.775305152"/>
    <n v="-18644248.913706027"/>
    <n v="-11721046.861599125"/>
    <m/>
  </r>
  <r>
    <s v="R.10009.05.02.04"/>
    <x v="160"/>
    <s v="Electric"/>
    <s v="Emergent Electric"/>
    <s v="Programmatic: Programmatic"/>
    <s v="4 - Emergent Work"/>
    <x v="4"/>
    <n v="-4177086.3413060443"/>
    <n v="-5064605.6706447974"/>
    <n v="887519.32933875313"/>
    <m/>
  </r>
  <r>
    <s v="R.10009.05.02.05"/>
    <x v="161"/>
    <s v="Electric"/>
    <s v="Emergent Electric"/>
    <s v="Programmatic: Programmatic"/>
    <s v="4 - Emergent Work"/>
    <x v="4"/>
    <n v="-6532201.7105618957"/>
    <n v="-77270.408691708741"/>
    <n v="-6454931.3018701868"/>
    <m/>
  </r>
  <r>
    <s v="R.10009.07.01.01"/>
    <x v="162"/>
    <s v="Electric"/>
    <s v="Capacity Electric"/>
    <s v="Programmatic: Programmatic"/>
    <m/>
    <x v="4"/>
    <n v="5362.9899999999989"/>
    <n v="0"/>
    <n v="5362.9899999999989"/>
    <m/>
  </r>
  <r>
    <s v="R.10009.07.01.03"/>
    <x v="163"/>
    <s v="Electric"/>
    <s v="Capacity Electric"/>
    <s v="Programmatic: Programmatic"/>
    <m/>
    <x v="4"/>
    <n v="-2746811.24"/>
    <n v="-534307.19782597886"/>
    <n v="-2212504.0421740212"/>
    <m/>
  </r>
  <r>
    <s v="R.10009.07.01.07"/>
    <x v="164"/>
    <s v="Electric"/>
    <s v="Projected"/>
    <s v="Projected"/>
    <s v="9 - Projected"/>
    <x v="4"/>
    <n v="-43840.73"/>
    <n v="0"/>
    <n v="-43840.73"/>
    <m/>
  </r>
  <r>
    <s v="R.10009.07.03.01"/>
    <x v="165"/>
    <s v="Electric"/>
    <s v="PI Electric"/>
    <s v="Programmatic Customer Driven"/>
    <s v="3E - CIAC, NCC, PI"/>
    <x v="4"/>
    <n v="-289356.60653857101"/>
    <n v="-23122.496188339908"/>
    <n v="-266234.11035023112"/>
    <m/>
  </r>
  <r>
    <s v="R.10009.08.01.02"/>
    <x v="166"/>
    <s v="Electric"/>
    <s v="Grid Modernization"/>
    <s v="Programmatic: Programmatic"/>
    <s v="6E - Grid Mod"/>
    <x v="4"/>
    <n v="-13184031.87364202"/>
    <n v="-13489572.617585285"/>
    <n v="305540.74394326471"/>
    <m/>
  </r>
  <r>
    <s v="R.10009.08.01.07"/>
    <x v="167"/>
    <s v="Electric"/>
    <s v="Grid Modernization"/>
    <s v="Programmatic: Programmatic"/>
    <s v="6E - Grid Mod"/>
    <x v="4"/>
    <n v="-26591228.166296277"/>
    <n v="0"/>
    <n v="-26591228.166296277"/>
    <m/>
  </r>
  <r>
    <s v="R.10009.08.02.05"/>
    <x v="168"/>
    <s v="Electric"/>
    <s v="Grid Modernization"/>
    <s v="Programmatic: Programmatic"/>
    <s v="6E - Grid Mod"/>
    <x v="4"/>
    <n v="-8130037.159317242"/>
    <n v="-46177442.508803926"/>
    <n v="38047405.349486686"/>
    <m/>
  </r>
  <r>
    <s v="R.10009.08.02.07"/>
    <x v="169"/>
    <s v="Electric"/>
    <s v="Grid Modernization"/>
    <s v="Programmatic: Programmatic"/>
    <s v="6E - Grid Mod"/>
    <x v="4"/>
    <n v="-1991093.3701229529"/>
    <n v="-12358911.537837982"/>
    <n v="10367818.16771503"/>
    <m/>
  </r>
  <r>
    <s v="R.10009.08.02.09"/>
    <x v="170"/>
    <s v="Electric"/>
    <s v="Grid Modernization"/>
    <s v="Programmatic: Programmatic"/>
    <s v="6E - Grid Mod"/>
    <x v="4"/>
    <n v="-4644157.8318888973"/>
    <n v="-3468753.4409467499"/>
    <n v="-1175404.3909421475"/>
    <m/>
  </r>
  <r>
    <s v="R.10009.08.02.10"/>
    <x v="171"/>
    <s v="Electric"/>
    <s v="Grid Modernization"/>
    <s v="Programmatic: Programmatic"/>
    <s v="6E - Grid Mod"/>
    <x v="4"/>
    <n v="-13874827.599354368"/>
    <n v="-2743343.3116766242"/>
    <n v="-11131484.287677743"/>
    <m/>
  </r>
  <r>
    <s v="R.10009.08.02.11"/>
    <x v="172"/>
    <s v="Electric"/>
    <s v="Projected"/>
    <s v="Projected"/>
    <s v="9 - Projected"/>
    <x v="4"/>
    <n v="-135145.16999999998"/>
    <n v="0"/>
    <n v="-135145.16999999998"/>
    <m/>
  </r>
  <r>
    <s v="R.10009.08.02.12"/>
    <x v="173"/>
    <s v="Electric"/>
    <s v="Projected"/>
    <s v="Projected"/>
    <s v="9 - Projected"/>
    <x v="4"/>
    <n v="-3089040.7899999996"/>
    <n v="-2883351.1757637528"/>
    <n v="-205689.61423624679"/>
    <m/>
  </r>
  <r>
    <s v="R.10009.08.02.14"/>
    <x v="174"/>
    <s v="Electric"/>
    <s v="Grid Modernization"/>
    <s v="Programmatic: Programmatic"/>
    <s v="6E - Grid Mod"/>
    <x v="4"/>
    <n v="-19054204.977935247"/>
    <n v="-11728176.84713937"/>
    <n v="-7326028.1307958774"/>
    <m/>
  </r>
  <r>
    <s v="R.10009.08.02.15"/>
    <x v="175"/>
    <s v="Electric"/>
    <s v="Grid Modernization"/>
    <s v="Programmatic: Programmatic"/>
    <s v="6E - Grid Mod"/>
    <x v="4"/>
    <n v="-1311998.2014965296"/>
    <n v="-2842255.0083662439"/>
    <n v="1530256.8068697143"/>
    <m/>
  </r>
  <r>
    <s v="R.10009.08.02.17"/>
    <x v="176"/>
    <s v="Electric"/>
    <s v="Grid Modernization"/>
    <s v="Programmatic: Programmatic"/>
    <s v="6E - Grid Mod"/>
    <x v="4"/>
    <n v="-11013199.759829553"/>
    <n v="-598051.27450237027"/>
    <n v="-10415148.485327182"/>
    <m/>
  </r>
  <r>
    <s v="R.10009.08.02.19"/>
    <x v="177"/>
    <s v="Electric"/>
    <s v="Projected"/>
    <s v="Projected"/>
    <s v="9 - Projected"/>
    <x v="4"/>
    <n v="-140467.14000000001"/>
    <n v="-343.58994116342234"/>
    <n v="-140123.55005883658"/>
    <m/>
  </r>
  <r>
    <s v="R.10009.08.02.22"/>
    <x v="178"/>
    <s v="Electric"/>
    <s v="Grid Modernization"/>
    <s v="Programmatic: Programmatic"/>
    <s v="6E - Grid Mod"/>
    <x v="4"/>
    <n v="-963883.77984976454"/>
    <n v="0"/>
    <n v="-963883.77984976454"/>
    <m/>
  </r>
  <r>
    <s v="R.10009.08.02.24"/>
    <x v="179"/>
    <s v="Electric"/>
    <s v="Projected"/>
    <s v="Projected"/>
    <s v="9 - Projected"/>
    <x v="4"/>
    <n v="-20759.32"/>
    <n v="0"/>
    <n v="-20759.32"/>
    <m/>
  </r>
  <r>
    <s v="R.10009.08.02.25"/>
    <x v="180"/>
    <s v="Electric"/>
    <s v="Grid Modernization"/>
    <s v="Programmatic: Programmatic"/>
    <s v="6E - Grid Mod"/>
    <x v="4"/>
    <n v="-15526234.392010286"/>
    <n v="-161747.64343363733"/>
    <n v="-15364486.748576649"/>
    <m/>
  </r>
  <r>
    <s v="R.10009.08.02.28"/>
    <x v="181"/>
    <s v="Electric"/>
    <s v="Projected"/>
    <s v="Projected"/>
    <s v="9 - Projected"/>
    <x v="4"/>
    <n v="-944312.64973241067"/>
    <n v="-2439.4244755307986"/>
    <n v="-941873.22525687993"/>
    <m/>
  </r>
  <r>
    <s v="R.10009.08.03.01"/>
    <x v="182"/>
    <s v="Electric"/>
    <m/>
    <m/>
    <m/>
    <x v="2"/>
    <n v="-277293.58741736418"/>
    <n v="0"/>
    <n v="-277293.58741736418"/>
    <m/>
  </r>
  <r>
    <s v="R.10009.08.05.02"/>
    <x v="183"/>
    <s v="Electric"/>
    <s v="Emergent Electric"/>
    <s v="Programmatic: Programmatic"/>
    <s v="4 - Emergent Work"/>
    <x v="4"/>
    <n v="-4360134.8086507739"/>
    <n v="-1208886.284194574"/>
    <n v="-3151248.5244562002"/>
    <m/>
  </r>
  <r>
    <s v="R.10009.08.05.03"/>
    <x v="184"/>
    <s v="Electric"/>
    <s v="Emergent Electric"/>
    <s v="Programmatic: Programmatic"/>
    <s v="4 - Emergent Work"/>
    <x v="4"/>
    <n v="-38573.47"/>
    <n v="-219797.88139630793"/>
    <n v="181224.41139630793"/>
    <m/>
  </r>
  <r>
    <s v="R.10009.08.05.05"/>
    <x v="185"/>
    <s v="Electric"/>
    <s v="Grid Modernization"/>
    <s v="Programmatic: Programmatic"/>
    <s v="6E - Grid Mod"/>
    <x v="4"/>
    <n v="-6867195.1160102468"/>
    <n v="-27730275.612953339"/>
    <n v="20863080.496943094"/>
    <m/>
  </r>
  <r>
    <s v="R.10009.08.05.07"/>
    <x v="186"/>
    <s v="Electric"/>
    <s v="Grid Modernization"/>
    <s v="Programmatic: Programmatic"/>
    <s v="6E - Grid Mod"/>
    <x v="4"/>
    <n v="-11986074.226060275"/>
    <n v="-5896473.0104704974"/>
    <n v="-6089601.2155897776"/>
    <m/>
  </r>
  <r>
    <s v="R.10009.08.05.16"/>
    <x v="187"/>
    <s v="Electric"/>
    <s v="Grid Modernization"/>
    <s v="Programmatic: Programmatic"/>
    <s v="6E - Grid Mod"/>
    <x v="4"/>
    <n v="-1037790.98"/>
    <n v="-132602.58469901333"/>
    <n v="-905188.39530098671"/>
    <m/>
  </r>
  <r>
    <s v="R.10009.08.05.17"/>
    <x v="188"/>
    <s v="Electric"/>
    <s v="Grid Modernization"/>
    <s v="Programmatic: Programmatic"/>
    <s v="6E - Grid Mod"/>
    <x v="4"/>
    <n v="-115430.08000000002"/>
    <n v="-8484.2528510976499"/>
    <n v="-106945.82714890236"/>
    <m/>
  </r>
  <r>
    <s v="R.10009.12.01.01"/>
    <x v="189"/>
    <s v="Common"/>
    <s v="AMI Meters and Modules Deployment"/>
    <s v="Programmatic: Programmatic"/>
    <s v="1 - AMI"/>
    <x v="6"/>
    <n v="-80813.69"/>
    <n v="0"/>
    <n v="-80813.69"/>
    <m/>
  </r>
  <r>
    <s v="R.10009.12.01.03"/>
    <x v="190"/>
    <s v="Electric"/>
    <s v="AMI Meters and Modules Deployment"/>
    <s v="Programmatic: Programmatic"/>
    <s v="1 - AMI"/>
    <x v="6"/>
    <n v="-100838.31000000001"/>
    <n v="0"/>
    <n v="-100838.31000000001"/>
    <m/>
  </r>
  <r>
    <s v="R.10009.12.01.04"/>
    <x v="191"/>
    <s v="Electric"/>
    <s v="AMI Meters and Modules Deployment"/>
    <s v="Programmatic: Programmatic"/>
    <s v="1 - AMI"/>
    <x v="6"/>
    <n v="-27840619.771862037"/>
    <n v="-104544526.2964678"/>
    <n v="76703906.524605751"/>
    <m/>
  </r>
  <r>
    <s v="R.10009.12.01.05"/>
    <x v="192"/>
    <s v="Gas"/>
    <s v="AMI Meters and Modules Deployment"/>
    <s v="Programmatic: Programmatic"/>
    <s v="1 - AMI"/>
    <x v="6"/>
    <n v="-6439970.9736460894"/>
    <n v="-62537804.720619835"/>
    <n v="56097833.746973746"/>
    <m/>
  </r>
  <r>
    <s v="R.10009.12.01.08"/>
    <x v="193"/>
    <s v="Electric"/>
    <s v="Projected"/>
    <s v="Projected"/>
    <s v="9 - Projected"/>
    <x v="4"/>
    <n v="-7171.4800000000005"/>
    <n v="61120.296803631776"/>
    <n v="-68291.776803631772"/>
    <m/>
  </r>
  <r>
    <s v="R.10009.12.01.09"/>
    <x v="194"/>
    <s v="Gas"/>
    <s v="Projected"/>
    <s v="Projected"/>
    <s v="9 - Projected"/>
    <x v="4"/>
    <n v="-270.436445034256"/>
    <n v="-2399.9999999999973"/>
    <n v="2129.5635549657413"/>
    <m/>
  </r>
  <r>
    <s v="R.10009.12.03.01"/>
    <x v="195"/>
    <s v="Electric"/>
    <s v="Grid Modernization"/>
    <s v="Programmatic: Programmatic"/>
    <s v="6E - Grid Mod"/>
    <x v="4"/>
    <n v="-4055737.6486428548"/>
    <n v="-9717623.2223387007"/>
    <n v="5661885.5736958459"/>
    <m/>
  </r>
  <r>
    <s v="R.10009.14.04.01"/>
    <x v="196"/>
    <s v="Electric"/>
    <s v="Grid Modernization"/>
    <s v="Programmatic: Programmatic"/>
    <s v="6E - Grid Mod"/>
    <x v="4"/>
    <n v="-23434.89"/>
    <n v="0"/>
    <n v="-23434.89"/>
    <m/>
  </r>
  <r>
    <s v="R.10009.14.05.02"/>
    <x v="197"/>
    <s v="Electric"/>
    <s v="Emergent Electric"/>
    <s v="Programmatic: Programmatic"/>
    <s v="4 - Emergent Work"/>
    <x v="4"/>
    <n v="-6192262.1800000006"/>
    <n v="-6277278.1563269272"/>
    <n v="85015.976326926611"/>
    <m/>
  </r>
  <r>
    <s v="R.10009.14.05.03"/>
    <x v="198"/>
    <s v="Electric"/>
    <s v="Emergent Electric"/>
    <s v="Programmatic: Programmatic"/>
    <s v="4 - Emergent Work"/>
    <x v="4"/>
    <n v="-2189643.1"/>
    <n v="-2472772.7424335591"/>
    <n v="283129.64243355906"/>
    <m/>
  </r>
  <r>
    <s v="R.10009.14.05.06"/>
    <x v="199"/>
    <s v="Electric"/>
    <s v="Grid Modernization"/>
    <s v="Programmatic: Programmatic"/>
    <s v="6E - Grid Mod"/>
    <x v="4"/>
    <n v="-10412305.507208887"/>
    <n v="-14286949.097328121"/>
    <n v="3874643.5901192334"/>
    <m/>
  </r>
  <r>
    <s v="R.10009.14.05.07"/>
    <x v="200"/>
    <s v="Electric"/>
    <s v="Grid Modernization"/>
    <s v="Programmatic: Programmatic"/>
    <s v="6E - Grid Mod"/>
    <x v="4"/>
    <n v="-15464.249154319601"/>
    <n v="-12557.455440509662"/>
    <n v="-2906.7937138099387"/>
    <m/>
  </r>
  <r>
    <s v="R.10009.14.05.09"/>
    <x v="201"/>
    <s v="Electric"/>
    <s v="Projected"/>
    <s v="Projected"/>
    <s v="9 - Projected"/>
    <x v="4"/>
    <n v="-1854282.2609922818"/>
    <n v="0"/>
    <n v="-1854282.2609922818"/>
    <m/>
  </r>
  <r>
    <s v="R.10009.14.07.01"/>
    <x v="202"/>
    <s v="Electric"/>
    <s v="Grid Modernization"/>
    <s v="Programmatic: Programmatic"/>
    <s v="6E - Grid Mod"/>
    <x v="4"/>
    <n v="-8155.2199999999993"/>
    <n v="-282885.45113292593"/>
    <n v="274730.23113292595"/>
    <m/>
  </r>
  <r>
    <s v="R.10009.17.01.01"/>
    <x v="203"/>
    <s v="Electric"/>
    <s v="Projected"/>
    <s v="Projected"/>
    <s v="9 - Projected"/>
    <x v="4"/>
    <n v="-106259.76000000001"/>
    <n v="-350000.00000000041"/>
    <n v="243740.2400000004"/>
    <m/>
  </r>
  <r>
    <s v="R.10011.01.01.03"/>
    <x v="204"/>
    <s v="Gas"/>
    <s v="Gas Modernization"/>
    <s v="Programmatic: Programmatic"/>
    <s v="6G - Gas Mod"/>
    <x v="4"/>
    <n v="-453596.06000000006"/>
    <n v="-1187215.4833934451"/>
    <n v="733619.42339344509"/>
    <m/>
  </r>
  <r>
    <s v="R.10011.01.01.04"/>
    <x v="205"/>
    <s v="Gas"/>
    <s v="Gas Modernization"/>
    <s v="Programmatic: Programmatic"/>
    <s v="6G - Gas Mod"/>
    <x v="4"/>
    <n v="-142381.01"/>
    <n v="-188614.82987705726"/>
    <n v="46233.819877057249"/>
    <m/>
  </r>
  <r>
    <s v="R.10011.01.01.06"/>
    <x v="206"/>
    <s v="Gas"/>
    <s v="Projected"/>
    <s v="Projected"/>
    <s v="9 - Projected"/>
    <x v="4"/>
    <n v="-122749.41"/>
    <n v="0"/>
    <n v="-122749.41"/>
    <m/>
  </r>
  <r>
    <s v="R.10011.01.01.07"/>
    <x v="207"/>
    <s v="Gas"/>
    <s v="Major Projects Gas"/>
    <s v="Programmatic: Programmatic"/>
    <s v="7G - Maj Proj"/>
    <x v="4"/>
    <n v="-320771.7"/>
    <n v="-576037.5544989194"/>
    <n v="255265.85449891939"/>
    <m/>
  </r>
  <r>
    <s v="R.10012.01.01.01"/>
    <x v="208"/>
    <s v="Gas"/>
    <s v="Customer Construction Gas"/>
    <s v="Programmatic Customer Driven"/>
    <s v="3G - CIAC, NCC, PI"/>
    <x v="4"/>
    <n v="-1472992.01"/>
    <n v="0"/>
    <n v="-1472992.01"/>
    <m/>
  </r>
  <r>
    <s v="R.10012.01.01.02"/>
    <x v="209"/>
    <s v="Gas"/>
    <s v="Customer Construction Gas"/>
    <s v="Programmatic Customer Driven"/>
    <s v="3G - CIAC, NCC, PI"/>
    <x v="4"/>
    <n v="-2093679.8505118317"/>
    <n v="-19817.837709763291"/>
    <n v="-2073862.0128020684"/>
    <m/>
  </r>
  <r>
    <s v="R.10012.01.02.01"/>
    <x v="210"/>
    <s v="Gas"/>
    <s v="Customer Construction Gas"/>
    <s v="Programmatic Customer Driven"/>
    <s v="3G - CIAC, NCC, PI"/>
    <x v="4"/>
    <n v="-322903.42423175828"/>
    <n v="-34389.036907058799"/>
    <n v="-288514.38732469949"/>
    <m/>
  </r>
  <r>
    <s v="R.10012.01.02.02"/>
    <x v="211"/>
    <s v="Gas"/>
    <s v="Customer Construction Gas"/>
    <s v="Programmatic Customer Driven"/>
    <s v="3G - CIAC, NCC, PI"/>
    <x v="4"/>
    <n v="-11895177.780253317"/>
    <n v="-17159.511265195943"/>
    <n v="-11878018.268988121"/>
    <m/>
  </r>
  <r>
    <s v="R.10012.02.01.01"/>
    <x v="212"/>
    <s v="Gas"/>
    <s v="CIAC - Gas"/>
    <s v="Programmatic Customer Driven"/>
    <s v="3G - CIAC, NCC, PI"/>
    <x v="4"/>
    <n v="198563.8"/>
    <n v="3005100"/>
    <n v="-2806536.2"/>
    <m/>
  </r>
  <r>
    <s v="R.10012.03.01.01"/>
    <x v="213"/>
    <s v="Gas"/>
    <s v="Customer Construction Gas"/>
    <s v="Programmatic Customer Driven"/>
    <s v="3G - CIAC, NCC, PI"/>
    <x v="4"/>
    <n v="-10504158.727816181"/>
    <n v="-177108.11498440625"/>
    <n v="-10327050.612831775"/>
    <m/>
  </r>
  <r>
    <s v="R.10012.03.02.01"/>
    <x v="214"/>
    <s v="Gas"/>
    <s v="Customer Construction Gas"/>
    <s v="Programmatic Customer Driven"/>
    <s v="3G - CIAC, NCC, PI"/>
    <x v="4"/>
    <n v="-2768771.462433415"/>
    <n v="-35940.955616185987"/>
    <n v="-2732830.5068172291"/>
    <m/>
  </r>
  <r>
    <s v="R.10012.03.03.01"/>
    <x v="215"/>
    <s v="Gas"/>
    <s v="Customer Construction Gas"/>
    <s v="Programmatic Customer Driven"/>
    <s v="3G - CIAC, NCC, PI"/>
    <x v="4"/>
    <n v="-8307148.0599999996"/>
    <n v="-337792.25247504498"/>
    <n v="-7969355.8075249549"/>
    <m/>
  </r>
  <r>
    <s v="R.10012.03.03.02"/>
    <x v="216"/>
    <s v="Gas"/>
    <s v="Customer Construction Gas"/>
    <s v="Programmatic Customer Driven"/>
    <s v="3G - CIAC, NCC, PI"/>
    <x v="4"/>
    <n v="-3109124.8301923983"/>
    <n v="-26571.915949503546"/>
    <n v="-3082552.9142428949"/>
    <m/>
  </r>
  <r>
    <s v="R.10012.04.01.01"/>
    <x v="217"/>
    <s v="Gas"/>
    <s v="Customer Construction Gas"/>
    <s v="Programmatic Customer Driven"/>
    <s v="3G - CIAC, NCC, PI"/>
    <x v="4"/>
    <n v="-7672221.6546261068"/>
    <n v="-7135.7059427120903"/>
    <n v="-7665085.9486833951"/>
    <m/>
  </r>
  <r>
    <s v="R.10012.04.02.01"/>
    <x v="218"/>
    <s v="Gas"/>
    <s v="Customer Construction Gas"/>
    <s v="Programmatic Customer Driven"/>
    <s v="3G - CIAC, NCC, PI"/>
    <x v="4"/>
    <n v="-3195490.0480205156"/>
    <n v="-497.08362264671564"/>
    <n v="-3194992.9643978691"/>
    <m/>
  </r>
  <r>
    <s v="R.10012.04.03.02"/>
    <x v="219"/>
    <s v="Gas"/>
    <s v="Customer Construction Gas"/>
    <s v="Programmatic Customer Driven"/>
    <s v="3G - CIAC, NCC, PI"/>
    <x v="4"/>
    <n v="-23735597.699419755"/>
    <n v="-335.97149033117768"/>
    <n v="-23735261.727929424"/>
    <m/>
  </r>
  <r>
    <s v="R.10012.04.03.03"/>
    <x v="220"/>
    <s v="Gas"/>
    <s v="Customer Construction Gas"/>
    <s v="Programmatic Customer Driven"/>
    <s v="3G - CIAC, NCC, PI"/>
    <x v="4"/>
    <n v="-7990777.4568597265"/>
    <n v="0"/>
    <n v="-7990777.4568597265"/>
    <m/>
  </r>
  <r>
    <s v="R.10012.06.01.01"/>
    <x v="221"/>
    <s v="Gas"/>
    <s v="Customer Construction Gas"/>
    <s v="Programmatic Customer Driven"/>
    <s v="3G - CIAC, NCC, PI"/>
    <x v="4"/>
    <n v="-1650613.8911316695"/>
    <n v="0"/>
    <n v="-1650613.8911316695"/>
    <m/>
  </r>
  <r>
    <s v="R.10013.01.01.01"/>
    <x v="222"/>
    <s v="Gas"/>
    <s v="Customer Construction Gas"/>
    <s v="Programmatic Customer Driven"/>
    <s v="3G - CIAC, NCC, PI"/>
    <x v="4"/>
    <n v="-121043.48999999999"/>
    <n v="-15613608.879516477"/>
    <n v="15492565.389516477"/>
    <m/>
  </r>
  <r>
    <s v="R.10013.04.01.01"/>
    <x v="223"/>
    <s v="Gas"/>
    <s v="PI Gas"/>
    <s v="Programmatic Customer Driven"/>
    <s v="3G - CIAC, NCC, PI"/>
    <x v="4"/>
    <n v="-35901727.902302429"/>
    <n v="-111550.10453963163"/>
    <n v="-35790177.797762796"/>
    <m/>
  </r>
  <r>
    <s v="R.10013.04.01.02"/>
    <x v="224"/>
    <s v="Gas"/>
    <s v="PI Gas"/>
    <s v="Programmatic Customer Driven"/>
    <s v="3G - CIAC, NCC, PI"/>
    <x v="4"/>
    <n v="-1060031.0369270334"/>
    <n v="-22867.544331385841"/>
    <n v="-1037163.4925956476"/>
    <m/>
  </r>
  <r>
    <s v="R.10013.04.01.04"/>
    <x v="225"/>
    <s v="Gas"/>
    <s v="Projected"/>
    <s v="Projected"/>
    <s v="9 - Projected"/>
    <x v="4"/>
    <n v="-1333382.6600000001"/>
    <n v="0"/>
    <n v="-1333382.6600000001"/>
    <m/>
  </r>
  <r>
    <s v="R.10013.04.01.06"/>
    <x v="226"/>
    <s v="Gas"/>
    <s v="Projected"/>
    <s v="Projected"/>
    <s v="9 - Projected"/>
    <x v="4"/>
    <n v="-619359.33000000007"/>
    <n v="0"/>
    <n v="-619359.33000000007"/>
    <m/>
  </r>
  <r>
    <s v="R.10013.05.01.01"/>
    <x v="227"/>
    <s v="Gas"/>
    <s v="PI Gas"/>
    <s v="Programmatic Customer Driven"/>
    <s v="3G - CIAC, NCC, PI"/>
    <x v="4"/>
    <n v="9426.8999999999942"/>
    <n v="0"/>
    <n v="9426.8999999999942"/>
    <m/>
  </r>
  <r>
    <s v="R.10013.05.01.02"/>
    <x v="228"/>
    <s v="Gas"/>
    <s v="Projected"/>
    <s v="Projected"/>
    <s v="9 - Projected"/>
    <x v="4"/>
    <n v="-794.06"/>
    <n v="0"/>
    <n v="-794.06"/>
    <m/>
  </r>
  <r>
    <s v="R.10013.06.01.01"/>
    <x v="229"/>
    <s v="Gas"/>
    <s v="Projected"/>
    <s v="Projected"/>
    <s v="9 - Projected"/>
    <x v="4"/>
    <n v="-336.5"/>
    <n v="0"/>
    <n v="-336.5"/>
    <m/>
  </r>
  <r>
    <s v="R.10013.07.01.01"/>
    <x v="230"/>
    <s v="Gas"/>
    <s v="PI Gas"/>
    <s v="Programmatic Customer Driven"/>
    <s v="3G - CIAC, NCC, PI"/>
    <x v="4"/>
    <n v="-391890.36423175829"/>
    <n v="-6744.3420826951178"/>
    <n v="-385146.02214906318"/>
    <m/>
  </r>
  <r>
    <s v="R.10013.07.01.02"/>
    <x v="231"/>
    <s v="Gas"/>
    <s v="PI Gas"/>
    <s v="Programmatic Customer Driven"/>
    <s v="3G - CIAC, NCC, PI"/>
    <x v="4"/>
    <n v="-69817.070000000007"/>
    <n v="-2770.3443842876318"/>
    <n v="-67046.725615712377"/>
    <m/>
  </r>
  <r>
    <s v="R.10014.01.01.01"/>
    <x v="232"/>
    <s v="Gas"/>
    <s v="Major Projects Gas"/>
    <s v="Programmatic: Programmatic"/>
    <s v="7G - Maj Proj"/>
    <x v="4"/>
    <n v="-2876519.4599999995"/>
    <n v="0"/>
    <n v="-2876519.4599999995"/>
    <m/>
  </r>
  <r>
    <s v="R.10015.01.01.01"/>
    <x v="233"/>
    <s v="Gas"/>
    <s v="Emergent Gas"/>
    <s v="Programmatic: Programmatic"/>
    <s v="4 - Emergent Work"/>
    <x v="4"/>
    <n v="-184180.97000000003"/>
    <n v="-429333.65074284392"/>
    <n v="245152.68074284389"/>
    <m/>
  </r>
  <r>
    <s v="R.10015.01.01.02"/>
    <x v="234"/>
    <s v="Gas"/>
    <s v="Emergent Gas"/>
    <s v="Programmatic: Programmatic"/>
    <s v="4 - Emergent Work"/>
    <x v="4"/>
    <n v="-2767569.4869907317"/>
    <n v="-3578145.4171307739"/>
    <n v="810575.93014004221"/>
    <m/>
  </r>
  <r>
    <s v="R.10015.01.01.03"/>
    <x v="235"/>
    <s v="Gas"/>
    <s v="Emergent Gas"/>
    <s v="Programmatic: Programmatic"/>
    <s v="4 - Emergent Work"/>
    <x v="4"/>
    <n v="-924204.17000000016"/>
    <n v="-1307244.2242086243"/>
    <n v="383040.05420862418"/>
    <m/>
  </r>
  <r>
    <s v="R.10015.01.01.05"/>
    <x v="236"/>
    <s v="Gas"/>
    <s v="Emergent Gas"/>
    <s v="Programmatic: Programmatic"/>
    <s v="4 - Emergent Work"/>
    <x v="4"/>
    <n v="-2180001.2442317582"/>
    <n v="-1506973.3174859753"/>
    <n v="-673027.92674578284"/>
    <m/>
  </r>
  <r>
    <s v="R.10015.02.01.02"/>
    <x v="237"/>
    <s v="Gas"/>
    <m/>
    <m/>
    <m/>
    <x v="2"/>
    <n v="-123834.78999999998"/>
    <n v="0"/>
    <n v="-123834.78999999998"/>
    <m/>
  </r>
  <r>
    <s v="R.10015.03.01.01"/>
    <x v="238"/>
    <s v="Gas"/>
    <s v="Gas Modernization"/>
    <s v="Programmatic: Programmatic"/>
    <s v="6G - Gas Mod"/>
    <x v="4"/>
    <n v="-352107.17289311904"/>
    <n v="-625050.26624476083"/>
    <n v="272943.09335164179"/>
    <m/>
  </r>
  <r>
    <s v="R.10015.03.02.01"/>
    <x v="239"/>
    <s v="Gas"/>
    <s v="Gas Modernization"/>
    <s v="Programmatic: Programmatic"/>
    <s v="6G - Gas Mod"/>
    <x v="4"/>
    <n v="-752419.54020554142"/>
    <n v="-624510.63401803852"/>
    <n v="-127908.9061875029"/>
    <m/>
  </r>
  <r>
    <s v="R.10015.03.04.01"/>
    <x v="240"/>
    <s v="Gas"/>
    <s v="Pipe Replacement"/>
    <s v="Programmatic: Programmatic"/>
    <s v="8 - Pipe Replacement"/>
    <x v="4"/>
    <n v="-49271824.509905539"/>
    <n v="-44009686.222595572"/>
    <n v="-5262138.287309967"/>
    <m/>
  </r>
  <r>
    <s v="R.10015.03.04.02"/>
    <x v="241"/>
    <s v="Gas"/>
    <s v="Gas Modernization"/>
    <s v="Programmatic: Programmatic"/>
    <s v="6G - Gas Mod"/>
    <x v="4"/>
    <n v="-1430500.6300000004"/>
    <n v="-3749768.5819981149"/>
    <n v="2319267.9519981146"/>
    <m/>
  </r>
  <r>
    <s v="R.10015.03.04.03"/>
    <x v="242"/>
    <s v="Gas"/>
    <s v="Gas Modernization"/>
    <s v="Programmatic: Programmatic"/>
    <s v="6G - Gas Mod"/>
    <x v="4"/>
    <n v="-651433.83091583464"/>
    <n v="-1449293.4231263725"/>
    <n v="797859.59221053787"/>
    <m/>
  </r>
  <r>
    <s v="R.10015.03.06.01"/>
    <x v="243"/>
    <s v="Gas"/>
    <s v="Pipe Replacement"/>
    <s v="Programmatic: Programmatic"/>
    <s v="8 - Pipe Replacement"/>
    <x v="4"/>
    <n v="-95795.199999999997"/>
    <n v="0"/>
    <n v="-95795.199999999997"/>
    <m/>
  </r>
  <r>
    <s v="R.10015.03.07.01"/>
    <x v="244"/>
    <s v="Gas"/>
    <s v="Gas Modernization"/>
    <s v="Programmatic: Programmatic"/>
    <s v="6G - Gas Mod"/>
    <x v="4"/>
    <n v="-62919.437061768433"/>
    <n v="-531422.58285930974"/>
    <n v="468503.14579754131"/>
    <m/>
  </r>
  <r>
    <s v="R.10015.03.07.03"/>
    <x v="245"/>
    <s v="Gas"/>
    <s v="Gas Modernization"/>
    <s v="Programmatic: Programmatic"/>
    <s v="6G - Gas Mod"/>
    <x v="4"/>
    <n v="-2695663.9240990998"/>
    <n v="-2702523.9300158662"/>
    <n v="6860.0059167663567"/>
    <m/>
  </r>
  <r>
    <s v="R.10015.03.08.01"/>
    <x v="246"/>
    <s v="Gas"/>
    <s v="Gas Modernization"/>
    <s v="Programmatic: Programmatic"/>
    <s v="6G - Gas Mod"/>
    <x v="4"/>
    <n v="-824.92000000000007"/>
    <n v="-2025.39265001081"/>
    <n v="1200.47265001081"/>
    <m/>
  </r>
  <r>
    <s v="R.10015.03.09.01"/>
    <x v="247"/>
    <s v="Gas"/>
    <s v="Gas Modernization"/>
    <s v="Programmatic: Programmatic"/>
    <s v="6G - Gas Mod"/>
    <x v="4"/>
    <n v="-1967967.6142317585"/>
    <n v="-3267068.2414549603"/>
    <n v="1299100.6272232018"/>
    <m/>
  </r>
  <r>
    <s v="R.10015.03.09.03"/>
    <x v="248"/>
    <s v="Gas"/>
    <s v="Gas Modernization"/>
    <s v="Programmatic: Programmatic"/>
    <s v="6G - Gas Mod"/>
    <x v="4"/>
    <n v="-3935224.7000000007"/>
    <n v="-3683508.9904270922"/>
    <n v="-251715.70957290847"/>
    <m/>
  </r>
  <r>
    <s v="R.10015.03.09.07"/>
    <x v="249"/>
    <s v="Gas"/>
    <s v="Gas Modernization"/>
    <s v="Programmatic: Programmatic"/>
    <s v="6G - Gas Mod"/>
    <x v="4"/>
    <n v="-201883.58"/>
    <n v="-429745.23016552208"/>
    <n v="227861.65016552209"/>
    <m/>
  </r>
  <r>
    <s v="R.10015.03.09.14"/>
    <x v="250"/>
    <s v="Gas"/>
    <s v="Gas Modernization"/>
    <s v="Programmatic: Programmatic"/>
    <s v="6G - Gas Mod"/>
    <x v="4"/>
    <n v="-712659.35018657148"/>
    <n v="-4103148.8046456487"/>
    <n v="3390489.4544590772"/>
    <m/>
  </r>
  <r>
    <s v="R.10015.03.09.15"/>
    <x v="251"/>
    <s v="Gas"/>
    <s v="Pipe Replacement"/>
    <s v="Programmatic: Programmatic"/>
    <s v="8 - Pipe Replacement"/>
    <x v="4"/>
    <n v="-6038892.223055413"/>
    <n v="-5653600.1325064488"/>
    <n v="-385292.09054896422"/>
    <m/>
  </r>
  <r>
    <s v="R.10015.03.10.02"/>
    <x v="252"/>
    <s v="Gas"/>
    <s v="Projected"/>
    <s v="Projected"/>
    <s v="9 - Projected"/>
    <x v="4"/>
    <n v="-148211.1511587915"/>
    <n v="0"/>
    <n v="-148211.1511587915"/>
    <m/>
  </r>
  <r>
    <s v="R.10015.03.11.01"/>
    <x v="253"/>
    <s v="Gas"/>
    <s v="Gas Modernization"/>
    <s v="Programmatic: Programmatic"/>
    <s v="6G - Gas Mod"/>
    <x v="4"/>
    <n v="-42149.364231758293"/>
    <n v="-180175.30185413003"/>
    <n v="138025.93762237174"/>
    <m/>
  </r>
  <r>
    <s v="R.10015.04.01.02"/>
    <x v="254"/>
    <s v="Gas"/>
    <s v="Projected"/>
    <s v="Projected"/>
    <s v="9 - Projected"/>
    <x v="4"/>
    <n v="-2315739.2355960906"/>
    <n v="-3754567.2705454882"/>
    <n v="1438828.0349493977"/>
    <m/>
  </r>
  <r>
    <s v="R.10015.04.01.03"/>
    <x v="255"/>
    <s v="Gas"/>
    <s v="Emergent Gas"/>
    <s v="Programmatic: Programmatic"/>
    <s v="4 - Emergent Work"/>
    <x v="4"/>
    <n v="-352751.58934313926"/>
    <n v="-1026506.7600291376"/>
    <n v="673755.1706859984"/>
    <m/>
  </r>
  <r>
    <s v="R.10015.04.01.04"/>
    <x v="256"/>
    <s v="Gas"/>
    <s v="Emergent Gas"/>
    <s v="Programmatic: Programmatic"/>
    <s v="4 - Emergent Work"/>
    <x v="4"/>
    <n v="-1279814.0942317583"/>
    <n v="-2029436.6604549391"/>
    <n v="749622.56622318085"/>
    <m/>
  </r>
  <r>
    <s v="R.10015.04.01.05"/>
    <x v="257"/>
    <s v="Gas"/>
    <s v="Emergent Gas"/>
    <s v="Programmatic: Programmatic"/>
    <s v="4 - Emergent Work"/>
    <x v="4"/>
    <n v="-10043107.29948145"/>
    <n v="-9056163.8387702424"/>
    <n v="-986943.46071120724"/>
    <m/>
  </r>
  <r>
    <s v="R.10015.04.01.06"/>
    <x v="258"/>
    <s v="Gas"/>
    <s v="Emergent Gas"/>
    <s v="Programmatic: Programmatic"/>
    <s v="4 - Emergent Work"/>
    <x v="4"/>
    <n v="-240389.55"/>
    <n v="-297924.5009148001"/>
    <n v="57534.950914800109"/>
    <m/>
  </r>
  <r>
    <s v="R.10015.04.01.07"/>
    <x v="259"/>
    <s v="Gas"/>
    <s v="Emergent Gas"/>
    <s v="Programmatic: Programmatic"/>
    <s v="4 - Emergent Work"/>
    <x v="4"/>
    <n v="-4787.1899999999996"/>
    <n v="-148439.5139193655"/>
    <n v="143652.3239193655"/>
    <m/>
  </r>
  <r>
    <s v="R.10015.04.01.09"/>
    <x v="260"/>
    <s v="Gas"/>
    <s v="Emergent Gas"/>
    <s v="Programmatic: Programmatic"/>
    <s v="4 - Emergent Work"/>
    <x v="4"/>
    <n v="-248141.69423175833"/>
    <n v="-1205412.4114736328"/>
    <n v="957270.71724187443"/>
    <m/>
  </r>
  <r>
    <s v="R.10015.04.01.12"/>
    <x v="261"/>
    <s v="Gas"/>
    <s v="Pipe Replacement"/>
    <s v="Programmatic: Programmatic"/>
    <s v="8 - Pipe Replacement"/>
    <x v="4"/>
    <n v="-3825169.7299999995"/>
    <n v="0"/>
    <n v="-3825169.7299999995"/>
    <m/>
  </r>
  <r>
    <s v="R.10015.04.01.13"/>
    <x v="262"/>
    <s v="Gas"/>
    <s v="Pipe Replacement"/>
    <s v="Programmatic: Programmatic"/>
    <s v="8 - Pipe Replacement"/>
    <x v="4"/>
    <n v="-661462.49559882458"/>
    <n v="0"/>
    <n v="-661462.49559882458"/>
    <m/>
  </r>
  <r>
    <s v="R.10015.05.01.01"/>
    <x v="263"/>
    <s v="Gas"/>
    <s v="Projected"/>
    <s v="Projected"/>
    <s v="9 - Projected"/>
    <x v="4"/>
    <n v="-1530.8"/>
    <n v="-1176.1589987058437"/>
    <n v="-354.64100129415624"/>
    <m/>
  </r>
  <r>
    <s v="R.10015.06.01.02"/>
    <x v="264"/>
    <s v="Gas"/>
    <s v="Gas Modernization"/>
    <s v="Programmatic: Programmatic"/>
    <s v="6G - Gas Mod"/>
    <x v="4"/>
    <n v="-30357.300000000003"/>
    <n v="-192004.56225498812"/>
    <n v="161647.26225498813"/>
    <m/>
  </r>
  <r>
    <s v="R.10015.06.01.04"/>
    <x v="265"/>
    <s v="Gas"/>
    <s v="Capacity Gas"/>
    <s v="Programmatic: Programmatic"/>
    <m/>
    <x v="4"/>
    <n v="-2580429.9736258262"/>
    <n v="-8824690.6817541234"/>
    <n v="6244260.7081282977"/>
    <m/>
  </r>
  <r>
    <s v="R.10015.06.01.05"/>
    <x v="266"/>
    <s v="Gas"/>
    <s v="Capacity Gas"/>
    <s v="Programmatic: Programmatic"/>
    <m/>
    <x v="4"/>
    <n v="-3239929.69"/>
    <n v="-4989828.6341764741"/>
    <n v="1749898.9441764741"/>
    <m/>
  </r>
  <r>
    <s v="R.10015.07.01.01"/>
    <x v="267"/>
    <s v="Gas"/>
    <s v="Projected"/>
    <s v="Projected"/>
    <s v="9 - Projected"/>
    <x v="4"/>
    <n v="-346.02644804097525"/>
    <n v="0"/>
    <n v="-346.02644804097525"/>
    <m/>
  </r>
  <r>
    <s v="R.10015.08.02.02"/>
    <x v="268"/>
    <s v="Gas"/>
    <s v="Projected"/>
    <s v="Projected"/>
    <s v="9 - Projected"/>
    <x v="4"/>
    <n v="-161561.24"/>
    <n v="-6458825.6809999952"/>
    <n v="6297264.440999995"/>
    <m/>
  </r>
  <r>
    <s v="R.10019.01.01.01"/>
    <x v="269"/>
    <s v="Electric"/>
    <s v="Projected"/>
    <s v="Projected"/>
    <s v="9 - Projected"/>
    <x v="4"/>
    <n v="-380747.7737545399"/>
    <n v="0"/>
    <n v="-380747.7737545399"/>
    <m/>
  </r>
  <r>
    <s v="R.10019.01.01.02"/>
    <x v="270"/>
    <s v="Electric"/>
    <s v="Bainbridge Tlines Trans"/>
    <s v="Specific: Specific"/>
    <s v="2 - Bainbridge"/>
    <x v="4"/>
    <n v="-617924.75170522952"/>
    <n v="-1131175.8880827052"/>
    <n v="513251.13637747569"/>
    <m/>
  </r>
  <r>
    <s v="R.10024.01.01.04"/>
    <x v="271"/>
    <s v="Gas"/>
    <s v="Projected"/>
    <s v="Projected"/>
    <s v="9 - Projected"/>
    <x v="4"/>
    <n v="-17769.763644497842"/>
    <n v="-1504618.5"/>
    <n v="1486848.7363555022"/>
    <m/>
  </r>
  <r>
    <s v="R.10024.01.01.05"/>
    <x v="272"/>
    <s v="Electric"/>
    <s v="Projected"/>
    <s v="Projected"/>
    <s v="9 - Projected"/>
    <x v="4"/>
    <n v="-62851.043824734457"/>
    <n v="0"/>
    <n v="-62851.043824734457"/>
    <m/>
  </r>
  <r>
    <s v="R.10024.01.01.07"/>
    <x v="273"/>
    <s v="Electric"/>
    <s v="Projected"/>
    <s v="Projected"/>
    <s v="9 - Projected"/>
    <x v="4"/>
    <n v="-323491.58117287129"/>
    <n v="-5483.3921518843536"/>
    <n v="-318008.18902098696"/>
    <m/>
  </r>
  <r>
    <s v="R.10024.01.01.09"/>
    <x v="274"/>
    <s v="Gas"/>
    <s v="Projected"/>
    <s v="Projected"/>
    <s v="9 - Projected"/>
    <x v="4"/>
    <n v="-453634.87382154108"/>
    <n v="-974194.62083176814"/>
    <n v="520559.74701022706"/>
    <m/>
  </r>
  <r>
    <s v="R.10024.02.01.01"/>
    <x v="275"/>
    <s v="Gas"/>
    <s v="Emergent Gas"/>
    <s v="Programmatic: Programmatic"/>
    <s v="4 - Emergent Work"/>
    <x v="4"/>
    <n v="-453746.58106083988"/>
    <n v="-189383.4311452531"/>
    <n v="-264363.14991558681"/>
    <m/>
  </r>
  <r>
    <s v="R.10024.02.01.03"/>
    <x v="276"/>
    <s v="Gas"/>
    <s v="Gas Modernization"/>
    <s v="Programmatic: Programmatic"/>
    <s v="6G - Gas Mod"/>
    <x v="4"/>
    <n v="-848270.26872199017"/>
    <n v="-1331904.7345001313"/>
    <n v="483634.46577814117"/>
    <m/>
  </r>
  <r>
    <s v="R.10031.01.01.02"/>
    <x v="277"/>
    <s v="Electric"/>
    <s v="Major Projects Electric"/>
    <s v="Programmatic: Programmatic"/>
    <s v="7E - Maj Proj"/>
    <x v="4"/>
    <n v="-624116.57000000007"/>
    <n v="0"/>
    <n v="-624116.57000000007"/>
    <m/>
  </r>
  <r>
    <s v="R.10031.03.01.01"/>
    <x v="278"/>
    <s v="Electric"/>
    <s v="Sammamish Juanita 115Kv Tline"/>
    <s v="Specific: Specific"/>
    <s v="10 - Sammamish"/>
    <x v="4"/>
    <n v="-44028432.891698539"/>
    <n v="-9047247.2370254043"/>
    <n v="-34981185.654673137"/>
    <m/>
  </r>
  <r>
    <s v="R.10033.01.01.03"/>
    <x v="279"/>
    <s v="Electric"/>
    <s v="Projected"/>
    <s v="Projected"/>
    <s v="9 - Projected"/>
    <x v="4"/>
    <n v="-4173800.6999999997"/>
    <n v="-2044206.999999996"/>
    <n v="-2129593.7000000039"/>
    <m/>
  </r>
  <r>
    <s v="R.10033.01.01.09"/>
    <x v="280"/>
    <s v="Gas"/>
    <s v="Projected"/>
    <s v="Projected"/>
    <s v="9 - Projected"/>
    <x v="4"/>
    <n v="-1748850.5200000003"/>
    <n v="-1370745.999999996"/>
    <n v="-378104.52000000421"/>
    <m/>
  </r>
  <r>
    <s v="R.10033.02.01.01"/>
    <x v="281"/>
    <s v="Common"/>
    <s v="Projected"/>
    <s v="Projected"/>
    <s v="9 - Projected"/>
    <x v="4"/>
    <n v="-2278.79"/>
    <n v="-500000.00000000041"/>
    <n v="497721.21000000043"/>
    <m/>
  </r>
  <r>
    <s v="R.10036.02.01.01"/>
    <x v="282"/>
    <s v="Electric"/>
    <s v="Projected"/>
    <s v="Projected"/>
    <s v="9 - Projected"/>
    <x v="4"/>
    <n v="-413845.27999999997"/>
    <n v="-800000.00000000081"/>
    <n v="386154.72000000085"/>
    <m/>
  </r>
  <r>
    <s v="R.10036.03.01.01"/>
    <x v="283"/>
    <s v="Common"/>
    <s v="Projected"/>
    <s v="Projected"/>
    <s v="9 - Projected"/>
    <x v="4"/>
    <n v="-14588.580000000002"/>
    <n v="-600000"/>
    <n v="585411.42000000004"/>
    <m/>
  </r>
  <r>
    <s v="R.10039.02.01.01"/>
    <x v="284"/>
    <s v="Electric"/>
    <s v="Major Projects Electric"/>
    <s v="Programmatic: Programmatic"/>
    <s v="7E - Maj Proj"/>
    <x v="4"/>
    <n v="-8740.1426829300908"/>
    <n v="-33464.042713734896"/>
    <n v="24723.900030804805"/>
    <m/>
  </r>
  <r>
    <s v="R.10039.02.01.02"/>
    <x v="285"/>
    <s v="Electric"/>
    <s v="Major Projects Electric"/>
    <s v="Programmatic: Programmatic"/>
    <s v="7E - Maj Proj"/>
    <x v="4"/>
    <n v="-589047.8020893184"/>
    <n v="-348759.9182160495"/>
    <n v="-240287.8838732689"/>
    <m/>
  </r>
  <r>
    <s v="R.10039.02.01.06"/>
    <x v="286"/>
    <s v="Electric"/>
    <s v="Major Projects Electric"/>
    <s v="Programmatic: Programmatic"/>
    <s v="7E - Maj Proj"/>
    <x v="4"/>
    <n v="-332803.5"/>
    <n v="0"/>
    <n v="-332803.5"/>
    <m/>
  </r>
  <r>
    <s v="R.10045.01.01.01"/>
    <x v="287"/>
    <s v="Electric"/>
    <s v="Major Projects Electric"/>
    <s v="Programmatic: Programmatic"/>
    <s v="7E - Maj Proj"/>
    <x v="4"/>
    <n v="-2275718.2799999998"/>
    <n v="0"/>
    <n v="-2275718.2799999998"/>
    <m/>
  </r>
  <r>
    <s v="R.10051.02.01.01"/>
    <x v="288"/>
    <s v="Electric"/>
    <s v="Thurston Transmission Capacity"/>
    <s v="Specific: Specific"/>
    <s v="11 - Thurston"/>
    <x v="4"/>
    <n v="-19661839.260000002"/>
    <n v="-10173066.606914049"/>
    <n v="-9488772.6530859526"/>
    <m/>
  </r>
  <r>
    <s v="R.10054.01.01.01"/>
    <x v="289"/>
    <s v="Electric"/>
    <s v="Major Projects Electric"/>
    <s v="Programmatic: Programmatic"/>
    <s v="7E - Maj Proj"/>
    <x v="4"/>
    <n v="-4427.7899999999991"/>
    <n v="-1243996.6522279081"/>
    <n v="1239568.8622279081"/>
    <m/>
  </r>
  <r>
    <s v="R.10059.02.01.02"/>
    <x v="290"/>
    <s v="Electric"/>
    <s v="EV Circuit"/>
    <s v="Programmatic: Programmatic"/>
    <m/>
    <x v="4"/>
    <n v="-1442703.39398975"/>
    <n v="-7165996.3759999918"/>
    <n v="5723292.9820102416"/>
    <m/>
  </r>
  <r>
    <s v="R.10059.03.01.01"/>
    <x v="291"/>
    <s v="Electric"/>
    <s v="Resilience Enhancement"/>
    <s v="Programmatic: Programmatic"/>
    <m/>
    <x v="4"/>
    <n v="-1258562.3289936027"/>
    <n v="-4266596.526499996"/>
    <n v="3008034.1975063933"/>
    <m/>
  </r>
  <r>
    <s v="R.10059.04.01.01"/>
    <x v="292"/>
    <s v="Electric"/>
    <s v="Projected"/>
    <s v="Projected"/>
    <s v="9 - Projected"/>
    <x v="4"/>
    <n v="-3266.9763681120999"/>
    <n v="-1885788.5200000035"/>
    <n v="1882521.5436318915"/>
    <m/>
  </r>
  <r>
    <s v="R.10060.01.01.01"/>
    <x v="293"/>
    <s v="Gas"/>
    <s v="Projected"/>
    <s v="Projected"/>
    <s v="9 - Projected"/>
    <x v="4"/>
    <n v="-1024585.86"/>
    <n v="0"/>
    <n v="-1024585.86"/>
    <m/>
  </r>
  <r>
    <s v="R.10060.01.01.02"/>
    <x v="294"/>
    <s v="Gas"/>
    <s v="Marine Crossing"/>
    <s v="Specific: Specific"/>
    <m/>
    <x v="4"/>
    <n v="-110540.0559775251"/>
    <n v="0"/>
    <n v="-110540.0559775251"/>
    <m/>
  </r>
  <r>
    <s v="X.10003.01.01.01"/>
    <x v="295"/>
    <s v="Electric"/>
    <m/>
    <m/>
    <m/>
    <x v="7"/>
    <n v="-2774952.2051824466"/>
    <n v="-4757737.4334327346"/>
    <n v="1982785.2282502879"/>
    <m/>
  </r>
  <r>
    <s v="X.10003.01.03.01"/>
    <x v="296"/>
    <s v="Electric"/>
    <m/>
    <m/>
    <m/>
    <x v="7"/>
    <n v="-1813298.1"/>
    <n v="-1610902.4702044392"/>
    <n v="-202395.62979556085"/>
    <m/>
  </r>
  <r>
    <s v="X.10003.01.03.02"/>
    <x v="297"/>
    <s v="Electric"/>
    <m/>
    <m/>
    <m/>
    <x v="7"/>
    <n v="-2995082.71"/>
    <n v="-229013.27651958822"/>
    <n v="-2766069.4334804118"/>
    <m/>
  </r>
  <r>
    <s v="X.10005.01.01.01"/>
    <x v="298"/>
    <s v="Electric"/>
    <m/>
    <m/>
    <m/>
    <x v="7"/>
    <n v="-1026939.6350094073"/>
    <n v="-945078.68989740359"/>
    <n v="-81860.945112003712"/>
    <m/>
  </r>
  <r>
    <s v="X.10006.01.01.01"/>
    <x v="299"/>
    <s v="Electric"/>
    <m/>
    <m/>
    <m/>
    <x v="7"/>
    <n v="140154.20000000001"/>
    <n v="0"/>
    <n v="140154.20000000001"/>
    <m/>
  </r>
  <r>
    <s v="X.10006.02.02.02"/>
    <x v="300"/>
    <s v="Electric"/>
    <m/>
    <m/>
    <m/>
    <x v="7"/>
    <n v="-2297632.6732302085"/>
    <n v="-6022703.3382038157"/>
    <n v="3725070.6649736073"/>
    <m/>
  </r>
  <r>
    <s v="X.10006.03.01.05"/>
    <x v="301"/>
    <s v="Electric"/>
    <m/>
    <m/>
    <m/>
    <x v="7"/>
    <n v="-1829357.0899999996"/>
    <n v="0"/>
    <n v="-1829357.0899999996"/>
    <m/>
  </r>
  <r>
    <s v="X.10007.01.01.01"/>
    <x v="302"/>
    <s v="Common"/>
    <m/>
    <m/>
    <m/>
    <x v="7"/>
    <n v="-744122.07000000007"/>
    <n v="0"/>
    <n v="-744122.07000000007"/>
    <m/>
  </r>
  <r>
    <s v="F.10002.01.16.01"/>
    <x v="303"/>
    <s v="Electric"/>
    <m/>
    <m/>
    <m/>
    <x v="1"/>
    <m/>
    <n v="-12011.948750007665"/>
    <n v="12011.948750007665"/>
    <m/>
  </r>
  <r>
    <s v="X.10006.05.01.01"/>
    <x v="304"/>
    <s v="Electric"/>
    <m/>
    <m/>
    <m/>
    <x v="7"/>
    <m/>
    <n v="-3379999.9999999907"/>
    <n v="3379999.9999999907"/>
    <m/>
  </r>
  <r>
    <s v="R.10059.02.01.03"/>
    <x v="305"/>
    <s v="Electric"/>
    <m/>
    <m/>
    <m/>
    <x v="4"/>
    <m/>
    <n v="-779493.89760000783"/>
    <n v="779493.89760000783"/>
    <m/>
  </r>
  <r>
    <s v="F.10002.01.30.01"/>
    <x v="306"/>
    <s v="Electric"/>
    <m/>
    <m/>
    <m/>
    <x v="1"/>
    <m/>
    <n v="-194225.09758083988"/>
    <n v="194225.09758083988"/>
    <m/>
  </r>
  <r>
    <s v="PLACEHOLDER WBS 24"/>
    <x v="307"/>
    <s v="Electric"/>
    <m/>
    <m/>
    <m/>
    <x v="7"/>
    <m/>
    <n v="-321149.78495599958"/>
    <n v="321149.78495599958"/>
    <m/>
  </r>
  <r>
    <s v="F.10002.01.28.01"/>
    <x v="308"/>
    <s v="Electric"/>
    <m/>
    <m/>
    <m/>
    <x v="7"/>
    <m/>
    <n v="-409618.9999999993"/>
    <n v="409618.9999999993"/>
    <m/>
  </r>
  <r>
    <s v="K.10038.01.01.01"/>
    <x v="309"/>
    <s v="Electric"/>
    <m/>
    <m/>
    <m/>
    <x v="7"/>
    <m/>
    <n v="-1039999.9999999983"/>
    <n v="1039999.9999999983"/>
    <m/>
  </r>
  <r>
    <s v="C.10002.12.01.01"/>
    <x v="310"/>
    <s v="Common"/>
    <m/>
    <m/>
    <m/>
    <x v="0"/>
    <n v="-1045825.5800000001"/>
    <n v="0"/>
    <n v="-1045825.5800000001"/>
    <m/>
  </r>
  <r>
    <s v="C.10003.01.01.03"/>
    <x v="311"/>
    <s v="Common"/>
    <m/>
    <m/>
    <m/>
    <x v="0"/>
    <n v="-3014945.66"/>
    <n v="0"/>
    <n v="-3014945.66"/>
    <m/>
  </r>
  <r>
    <s v="C.10006.01.01.04"/>
    <x v="312"/>
    <s v="Electric"/>
    <m/>
    <m/>
    <m/>
    <x v="0"/>
    <n v="-348942.11"/>
    <n v="0"/>
    <n v="-348942.11"/>
    <m/>
  </r>
  <r>
    <s v="F.10002.01.20.01"/>
    <x v="313"/>
    <s v="Electric"/>
    <m/>
    <m/>
    <m/>
    <x v="1"/>
    <n v="-2216233.5699999998"/>
    <n v="0"/>
    <n v="-2216233.5699999998"/>
    <m/>
  </r>
  <r>
    <s v="F.10002.01.26.01"/>
    <x v="314"/>
    <s v="Gas"/>
    <m/>
    <m/>
    <m/>
    <x v="1"/>
    <n v="-259777.62"/>
    <n v="-1556639.0985517884"/>
    <n v="1296861.4785517883"/>
    <m/>
  </r>
  <r>
    <s v="F.10002.01.31.01"/>
    <x v="315"/>
    <s v="Gas"/>
    <m/>
    <m/>
    <m/>
    <x v="1"/>
    <n v="-211064.18"/>
    <n v="0"/>
    <n v="-211064.18"/>
    <m/>
  </r>
  <r>
    <s v="F.10002.06.05.02"/>
    <x v="316"/>
    <s v="Common"/>
    <m/>
    <m/>
    <m/>
    <x v="1"/>
    <n v="-278769.55"/>
    <n v="-2075710.4702499928"/>
    <n v="1796940.9202499927"/>
    <m/>
  </r>
  <r>
    <s v="F.10002.06.08.04"/>
    <x v="317"/>
    <s v="Common"/>
    <m/>
    <m/>
    <m/>
    <x v="1"/>
    <n v="-3229430.16"/>
    <n v="0"/>
    <n v="-3229430.16"/>
    <m/>
  </r>
  <r>
    <s v="F.10002.07.03.01"/>
    <x v="318"/>
    <s v="Common"/>
    <m/>
    <m/>
    <m/>
    <x v="1"/>
    <n v="-1534151.84"/>
    <n v="0"/>
    <n v="-1534151.84"/>
    <m/>
  </r>
  <r>
    <s v="F.10002.07.04.01"/>
    <x v="319"/>
    <s v="Electric"/>
    <m/>
    <m/>
    <m/>
    <x v="1"/>
    <n v="-143896.11000000002"/>
    <n v="0"/>
    <n v="-143896.11000000002"/>
    <m/>
  </r>
  <r>
    <s v="F.10002.07.08.01"/>
    <x v="320"/>
    <s v="Common"/>
    <m/>
    <m/>
    <m/>
    <x v="1"/>
    <n v="-944878.86"/>
    <n v="0"/>
    <n v="-944878.86"/>
    <m/>
  </r>
  <r>
    <s v="F.10003.04.01.01"/>
    <x v="321"/>
    <s v="Common"/>
    <m/>
    <m/>
    <m/>
    <x v="1"/>
    <n v="-957357.45"/>
    <n v="0"/>
    <n v="-957357.45"/>
    <m/>
  </r>
  <r>
    <s v="F.10015.01.03.02"/>
    <x v="322"/>
    <s v="Common"/>
    <m/>
    <m/>
    <m/>
    <x v="1"/>
    <n v="-53665.39"/>
    <n v="0"/>
    <n v="-53665.39"/>
    <m/>
  </r>
  <r>
    <s v="F.10015.02.24.01"/>
    <x v="323"/>
    <s v="Common"/>
    <m/>
    <m/>
    <m/>
    <x v="1"/>
    <n v="-647845.66"/>
    <n v="0"/>
    <n v="-647845.66"/>
    <m/>
  </r>
  <r>
    <s v="F.10015.04.07.01"/>
    <x v="324"/>
    <s v="Electric"/>
    <m/>
    <m/>
    <m/>
    <x v="1"/>
    <n v="-175823.08"/>
    <n v="0"/>
    <n v="-175823.08"/>
    <m/>
  </r>
  <r>
    <s v="F.10015.05.04.02"/>
    <x v="325"/>
    <s v="Common"/>
    <m/>
    <m/>
    <m/>
    <x v="1"/>
    <n v="-175716.3"/>
    <n v="0"/>
    <n v="-175716.3"/>
    <m/>
  </r>
  <r>
    <s v="F.10015.05.10.01"/>
    <x v="326"/>
    <s v="Common"/>
    <m/>
    <m/>
    <m/>
    <x v="1"/>
    <n v="-270244.25"/>
    <n v="0"/>
    <n v="-270244.25"/>
    <m/>
  </r>
  <r>
    <s v="F.10015.06.24.03"/>
    <x v="327"/>
    <s v="Common"/>
    <m/>
    <m/>
    <m/>
    <x v="1"/>
    <n v="-156400.57"/>
    <n v="0"/>
    <n v="-156400.57"/>
    <m/>
  </r>
  <r>
    <s v="F.10015.06.26.02"/>
    <x v="328"/>
    <s v="Common"/>
    <m/>
    <m/>
    <m/>
    <x v="1"/>
    <n v="-49287.6"/>
    <n v="0"/>
    <n v="-49287.6"/>
    <m/>
  </r>
  <r>
    <s v="F.10015.06.28.01"/>
    <x v="329"/>
    <s v="Common"/>
    <m/>
    <m/>
    <m/>
    <x v="1"/>
    <n v="-137262.07999999999"/>
    <n v="0"/>
    <n v="-137262.07999999999"/>
    <m/>
  </r>
  <r>
    <s v="F.10015.08.11.07"/>
    <x v="330"/>
    <s v="Common"/>
    <m/>
    <m/>
    <m/>
    <x v="1"/>
    <n v="-35417.21"/>
    <n v="0"/>
    <n v="-35417.21"/>
    <m/>
  </r>
  <r>
    <s v="F.10015.08.14.04"/>
    <x v="331"/>
    <s v="Common"/>
    <m/>
    <m/>
    <m/>
    <x v="1"/>
    <n v="-485772.88"/>
    <n v="0"/>
    <n v="-485772.88"/>
    <m/>
  </r>
  <r>
    <s v="F.10015.08.14.05"/>
    <x v="332"/>
    <s v="Common"/>
    <m/>
    <m/>
    <m/>
    <x v="1"/>
    <n v="-482646.76"/>
    <n v="0"/>
    <n v="-482646.76"/>
    <m/>
  </r>
  <r>
    <s v="F.10015.08.18.02"/>
    <x v="333"/>
    <s v="Common"/>
    <m/>
    <m/>
    <m/>
    <x v="1"/>
    <n v="-390708.47999999998"/>
    <n v="0"/>
    <n v="-390708.47999999998"/>
    <m/>
  </r>
  <r>
    <s v="F.10015.08.20.01"/>
    <x v="334"/>
    <s v="Common"/>
    <m/>
    <m/>
    <m/>
    <x v="1"/>
    <n v="-84038.26"/>
    <n v="0"/>
    <n v="-84038.26"/>
    <m/>
  </r>
  <r>
    <s v="F.10015.08.20.02"/>
    <x v="335"/>
    <s v="Common"/>
    <m/>
    <m/>
    <m/>
    <x v="1"/>
    <n v="-175404.75"/>
    <n v="0"/>
    <n v="-175404.75"/>
    <m/>
  </r>
  <r>
    <s v="F.10015.08.20.03"/>
    <x v="336"/>
    <s v="Common"/>
    <m/>
    <m/>
    <m/>
    <x v="1"/>
    <n v="-68963.759999999995"/>
    <n v="0"/>
    <n v="-68963.759999999995"/>
    <m/>
  </r>
  <r>
    <s v="F.10015.08.21.01"/>
    <x v="337"/>
    <s v="Common"/>
    <m/>
    <m/>
    <m/>
    <x v="1"/>
    <n v="-471605"/>
    <n v="0"/>
    <n v="-471605"/>
    <m/>
  </r>
  <r>
    <s v="F.10015.08.24.01"/>
    <x v="338"/>
    <s v="Common"/>
    <m/>
    <m/>
    <m/>
    <x v="1"/>
    <n v="-772496.25000000012"/>
    <n v="0"/>
    <n v="-772496.25000000012"/>
    <m/>
  </r>
  <r>
    <s v="F.10016.01.01.04"/>
    <x v="339"/>
    <s v="Common"/>
    <m/>
    <m/>
    <m/>
    <x v="1"/>
    <n v="-184143.81"/>
    <n v="0"/>
    <n v="-184143.81"/>
    <m/>
  </r>
  <r>
    <s v="F.10017.02.02.04"/>
    <x v="340"/>
    <s v="Common"/>
    <m/>
    <m/>
    <m/>
    <x v="1"/>
    <n v="-428200.25"/>
    <n v="0"/>
    <n v="-428200.25"/>
    <m/>
  </r>
  <r>
    <s v="F.10017.03.08.01"/>
    <x v="341"/>
    <s v="Common"/>
    <m/>
    <m/>
    <m/>
    <x v="1"/>
    <n v="-139126.70000000001"/>
    <n v="0"/>
    <n v="-139126.70000000001"/>
    <m/>
  </r>
  <r>
    <s v="F.10017.05.07.02"/>
    <x v="342"/>
    <s v="Common"/>
    <m/>
    <m/>
    <m/>
    <x v="1"/>
    <n v="-186899.47999999998"/>
    <n v="0"/>
    <n v="-186899.47999999998"/>
    <m/>
  </r>
  <r>
    <s v="F.10017.07.01.04"/>
    <x v="343"/>
    <s v="Common"/>
    <m/>
    <m/>
    <m/>
    <x v="1"/>
    <n v="-522840.7"/>
    <n v="0"/>
    <n v="-522840.7"/>
    <m/>
  </r>
  <r>
    <s v="F.10017.09.11.01"/>
    <x v="344"/>
    <s v="Common"/>
    <m/>
    <m/>
    <m/>
    <x v="1"/>
    <n v="-799360.76"/>
    <n v="0"/>
    <n v="-799360.76"/>
    <m/>
  </r>
  <r>
    <s v="F.10017.10.20.01"/>
    <x v="345"/>
    <s v="Common"/>
    <m/>
    <m/>
    <m/>
    <x v="1"/>
    <n v="-129316.09"/>
    <n v="0"/>
    <n v="-129316.09"/>
    <m/>
  </r>
  <r>
    <s v="F.10017.10.21.01"/>
    <x v="346"/>
    <s v="Common"/>
    <m/>
    <m/>
    <m/>
    <x v="1"/>
    <n v="-126827.98"/>
    <n v="0"/>
    <n v="-126827.98"/>
    <m/>
  </r>
  <r>
    <s v="F.10017.12.29.01"/>
    <x v="347"/>
    <s v="Common"/>
    <m/>
    <m/>
    <m/>
    <x v="1"/>
    <n v="-335795.19"/>
    <n v="0"/>
    <n v="-335795.19"/>
    <m/>
  </r>
  <r>
    <s v="F.10025.01.04.05"/>
    <x v="348"/>
    <s v="Common"/>
    <m/>
    <m/>
    <m/>
    <x v="1"/>
    <n v="-616432.77"/>
    <n v="0"/>
    <n v="-616432.77"/>
    <m/>
  </r>
  <r>
    <s v="F.10025.01.05.01"/>
    <x v="349"/>
    <s v="Gas"/>
    <m/>
    <m/>
    <m/>
    <x v="1"/>
    <n v="-1372689.31"/>
    <n v="0"/>
    <n v="-1372689.31"/>
    <m/>
  </r>
  <r>
    <s v="F.10025.01.05.03"/>
    <x v="350"/>
    <s v="Gas"/>
    <m/>
    <m/>
    <m/>
    <x v="1"/>
    <n v="-213097.9"/>
    <n v="0"/>
    <n v="-213097.9"/>
    <m/>
  </r>
  <r>
    <s v="F.10026.01.01.03"/>
    <x v="351"/>
    <s v="Common"/>
    <m/>
    <m/>
    <m/>
    <x v="1"/>
    <n v="-415822.3"/>
    <n v="0"/>
    <n v="-415822.3"/>
    <m/>
  </r>
  <r>
    <s v="K.10008.01.01.05"/>
    <x v="352"/>
    <s v="Electric"/>
    <m/>
    <m/>
    <m/>
    <x v="5"/>
    <n v="-3892596.55"/>
    <n v="0"/>
    <n v="-3892596.55"/>
    <m/>
  </r>
  <r>
    <s v="K.10011.01.03.01"/>
    <x v="353"/>
    <s v="Electric"/>
    <m/>
    <m/>
    <m/>
    <x v="5"/>
    <n v="-3436991.0099999993"/>
    <n v="0"/>
    <n v="-3436991.0099999993"/>
    <m/>
  </r>
  <r>
    <s v="K.10020.01.01.07"/>
    <x v="354"/>
    <s v="Electric"/>
    <m/>
    <m/>
    <m/>
    <x v="5"/>
    <n v="-24497000.530000001"/>
    <n v="0"/>
    <n v="-24497000.530000001"/>
    <m/>
  </r>
  <r>
    <s v="R.10006.01.01.08"/>
    <x v="355"/>
    <s v="Electric"/>
    <s v="Grid Modernization"/>
    <s v="Programmatic: Programmatic"/>
    <s v="6E - Grid Mod"/>
    <x v="4"/>
    <n v="-1735036.521348729"/>
    <n v="0"/>
    <n v="-1735036.521348729"/>
    <m/>
  </r>
  <r>
    <s v="R.10009.08.07.01"/>
    <x v="356"/>
    <s v="Electric"/>
    <s v="Projected"/>
    <s v="Projected"/>
    <s v="9 - Projected"/>
    <x v="4"/>
    <n v="-45509.87"/>
    <n v="0"/>
    <n v="-45509.87"/>
    <m/>
  </r>
  <r>
    <s v="R.10015.03.09.16"/>
    <x v="357"/>
    <s v="Gas"/>
    <s v="Projected"/>
    <s v="Projected"/>
    <s v="9 - Projected"/>
    <x v="4"/>
    <n v="-17267.640000000003"/>
    <n v="0"/>
    <n v="-17267.640000000003"/>
    <m/>
  </r>
  <r>
    <s v="R.10015.08.01.02"/>
    <x v="358"/>
    <s v="Gas"/>
    <s v="Pipe Replacement"/>
    <s v="Programmatic: Programmatic"/>
    <s v="8 - Pipe Replacement"/>
    <x v="4"/>
    <n v="-3890525.25"/>
    <n v="0"/>
    <n v="-3890525.25"/>
    <m/>
  </r>
  <r>
    <s v="R.10034.01.01.03"/>
    <x v="359"/>
    <s v="Electric"/>
    <s v="Projected"/>
    <s v="Projected"/>
    <s v="9 - Projected"/>
    <x v="4"/>
    <n v="-16426.059999999998"/>
    <n v="0"/>
    <n v="-16426.059999999998"/>
    <m/>
  </r>
  <r>
    <s v="R.10035.01.01.01"/>
    <x v="360"/>
    <s v="Electric"/>
    <s v="Projected"/>
    <s v="Specific: Specific"/>
    <m/>
    <x v="4"/>
    <n v="-1635.29"/>
    <n v="0"/>
    <n v="-1635.29"/>
    <m/>
  </r>
  <r>
    <s v="R.10059.06.01.01"/>
    <x v="361"/>
    <s v="Electric"/>
    <s v="Grid Modernization"/>
    <s v="Programmatic: Programmatic"/>
    <s v="6E - Grid Mod"/>
    <x v="4"/>
    <n v="-10674.04"/>
    <n v="0"/>
    <n v="-10674.04"/>
    <m/>
  </r>
  <r>
    <s v="X.10006.02.03.02"/>
    <x v="362"/>
    <s v="Electric"/>
    <m/>
    <m/>
    <m/>
    <x v="7"/>
    <n v="-396715.91"/>
    <n v="0"/>
    <n v="-396715.91"/>
    <m/>
  </r>
  <r>
    <s v="C.10002.02.02.01"/>
    <x v="363"/>
    <s v="Common"/>
    <m/>
    <m/>
    <m/>
    <x v="0"/>
    <n v="0"/>
    <n v="-12462842.578559984"/>
    <n v="12462842.578559984"/>
    <m/>
  </r>
  <r>
    <s v="C.10002.04.03.01"/>
    <x v="364"/>
    <s v="Common"/>
    <m/>
    <m/>
    <m/>
    <x v="0"/>
    <n v="0"/>
    <n v="-14472.17"/>
    <n v="14472.17"/>
    <m/>
  </r>
  <r>
    <s v="C.10002.09.01.01"/>
    <x v="365"/>
    <s v="Common"/>
    <m/>
    <m/>
    <m/>
    <x v="0"/>
    <n v="0"/>
    <n v="-707.89717266828973"/>
    <n v="707.89717266828973"/>
    <m/>
  </r>
  <r>
    <s v="PLACEHOLDER WBS 34"/>
    <x v="366"/>
    <s v="Electric"/>
    <m/>
    <m/>
    <m/>
    <x v="5"/>
    <n v="0"/>
    <n v="-13040.026999999964"/>
    <n v="13040.026999999964"/>
    <m/>
  </r>
  <r>
    <s v="F.10002.01.34.01"/>
    <x v="367"/>
    <s v="Common"/>
    <m/>
    <m/>
    <m/>
    <x v="1"/>
    <n v="0"/>
    <n v="-752309.25"/>
    <n v="752309.25"/>
    <m/>
  </r>
  <r>
    <s v="K.10012.01.01.10"/>
    <x v="368"/>
    <s v="Common"/>
    <m/>
    <m/>
    <m/>
    <x v="1"/>
    <n v="0"/>
    <n v="-4834241.3076954903"/>
    <n v="4834241.3076954903"/>
    <m/>
  </r>
  <r>
    <s v="R.10059.02.01.09"/>
    <x v="369"/>
    <s v="Electric"/>
    <s v="Grid Modernization"/>
    <s v="Programmatic: Programmatic"/>
    <s v="6E - Grid Mod"/>
    <x v="4"/>
    <n v="0"/>
    <n v="-5600000.0000000037"/>
    <n v="5600000.0000000037"/>
    <m/>
  </r>
  <r>
    <s v="C.10002.02.03.01"/>
    <x v="370"/>
    <s v="Common"/>
    <m/>
    <m/>
    <m/>
    <x v="0"/>
    <n v="0"/>
    <n v="-5000000.0000000037"/>
    <n v="5000000.0000000037"/>
    <m/>
  </r>
  <r>
    <s v="C.20001.01.01.01"/>
    <x v="371"/>
    <s v="Electric"/>
    <m/>
    <m/>
    <m/>
    <x v="2"/>
    <n v="0"/>
    <n v="-1658458.9199999992"/>
    <n v="1658458.9199999992"/>
    <m/>
  </r>
  <r>
    <s v="C.20001.02.01.01"/>
    <x v="372"/>
    <s v="Electric"/>
    <m/>
    <m/>
    <m/>
    <x v="2"/>
    <n v="0"/>
    <n v="-431725.07999999978"/>
    <n v="431725.07999999978"/>
    <m/>
  </r>
  <r>
    <s v="F.10015.04.04.01"/>
    <x v="373"/>
    <s v="Common"/>
    <m/>
    <m/>
    <m/>
    <x v="1"/>
    <n v="0"/>
    <n v="-2000000.000000004"/>
    <n v="2000000.000000004"/>
    <m/>
  </r>
  <r>
    <s v="F.10017.05.04.02"/>
    <x v="374"/>
    <s v="Common"/>
    <m/>
    <m/>
    <m/>
    <x v="1"/>
    <n v="0"/>
    <n v="-1003078.9999999995"/>
    <n v="1003078.9999999995"/>
    <m/>
  </r>
  <r>
    <s v="F.10017.07.01.02"/>
    <x v="375"/>
    <s v="Common"/>
    <m/>
    <m/>
    <m/>
    <x v="1"/>
    <n v="0"/>
    <n v="-852336.81811125285"/>
    <n v="852336.81811125285"/>
    <m/>
  </r>
  <r>
    <s v="F.10017.13.02.02"/>
    <x v="376"/>
    <s v="Common"/>
    <m/>
    <m/>
    <m/>
    <x v="1"/>
    <n v="0"/>
    <n v="-4.3576999492663603E-2"/>
    <n v="4.3576999492663603E-2"/>
    <m/>
  </r>
  <r>
    <s v="K.10035.01.01.02"/>
    <x v="377"/>
    <s v="Electric"/>
    <m/>
    <m/>
    <m/>
    <x v="5"/>
    <n v="0"/>
    <n v="-1447.5462448451858"/>
    <n v="1447.5462448451858"/>
    <m/>
  </r>
  <r>
    <s v="R.10009.12.04.01"/>
    <x v="378"/>
    <s v="Electric"/>
    <s v="Projected"/>
    <s v="Projected"/>
    <s v="9 - Projected"/>
    <x v="4"/>
    <n v="0"/>
    <n v="-524.70298175999994"/>
    <n v="524.70298175999994"/>
    <m/>
  </r>
  <r>
    <s v="R.10009.14.05.15"/>
    <x v="379"/>
    <s v="Electric"/>
    <s v="Projected"/>
    <s v="Projected"/>
    <s v="9 - Projected"/>
    <x v="4"/>
    <n v="0"/>
    <n v="-25677.839382580027"/>
    <n v="25677.839382580027"/>
    <m/>
  </r>
  <r>
    <s v="R.10037.01.01.07"/>
    <x v="380"/>
    <s v="Gas"/>
    <m/>
    <m/>
    <m/>
    <x v="2"/>
    <n v="0"/>
    <n v="-1920.0000000000036"/>
    <n v="1920.0000000000036"/>
    <m/>
  </r>
  <r>
    <s v="R.10044.01.01.03"/>
    <x v="381"/>
    <s v="Electric"/>
    <s v="Projected"/>
    <s v="Projected"/>
    <s v="9 - Projected"/>
    <x v="4"/>
    <n v="0"/>
    <n v="-385505.82864000025"/>
    <n v="385505.82864000025"/>
    <m/>
  </r>
  <r>
    <s v="R.10009.07.03.02"/>
    <x v="382"/>
    <s v="Electric"/>
    <s v="PI Electric"/>
    <s v="Programmatic Customer Driven"/>
    <s v="3E - CIAC, NCC, PI"/>
    <x v="4"/>
    <n v="0"/>
    <n v="-366.15172416000001"/>
    <n v="366.15172416000001"/>
    <m/>
  </r>
  <r>
    <s v="R.10039.03.01.01"/>
    <x v="383"/>
    <s v="Electric"/>
    <s v="Major Projects Electric"/>
    <s v="Programmatic: Programmatic"/>
    <s v="7E - Maj Proj"/>
    <x v="4"/>
    <n v="0"/>
    <n v="-9072.57"/>
    <n v="9072.57"/>
    <m/>
  </r>
  <r>
    <s v="F.10007.02.01.02"/>
    <x v="384"/>
    <s v="Common"/>
    <m/>
    <m/>
    <m/>
    <x v="1"/>
    <n v="0"/>
    <n v="-31095448.999999966"/>
    <n v="31095448.999999966"/>
    <m/>
  </r>
  <r>
    <s v="R.10003.01.01.01"/>
    <x v="385"/>
    <s v="Electric"/>
    <s v="Projected"/>
    <s v="Projected"/>
    <s v="9 - Projected"/>
    <x v="4"/>
    <n v="0"/>
    <n v="-27570.89"/>
    <n v="27570.89"/>
    <m/>
  </r>
  <r>
    <s v="R.10037.01.01.06"/>
    <x v="386"/>
    <s v="Gas"/>
    <m/>
    <m/>
    <m/>
    <x v="2"/>
    <n v="0"/>
    <n v="-127819.20000000042"/>
    <n v="127819.20000000042"/>
    <m/>
  </r>
  <r>
    <s v="R.10037.01.01.01"/>
    <x v="387"/>
    <s v="Electric"/>
    <m/>
    <m/>
    <m/>
    <x v="2"/>
    <n v="0"/>
    <n v="-456998.8599999994"/>
    <n v="456998.8599999994"/>
    <m/>
  </r>
  <r>
    <s v="R.10015.06.01.11"/>
    <x v="388"/>
    <s v="Gas"/>
    <s v="Capacity Gas"/>
    <s v="Programmatic: Programmatic"/>
    <m/>
    <x v="4"/>
    <n v="0"/>
    <n v="-2830389.3665578598"/>
    <n v="2830389.3665578598"/>
    <m/>
  </r>
  <r>
    <s v="R.10009.08.02.23"/>
    <x v="389"/>
    <s v="Electric"/>
    <s v="Capacity Electric"/>
    <s v="Programmatic: Programmatic"/>
    <m/>
    <x v="4"/>
    <n v="0"/>
    <n v="-31978133.108033676"/>
    <n v="31978133.108033676"/>
    <m/>
  </r>
  <r>
    <s v="R.99999.99.99.99"/>
    <x v="390"/>
    <s v="Electric"/>
    <s v="Projected"/>
    <s v="Projected"/>
    <s v="9 - Projected"/>
    <x v="4"/>
    <n v="0"/>
    <n v="40119811.454329111"/>
    <n v="-40119811.454329111"/>
    <m/>
  </r>
  <r>
    <s v="C.10004.01.01.02"/>
    <x v="391"/>
    <s v="Electric"/>
    <s v="Projected"/>
    <s v="Projected"/>
    <s v="9 - Projected"/>
    <x v="4"/>
    <n v="0"/>
    <n v="-59235.828801300908"/>
    <n v="59235.828801300908"/>
    <m/>
  </r>
  <r>
    <s v="F.10002.01.22.01"/>
    <x v="392"/>
    <s v="Common"/>
    <m/>
    <m/>
    <m/>
    <x v="1"/>
    <n v="0"/>
    <n v="-7264315.7932416741"/>
    <n v="7264315.7932416741"/>
    <m/>
  </r>
  <r>
    <s v="F.10002.01.25.01"/>
    <x v="393"/>
    <s v="Electric"/>
    <m/>
    <m/>
    <m/>
    <x v="1"/>
    <n v="0"/>
    <n v="-3293534.9291970716"/>
    <n v="3293534.9291970716"/>
    <m/>
  </r>
  <r>
    <s v="F.10015.02.17.01"/>
    <x v="394"/>
    <s v="Electric"/>
    <m/>
    <m/>
    <m/>
    <x v="1"/>
    <n v="0"/>
    <n v="-13682163.113017503"/>
    <n v="13682163.113017503"/>
    <m/>
  </r>
  <r>
    <s v="F.10015.08.13.03"/>
    <x v="395"/>
    <s v="Common"/>
    <m/>
    <m/>
    <m/>
    <x v="1"/>
    <n v="0"/>
    <n v="-951662.06136646483"/>
    <n v="951662.06136646483"/>
    <m/>
  </r>
  <r>
    <s v="F.10017.05.04.01"/>
    <x v="396"/>
    <s v="Common"/>
    <m/>
    <m/>
    <m/>
    <x v="1"/>
    <n v="0"/>
    <n v="-1002546.142512465"/>
    <n v="1002546.142512465"/>
    <m/>
  </r>
  <r>
    <s v="F.10017.13.03.02"/>
    <x v="397"/>
    <s v="Electric"/>
    <m/>
    <m/>
    <m/>
    <x v="1"/>
    <n v="0"/>
    <n v="-421.66687436472955"/>
    <n v="421.66687436472955"/>
    <m/>
  </r>
  <r>
    <s v="K.10006.01.01.01"/>
    <x v="398"/>
    <s v="Electric"/>
    <m/>
    <m/>
    <m/>
    <x v="5"/>
    <n v="0"/>
    <n v="-247.00998259545034"/>
    <n v="247.00998259545034"/>
    <m/>
  </r>
  <r>
    <s v="K.10010.01.01.03"/>
    <x v="399"/>
    <s v="Electric"/>
    <m/>
    <m/>
    <m/>
    <x v="5"/>
    <n v="0"/>
    <n v="-1030.8043452929946"/>
    <n v="1030.8043452929946"/>
    <m/>
  </r>
  <r>
    <s v="K.10020.01.01.03"/>
    <x v="400"/>
    <s v="Electric"/>
    <m/>
    <m/>
    <m/>
    <x v="5"/>
    <n v="0"/>
    <n v="4193238.3499930049"/>
    <n v="-4193238.3499930049"/>
    <m/>
  </r>
  <r>
    <s v="K.10023.01.01.01"/>
    <x v="401"/>
    <s v="Electric"/>
    <m/>
    <m/>
    <m/>
    <x v="5"/>
    <n v="0"/>
    <n v="-1057.8890008416356"/>
    <n v="1057.8890008416356"/>
    <m/>
  </r>
  <r>
    <s v="R.10004.01.01.01"/>
    <x v="402"/>
    <s v="Common"/>
    <s v="Projected"/>
    <s v="Projected"/>
    <s v="9 - Projected"/>
    <x v="4"/>
    <n v="0"/>
    <n v="-146624.00000000041"/>
    <n v="146624.00000000041"/>
    <m/>
  </r>
  <r>
    <s v="R.10005.01.01.04"/>
    <x v="403"/>
    <s v="Electric"/>
    <s v="Projected"/>
    <s v="Projected"/>
    <s v="9 - Projected"/>
    <x v="4"/>
    <n v="0"/>
    <n v="-8529285.6655276697"/>
    <n v="8529285.6655276697"/>
    <m/>
  </r>
  <r>
    <s v="R.10008.02.01.01"/>
    <x v="404"/>
    <s v="Electric"/>
    <s v="Projected"/>
    <s v="Projected"/>
    <s v="9 - Projected"/>
    <x v="4"/>
    <n v="0"/>
    <n v="-2433475.0000000047"/>
    <n v="2433475.0000000047"/>
    <m/>
  </r>
  <r>
    <s v="R.10008.07.02.01"/>
    <x v="405"/>
    <s v="Electric"/>
    <s v="PI Electric"/>
    <s v="Programmatic Customer Driven"/>
    <s v="3E - CIAC, NCC, PI"/>
    <x v="4"/>
    <n v="0"/>
    <n v="-3027511.3667107685"/>
    <n v="3027511.3667107685"/>
    <m/>
  </r>
  <r>
    <s v="R.10009.03.01.01"/>
    <x v="406"/>
    <s v="Electric"/>
    <s v="Major Projects Electric"/>
    <s v="Programmatic: Programmatic"/>
    <s v="7E - Maj Proj"/>
    <x v="4"/>
    <n v="0"/>
    <n v="-293524.86"/>
    <n v="293524.86"/>
    <m/>
  </r>
  <r>
    <s v="R.10009.08.02.18"/>
    <x v="407"/>
    <s v="Electric"/>
    <s v="Projected"/>
    <s v="Projected"/>
    <s v="9 - Projected"/>
    <x v="4"/>
    <n v="0"/>
    <n v="-809.57372929571864"/>
    <n v="809.57372929571864"/>
    <m/>
  </r>
  <r>
    <s v="R.10009.08.02.20"/>
    <x v="408"/>
    <s v="Electric"/>
    <s v="Projected"/>
    <s v="Projected"/>
    <s v="9 - Projected"/>
    <x v="4"/>
    <n v="0"/>
    <n v="-3019.2287270564416"/>
    <n v="3019.2287270564416"/>
    <m/>
  </r>
  <r>
    <s v="R.10009.08.05.04"/>
    <x v="409"/>
    <s v="Electric"/>
    <m/>
    <m/>
    <m/>
    <x v="7"/>
    <n v="0"/>
    <n v="-1548118.7639594919"/>
    <n v="1548118.7639594919"/>
    <m/>
  </r>
  <r>
    <s v="R.10009.08.06.01"/>
    <x v="410"/>
    <s v="Electric"/>
    <s v="Major Projects Electric"/>
    <s v="Programmatic: Programmatic"/>
    <s v="7E - Maj Proj"/>
    <x v="4"/>
    <n v="0"/>
    <n v="-896569.74399518361"/>
    <n v="896569.74399518361"/>
    <m/>
  </r>
  <r>
    <s v="R.10009.09.01.02"/>
    <x v="411"/>
    <s v="Electric"/>
    <s v="Projected"/>
    <s v="Projected"/>
    <s v="9 - Projected"/>
    <x v="4"/>
    <n v="0"/>
    <n v="-1168.2136096328079"/>
    <n v="1168.2136096328079"/>
    <m/>
  </r>
  <r>
    <s v="R.10009.10.01.01"/>
    <x v="412"/>
    <s v="Electric"/>
    <s v="Major Projects Electric"/>
    <s v="Programmatic: Programmatic"/>
    <s v="7E - Maj Proj"/>
    <x v="4"/>
    <n v="0"/>
    <n v="-131192.39999999997"/>
    <n v="131192.39999999997"/>
    <m/>
  </r>
  <r>
    <s v="R.10009.12.02.04"/>
    <x v="413"/>
    <s v="Electric"/>
    <s v="Grid Modernization"/>
    <s v="Programmatic: Programmatic"/>
    <s v="6E - Grid Mod"/>
    <x v="4"/>
    <n v="0"/>
    <n v="-19619.743762079994"/>
    <n v="19619.743762079994"/>
    <m/>
  </r>
  <r>
    <s v="R.10009.12.03.04"/>
    <x v="414"/>
    <s v="Electric"/>
    <s v="Grid Modernization"/>
    <s v="Programmatic: Programmatic"/>
    <s v="6E - Grid Mod"/>
    <x v="4"/>
    <n v="0"/>
    <n v="-235723.56499999951"/>
    <n v="235723.56499999951"/>
    <m/>
  </r>
  <r>
    <s v="R.10009.14.05.01"/>
    <x v="415"/>
    <s v="Electric"/>
    <s v="Projected"/>
    <s v="Projected"/>
    <s v="9 - Projected"/>
    <x v="4"/>
    <n v="0"/>
    <n v="-27319.3194416431"/>
    <n v="27319.3194416431"/>
    <m/>
  </r>
  <r>
    <s v="R.10009.14.05.05"/>
    <x v="416"/>
    <s v="Electric"/>
    <s v="Grid Modernization"/>
    <s v="Programmatic: Programmatic"/>
    <s v="6E - Grid Mod"/>
    <x v="4"/>
    <n v="0"/>
    <n v="-11481.873981504688"/>
    <n v="11481.873981504688"/>
    <m/>
  </r>
  <r>
    <s v="R.10009.14.05.11"/>
    <x v="417"/>
    <s v="Electric"/>
    <s v="Projected"/>
    <s v="Projected"/>
    <s v="9 - Projected"/>
    <x v="4"/>
    <n v="0"/>
    <n v="-197744.84222017261"/>
    <n v="197744.84222017261"/>
    <m/>
  </r>
  <r>
    <s v="R.10009.14.06.01"/>
    <x v="418"/>
    <s v="Electric"/>
    <s v="Grid Modernization"/>
    <s v="Programmatic: Programmatic"/>
    <s v="6E - Grid Mod"/>
    <x v="4"/>
    <n v="0"/>
    <n v="-27477.059530902337"/>
    <n v="27477.059530902337"/>
    <m/>
  </r>
  <r>
    <s v="R.10011.01.01.10"/>
    <x v="419"/>
    <s v="Gas"/>
    <s v="Projected"/>
    <s v="Projected"/>
    <s v="9 - Projected"/>
    <x v="4"/>
    <n v="0"/>
    <n v="-59.562392879999997"/>
    <n v="59.562392879999997"/>
    <m/>
  </r>
  <r>
    <s v="R.10013.02.01.01"/>
    <x v="420"/>
    <s v="Gas"/>
    <s v="Projected"/>
    <s v="Projected"/>
    <s v="9 - Projected"/>
    <x v="4"/>
    <n v="0"/>
    <n v="-1810156.0000000042"/>
    <n v="1810156.0000000042"/>
    <m/>
  </r>
  <r>
    <s v="R.10015.03.05.04"/>
    <x v="421"/>
    <s v="Gas"/>
    <s v="Projected"/>
    <s v="Projected"/>
    <s v="9 - Projected"/>
    <x v="4"/>
    <n v="0"/>
    <n v="-49.703927520000008"/>
    <n v="49.703927520000008"/>
    <m/>
  </r>
  <r>
    <s v="R.10015.03.06.02"/>
    <x v="422"/>
    <s v="Gas"/>
    <s v="Pipe Replacement"/>
    <s v="Programmatic: Programmatic"/>
    <s v="8 - Pipe Replacement"/>
    <x v="4"/>
    <n v="0"/>
    <n v="-1085.1389019671803"/>
    <n v="1085.1389019671803"/>
    <m/>
  </r>
  <r>
    <s v="R.10015.03.09.05"/>
    <x v="423"/>
    <s v="Gas"/>
    <s v="Gas Modernization"/>
    <s v="Programmatic: Programmatic"/>
    <s v="6G - Gas Mod"/>
    <x v="4"/>
    <n v="0"/>
    <n v="-227997.05396916272"/>
    <n v="227997.05396916272"/>
    <m/>
  </r>
  <r>
    <s v="R.10015.04.01.08"/>
    <x v="424"/>
    <s v="Gas"/>
    <s v="Emergent Gas"/>
    <s v="Programmatic: Programmatic"/>
    <s v="4 - Emergent Work"/>
    <x v="4"/>
    <n v="0"/>
    <n v="-148843.13564760002"/>
    <n v="148843.13564760002"/>
    <m/>
  </r>
  <r>
    <s v="R.10015.06.01.01"/>
    <x v="425"/>
    <s v="Gas"/>
    <s v="Capacity Gas"/>
    <s v="Programmatic: Programmatic"/>
    <m/>
    <x v="4"/>
    <n v="0"/>
    <n v="-28888.675200000012"/>
    <n v="28888.675200000012"/>
    <m/>
  </r>
  <r>
    <s v="R.10018.01.01.01"/>
    <x v="426"/>
    <s v="Electric"/>
    <s v="Projected"/>
    <s v="Projected"/>
    <s v="9 - Projected"/>
    <x v="4"/>
    <n v="0"/>
    <n v="-680074.44000000029"/>
    <n v="680074.44000000029"/>
    <m/>
  </r>
  <r>
    <s v="R.10019.01.01.03"/>
    <x v="427"/>
    <s v="Electric"/>
    <s v="Projected"/>
    <s v="Projected"/>
    <s v="9 - Projected"/>
    <x v="4"/>
    <n v="0"/>
    <n v="-11263990.043497428"/>
    <n v="11263990.043497428"/>
    <m/>
  </r>
  <r>
    <s v="R.10019.01.01.04"/>
    <x v="428"/>
    <s v="Electric"/>
    <s v="Bainbridge Tlines Trans"/>
    <s v="Specific: Specific"/>
    <s v="2 - Bainbridge"/>
    <x v="4"/>
    <n v="0"/>
    <n v="-11427708.012799999"/>
    <n v="11427708.012799999"/>
    <m/>
  </r>
  <r>
    <s v="R.10019.03.01.01"/>
    <x v="429"/>
    <s v="Electric"/>
    <s v="Projected"/>
    <s v="Projected"/>
    <s v="9 - Projected"/>
    <x v="4"/>
    <n v="0"/>
    <n v="-1457506.97"/>
    <n v="1457506.97"/>
    <m/>
  </r>
  <r>
    <s v="R.10020.02.01.01"/>
    <x v="430"/>
    <s v="Electric"/>
    <s v="Major Projects Electric"/>
    <s v="Programmatic: Programmatic"/>
    <s v="7E - Maj Proj"/>
    <x v="4"/>
    <n v="0"/>
    <n v="-336742.25999999995"/>
    <n v="336742.25999999995"/>
    <m/>
  </r>
  <r>
    <s v="R.10039.02.01.03"/>
    <x v="431"/>
    <s v="Electric"/>
    <s v="Major Projects Electric"/>
    <s v="Programmatic: Programmatic"/>
    <s v="7E - Maj Proj"/>
    <x v="4"/>
    <n v="0"/>
    <n v="-32985.933926084843"/>
    <n v="32985.933926084843"/>
    <m/>
  </r>
  <r>
    <s v="R.10039.02.01.05"/>
    <x v="432"/>
    <s v="Electric"/>
    <s v="Major Projects Electric"/>
    <s v="Programmatic: Programmatic"/>
    <s v="7E - Maj Proj"/>
    <x v="4"/>
    <n v="0"/>
    <n v="-23091.114418321577"/>
    <n v="23091.114418321577"/>
    <m/>
  </r>
  <r>
    <s v="R.10052.01.01.01"/>
    <x v="433"/>
    <s v="Electric"/>
    <s v="Major Projects Electric"/>
    <s v="Programmatic: Programmatic"/>
    <s v="7E - Maj Proj"/>
    <x v="4"/>
    <n v="0"/>
    <n v="-725216.84904763056"/>
    <n v="725216.84904763056"/>
    <m/>
  </r>
  <r>
    <s v="R.10052.01.01.02"/>
    <x v="434"/>
    <s v="Electric"/>
    <s v="Major Projects Electric"/>
    <s v="Programmatic: Programmatic"/>
    <s v="7E - Maj Proj"/>
    <x v="4"/>
    <n v="0"/>
    <n v="-24582.460000000003"/>
    <n v="24582.460000000003"/>
    <m/>
  </r>
  <r>
    <s v="R.10054.03.01.01"/>
    <x v="435"/>
    <s v="Electric"/>
    <s v="Major Projects Electric"/>
    <s v="Programmatic: Programmatic"/>
    <s v="7E - Maj Proj"/>
    <x v="4"/>
    <n v="0"/>
    <n v="-7233886.9230798203"/>
    <n v="7233886.9230798203"/>
    <m/>
  </r>
  <r>
    <s v="R.10056.01.01.01"/>
    <x v="436"/>
    <s v="Electric"/>
    <s v="Major Projects Electric"/>
    <s v="Programmatic: Programmatic"/>
    <s v="7E - Maj Proj"/>
    <x v="4"/>
    <n v="0"/>
    <n v="-1883740.9732457648"/>
    <n v="1883740.9732457648"/>
    <m/>
  </r>
  <r>
    <s v="R.10059.01.01.01"/>
    <x v="437"/>
    <s v="Electric"/>
    <s v="Grid Modernization"/>
    <s v="Programmatic: Programmatic"/>
    <s v="6E - Grid Mod"/>
    <x v="4"/>
    <n v="0"/>
    <n v="-900000"/>
    <n v="900000"/>
    <m/>
  </r>
  <r>
    <s v="R.10059.02.01.01"/>
    <x v="438"/>
    <s v="Electric"/>
    <s v="Grid Modernization"/>
    <s v="Programmatic: Programmatic"/>
    <s v="6E - Grid Mod"/>
    <x v="4"/>
    <n v="0"/>
    <n v="-1154777.0333071921"/>
    <n v="1154777.0333071921"/>
    <m/>
  </r>
  <r>
    <s v="R.10059.05.01.01"/>
    <x v="439"/>
    <s v="Electric"/>
    <s v="Grid Modernization"/>
    <s v="Programmatic: Programmatic"/>
    <s v="6E - Grid Mod"/>
    <x v="4"/>
    <n v="0"/>
    <n v="-3771577.0399999958"/>
    <n v="3771577.0399999958"/>
    <m/>
  </r>
  <r>
    <s v="X.10006.03.01.02"/>
    <x v="440"/>
    <s v="Electric"/>
    <m/>
    <m/>
    <m/>
    <x v="7"/>
    <n v="0"/>
    <n v="-9453083.7009711824"/>
    <n v="9453083.7009711824"/>
    <m/>
  </r>
  <r>
    <s v="F.10002.01.27.01"/>
    <x v="441"/>
    <s v="Electric"/>
    <m/>
    <m/>
    <m/>
    <x v="1"/>
    <n v="0"/>
    <n v="-1504618.5"/>
    <n v="1504618.5"/>
    <m/>
  </r>
  <r>
    <s v="F.10002.05.03.01"/>
    <x v="442"/>
    <s v="Electric"/>
    <m/>
    <m/>
    <m/>
    <x v="1"/>
    <n v="0"/>
    <n v="-2849402.9636734715"/>
    <n v="2849402.9636734715"/>
    <m/>
  </r>
  <r>
    <s v="R.10006.01.01.02"/>
    <x v="443"/>
    <s v="Electric"/>
    <m/>
    <m/>
    <m/>
    <x v="1"/>
    <n v="0"/>
    <n v="-2250000.0000000005"/>
    <n v="2250000.0000000005"/>
    <m/>
  </r>
  <r>
    <s v="F.10002.06.04.01"/>
    <x v="444"/>
    <s v="Common"/>
    <m/>
    <m/>
    <m/>
    <x v="1"/>
    <n v="0"/>
    <n v="-3113278.1971035767"/>
    <n v="3113278.1971035767"/>
    <m/>
  </r>
  <r>
    <s v="F.10002.06.07.01"/>
    <x v="445"/>
    <s v="Electric"/>
    <m/>
    <m/>
    <m/>
    <x v="1"/>
    <n v="0"/>
    <n v="-2000000.000000004"/>
    <n v="2000000.000000004"/>
    <m/>
  </r>
  <r>
    <s v="F.10002.07.05.01"/>
    <x v="446"/>
    <s v="Common"/>
    <m/>
    <m/>
    <m/>
    <x v="1"/>
    <n v="0"/>
    <n v="-3009237"/>
    <n v="3009237"/>
    <m/>
  </r>
  <r>
    <s v="F.10002.07.07.01"/>
    <x v="447"/>
    <s v="Electric"/>
    <m/>
    <m/>
    <m/>
    <x v="1"/>
    <n v="0"/>
    <n v="-942894.25999999931"/>
    <n v="942894.25999999931"/>
    <m/>
  </r>
  <r>
    <s v="F.10002.07.09.01"/>
    <x v="448"/>
    <s v="Common"/>
    <m/>
    <m/>
    <m/>
    <x v="1"/>
    <n v="0"/>
    <n v="-539634.88749795302"/>
    <n v="539634.8874979530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:E31" firstHeaderRow="0" firstDataRow="1" firstDataCol="1"/>
  <pivotFields count="11">
    <pivotField showAll="0"/>
    <pivotField axis="axisRow" showAll="0">
      <items count="585">
        <item x="443"/>
        <item m="1" x="464"/>
        <item m="1" x="493"/>
        <item m="1" x="471"/>
        <item m="1" x="566"/>
        <item m="1" x="496"/>
        <item m="1" x="541"/>
        <item m="1" x="534"/>
        <item m="1" x="571"/>
        <item m="1" x="500"/>
        <item m="1" x="560"/>
        <item m="1" x="476"/>
        <item m="1" x="578"/>
        <item m="1" x="574"/>
        <item x="6"/>
        <item x="391"/>
        <item x="7"/>
        <item x="8"/>
        <item x="9"/>
        <item x="10"/>
        <item x="11"/>
        <item x="12"/>
        <item x="13"/>
        <item m="1" x="458"/>
        <item x="371"/>
        <item x="14"/>
        <item m="1" x="570"/>
        <item m="1" x="563"/>
        <item x="15"/>
        <item m="1" x="573"/>
        <item m="1" x="494"/>
        <item x="16"/>
        <item x="19"/>
        <item x="21"/>
        <item m="1" x="516"/>
        <item m="1" x="540"/>
        <item x="22"/>
        <item x="23"/>
        <item x="24"/>
        <item m="1" x="506"/>
        <item m="1" x="576"/>
        <item m="1" x="527"/>
        <item x="28"/>
        <item m="1" x="456"/>
        <item x="29"/>
        <item m="1" x="542"/>
        <item m="1" x="538"/>
        <item x="30"/>
        <item m="1" x="533"/>
        <item x="31"/>
        <item x="32"/>
        <item m="1" x="505"/>
        <item m="1" x="469"/>
        <item m="1" x="550"/>
        <item x="34"/>
        <item m="1" x="558"/>
        <item m="1" x="539"/>
        <item m="1" x="483"/>
        <item m="1" x="512"/>
        <item x="37"/>
        <item m="1" x="511"/>
        <item x="38"/>
        <item m="1" x="521"/>
        <item m="1" x="457"/>
        <item x="40"/>
        <item x="41"/>
        <item m="1" x="530"/>
        <item m="1" x="478"/>
        <item m="1" x="486"/>
        <item x="43"/>
        <item x="395"/>
        <item m="1" x="575"/>
        <item x="45"/>
        <item x="46"/>
        <item m="1" x="459"/>
        <item m="1" x="562"/>
        <item m="1" x="470"/>
        <item x="49"/>
        <item m="1" x="535"/>
        <item m="1" x="543"/>
        <item m="1" x="517"/>
        <item m="1" x="508"/>
        <item m="1" x="477"/>
        <item x="52"/>
        <item m="1" x="551"/>
        <item m="1" x="490"/>
        <item x="53"/>
        <item m="1" x="495"/>
        <item x="54"/>
        <item x="396"/>
        <item x="55"/>
        <item m="1" x="498"/>
        <item x="375"/>
        <item x="56"/>
        <item m="1" x="501"/>
        <item x="58"/>
        <item x="59"/>
        <item m="1" x="547"/>
        <item m="1" x="552"/>
        <item m="1" x="515"/>
        <item x="61"/>
        <item x="62"/>
        <item m="1" x="568"/>
        <item m="1" x="577"/>
        <item m="1" x="513"/>
        <item m="1" x="583"/>
        <item x="64"/>
        <item m="1" x="502"/>
        <item x="65"/>
        <item m="1" x="491"/>
        <item x="66"/>
        <item x="67"/>
        <item m="1" x="553"/>
        <item x="68"/>
        <item m="1" x="519"/>
        <item x="69"/>
        <item x="70"/>
        <item x="71"/>
        <item x="72"/>
        <item m="1" x="462"/>
        <item x="376"/>
        <item x="397"/>
        <item m="1" x="514"/>
        <item x="74"/>
        <item x="75"/>
        <item m="1" x="565"/>
        <item m="1" x="485"/>
        <item m="1" x="487"/>
        <item x="79"/>
        <item x="80"/>
        <item m="1" x="467"/>
        <item m="1" x="480"/>
        <item x="83"/>
        <item m="1" x="452"/>
        <item x="84"/>
        <item x="85"/>
        <item x="86"/>
        <item x="87"/>
        <item m="1" x="522"/>
        <item m="1" x="556"/>
        <item x="88"/>
        <item x="89"/>
        <item x="90"/>
        <item x="91"/>
        <item m="1" x="482"/>
        <item x="92"/>
        <item m="1" x="507"/>
        <item x="398"/>
        <item x="93"/>
        <item x="94"/>
        <item x="96"/>
        <item x="97"/>
        <item x="98"/>
        <item x="399"/>
        <item x="99"/>
        <item m="1" x="479"/>
        <item x="368"/>
        <item m="1" x="492"/>
        <item m="1" x="465"/>
        <item m="1" x="529"/>
        <item x="100"/>
        <item x="101"/>
        <item m="1" x="548"/>
        <item x="102"/>
        <item x="103"/>
        <item x="104"/>
        <item x="105"/>
        <item x="106"/>
        <item m="1" x="581"/>
        <item m="1" x="569"/>
        <item m="1" x="557"/>
        <item m="1" x="580"/>
        <item x="107"/>
        <item x="108"/>
        <item x="110"/>
        <item x="111"/>
        <item m="1" x="549"/>
        <item x="112"/>
        <item x="113"/>
        <item m="1" x="545"/>
        <item x="401"/>
        <item x="114"/>
        <item x="115"/>
        <item x="116"/>
        <item m="1" x="449"/>
        <item m="1" x="537"/>
        <item m="1" x="499"/>
        <item x="118"/>
        <item x="119"/>
        <item x="120"/>
        <item x="121"/>
        <item x="122"/>
        <item x="377"/>
        <item x="309"/>
        <item x="402"/>
        <item x="123"/>
        <item x="124"/>
        <item x="403"/>
        <item x="125"/>
        <item m="1" x="579"/>
        <item x="126"/>
        <item x="127"/>
        <item x="128"/>
        <item m="1" x="46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404"/>
        <item x="142"/>
        <item x="143"/>
        <item x="144"/>
        <item x="145"/>
        <item m="1" x="461"/>
        <item x="146"/>
        <item x="148"/>
        <item x="149"/>
        <item x="150"/>
        <item x="405"/>
        <item x="151"/>
        <item m="1" x="4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382"/>
        <item x="166"/>
        <item x="167"/>
        <item m="1" x="525"/>
        <item m="1" x="497"/>
        <item x="168"/>
        <item x="169"/>
        <item x="170"/>
        <item x="171"/>
        <item x="173"/>
        <item m="1" x="582"/>
        <item x="174"/>
        <item x="175"/>
        <item x="176"/>
        <item x="407"/>
        <item x="177"/>
        <item x="408"/>
        <item x="178"/>
        <item x="389"/>
        <item x="179"/>
        <item x="180"/>
        <item x="181"/>
        <item x="182"/>
        <item x="183"/>
        <item x="184"/>
        <item x="409"/>
        <item x="185"/>
        <item x="186"/>
        <item x="187"/>
        <item x="188"/>
        <item x="410"/>
        <item x="411"/>
        <item x="189"/>
        <item x="190"/>
        <item x="191"/>
        <item x="192"/>
        <item x="194"/>
        <item x="413"/>
        <item x="195"/>
        <item x="414"/>
        <item x="378"/>
        <item m="1" x="473"/>
        <item m="1" x="454"/>
        <item m="1" x="481"/>
        <item m="1" x="455"/>
        <item x="196"/>
        <item x="197"/>
        <item x="198"/>
        <item x="416"/>
        <item m="1" x="510"/>
        <item x="200"/>
        <item m="1" x="531"/>
        <item x="417"/>
        <item x="379"/>
        <item x="418"/>
        <item x="202"/>
        <item x="203"/>
        <item m="1" x="559"/>
        <item x="204"/>
        <item x="205"/>
        <item x="207"/>
        <item x="419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420"/>
        <item m="1" x="523"/>
        <item x="223"/>
        <item x="224"/>
        <item x="225"/>
        <item x="227"/>
        <item x="228"/>
        <item m="1" x="489"/>
        <item m="1" x="572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421"/>
        <item x="243"/>
        <item x="422"/>
        <item x="244"/>
        <item x="245"/>
        <item x="246"/>
        <item x="247"/>
        <item x="248"/>
        <item x="423"/>
        <item x="249"/>
        <item x="250"/>
        <item x="251"/>
        <item x="253"/>
        <item x="254"/>
        <item x="255"/>
        <item x="256"/>
        <item x="257"/>
        <item x="258"/>
        <item x="259"/>
        <item x="424"/>
        <item x="260"/>
        <item x="261"/>
        <item x="262"/>
        <item x="263"/>
        <item x="425"/>
        <item x="264"/>
        <item x="265"/>
        <item x="266"/>
        <item m="1" x="561"/>
        <item x="267"/>
        <item x="270"/>
        <item m="1" x="567"/>
        <item m="1" x="475"/>
        <item x="271"/>
        <item x="272"/>
        <item x="273"/>
        <item x="274"/>
        <item x="275"/>
        <item x="276"/>
        <item m="1" x="472"/>
        <item m="1" x="528"/>
        <item m="1" x="546"/>
        <item m="1" x="450"/>
        <item m="1" x="532"/>
        <item m="1" x="488"/>
        <item x="277"/>
        <item x="278"/>
        <item x="279"/>
        <item x="280"/>
        <item m="1" x="518"/>
        <item x="281"/>
        <item m="1" x="524"/>
        <item x="282"/>
        <item x="283"/>
        <item x="387"/>
        <item x="386"/>
        <item x="380"/>
        <item x="284"/>
        <item x="285"/>
        <item x="431"/>
        <item x="432"/>
        <item x="286"/>
        <item m="1" x="526"/>
        <item m="1" x="484"/>
        <item m="1" x="509"/>
        <item m="1" x="503"/>
        <item m="1" x="536"/>
        <item m="1" x="474"/>
        <item x="288"/>
        <item x="289"/>
        <item m="1" x="564"/>
        <item m="1" x="555"/>
        <item m="1" x="460"/>
        <item x="436"/>
        <item m="1" x="554"/>
        <item x="437"/>
        <item x="438"/>
        <item x="290"/>
        <item m="1" x="504"/>
        <item x="292"/>
        <item x="439"/>
        <item x="294"/>
        <item m="1" x="466"/>
        <item x="295"/>
        <item x="296"/>
        <item x="297"/>
        <item x="298"/>
        <item x="299"/>
        <item m="1" x="463"/>
        <item x="300"/>
        <item x="440"/>
        <item m="1" x="520"/>
        <item x="301"/>
        <item m="1" x="544"/>
        <item m="1" x="453"/>
        <item x="0"/>
        <item x="1"/>
        <item x="2"/>
        <item x="3"/>
        <item x="4"/>
        <item x="5"/>
        <item x="17"/>
        <item x="18"/>
        <item x="20"/>
        <item x="25"/>
        <item x="26"/>
        <item x="27"/>
        <item x="33"/>
        <item x="35"/>
        <item x="36"/>
        <item x="39"/>
        <item x="42"/>
        <item x="44"/>
        <item x="47"/>
        <item x="48"/>
        <item x="50"/>
        <item x="51"/>
        <item x="57"/>
        <item x="60"/>
        <item x="63"/>
        <item x="73"/>
        <item x="76"/>
        <item x="77"/>
        <item x="78"/>
        <item x="81"/>
        <item x="82"/>
        <item x="95"/>
        <item x="109"/>
        <item x="117"/>
        <item x="147"/>
        <item x="164"/>
        <item x="172"/>
        <item x="193"/>
        <item x="199"/>
        <item x="201"/>
        <item x="206"/>
        <item x="226"/>
        <item x="252"/>
        <item x="268"/>
        <item x="269"/>
        <item x="287"/>
        <item x="291"/>
        <item x="293"/>
        <item x="302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9"/>
        <item x="370"/>
        <item x="372"/>
        <item x="373"/>
        <item x="374"/>
        <item x="381"/>
        <item x="383"/>
        <item x="384"/>
        <item x="385"/>
        <item x="388"/>
        <item x="390"/>
        <item x="392"/>
        <item x="393"/>
        <item x="394"/>
        <item x="400"/>
        <item x="406"/>
        <item x="412"/>
        <item x="415"/>
        <item x="426"/>
        <item x="427"/>
        <item x="428"/>
        <item x="429"/>
        <item x="430"/>
        <item x="433"/>
        <item x="434"/>
        <item x="435"/>
        <item x="441"/>
        <item x="442"/>
        <item x="444"/>
        <item x="445"/>
        <item x="446"/>
        <item x="447"/>
        <item x="448"/>
        <item x="303"/>
        <item x="304"/>
        <item x="305"/>
        <item x="306"/>
        <item x="307"/>
        <item x="30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axis="axisRow" showAll="0">
      <items count="10">
        <item sd="0" x="6"/>
        <item sd="0" x="0"/>
        <item sd="0" x="5"/>
        <item sd="0" x="1"/>
        <item x="7"/>
        <item sd="0" x="4"/>
        <item sd="0" x="2"/>
        <item x="3"/>
        <item m="1" x="8"/>
        <item t="default"/>
      </items>
    </pivotField>
    <pivotField dataField="1" showAll="0" defaultSubtotal="0"/>
    <pivotField dataField="1" numFmtId="43" showAll="0"/>
    <pivotField dataField="1" showAll="0"/>
    <pivotField showAll="0" defaultSubtotal="0"/>
  </pivotFields>
  <rowFields count="2">
    <field x="6"/>
    <field x="1"/>
  </rowFields>
  <rowItems count="26">
    <i>
      <x/>
    </i>
    <i>
      <x v="1"/>
    </i>
    <i>
      <x v="2"/>
    </i>
    <i>
      <x v="3"/>
    </i>
    <i>
      <x v="4"/>
    </i>
    <i r="1">
      <x v="193"/>
    </i>
    <i r="1">
      <x v="268"/>
    </i>
    <i r="1">
      <x v="426"/>
    </i>
    <i r="1">
      <x v="427"/>
    </i>
    <i r="1">
      <x v="428"/>
    </i>
    <i r="1">
      <x v="429"/>
    </i>
    <i r="1">
      <x v="430"/>
    </i>
    <i r="1">
      <x v="432"/>
    </i>
    <i r="1">
      <x v="433"/>
    </i>
    <i r="1">
      <x v="435"/>
    </i>
    <i r="1">
      <x v="486"/>
    </i>
    <i r="1">
      <x v="539"/>
    </i>
    <i r="1">
      <x v="579"/>
    </i>
    <i r="1">
      <x v="582"/>
    </i>
    <i r="1">
      <x v="583"/>
    </i>
    <i>
      <x v="5"/>
    </i>
    <i>
      <x v="6"/>
    </i>
    <i>
      <x v="7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ctual CWIP Closings" fld="7" baseField="0" baseItem="0"/>
    <dataField name="Forecast CWIP Closings" fld="8" baseField="0" baseItem="0"/>
    <dataField name="Sum of Variance" fld="9" baseField="4" baseItem="0"/>
  </dataFields>
  <formats count="14"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7">
      <pivotArea collapsedLevelsAreSubtotals="1" fieldPosition="0">
        <references count="1">
          <reference field="6" count="1">
            <x v="0"/>
          </reference>
        </references>
      </pivotArea>
    </format>
    <format dxfId="226">
      <pivotArea grandRow="1" outline="0" collapsedLevelsAreSubtotals="1" fieldPosition="0"/>
    </format>
    <format dxfId="22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4">
      <pivotArea collapsedLevelsAreSubtotals="1" fieldPosition="0">
        <references count="1">
          <reference field="6" count="1">
            <x v="1"/>
          </reference>
        </references>
      </pivotArea>
    </format>
    <format dxfId="223">
      <pivotArea collapsedLevelsAreSubtotals="1" fieldPosition="0">
        <references count="1">
          <reference field="6" count="1">
            <x v="2"/>
          </reference>
        </references>
      </pivotArea>
    </format>
    <format dxfId="222">
      <pivotArea collapsedLevelsAreSubtotals="1" fieldPosition="0">
        <references count="1">
          <reference field="6" count="1">
            <x v="3"/>
          </reference>
        </references>
      </pivotArea>
    </format>
    <format dxfId="221">
      <pivotArea collapsedLevelsAreSubtotals="1" fieldPosition="0">
        <references count="1">
          <reference field="6" count="1">
            <x v="4"/>
          </reference>
        </references>
      </pivotArea>
    </format>
    <format dxfId="220">
      <pivotArea collapsedLevelsAreSubtotals="1" fieldPosition="0">
        <references count="1">
          <reference field="6" count="1">
            <x v="5"/>
          </reference>
        </references>
      </pivotArea>
    </format>
    <format dxfId="219">
      <pivotArea collapsedLevelsAreSubtotals="1" fieldPosition="0">
        <references count="1">
          <reference field="6" count="1">
            <x v="6"/>
          </reference>
        </references>
      </pivotArea>
    </format>
    <format dxfId="218">
      <pivotArea dataOnly="0" labelOnly="1" fieldPosition="0">
        <references count="1">
          <reference field="6" count="6">
            <x v="1"/>
            <x v="2"/>
            <x v="3"/>
            <x v="4"/>
            <x v="5"/>
            <x v="6"/>
          </reference>
        </references>
      </pivotArea>
    </format>
    <format dxfId="2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8" firstHeaderRow="0" firstDataRow="1" firstDataCol="1" rowPageCount="1" colPageCount="1"/>
  <pivotFields count="10">
    <pivotField showAll="0"/>
    <pivotField showAll="0"/>
    <pivotField showAll="0"/>
    <pivotField axis="axisRow" showAll="0" sortType="ascending" defaultSubtotal="0">
      <items count="40">
        <item m="1" x="26"/>
        <item m="1" x="30"/>
        <item m="1" x="29"/>
        <item x="11"/>
        <item x="20"/>
        <item m="1" x="35"/>
        <item m="1" x="27"/>
        <item x="10"/>
        <item x="19"/>
        <item x="5"/>
        <item x="15"/>
        <item x="6"/>
        <item x="14"/>
        <item m="1" x="33"/>
        <item m="1" x="31"/>
        <item x="9"/>
        <item x="17"/>
        <item x="3"/>
        <item x="23"/>
        <item x="12"/>
        <item x="4"/>
        <item x="7"/>
        <item m="1" x="28"/>
        <item x="13"/>
        <item x="25"/>
        <item x="1"/>
        <item x="8"/>
        <item x="16"/>
        <item x="18"/>
        <item m="1" x="38"/>
        <item m="1" x="39"/>
        <item x="2"/>
        <item m="1" x="37"/>
        <item m="1" x="36"/>
        <item x="24"/>
        <item m="1" x="32"/>
        <item x="21"/>
        <item x="22"/>
        <item m="1" x="34"/>
        <item h="1" x="0"/>
      </items>
    </pivotField>
    <pivotField showAll="0" defaultSubtotal="0"/>
    <pivotField showAll="0" defaultSubtotal="0"/>
    <pivotField axis="axisPage" multipleItemSelectionAllowed="1" showAll="0">
      <items count="9">
        <item x="6"/>
        <item h="1" x="0"/>
        <item h="1" x="5"/>
        <item h="1" x="1"/>
        <item h="1" x="7"/>
        <item x="4"/>
        <item h="1" x="2"/>
        <item h="1" x="3"/>
        <item t="default"/>
      </items>
    </pivotField>
    <pivotField dataField="1" showAll="0" defaultSubtotal="0"/>
    <pivotField dataField="1" showAll="0"/>
    <pivotField dataField="1" showAll="0"/>
  </pivotFields>
  <rowFields count="1">
    <field x="3"/>
  </rowFields>
  <rowItems count="25"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6"/>
    </i>
    <i>
      <x v="27"/>
    </i>
    <i>
      <x v="28"/>
    </i>
    <i>
      <x v="31"/>
    </i>
    <i>
      <x v="34"/>
    </i>
    <i>
      <x v="36"/>
    </i>
    <i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3 EOP Total Actual CWIP Closings" fld="7" baseField="0" baseItem="0"/>
    <dataField name="Sum of JAK5 SEF16 Forecast CWIP Closings" fld="8" baseField="4" baseItem="0"/>
    <dataField name="Sum of Variance" fld="9" baseField="0" baseItem="0"/>
  </dataFields>
  <formats count="12">
    <format dxfId="215">
      <pivotArea grandRow="1" outline="0" collapsedLevelsAreSubtotals="1" fieldPosition="0"/>
    </format>
    <format dxfId="214">
      <pivotArea grandRow="1" outline="0" collapsedLevelsAreSubtotals="1" fieldPosition="0"/>
    </format>
    <format dxfId="213">
      <pivotArea grandRow="1" outline="0" collapsedLevelsAreSubtotals="1" fieldPosition="0"/>
    </format>
    <format dxfId="21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1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10">
      <pivotArea collapsedLevelsAreSubtotals="1" fieldPosition="0">
        <references count="1">
          <reference field="3" count="26">
            <x v="0"/>
            <x v="1"/>
            <x v="2"/>
            <x v="4"/>
            <x v="5"/>
            <x v="6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9"/>
            <x v="31"/>
            <x v="32"/>
            <x v="33"/>
            <x v="34"/>
            <x v="35"/>
            <x v="37"/>
          </reference>
        </references>
      </pivotArea>
    </format>
    <format dxfId="209">
      <pivotArea collapsedLevelsAreSubtotals="1" fieldPosition="0">
        <references count="1">
          <reference field="3" count="26">
            <x v="0"/>
            <x v="1"/>
            <x v="2"/>
            <x v="4"/>
            <x v="5"/>
            <x v="6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9"/>
            <x v="31"/>
            <x v="32"/>
            <x v="33"/>
            <x v="34"/>
            <x v="35"/>
            <x v="37"/>
          </reference>
        </references>
      </pivotArea>
    </format>
    <format dxfId="208">
      <pivotArea collapsedLevelsAreSubtotals="1" fieldPosition="0">
        <references count="1">
          <reference field="3" count="26">
            <x v="0"/>
            <x v="1"/>
            <x v="2"/>
            <x v="4"/>
            <x v="5"/>
            <x v="6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9"/>
            <x v="31"/>
            <x v="32"/>
            <x v="33"/>
            <x v="34"/>
            <x v="35"/>
            <x v="37"/>
          </reference>
        </references>
      </pivotArea>
    </format>
    <format dxfId="207">
      <pivotArea collapsedLevelsAreSubtotals="1" fieldPosition="0">
        <references count="1">
          <reference field="3" count="1">
            <x v="0"/>
          </reference>
        </references>
      </pivotArea>
    </format>
    <format dxfId="206">
      <pivotArea collapsedLevelsAreSubtotals="1" fieldPosition="0">
        <references count="1">
          <reference field="3" count="1">
            <x v="0"/>
          </reference>
        </references>
      </pivotArea>
    </format>
    <format dxfId="205">
      <pivotArea collapsedLevelsAreSubtotals="1" fieldPosition="0">
        <references count="1">
          <reference field="3" count="1">
            <x v="0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7" firstHeaderRow="0" firstDataRow="1" firstDataCol="1" rowPageCount="1" colPageCount="1"/>
  <pivotFields count="10">
    <pivotField showAll="0"/>
    <pivotField showAll="0"/>
    <pivotField axis="axisRow" showAll="0">
      <items count="7">
        <item m="1" x="5"/>
        <item m="1" x="4"/>
        <item m="1" x="3"/>
        <item x="0"/>
        <item x="1"/>
        <item x="2"/>
        <item t="default"/>
      </items>
    </pivotField>
    <pivotField axis="axisRow" showAll="0" defaultSubtotal="0">
      <items count="40">
        <item m="1" x="26"/>
        <item m="1" x="30"/>
        <item m="1" x="29"/>
        <item x="20"/>
        <item m="1" x="35"/>
        <item m="1" x="27"/>
        <item x="5"/>
        <item x="15"/>
        <item m="1" x="33"/>
        <item m="1" x="31"/>
        <item x="9"/>
        <item x="17"/>
        <item x="3"/>
        <item x="23"/>
        <item x="12"/>
        <item x="4"/>
        <item x="7"/>
        <item m="1" x="28"/>
        <item x="13"/>
        <item x="25"/>
        <item x="1"/>
        <item m="1" x="38"/>
        <item m="1" x="39"/>
        <item x="2"/>
        <item m="1" x="37"/>
        <item m="1" x="36"/>
        <item x="24"/>
        <item m="1" x="32"/>
        <item x="22"/>
        <item m="1" x="34"/>
        <item h="1" x="0"/>
        <item x="6"/>
        <item x="8"/>
        <item x="10"/>
        <item x="11"/>
        <item x="14"/>
        <item x="16"/>
        <item x="18"/>
        <item x="19"/>
        <item x="21"/>
      </items>
    </pivotField>
    <pivotField axis="axisRow" showAll="0" defaultSubtotal="0">
      <items count="9">
        <item x="1"/>
        <item x="5"/>
        <item m="1" x="6"/>
        <item x="2"/>
        <item m="1" x="8"/>
        <item m="1" x="7"/>
        <item x="0"/>
        <item x="3"/>
        <item x="4"/>
      </items>
    </pivotField>
    <pivotField showAll="0" defaultSubtotal="0"/>
    <pivotField axis="axisPage" multipleItemSelectionAllowed="1" showAll="0">
      <items count="9">
        <item x="6"/>
        <item h="1" x="0"/>
        <item h="1" x="5"/>
        <item h="1" x="1"/>
        <item h="1" x="7"/>
        <item x="4"/>
        <item h="1" x="2"/>
        <item h="1" x="3"/>
        <item t="default"/>
      </items>
    </pivotField>
    <pivotField dataField="1" showAll="0" defaultSubtotal="0"/>
    <pivotField dataField="1" showAll="0"/>
    <pivotField dataField="1" showAll="0"/>
  </pivotFields>
  <rowFields count="3">
    <field x="2"/>
    <field x="4"/>
    <field x="3"/>
  </rowFields>
  <rowItems count="44">
    <i>
      <x v="3"/>
    </i>
    <i r="1">
      <x v="3"/>
    </i>
    <i r="2">
      <x v="23"/>
    </i>
    <i r="1">
      <x v="8"/>
    </i>
    <i r="2">
      <x v="34"/>
    </i>
    <i>
      <x v="4"/>
    </i>
    <i r="1">
      <x v="1"/>
    </i>
    <i r="2">
      <x v="6"/>
    </i>
    <i r="2">
      <x v="31"/>
    </i>
    <i r="2">
      <x v="32"/>
    </i>
    <i r="1">
      <x v="3"/>
    </i>
    <i r="2">
      <x v="23"/>
    </i>
    <i r="1">
      <x v="7"/>
    </i>
    <i r="2">
      <x v="3"/>
    </i>
    <i r="2">
      <x v="12"/>
    </i>
    <i r="2">
      <x v="23"/>
    </i>
    <i r="2">
      <x v="28"/>
    </i>
    <i r="2">
      <x v="39"/>
    </i>
    <i r="1">
      <x v="8"/>
    </i>
    <i r="2">
      <x v="10"/>
    </i>
    <i r="2">
      <x v="13"/>
    </i>
    <i r="2">
      <x v="15"/>
    </i>
    <i r="2">
      <x v="16"/>
    </i>
    <i r="2">
      <x v="26"/>
    </i>
    <i r="2">
      <x v="33"/>
    </i>
    <i r="2">
      <x v="34"/>
    </i>
    <i>
      <x v="5"/>
    </i>
    <i r="1">
      <x v="1"/>
    </i>
    <i r="2">
      <x v="7"/>
    </i>
    <i r="2">
      <x v="31"/>
    </i>
    <i r="2">
      <x v="35"/>
    </i>
    <i r="2">
      <x v="36"/>
    </i>
    <i r="1">
      <x v="3"/>
    </i>
    <i r="2">
      <x v="23"/>
    </i>
    <i r="1">
      <x v="7"/>
    </i>
    <i r="2">
      <x v="19"/>
    </i>
    <i r="1">
      <x v="8"/>
    </i>
    <i r="2">
      <x v="11"/>
    </i>
    <i r="2">
      <x v="14"/>
    </i>
    <i r="2">
      <x v="18"/>
    </i>
    <i r="2">
      <x v="34"/>
    </i>
    <i r="2">
      <x v="37"/>
    </i>
    <i r="2"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3 EOP Total Actual CWIP Closings" fld="7" baseField="2" baseItem="3" numFmtId="43"/>
    <dataField name="Sum of JAK5 SEF16 Forecast CWIP Closings" fld="8" baseField="3" baseItem="33" numFmtId="43"/>
    <dataField name="Sum of Variance" fld="9" baseField="3" baseItem="33" numFmtId="43"/>
  </dataFields>
  <formats count="82">
    <format dxfId="203">
      <pivotArea grandRow="1" outline="0" collapsedLevelsAreSubtotals="1" fieldPosition="0"/>
    </format>
    <format dxfId="202">
      <pivotArea grandRow="1" outline="0" collapsedLevelsAreSubtotals="1" fieldPosition="0"/>
    </format>
    <format dxfId="201">
      <pivotArea grandRow="1" outline="0" collapsedLevelsAreSubtotals="1" fieldPosition="0"/>
    </format>
    <format dxfId="20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8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7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6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5">
      <pivotArea collapsedLevelsAreSubtotals="1" fieldPosition="0">
        <references count="1">
          <reference field="3" count="1">
            <x v="0"/>
          </reference>
        </references>
      </pivotArea>
    </format>
    <format dxfId="194">
      <pivotArea collapsedLevelsAreSubtotals="1" fieldPosition="0">
        <references count="1">
          <reference field="3" count="1">
            <x v="0"/>
          </reference>
        </references>
      </pivotArea>
    </format>
    <format dxfId="193">
      <pivotArea collapsedLevelsAreSubtotals="1" fieldPosition="0">
        <references count="1">
          <reference field="3" count="1">
            <x v="0"/>
          </reference>
        </references>
      </pivotArea>
    </format>
    <format dxfId="192">
      <pivotArea collapsedLevelsAreSubtotals="1" fieldPosition="0">
        <references count="1">
          <reference field="2" count="1">
            <x v="3"/>
          </reference>
        </references>
      </pivotArea>
    </format>
    <format dxfId="191">
      <pivotArea collapsedLevelsAreSubtotals="1" fieldPosition="0">
        <references count="1">
          <reference field="2" count="1">
            <x v="3"/>
          </reference>
        </references>
      </pivotArea>
    </format>
    <format dxfId="190">
      <pivotArea collapsedLevelsAreSubtotals="1" fieldPosition="0">
        <references count="1">
          <reference field="2" count="1">
            <x v="3"/>
          </reference>
        </references>
      </pivotArea>
    </format>
    <format dxfId="189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88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87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8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8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84">
      <pivotArea collapsedLevelsAreSubtotals="1" fieldPosition="0">
        <references count="1">
          <reference field="2" count="1">
            <x v="4"/>
          </reference>
        </references>
      </pivotArea>
    </format>
    <format dxfId="18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8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8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8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7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7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7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7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75">
      <pivotArea collapsedLevelsAreSubtotals="1" fieldPosition="0">
        <references count="1">
          <reference field="2" count="1">
            <x v="5"/>
          </reference>
        </references>
      </pivotArea>
    </format>
    <format dxfId="17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7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7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7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7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6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6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6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6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6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64">
      <pivotArea collapsedLevelsAreSubtotals="1" fieldPosition="0">
        <references count="1">
          <reference field="2" count="1">
            <x v="4"/>
          </reference>
        </references>
      </pivotArea>
    </format>
    <format dxfId="16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6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6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6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5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5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5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5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55">
      <pivotArea collapsedLevelsAreSubtotals="1" fieldPosition="0">
        <references count="1">
          <reference field="2" count="1">
            <x v="5"/>
          </reference>
        </references>
      </pivotArea>
    </format>
    <format dxfId="15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5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5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5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5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4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4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4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4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4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44">
      <pivotArea collapsedLevelsAreSubtotals="1" fieldPosition="0">
        <references count="1">
          <reference field="2" count="1">
            <x v="4"/>
          </reference>
        </references>
      </pivotArea>
    </format>
    <format dxfId="14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4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4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4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3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3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3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3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35">
      <pivotArea collapsedLevelsAreSubtotals="1" fieldPosition="0">
        <references count="1">
          <reference field="2" count="1">
            <x v="5"/>
          </reference>
        </references>
      </pivotArea>
    </format>
    <format dxfId="13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3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3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3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3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2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2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2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">
      <pivotArea outline="0" fieldPosition="0">
        <references count="1">
          <reference field="4294967294" count="1">
            <x v="0"/>
          </reference>
        </references>
      </pivotArea>
    </format>
    <format dxfId="124">
      <pivotArea outline="0" fieldPosition="0">
        <references count="1">
          <reference field="4294967294" count="1">
            <x v="1"/>
          </reference>
        </references>
      </pivotArea>
    </format>
    <format dxfId="123">
      <pivotArea outline="0" fieldPosition="0">
        <references count="1">
          <reference field="4294967294" count="1">
            <x v="2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5" firstHeaderRow="0" firstDataRow="1" firstDataCol="1" rowPageCount="1" colPageCount="1"/>
  <pivotFields count="10">
    <pivotField showAll="0"/>
    <pivotField showAll="0"/>
    <pivotField showAll="0"/>
    <pivotField axis="axisRow" showAll="0" sortType="ascending">
      <items count="41">
        <item m="1" x="26"/>
        <item m="1" x="30"/>
        <item m="1" x="29"/>
        <item x="11"/>
        <item x="20"/>
        <item m="1" x="35"/>
        <item m="1" x="27"/>
        <item x="10"/>
        <item x="19"/>
        <item x="5"/>
        <item x="15"/>
        <item x="6"/>
        <item x="14"/>
        <item m="1" x="33"/>
        <item m="1" x="31"/>
        <item x="9"/>
        <item x="17"/>
        <item x="3"/>
        <item x="23"/>
        <item x="12"/>
        <item x="4"/>
        <item x="7"/>
        <item m="1" x="28"/>
        <item x="13"/>
        <item x="25"/>
        <item x="1"/>
        <item x="8"/>
        <item x="16"/>
        <item x="18"/>
        <item m="1" x="38"/>
        <item m="1" x="39"/>
        <item x="2"/>
        <item m="1" x="37"/>
        <item m="1" x="36"/>
        <item x="24"/>
        <item m="1" x="32"/>
        <item x="21"/>
        <item x="22"/>
        <item m="1" x="34"/>
        <item x="0"/>
        <item t="default"/>
      </items>
    </pivotField>
    <pivotField showAll="0"/>
    <pivotField axis="axisRow" showAll="0">
      <items count="21">
        <item m="1" x="15"/>
        <item m="1" x="14"/>
        <item m="1" x="16"/>
        <item x="0"/>
        <item m="1" x="19"/>
        <item m="1" x="18"/>
        <item m="1"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9">
        <item x="6"/>
        <item h="1" x="0"/>
        <item h="1" x="5"/>
        <item h="1" x="1"/>
        <item h="1" x="7"/>
        <item x="4"/>
        <item h="1" x="2"/>
        <item h="1" x="3"/>
        <item t="default"/>
      </items>
    </pivotField>
    <pivotField dataField="1" showAll="0" defaultSubtotal="0"/>
    <pivotField dataField="1" showAll="0"/>
    <pivotField dataField="1" showAll="0"/>
  </pivotFields>
  <rowFields count="2">
    <field x="5"/>
    <field x="3"/>
  </rowFields>
  <rowItems count="42">
    <i>
      <x v="3"/>
    </i>
    <i r="1">
      <x v="7"/>
    </i>
    <i r="1">
      <x v="8"/>
    </i>
    <i r="1">
      <x v="17"/>
    </i>
    <i r="1">
      <x v="18"/>
    </i>
    <i r="1">
      <x v="24"/>
    </i>
    <i r="1">
      <x v="31"/>
    </i>
    <i r="1">
      <x v="34"/>
    </i>
    <i r="1">
      <x v="39"/>
    </i>
    <i>
      <x v="7"/>
    </i>
    <i r="1">
      <x v="31"/>
    </i>
    <i>
      <x v="8"/>
    </i>
    <i r="1">
      <x v="20"/>
    </i>
    <i>
      <x v="9"/>
    </i>
    <i r="1">
      <x v="9"/>
    </i>
    <i r="1">
      <x v="11"/>
    </i>
    <i r="1">
      <x v="26"/>
    </i>
    <i>
      <x v="10"/>
    </i>
    <i r="1">
      <x v="10"/>
    </i>
    <i r="1">
      <x v="11"/>
    </i>
    <i r="1">
      <x v="12"/>
    </i>
    <i r="1">
      <x v="27"/>
    </i>
    <i>
      <x v="11"/>
    </i>
    <i r="1">
      <x v="21"/>
    </i>
    <i>
      <x v="12"/>
    </i>
    <i r="1">
      <x v="15"/>
    </i>
    <i r="1">
      <x v="16"/>
    </i>
    <i>
      <x v="13"/>
    </i>
    <i r="1">
      <x v="3"/>
    </i>
    <i>
      <x v="14"/>
    </i>
    <i r="1">
      <x v="19"/>
    </i>
    <i>
      <x v="15"/>
    </i>
    <i r="1">
      <x v="23"/>
    </i>
    <i>
      <x v="16"/>
    </i>
    <i r="1">
      <x v="28"/>
    </i>
    <i>
      <x v="17"/>
    </i>
    <i r="1">
      <x v="4"/>
    </i>
    <i>
      <x v="18"/>
    </i>
    <i r="1">
      <x v="36"/>
    </i>
    <i>
      <x v="19"/>
    </i>
    <i r="1"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3 EOP Total Actual CWIP Closings" fld="7" baseField="5" baseItem="3" numFmtId="43"/>
    <dataField name="Sum of JAK5 SEF16 Forecast CWIP Closings" fld="8" baseField="5" baseItem="3" numFmtId="43"/>
    <dataField name="Sum of Variance" fld="9" baseField="5" baseItem="3" numFmtId="43"/>
  </dataFields>
  <formats count="122">
    <format dxfId="12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9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18">
      <pivotArea collapsedLevelsAreSubtotals="1" fieldPosition="0">
        <references count="1">
          <reference field="5" count="1">
            <x v="1"/>
          </reference>
        </references>
      </pivotArea>
    </format>
    <format dxfId="117">
      <pivotArea collapsedLevelsAreSubtotals="1" fieldPosition="0">
        <references count="2">
          <reference field="3" count="1">
            <x v="4"/>
          </reference>
          <reference field="5" count="1" selected="0">
            <x v="1"/>
          </reference>
        </references>
      </pivotArea>
    </format>
    <format dxfId="116">
      <pivotArea collapsedLevelsAreSubtotals="1" fieldPosition="0">
        <references count="1">
          <reference field="5" count="1">
            <x v="2"/>
          </reference>
        </references>
      </pivotArea>
    </format>
    <format dxfId="115">
      <pivotArea collapsedLevelsAreSubtotals="1" fieldPosition="0">
        <references count="2">
          <reference field="3" count="6">
            <x v="9"/>
            <x v="10"/>
            <x v="13"/>
            <x v="14"/>
            <x v="32"/>
            <x v="33"/>
          </reference>
          <reference field="5" count="1" selected="0">
            <x v="2"/>
          </reference>
        </references>
      </pivotArea>
    </format>
    <format dxfId="114">
      <pivotArea collapsedLevelsAreSubtotals="1" fieldPosition="0">
        <references count="1">
          <reference field="5" count="1">
            <x v="3"/>
          </reference>
        </references>
      </pivotArea>
    </format>
    <format dxfId="113">
      <pivotArea collapsedLevelsAreSubtotals="1" fieldPosition="0">
        <references count="2">
          <reference field="3" count="19">
            <x v="5"/>
            <x v="6"/>
            <x v="15"/>
            <x v="16"/>
            <x v="17"/>
            <x v="18"/>
            <x v="19"/>
            <x v="20"/>
            <x v="21"/>
            <x v="23"/>
            <x v="24"/>
            <x v="25"/>
            <x v="29"/>
            <x v="31"/>
            <x v="34"/>
            <x v="35"/>
            <x v="37"/>
            <x v="38"/>
            <x v="39"/>
          </reference>
          <reference field="5" count="1" selected="0">
            <x v="3"/>
          </reference>
        </references>
      </pivotArea>
    </format>
    <format dxfId="112">
      <pivotArea grandRow="1" outline="0" collapsedLevelsAreSubtotals="1" fieldPosition="0"/>
    </format>
    <format dxfId="111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10">
      <pivotArea collapsedLevelsAreSubtotals="1" fieldPosition="0">
        <references count="1">
          <reference field="5" count="1">
            <x v="1"/>
          </reference>
        </references>
      </pivotArea>
    </format>
    <format dxfId="109">
      <pivotArea collapsedLevelsAreSubtotals="1" fieldPosition="0">
        <references count="2">
          <reference field="3" count="1">
            <x v="4"/>
          </reference>
          <reference field="5" count="1" selected="0">
            <x v="1"/>
          </reference>
        </references>
      </pivotArea>
    </format>
    <format dxfId="108">
      <pivotArea collapsedLevelsAreSubtotals="1" fieldPosition="0">
        <references count="1">
          <reference field="5" count="1">
            <x v="2"/>
          </reference>
        </references>
      </pivotArea>
    </format>
    <format dxfId="107">
      <pivotArea collapsedLevelsAreSubtotals="1" fieldPosition="0">
        <references count="2">
          <reference field="3" count="6">
            <x v="9"/>
            <x v="10"/>
            <x v="13"/>
            <x v="14"/>
            <x v="32"/>
            <x v="33"/>
          </reference>
          <reference field="5" count="1" selected="0">
            <x v="2"/>
          </reference>
        </references>
      </pivotArea>
    </format>
    <format dxfId="106">
      <pivotArea collapsedLevelsAreSubtotals="1" fieldPosition="0">
        <references count="1">
          <reference field="5" count="1">
            <x v="3"/>
          </reference>
        </references>
      </pivotArea>
    </format>
    <format dxfId="105">
      <pivotArea collapsedLevelsAreSubtotals="1" fieldPosition="0">
        <references count="2">
          <reference field="3" count="19">
            <x v="5"/>
            <x v="6"/>
            <x v="15"/>
            <x v="16"/>
            <x v="17"/>
            <x v="18"/>
            <x v="19"/>
            <x v="20"/>
            <x v="21"/>
            <x v="23"/>
            <x v="24"/>
            <x v="25"/>
            <x v="29"/>
            <x v="31"/>
            <x v="34"/>
            <x v="35"/>
            <x v="37"/>
            <x v="38"/>
            <x v="39"/>
          </reference>
          <reference field="5" count="1" selected="0">
            <x v="3"/>
          </reference>
        </references>
      </pivotArea>
    </format>
    <format dxfId="104">
      <pivotArea grandRow="1" outline="0" collapsedLevelsAreSubtotals="1" fieldPosition="0"/>
    </format>
    <format dxfId="103">
      <pivotArea collapsedLevelsAreSubtotals="1" fieldPosition="0">
        <references count="1">
          <reference field="5" count="1">
            <x v="0"/>
          </reference>
        </references>
      </pivotArea>
    </format>
    <format dxfId="102">
      <pivotArea collapsedLevelsAreSubtotals="1" fieldPosition="0">
        <references count="1">
          <reference field="5" count="1">
            <x v="0"/>
          </reference>
        </references>
      </pivotArea>
    </format>
    <format dxfId="101">
      <pivotArea collapsedLevelsAreSubtotals="1" fieldPosition="0">
        <references count="1">
          <reference field="5" count="1">
            <x v="0"/>
          </reference>
        </references>
      </pivotArea>
    </format>
    <format dxfId="100">
      <pivotArea collapsedLevelsAreSubtotals="1" fieldPosition="0">
        <references count="1">
          <reference field="5" count="1">
            <x v="4"/>
          </reference>
        </references>
      </pivotArea>
    </format>
    <format dxfId="99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4"/>
          </reference>
        </references>
      </pivotArea>
    </format>
    <format dxfId="98">
      <pivotArea collapsedLevelsAreSubtotals="1" fieldPosition="0">
        <references count="1">
          <reference field="5" count="1">
            <x v="4"/>
          </reference>
        </references>
      </pivotArea>
    </format>
    <format dxfId="97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4"/>
          </reference>
        </references>
      </pivotArea>
    </format>
    <format dxfId="96">
      <pivotArea collapsedLevelsAreSubtotals="1" fieldPosition="0">
        <references count="1">
          <reference field="5" count="1">
            <x v="4"/>
          </reference>
        </references>
      </pivotArea>
    </format>
    <format dxfId="95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4"/>
          </reference>
        </references>
      </pivotArea>
    </format>
    <format dxfId="94">
      <pivotArea collapsedLevelsAreSubtotals="1" fieldPosition="0">
        <references count="1">
          <reference field="5" count="1">
            <x v="5"/>
          </reference>
        </references>
      </pivotArea>
    </format>
    <format dxfId="93">
      <pivotArea collapsedLevelsAreSubtotals="1" fieldPosition="0">
        <references count="2">
          <reference field="3" count="1">
            <x v="31"/>
          </reference>
          <reference field="5" count="1" selected="0">
            <x v="5"/>
          </reference>
        </references>
      </pivotArea>
    </format>
    <format dxfId="92">
      <pivotArea collapsedLevelsAreSubtotals="1" fieldPosition="0">
        <references count="1">
          <reference field="5" count="1">
            <x v="6"/>
          </reference>
        </references>
      </pivotArea>
    </format>
    <format dxfId="91">
      <pivotArea collapsedLevelsAreSubtotals="1" fieldPosition="0">
        <references count="2">
          <reference field="3" count="1">
            <x v="29"/>
          </reference>
          <reference field="5" count="1" selected="0">
            <x v="6"/>
          </reference>
        </references>
      </pivotArea>
    </format>
    <format dxfId="90">
      <pivotArea collapsedLevelsAreSubtotals="1" fieldPosition="0">
        <references count="1">
          <reference field="5" count="1">
            <x v="5"/>
          </reference>
        </references>
      </pivotArea>
    </format>
    <format dxfId="89">
      <pivotArea collapsedLevelsAreSubtotals="1" fieldPosition="0">
        <references count="2">
          <reference field="3" count="1">
            <x v="31"/>
          </reference>
          <reference field="5" count="1" selected="0">
            <x v="5"/>
          </reference>
        </references>
      </pivotArea>
    </format>
    <format dxfId="88">
      <pivotArea collapsedLevelsAreSubtotals="1" fieldPosition="0">
        <references count="1">
          <reference field="5" count="1">
            <x v="6"/>
          </reference>
        </references>
      </pivotArea>
    </format>
    <format dxfId="87">
      <pivotArea collapsedLevelsAreSubtotals="1" fieldPosition="0">
        <references count="2">
          <reference field="3" count="1">
            <x v="29"/>
          </reference>
          <reference field="5" count="1" selected="0">
            <x v="6"/>
          </reference>
        </references>
      </pivotArea>
    </format>
    <format dxfId="86">
      <pivotArea collapsedLevelsAreSubtotals="1" fieldPosition="0">
        <references count="1">
          <reference field="5" count="1">
            <x v="5"/>
          </reference>
        </references>
      </pivotArea>
    </format>
    <format dxfId="85">
      <pivotArea collapsedLevelsAreSubtotals="1" fieldPosition="0">
        <references count="2">
          <reference field="3" count="1">
            <x v="31"/>
          </reference>
          <reference field="5" count="1" selected="0">
            <x v="5"/>
          </reference>
        </references>
      </pivotArea>
    </format>
    <format dxfId="84">
      <pivotArea collapsedLevelsAreSubtotals="1" fieldPosition="0">
        <references count="1">
          <reference field="5" count="1">
            <x v="6"/>
          </reference>
        </references>
      </pivotArea>
    </format>
    <format dxfId="83">
      <pivotArea collapsedLevelsAreSubtotals="1" fieldPosition="0">
        <references count="2">
          <reference field="3" count="1">
            <x v="29"/>
          </reference>
          <reference field="5" count="1" selected="0">
            <x v="6"/>
          </reference>
        </references>
      </pivotArea>
    </format>
    <format dxfId="82">
      <pivotArea collapsedLevelsAreSubtotals="1" fieldPosition="0">
        <references count="1">
          <reference field="5" count="1">
            <x v="7"/>
          </reference>
        </references>
      </pivotArea>
    </format>
    <format dxfId="81">
      <pivotArea collapsedLevelsAreSubtotals="1" fieldPosition="0">
        <references count="2">
          <reference field="3" count="1">
            <x v="31"/>
          </reference>
          <reference field="5" count="1" selected="0">
            <x v="7"/>
          </reference>
        </references>
      </pivotArea>
    </format>
    <format dxfId="80">
      <pivotArea collapsedLevelsAreSubtotals="1" fieldPosition="0">
        <references count="1">
          <reference field="5" count="1">
            <x v="8"/>
          </reference>
        </references>
      </pivotArea>
    </format>
    <format dxfId="79">
      <pivotArea collapsedLevelsAreSubtotals="1" fieldPosition="0">
        <references count="2">
          <reference field="3" count="1">
            <x v="20"/>
          </reference>
          <reference field="5" count="1" selected="0">
            <x v="8"/>
          </reference>
        </references>
      </pivotArea>
    </format>
    <format dxfId="78">
      <pivotArea collapsedLevelsAreSubtotals="1" fieldPosition="0">
        <references count="1">
          <reference field="5" count="1">
            <x v="9"/>
          </reference>
        </references>
      </pivotArea>
    </format>
    <format dxfId="77">
      <pivotArea collapsedLevelsAreSubtotals="1" fieldPosition="0">
        <references count="2">
          <reference field="3" count="3">
            <x v="9"/>
            <x v="13"/>
            <x v="32"/>
          </reference>
          <reference field="5" count="1" selected="0">
            <x v="9"/>
          </reference>
        </references>
      </pivotArea>
    </format>
    <format dxfId="76">
      <pivotArea collapsedLevelsAreSubtotals="1" fieldPosition="0">
        <references count="1">
          <reference field="5" count="1">
            <x v="10"/>
          </reference>
        </references>
      </pivotArea>
    </format>
    <format dxfId="75">
      <pivotArea collapsedLevelsAreSubtotals="1" fieldPosition="0">
        <references count="2">
          <reference field="3" count="4">
            <x v="10"/>
            <x v="13"/>
            <x v="14"/>
            <x v="33"/>
          </reference>
          <reference field="5" count="1" selected="0">
            <x v="10"/>
          </reference>
        </references>
      </pivotArea>
    </format>
    <format dxfId="74">
      <pivotArea collapsedLevelsAreSubtotals="1" fieldPosition="0">
        <references count="1">
          <reference field="5" count="1">
            <x v="11"/>
          </reference>
        </references>
      </pivotArea>
    </format>
    <format dxfId="73">
      <pivotArea collapsedLevelsAreSubtotals="1" fieldPosition="0">
        <references count="2">
          <reference field="3" count="1">
            <x v="21"/>
          </reference>
          <reference field="5" count="1" selected="0">
            <x v="11"/>
          </reference>
        </references>
      </pivotArea>
    </format>
    <format dxfId="72">
      <pivotArea collapsedLevelsAreSubtotals="1" fieldPosition="0">
        <references count="1">
          <reference field="5" count="1">
            <x v="12"/>
          </reference>
        </references>
      </pivotArea>
    </format>
    <format dxfId="71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12"/>
          </reference>
        </references>
      </pivotArea>
    </format>
    <format dxfId="70">
      <pivotArea collapsedLevelsAreSubtotals="1" fieldPosition="0">
        <references count="1">
          <reference field="5" count="1">
            <x v="13"/>
          </reference>
        </references>
      </pivotArea>
    </format>
    <format dxfId="69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68">
      <pivotArea collapsedLevelsAreSubtotals="1" fieldPosition="0">
        <references count="1">
          <reference field="5" count="1">
            <x v="14"/>
          </reference>
        </references>
      </pivotArea>
    </format>
    <format dxfId="67">
      <pivotArea collapsedLevelsAreSubtotals="1" fieldPosition="0">
        <references count="2">
          <reference field="3" count="1">
            <x v="19"/>
          </reference>
          <reference field="5" count="1" selected="0">
            <x v="14"/>
          </reference>
        </references>
      </pivotArea>
    </format>
    <format dxfId="66">
      <pivotArea collapsedLevelsAreSubtotals="1" fieldPosition="0">
        <references count="1">
          <reference field="5" count="1">
            <x v="15"/>
          </reference>
        </references>
      </pivotArea>
    </format>
    <format dxfId="65">
      <pivotArea collapsedLevelsAreSubtotals="1" fieldPosition="0">
        <references count="2">
          <reference field="3" count="1">
            <x v="23"/>
          </reference>
          <reference field="5" count="1" selected="0">
            <x v="15"/>
          </reference>
        </references>
      </pivotArea>
    </format>
    <format dxfId="64">
      <pivotArea collapsedLevelsAreSubtotals="1" fieldPosition="0">
        <references count="1">
          <reference field="5" count="1">
            <x v="16"/>
          </reference>
        </references>
      </pivotArea>
    </format>
    <format dxfId="63">
      <pivotArea collapsedLevelsAreSubtotals="1" fieldPosition="0">
        <references count="2">
          <reference field="3" count="1">
            <x v="29"/>
          </reference>
          <reference field="5" count="1" selected="0">
            <x v="16"/>
          </reference>
        </references>
      </pivotArea>
    </format>
    <format dxfId="62">
      <pivotArea collapsedLevelsAreSubtotals="1" fieldPosition="0">
        <references count="1">
          <reference field="5" count="1">
            <x v="17"/>
          </reference>
        </references>
      </pivotArea>
    </format>
    <format dxfId="61">
      <pivotArea collapsedLevelsAreSubtotals="1" fieldPosition="0">
        <references count="2">
          <reference field="3" count="1">
            <x v="4"/>
          </reference>
          <reference field="5" count="1" selected="0">
            <x v="17"/>
          </reference>
        </references>
      </pivotArea>
    </format>
    <format dxfId="60">
      <pivotArea collapsedLevelsAreSubtotals="1" fieldPosition="0">
        <references count="1">
          <reference field="5" count="1">
            <x v="7"/>
          </reference>
        </references>
      </pivotArea>
    </format>
    <format dxfId="59">
      <pivotArea collapsedLevelsAreSubtotals="1" fieldPosition="0">
        <references count="2">
          <reference field="3" count="1">
            <x v="31"/>
          </reference>
          <reference field="5" count="1" selected="0">
            <x v="7"/>
          </reference>
        </references>
      </pivotArea>
    </format>
    <format dxfId="58">
      <pivotArea collapsedLevelsAreSubtotals="1" fieldPosition="0">
        <references count="1">
          <reference field="5" count="1">
            <x v="8"/>
          </reference>
        </references>
      </pivotArea>
    </format>
    <format dxfId="57">
      <pivotArea collapsedLevelsAreSubtotals="1" fieldPosition="0">
        <references count="2">
          <reference field="3" count="1">
            <x v="20"/>
          </reference>
          <reference field="5" count="1" selected="0">
            <x v="8"/>
          </reference>
        </references>
      </pivotArea>
    </format>
    <format dxfId="56">
      <pivotArea collapsedLevelsAreSubtotals="1" fieldPosition="0">
        <references count="1">
          <reference field="5" count="1">
            <x v="9"/>
          </reference>
        </references>
      </pivotArea>
    </format>
    <format dxfId="55">
      <pivotArea collapsedLevelsAreSubtotals="1" fieldPosition="0">
        <references count="2">
          <reference field="3" count="3">
            <x v="9"/>
            <x v="13"/>
            <x v="32"/>
          </reference>
          <reference field="5" count="1" selected="0">
            <x v="9"/>
          </reference>
        </references>
      </pivotArea>
    </format>
    <format dxfId="54">
      <pivotArea collapsedLevelsAreSubtotals="1" fieldPosition="0">
        <references count="1">
          <reference field="5" count="1">
            <x v="10"/>
          </reference>
        </references>
      </pivotArea>
    </format>
    <format dxfId="53">
      <pivotArea collapsedLevelsAreSubtotals="1" fieldPosition="0">
        <references count="2">
          <reference field="3" count="4">
            <x v="10"/>
            <x v="13"/>
            <x v="14"/>
            <x v="33"/>
          </reference>
          <reference field="5" count="1" selected="0">
            <x v="10"/>
          </reference>
        </references>
      </pivotArea>
    </format>
    <format dxfId="52">
      <pivotArea collapsedLevelsAreSubtotals="1" fieldPosition="0">
        <references count="1">
          <reference field="5" count="1">
            <x v="11"/>
          </reference>
        </references>
      </pivotArea>
    </format>
    <format dxfId="51">
      <pivotArea collapsedLevelsAreSubtotals="1" fieldPosition="0">
        <references count="2">
          <reference field="3" count="1">
            <x v="21"/>
          </reference>
          <reference field="5" count="1" selected="0">
            <x v="11"/>
          </reference>
        </references>
      </pivotArea>
    </format>
    <format dxfId="50">
      <pivotArea collapsedLevelsAreSubtotals="1" fieldPosition="0">
        <references count="1">
          <reference field="5" count="1">
            <x v="12"/>
          </reference>
        </references>
      </pivotArea>
    </format>
    <format dxfId="49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12"/>
          </reference>
        </references>
      </pivotArea>
    </format>
    <format dxfId="48">
      <pivotArea collapsedLevelsAreSubtotals="1" fieldPosition="0">
        <references count="1">
          <reference field="5" count="1">
            <x v="13"/>
          </reference>
        </references>
      </pivotArea>
    </format>
    <format dxfId="47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46">
      <pivotArea collapsedLevelsAreSubtotals="1" fieldPosition="0">
        <references count="1">
          <reference field="5" count="1">
            <x v="14"/>
          </reference>
        </references>
      </pivotArea>
    </format>
    <format dxfId="45">
      <pivotArea collapsedLevelsAreSubtotals="1" fieldPosition="0">
        <references count="2">
          <reference field="3" count="1">
            <x v="19"/>
          </reference>
          <reference field="5" count="1" selected="0">
            <x v="14"/>
          </reference>
        </references>
      </pivotArea>
    </format>
    <format dxfId="44">
      <pivotArea collapsedLevelsAreSubtotals="1" fieldPosition="0">
        <references count="1">
          <reference field="5" count="1">
            <x v="15"/>
          </reference>
        </references>
      </pivotArea>
    </format>
    <format dxfId="43">
      <pivotArea collapsedLevelsAreSubtotals="1" fieldPosition="0">
        <references count="2">
          <reference field="3" count="1">
            <x v="23"/>
          </reference>
          <reference field="5" count="1" selected="0">
            <x v="15"/>
          </reference>
        </references>
      </pivotArea>
    </format>
    <format dxfId="42">
      <pivotArea collapsedLevelsAreSubtotals="1" fieldPosition="0">
        <references count="1">
          <reference field="5" count="1">
            <x v="16"/>
          </reference>
        </references>
      </pivotArea>
    </format>
    <format dxfId="41">
      <pivotArea collapsedLevelsAreSubtotals="1" fieldPosition="0">
        <references count="2">
          <reference field="3" count="1">
            <x v="29"/>
          </reference>
          <reference field="5" count="1" selected="0">
            <x v="16"/>
          </reference>
        </references>
      </pivotArea>
    </format>
    <format dxfId="40">
      <pivotArea collapsedLevelsAreSubtotals="1" fieldPosition="0">
        <references count="1">
          <reference field="5" count="1">
            <x v="17"/>
          </reference>
        </references>
      </pivotArea>
    </format>
    <format dxfId="39">
      <pivotArea collapsedLevelsAreSubtotals="1" fieldPosition="0">
        <references count="2">
          <reference field="3" count="1">
            <x v="4"/>
          </reference>
          <reference field="5" count="1" selected="0">
            <x v="17"/>
          </reference>
        </references>
      </pivotArea>
    </format>
    <format dxfId="38">
      <pivotArea collapsedLevelsAreSubtotals="1" fieldPosition="0">
        <references count="1">
          <reference field="5" count="1">
            <x v="7"/>
          </reference>
        </references>
      </pivotArea>
    </format>
    <format dxfId="37">
      <pivotArea collapsedLevelsAreSubtotals="1" fieldPosition="0">
        <references count="2">
          <reference field="3" count="1">
            <x v="31"/>
          </reference>
          <reference field="5" count="1" selected="0">
            <x v="7"/>
          </reference>
        </references>
      </pivotArea>
    </format>
    <format dxfId="36">
      <pivotArea collapsedLevelsAreSubtotals="1" fieldPosition="0">
        <references count="1">
          <reference field="5" count="1">
            <x v="8"/>
          </reference>
        </references>
      </pivotArea>
    </format>
    <format dxfId="35">
      <pivotArea collapsedLevelsAreSubtotals="1" fieldPosition="0">
        <references count="2">
          <reference field="3" count="1">
            <x v="20"/>
          </reference>
          <reference field="5" count="1" selected="0">
            <x v="8"/>
          </reference>
        </references>
      </pivotArea>
    </format>
    <format dxfId="34">
      <pivotArea collapsedLevelsAreSubtotals="1" fieldPosition="0">
        <references count="1">
          <reference field="5" count="1">
            <x v="9"/>
          </reference>
        </references>
      </pivotArea>
    </format>
    <format dxfId="33">
      <pivotArea collapsedLevelsAreSubtotals="1" fieldPosition="0">
        <references count="2">
          <reference field="3" count="3">
            <x v="9"/>
            <x v="13"/>
            <x v="32"/>
          </reference>
          <reference field="5" count="1" selected="0">
            <x v="9"/>
          </reference>
        </references>
      </pivotArea>
    </format>
    <format dxfId="32">
      <pivotArea collapsedLevelsAreSubtotals="1" fieldPosition="0">
        <references count="1">
          <reference field="5" count="1">
            <x v="10"/>
          </reference>
        </references>
      </pivotArea>
    </format>
    <format dxfId="31">
      <pivotArea collapsedLevelsAreSubtotals="1" fieldPosition="0">
        <references count="2">
          <reference field="3" count="4">
            <x v="10"/>
            <x v="13"/>
            <x v="14"/>
            <x v="33"/>
          </reference>
          <reference field="5" count="1" selected="0">
            <x v="10"/>
          </reference>
        </references>
      </pivotArea>
    </format>
    <format dxfId="30">
      <pivotArea collapsedLevelsAreSubtotals="1" fieldPosition="0">
        <references count="1">
          <reference field="5" count="1">
            <x v="11"/>
          </reference>
        </references>
      </pivotArea>
    </format>
    <format dxfId="29">
      <pivotArea collapsedLevelsAreSubtotals="1" fieldPosition="0">
        <references count="2">
          <reference field="3" count="1">
            <x v="21"/>
          </reference>
          <reference field="5" count="1" selected="0">
            <x v="11"/>
          </reference>
        </references>
      </pivotArea>
    </format>
    <format dxfId="28">
      <pivotArea collapsedLevelsAreSubtotals="1" fieldPosition="0">
        <references count="1">
          <reference field="5" count="1">
            <x v="12"/>
          </reference>
        </references>
      </pivotArea>
    </format>
    <format dxfId="27">
      <pivotArea collapsedLevelsAreSubtotals="1" fieldPosition="0">
        <references count="2">
          <reference field="3" count="2">
            <x v="15"/>
            <x v="16"/>
          </reference>
          <reference field="5" count="1" selected="0">
            <x v="12"/>
          </reference>
        </references>
      </pivotArea>
    </format>
    <format dxfId="26">
      <pivotArea collapsedLevelsAreSubtotals="1" fieldPosition="0">
        <references count="1">
          <reference field="5" count="1">
            <x v="13"/>
          </reference>
        </references>
      </pivotArea>
    </format>
    <format dxfId="25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24">
      <pivotArea collapsedLevelsAreSubtotals="1" fieldPosition="0">
        <references count="1">
          <reference field="5" count="1">
            <x v="14"/>
          </reference>
        </references>
      </pivotArea>
    </format>
    <format dxfId="23">
      <pivotArea collapsedLevelsAreSubtotals="1" fieldPosition="0">
        <references count="2">
          <reference field="3" count="1">
            <x v="19"/>
          </reference>
          <reference field="5" count="1" selected="0">
            <x v="14"/>
          </reference>
        </references>
      </pivotArea>
    </format>
    <format dxfId="22">
      <pivotArea collapsedLevelsAreSubtotals="1" fieldPosition="0">
        <references count="1">
          <reference field="5" count="1">
            <x v="15"/>
          </reference>
        </references>
      </pivotArea>
    </format>
    <format dxfId="21">
      <pivotArea collapsedLevelsAreSubtotals="1" fieldPosition="0">
        <references count="2">
          <reference field="3" count="1">
            <x v="23"/>
          </reference>
          <reference field="5" count="1" selected="0">
            <x v="15"/>
          </reference>
        </references>
      </pivotArea>
    </format>
    <format dxfId="20">
      <pivotArea collapsedLevelsAreSubtotals="1" fieldPosition="0">
        <references count="1">
          <reference field="5" count="1">
            <x v="16"/>
          </reference>
        </references>
      </pivotArea>
    </format>
    <format dxfId="19">
      <pivotArea collapsedLevelsAreSubtotals="1" fieldPosition="0">
        <references count="2">
          <reference field="3" count="1">
            <x v="29"/>
          </reference>
          <reference field="5" count="1" selected="0">
            <x v="16"/>
          </reference>
        </references>
      </pivotArea>
    </format>
    <format dxfId="18">
      <pivotArea collapsedLevelsAreSubtotals="1" fieldPosition="0">
        <references count="1">
          <reference field="5" count="1">
            <x v="17"/>
          </reference>
        </references>
      </pivotArea>
    </format>
    <format dxfId="17">
      <pivotArea collapsedLevelsAreSubtotals="1" fieldPosition="0">
        <references count="2">
          <reference field="3" count="1">
            <x v="4"/>
          </reference>
          <reference field="5" count="1" selected="0">
            <x v="17"/>
          </reference>
        </references>
      </pivotArea>
    </format>
    <format dxfId="16">
      <pivotArea collapsedLevelsAreSubtotals="1" fieldPosition="0">
        <references count="1">
          <reference field="5" count="1">
            <x v="18"/>
          </reference>
        </references>
      </pivotArea>
    </format>
    <format dxfId="15">
      <pivotArea collapsedLevelsAreSubtotals="1" fieldPosition="0">
        <references count="2">
          <reference field="3" count="1">
            <x v="35"/>
          </reference>
          <reference field="5" count="1" selected="0">
            <x v="18"/>
          </reference>
        </references>
      </pivotArea>
    </format>
    <format dxfId="14">
      <pivotArea collapsedLevelsAreSubtotals="1" fieldPosition="0">
        <references count="1">
          <reference field="5" count="1">
            <x v="19"/>
          </reference>
        </references>
      </pivotArea>
    </format>
    <format dxfId="13">
      <pivotArea collapsedLevelsAreSubtotals="1" fieldPosition="0">
        <references count="2">
          <reference field="3" count="1">
            <x v="37"/>
          </reference>
          <reference field="5" count="1" selected="0">
            <x v="19"/>
          </reference>
        </references>
      </pivotArea>
    </format>
    <format dxfId="12">
      <pivotArea collapsedLevelsAreSubtotals="1" fieldPosition="0">
        <references count="1">
          <reference field="5" count="1">
            <x v="18"/>
          </reference>
        </references>
      </pivotArea>
    </format>
    <format dxfId="11">
      <pivotArea collapsedLevelsAreSubtotals="1" fieldPosition="0">
        <references count="2">
          <reference field="3" count="1">
            <x v="35"/>
          </reference>
          <reference field="5" count="1" selected="0">
            <x v="18"/>
          </reference>
        </references>
      </pivotArea>
    </format>
    <format dxfId="10">
      <pivotArea collapsedLevelsAreSubtotals="1" fieldPosition="0">
        <references count="1">
          <reference field="5" count="1">
            <x v="19"/>
          </reference>
        </references>
      </pivotArea>
    </format>
    <format dxfId="9">
      <pivotArea collapsedLevelsAreSubtotals="1" fieldPosition="0">
        <references count="2">
          <reference field="3" count="1">
            <x v="37"/>
          </reference>
          <reference field="5" count="1" selected="0">
            <x v="19"/>
          </reference>
        </references>
      </pivotArea>
    </format>
    <format dxfId="8">
      <pivotArea collapsedLevelsAreSubtotals="1" fieldPosition="0">
        <references count="1">
          <reference field="5" count="1">
            <x v="18"/>
          </reference>
        </references>
      </pivotArea>
    </format>
    <format dxfId="7">
      <pivotArea collapsedLevelsAreSubtotals="1" fieldPosition="0">
        <references count="2">
          <reference field="3" count="1">
            <x v="35"/>
          </reference>
          <reference field="5" count="1" selected="0">
            <x v="18"/>
          </reference>
        </references>
      </pivotArea>
    </format>
    <format dxfId="6">
      <pivotArea collapsedLevelsAreSubtotals="1" fieldPosition="0">
        <references count="1">
          <reference field="5" count="1">
            <x v="19"/>
          </reference>
        </references>
      </pivotArea>
    </format>
    <format dxfId="5">
      <pivotArea collapsedLevelsAreSubtotals="1" fieldPosition="0">
        <references count="2">
          <reference field="3" count="1">
            <x v="37"/>
          </reference>
          <reference field="5" count="1" selected="0">
            <x v="19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ivotTable" Target="../pivotTables/pivotTable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tabSelected="1" zoomScaleNormal="100" workbookViewId="0">
      <pane xSplit="4" ySplit="4" topLeftCell="E428" activePane="bottomRight" state="frozen"/>
      <selection pane="topRight" activeCell="E1" sqref="E1"/>
      <selection pane="bottomLeft" activeCell="A5" sqref="A5"/>
      <selection pane="bottomRight" activeCell="E434" sqref="E434"/>
    </sheetView>
  </sheetViews>
  <sheetFormatPr defaultRowHeight="15" outlineLevelCol="1" x14ac:dyDescent="0.25"/>
  <cols>
    <col min="1" max="1" width="22.7109375" customWidth="1"/>
    <col min="2" max="2" width="57.42578125" bestFit="1" customWidth="1"/>
    <col min="3" max="3" width="11.5703125" bestFit="1" customWidth="1"/>
    <col min="4" max="4" width="33.28515625" customWidth="1" outlineLevel="1"/>
    <col min="5" max="5" width="29.140625" customWidth="1" outlineLevel="1"/>
    <col min="6" max="6" width="16" customWidth="1" outlineLevel="1"/>
    <col min="7" max="7" width="15.5703125" customWidth="1"/>
    <col min="8" max="8" width="20" bestFit="1" customWidth="1"/>
    <col min="9" max="10" width="20" customWidth="1"/>
    <col min="11" max="11" width="67.7109375" bestFit="1" customWidth="1"/>
    <col min="12" max="12" width="15.28515625" bestFit="1" customWidth="1"/>
    <col min="13" max="13" width="13.28515625" bestFit="1" customWidth="1"/>
    <col min="14" max="14" width="11.5703125" bestFit="1" customWidth="1"/>
  </cols>
  <sheetData>
    <row r="1" spans="1:11" ht="17.25" thickTop="1" thickBot="1" x14ac:dyDescent="0.3">
      <c r="A1" s="45" t="s">
        <v>179</v>
      </c>
      <c r="H1" s="261">
        <f>SUM(H5:H453)</f>
        <v>-1174390719.3526733</v>
      </c>
      <c r="I1" s="261">
        <f>SUM(I5:I453)</f>
        <v>-910885102.06535113</v>
      </c>
      <c r="J1" s="261">
        <f>SUM(J5:J453)</f>
        <v>-263505617.28732461</v>
      </c>
    </row>
    <row r="2" spans="1:11" ht="16.5" thickTop="1" x14ac:dyDescent="0.25">
      <c r="A2" s="45" t="s">
        <v>180</v>
      </c>
      <c r="H2" s="215"/>
      <c r="J2" s="218" t="s">
        <v>181</v>
      </c>
    </row>
    <row r="3" spans="1:11" x14ac:dyDescent="0.25">
      <c r="J3" s="218" t="s">
        <v>182</v>
      </c>
    </row>
    <row r="4" spans="1:11" ht="30" x14ac:dyDescent="0.25">
      <c r="A4" s="219" t="s">
        <v>183</v>
      </c>
      <c r="B4" s="219" t="s">
        <v>184</v>
      </c>
      <c r="C4" s="219" t="s">
        <v>807</v>
      </c>
      <c r="D4" s="219" t="s">
        <v>819</v>
      </c>
      <c r="E4" s="219" t="s">
        <v>39</v>
      </c>
      <c r="F4" s="219" t="s">
        <v>827</v>
      </c>
      <c r="G4" s="219" t="s">
        <v>185</v>
      </c>
      <c r="H4" s="220" t="s">
        <v>1144</v>
      </c>
      <c r="I4" s="220" t="s">
        <v>186</v>
      </c>
      <c r="J4" s="219" t="s">
        <v>187</v>
      </c>
      <c r="K4" s="219" t="s">
        <v>188</v>
      </c>
    </row>
    <row r="5" spans="1:11" x14ac:dyDescent="0.25">
      <c r="A5" s="2" t="s">
        <v>190</v>
      </c>
      <c r="B5" s="2" t="s">
        <v>877</v>
      </c>
      <c r="C5" s="2" t="s">
        <v>810</v>
      </c>
      <c r="D5" s="2"/>
      <c r="E5" s="2"/>
      <c r="F5" s="249"/>
      <c r="G5" s="2" t="s">
        <v>173</v>
      </c>
      <c r="H5" s="259">
        <v>-1136.8900000000001</v>
      </c>
      <c r="I5" s="260">
        <v>0</v>
      </c>
      <c r="J5" s="259">
        <f>H5-I5</f>
        <v>-1136.8900000000001</v>
      </c>
    </row>
    <row r="6" spans="1:11" x14ac:dyDescent="0.25">
      <c r="A6" s="2" t="s">
        <v>878</v>
      </c>
      <c r="B6" s="2" t="s">
        <v>879</v>
      </c>
      <c r="C6" s="2" t="s">
        <v>810</v>
      </c>
      <c r="D6" s="2"/>
      <c r="E6" s="2"/>
      <c r="F6" s="249"/>
      <c r="G6" s="248" t="s">
        <v>173</v>
      </c>
      <c r="H6" s="7">
        <v>-3137460.19</v>
      </c>
      <c r="I6" s="221">
        <v>0</v>
      </c>
      <c r="J6" s="3">
        <f t="shared" ref="J6:J69" si="0">H6-I6</f>
        <v>-3137460.19</v>
      </c>
    </row>
    <row r="7" spans="1:11" x14ac:dyDescent="0.25">
      <c r="A7" s="2" t="s">
        <v>880</v>
      </c>
      <c r="B7" s="2" t="s">
        <v>881</v>
      </c>
      <c r="C7" s="2" t="s">
        <v>810</v>
      </c>
      <c r="D7" s="2"/>
      <c r="E7" s="2"/>
      <c r="F7" s="249"/>
      <c r="G7" s="2" t="s">
        <v>173</v>
      </c>
      <c r="H7" s="7">
        <v>-1454822.02</v>
      </c>
      <c r="I7" s="221">
        <v>0</v>
      </c>
      <c r="J7" s="3">
        <f t="shared" si="0"/>
        <v>-1454822.02</v>
      </c>
    </row>
    <row r="8" spans="1:11" x14ac:dyDescent="0.25">
      <c r="A8" s="2" t="s">
        <v>192</v>
      </c>
      <c r="B8" s="2" t="s">
        <v>882</v>
      </c>
      <c r="C8" s="2" t="s">
        <v>810</v>
      </c>
      <c r="D8" s="2"/>
      <c r="E8" s="2"/>
      <c r="F8" s="249"/>
      <c r="G8" s="2" t="s">
        <v>173</v>
      </c>
      <c r="H8" s="7">
        <v>-3163.1400000000003</v>
      </c>
      <c r="I8" s="221">
        <v>0</v>
      </c>
      <c r="J8" s="3">
        <f t="shared" si="0"/>
        <v>-3163.1400000000003</v>
      </c>
    </row>
    <row r="9" spans="1:11" x14ac:dyDescent="0.25">
      <c r="A9" s="2" t="s">
        <v>193</v>
      </c>
      <c r="B9" s="2" t="s">
        <v>883</v>
      </c>
      <c r="C9" s="2" t="s">
        <v>810</v>
      </c>
      <c r="D9" s="2"/>
      <c r="E9" s="2"/>
      <c r="F9" s="249"/>
      <c r="G9" s="2" t="s">
        <v>173</v>
      </c>
      <c r="H9" s="7">
        <v>-957996.1100000001</v>
      </c>
      <c r="I9" s="221">
        <v>0</v>
      </c>
      <c r="J9" s="3">
        <f t="shared" si="0"/>
        <v>-957996.1100000001</v>
      </c>
    </row>
    <row r="10" spans="1:11" x14ac:dyDescent="0.25">
      <c r="A10" s="2" t="s">
        <v>195</v>
      </c>
      <c r="B10" s="2" t="s">
        <v>884</v>
      </c>
      <c r="C10" s="2" t="s">
        <v>810</v>
      </c>
      <c r="D10" s="2"/>
      <c r="E10" s="2"/>
      <c r="F10" s="249"/>
      <c r="G10" s="2" t="s">
        <v>173</v>
      </c>
      <c r="H10" s="7">
        <v>-299505.27</v>
      </c>
      <c r="I10" s="221">
        <v>-3000000.0000000005</v>
      </c>
      <c r="J10" s="3">
        <f t="shared" si="0"/>
        <v>2700494.7300000004</v>
      </c>
    </row>
    <row r="11" spans="1:11" x14ac:dyDescent="0.25">
      <c r="A11" s="2" t="s">
        <v>196</v>
      </c>
      <c r="B11" s="2" t="s">
        <v>197</v>
      </c>
      <c r="C11" s="2" t="s">
        <v>108</v>
      </c>
      <c r="D11" s="2"/>
      <c r="E11" s="2"/>
      <c r="F11" s="249"/>
      <c r="G11" s="2" t="s">
        <v>173</v>
      </c>
      <c r="H11" s="7">
        <v>-22263.42</v>
      </c>
      <c r="I11" s="221">
        <v>0</v>
      </c>
      <c r="J11" s="3">
        <f t="shared" si="0"/>
        <v>-22263.42</v>
      </c>
    </row>
    <row r="12" spans="1:11" x14ac:dyDescent="0.25">
      <c r="A12" s="2" t="s">
        <v>200</v>
      </c>
      <c r="B12" s="2" t="s">
        <v>201</v>
      </c>
      <c r="C12" s="2" t="s">
        <v>108</v>
      </c>
      <c r="D12" s="2"/>
      <c r="E12" s="2"/>
      <c r="F12" s="249"/>
      <c r="G12" s="2" t="s">
        <v>175</v>
      </c>
      <c r="H12" s="7">
        <v>-28851.060000000009</v>
      </c>
      <c r="I12" s="221">
        <v>-4150542.9239990781</v>
      </c>
      <c r="J12" s="3">
        <f t="shared" si="0"/>
        <v>4121691.8639990781</v>
      </c>
    </row>
    <row r="13" spans="1:11" x14ac:dyDescent="0.25">
      <c r="A13" s="2" t="s">
        <v>202</v>
      </c>
      <c r="B13" s="2" t="s">
        <v>203</v>
      </c>
      <c r="C13" s="2" t="s">
        <v>108</v>
      </c>
      <c r="D13" s="2"/>
      <c r="E13" s="2"/>
      <c r="F13" s="249"/>
      <c r="G13" s="2" t="s">
        <v>175</v>
      </c>
      <c r="H13" s="7">
        <v>-14028826.310000001</v>
      </c>
      <c r="I13" s="221">
        <v>-7015753.7989489995</v>
      </c>
      <c r="J13" s="3">
        <f t="shared" si="0"/>
        <v>-7013072.511051001</v>
      </c>
    </row>
    <row r="14" spans="1:11" x14ac:dyDescent="0.25">
      <c r="A14" s="2" t="s">
        <v>204</v>
      </c>
      <c r="B14" s="2" t="s">
        <v>205</v>
      </c>
      <c r="C14" s="2" t="s">
        <v>108</v>
      </c>
      <c r="D14" s="2"/>
      <c r="E14" s="2"/>
      <c r="F14" s="249"/>
      <c r="G14" s="2" t="s">
        <v>178</v>
      </c>
      <c r="H14" s="7">
        <v>-1679811.81</v>
      </c>
      <c r="I14" s="221">
        <v>-999999.99999999942</v>
      </c>
      <c r="J14" s="3">
        <f t="shared" si="0"/>
        <v>-679811.81000000064</v>
      </c>
    </row>
    <row r="15" spans="1:11" x14ac:dyDescent="0.25">
      <c r="A15" s="2" t="s">
        <v>206</v>
      </c>
      <c r="B15" s="2" t="s">
        <v>207</v>
      </c>
      <c r="C15" s="2" t="s">
        <v>810</v>
      </c>
      <c r="D15" s="2"/>
      <c r="E15" s="2"/>
      <c r="F15" s="249"/>
      <c r="G15" s="2" t="s">
        <v>178</v>
      </c>
      <c r="H15" s="7">
        <v>-213317.6</v>
      </c>
      <c r="I15" s="221">
        <v>-299999.99999999994</v>
      </c>
      <c r="J15" s="3">
        <f t="shared" si="0"/>
        <v>86682.399999999936</v>
      </c>
    </row>
    <row r="16" spans="1:11" x14ac:dyDescent="0.25">
      <c r="A16" s="2" t="s">
        <v>208</v>
      </c>
      <c r="B16" s="2" t="s">
        <v>209</v>
      </c>
      <c r="C16" s="2" t="s">
        <v>108</v>
      </c>
      <c r="D16" s="2" t="s">
        <v>820</v>
      </c>
      <c r="E16" s="2" t="s">
        <v>820</v>
      </c>
      <c r="F16" s="249"/>
      <c r="G16" s="2" t="s">
        <v>806</v>
      </c>
      <c r="H16" s="7">
        <v>-3338732.2712695785</v>
      </c>
      <c r="I16" s="221">
        <v>-2712513.0791971558</v>
      </c>
      <c r="J16" s="3">
        <f t="shared" si="0"/>
        <v>-626219.19207242271</v>
      </c>
    </row>
    <row r="17" spans="1:12" x14ac:dyDescent="0.25">
      <c r="A17" s="2" t="s">
        <v>210</v>
      </c>
      <c r="B17" s="2" t="s">
        <v>211</v>
      </c>
      <c r="C17" s="2" t="s">
        <v>108</v>
      </c>
      <c r="D17" s="2" t="s">
        <v>820</v>
      </c>
      <c r="E17" s="2" t="s">
        <v>820</v>
      </c>
      <c r="F17" s="249"/>
      <c r="G17" s="2" t="s">
        <v>806</v>
      </c>
      <c r="H17" s="7">
        <v>-1038901.7100000001</v>
      </c>
      <c r="I17" s="221">
        <v>-1056886.4310916138</v>
      </c>
      <c r="J17" s="3">
        <f t="shared" si="0"/>
        <v>17984.721091613756</v>
      </c>
    </row>
    <row r="18" spans="1:12" x14ac:dyDescent="0.25">
      <c r="A18" s="2" t="s">
        <v>212</v>
      </c>
      <c r="B18" s="2" t="s">
        <v>213</v>
      </c>
      <c r="C18" s="2" t="s">
        <v>810</v>
      </c>
      <c r="D18" s="2"/>
      <c r="E18" s="2"/>
      <c r="F18" s="249"/>
      <c r="G18" s="2" t="s">
        <v>173</v>
      </c>
      <c r="H18" s="7">
        <v>-730.16000000000008</v>
      </c>
      <c r="I18" s="221">
        <v>0</v>
      </c>
      <c r="J18" s="3">
        <f t="shared" si="0"/>
        <v>-730.16000000000008</v>
      </c>
    </row>
    <row r="19" spans="1:12" x14ac:dyDescent="0.25">
      <c r="A19" s="2" t="s">
        <v>216</v>
      </c>
      <c r="B19" s="2" t="s">
        <v>217</v>
      </c>
      <c r="C19" s="2" t="s">
        <v>810</v>
      </c>
      <c r="D19" s="2"/>
      <c r="E19" s="2"/>
      <c r="F19" s="249"/>
      <c r="G19" s="2" t="s">
        <v>175</v>
      </c>
      <c r="H19" s="7">
        <v>-31187.46</v>
      </c>
      <c r="I19" s="221">
        <v>0</v>
      </c>
      <c r="J19" s="3">
        <f t="shared" si="0"/>
        <v>-31187.46</v>
      </c>
    </row>
    <row r="20" spans="1:12" x14ac:dyDescent="0.25">
      <c r="A20" s="2" t="s">
        <v>218</v>
      </c>
      <c r="B20" s="2" t="s">
        <v>219</v>
      </c>
      <c r="C20" s="2" t="s">
        <v>810</v>
      </c>
      <c r="D20" s="2"/>
      <c r="E20" s="2"/>
      <c r="F20" s="249"/>
      <c r="G20" s="2" t="s">
        <v>175</v>
      </c>
      <c r="H20" s="7">
        <v>-2813318.35</v>
      </c>
      <c r="I20" s="221">
        <v>-3510776.5000000033</v>
      </c>
      <c r="J20" s="3">
        <f t="shared" si="0"/>
        <v>697458.15000000317</v>
      </c>
    </row>
    <row r="21" spans="1:12" x14ac:dyDescent="0.25">
      <c r="A21" s="2" t="s">
        <v>220</v>
      </c>
      <c r="B21" s="2" t="s">
        <v>221</v>
      </c>
      <c r="C21" s="2" t="s">
        <v>810</v>
      </c>
      <c r="D21" s="2"/>
      <c r="E21" s="2"/>
      <c r="F21" s="249"/>
      <c r="G21" s="2" t="s">
        <v>175</v>
      </c>
      <c r="H21" s="7">
        <v>2178.6799999999998</v>
      </c>
      <c r="I21" s="221">
        <v>0</v>
      </c>
      <c r="J21" s="3">
        <f t="shared" si="0"/>
        <v>2178.6799999999998</v>
      </c>
    </row>
    <row r="22" spans="1:12" x14ac:dyDescent="0.25">
      <c r="A22" s="2" t="s">
        <v>885</v>
      </c>
      <c r="B22" s="2" t="s">
        <v>886</v>
      </c>
      <c r="C22" s="2" t="s">
        <v>810</v>
      </c>
      <c r="D22" s="2"/>
      <c r="E22" s="2"/>
      <c r="F22" s="249"/>
      <c r="G22" s="2" t="s">
        <v>175</v>
      </c>
      <c r="H22" s="7">
        <v>-3262565.93</v>
      </c>
      <c r="I22" s="221">
        <v>0</v>
      </c>
      <c r="J22" s="3">
        <f t="shared" si="0"/>
        <v>-3262565.93</v>
      </c>
    </row>
    <row r="23" spans="1:12" x14ac:dyDescent="0.25">
      <c r="A23" s="2" t="s">
        <v>887</v>
      </c>
      <c r="B23" s="2" t="s">
        <v>888</v>
      </c>
      <c r="C23" s="2" t="s">
        <v>810</v>
      </c>
      <c r="D23" s="2"/>
      <c r="E23" s="2"/>
      <c r="F23" s="249"/>
      <c r="G23" s="2" t="s">
        <v>175</v>
      </c>
      <c r="H23" s="7">
        <v>-1906500.52</v>
      </c>
      <c r="I23" s="221">
        <v>-975493.83509245317</v>
      </c>
      <c r="J23" s="3">
        <f t="shared" si="0"/>
        <v>-931006.68490754685</v>
      </c>
    </row>
    <row r="24" spans="1:12" x14ac:dyDescent="0.25">
      <c r="A24" s="2" t="s">
        <v>222</v>
      </c>
      <c r="B24" s="2" t="s">
        <v>223</v>
      </c>
      <c r="C24" s="2" t="s">
        <v>108</v>
      </c>
      <c r="D24" s="2"/>
      <c r="E24" s="2"/>
      <c r="F24" s="249"/>
      <c r="G24" s="2" t="s">
        <v>175</v>
      </c>
      <c r="H24" s="7">
        <v>8597.42</v>
      </c>
      <c r="I24" s="221">
        <v>0</v>
      </c>
      <c r="J24" s="3">
        <f t="shared" si="0"/>
        <v>8597.42</v>
      </c>
    </row>
    <row r="25" spans="1:12" x14ac:dyDescent="0.25">
      <c r="A25" s="2" t="s">
        <v>889</v>
      </c>
      <c r="B25" s="2" t="s">
        <v>890</v>
      </c>
      <c r="C25" s="2" t="s">
        <v>810</v>
      </c>
      <c r="D25" s="2"/>
      <c r="E25" s="2"/>
      <c r="F25" s="249"/>
      <c r="G25" s="2" t="s">
        <v>175</v>
      </c>
      <c r="H25" s="7">
        <v>-1269752.1399999999</v>
      </c>
      <c r="I25" s="221">
        <v>-4469507.2760326117</v>
      </c>
      <c r="J25" s="3">
        <f t="shared" si="0"/>
        <v>3199755.1360326121</v>
      </c>
    </row>
    <row r="26" spans="1:12" x14ac:dyDescent="0.25">
      <c r="A26" s="2" t="s">
        <v>224</v>
      </c>
      <c r="B26" s="2" t="s">
        <v>225</v>
      </c>
      <c r="C26" s="2" t="s">
        <v>810</v>
      </c>
      <c r="D26" s="2"/>
      <c r="E26" s="2"/>
      <c r="F26" s="249"/>
      <c r="G26" s="2" t="s">
        <v>175</v>
      </c>
      <c r="H26" s="7">
        <v>-1281.01</v>
      </c>
      <c r="I26" s="221">
        <v>0</v>
      </c>
      <c r="J26" s="3">
        <f t="shared" si="0"/>
        <v>-1281.01</v>
      </c>
    </row>
    <row r="27" spans="1:12" x14ac:dyDescent="0.25">
      <c r="A27" s="2" t="s">
        <v>226</v>
      </c>
      <c r="B27" s="2" t="s">
        <v>227</v>
      </c>
      <c r="C27" s="2" t="s">
        <v>810</v>
      </c>
      <c r="D27" s="2"/>
      <c r="E27" s="2"/>
      <c r="F27" s="249"/>
      <c r="G27" s="2" t="s">
        <v>175</v>
      </c>
      <c r="H27" s="7">
        <v>-1294.48</v>
      </c>
      <c r="I27" s="221">
        <v>0</v>
      </c>
      <c r="J27" s="3">
        <f t="shared" si="0"/>
        <v>-1294.48</v>
      </c>
    </row>
    <row r="28" spans="1:12" x14ac:dyDescent="0.25">
      <c r="A28" s="2" t="s">
        <v>228</v>
      </c>
      <c r="B28" s="2" t="s">
        <v>229</v>
      </c>
      <c r="C28" s="2" t="s">
        <v>810</v>
      </c>
      <c r="D28" s="2"/>
      <c r="E28" s="2"/>
      <c r="F28" s="249"/>
      <c r="G28" s="2" t="s">
        <v>175</v>
      </c>
      <c r="H28" s="7">
        <v>478.33</v>
      </c>
      <c r="I28" s="221">
        <v>0</v>
      </c>
      <c r="J28" s="3">
        <f t="shared" si="0"/>
        <v>478.33</v>
      </c>
    </row>
    <row r="29" spans="1:12" x14ac:dyDescent="0.25">
      <c r="A29" s="2" t="s">
        <v>230</v>
      </c>
      <c r="B29" s="2" t="s">
        <v>231</v>
      </c>
      <c r="C29" s="2" t="s">
        <v>810</v>
      </c>
      <c r="D29" s="2"/>
      <c r="E29" s="2"/>
      <c r="F29" s="249"/>
      <c r="G29" s="2" t="s">
        <v>175</v>
      </c>
      <c r="H29" s="7">
        <v>-2149992.8199999998</v>
      </c>
      <c r="I29" s="221">
        <v>0</v>
      </c>
      <c r="J29" s="3">
        <f t="shared" si="0"/>
        <v>-2149992.8199999998</v>
      </c>
    </row>
    <row r="30" spans="1:12" x14ac:dyDescent="0.25">
      <c r="A30" s="2" t="s">
        <v>891</v>
      </c>
      <c r="B30" s="2" t="s">
        <v>892</v>
      </c>
      <c r="C30" s="2" t="s">
        <v>810</v>
      </c>
      <c r="D30" s="2"/>
      <c r="E30" s="2"/>
      <c r="F30" s="249"/>
      <c r="G30" s="2" t="s">
        <v>175</v>
      </c>
      <c r="H30" s="7">
        <v>-2714622</v>
      </c>
      <c r="I30" s="221">
        <v>0</v>
      </c>
      <c r="J30" s="3">
        <f t="shared" si="0"/>
        <v>-2714622</v>
      </c>
    </row>
    <row r="31" spans="1:12" x14ac:dyDescent="0.25">
      <c r="A31" s="241" t="s">
        <v>893</v>
      </c>
      <c r="B31" s="241" t="s">
        <v>894</v>
      </c>
      <c r="C31" s="241" t="s">
        <v>108</v>
      </c>
      <c r="D31" s="241"/>
      <c r="E31" s="241"/>
      <c r="F31" s="280"/>
      <c r="G31" s="241" t="s">
        <v>175</v>
      </c>
      <c r="H31" s="256">
        <v>-4294742.08</v>
      </c>
      <c r="I31" s="243">
        <v>-6226556.3942071535</v>
      </c>
      <c r="J31" s="242">
        <f t="shared" si="0"/>
        <v>1931814.3142071534</v>
      </c>
      <c r="K31" s="244"/>
      <c r="L31" s="7"/>
    </row>
    <row r="32" spans="1:12" x14ac:dyDescent="0.25">
      <c r="A32" s="2" t="s">
        <v>895</v>
      </c>
      <c r="B32" s="2" t="s">
        <v>896</v>
      </c>
      <c r="C32" s="2" t="s">
        <v>810</v>
      </c>
      <c r="D32" s="2"/>
      <c r="E32" s="2"/>
      <c r="F32" s="249"/>
      <c r="G32" s="2" t="s">
        <v>175</v>
      </c>
      <c r="H32" s="7">
        <v>-3016387.9300000006</v>
      </c>
      <c r="I32" s="221">
        <v>-2130526.2727742712</v>
      </c>
      <c r="J32" s="3">
        <f t="shared" si="0"/>
        <v>-885861.65722572943</v>
      </c>
    </row>
    <row r="33" spans="1:10" x14ac:dyDescent="0.25">
      <c r="A33" s="2" t="s">
        <v>232</v>
      </c>
      <c r="B33" s="2" t="s">
        <v>233</v>
      </c>
      <c r="C33" s="2" t="s">
        <v>810</v>
      </c>
      <c r="D33" s="2"/>
      <c r="E33" s="2"/>
      <c r="F33" s="249"/>
      <c r="G33" s="2" t="s">
        <v>175</v>
      </c>
      <c r="H33" s="7">
        <v>-11719941.200000001</v>
      </c>
      <c r="I33" s="221">
        <v>-19898747.474077597</v>
      </c>
      <c r="J33" s="3">
        <f t="shared" si="0"/>
        <v>8178806.2740775961</v>
      </c>
    </row>
    <row r="34" spans="1:10" x14ac:dyDescent="0.25">
      <c r="A34" s="2" t="s">
        <v>234</v>
      </c>
      <c r="B34" s="2" t="s">
        <v>235</v>
      </c>
      <c r="C34" s="2" t="s">
        <v>810</v>
      </c>
      <c r="D34" s="2"/>
      <c r="E34" s="2"/>
      <c r="F34" s="249"/>
      <c r="G34" s="2" t="s">
        <v>175</v>
      </c>
      <c r="H34" s="7">
        <v>-768647.57</v>
      </c>
      <c r="I34" s="221">
        <v>0</v>
      </c>
      <c r="J34" s="3">
        <f t="shared" si="0"/>
        <v>-768647.57</v>
      </c>
    </row>
    <row r="35" spans="1:10" x14ac:dyDescent="0.25">
      <c r="A35" s="2" t="s">
        <v>237</v>
      </c>
      <c r="B35" s="2" t="s">
        <v>238</v>
      </c>
      <c r="C35" s="2" t="s">
        <v>810</v>
      </c>
      <c r="D35" s="2"/>
      <c r="E35" s="2"/>
      <c r="F35" s="249"/>
      <c r="G35" s="2" t="s">
        <v>175</v>
      </c>
      <c r="H35" s="7">
        <v>-1662783.6699999997</v>
      </c>
      <c r="I35" s="221">
        <v>-2004756.4599013247</v>
      </c>
      <c r="J35" s="3">
        <f t="shared" si="0"/>
        <v>341972.78990132501</v>
      </c>
    </row>
    <row r="36" spans="1:10" x14ac:dyDescent="0.25">
      <c r="A36" s="2" t="s">
        <v>239</v>
      </c>
      <c r="B36" s="2" t="s">
        <v>240</v>
      </c>
      <c r="C36" s="2" t="s">
        <v>159</v>
      </c>
      <c r="D36" s="2"/>
      <c r="E36" s="2"/>
      <c r="F36" s="249"/>
      <c r="G36" s="2" t="s">
        <v>175</v>
      </c>
      <c r="H36" s="7">
        <v>-6651845</v>
      </c>
      <c r="I36" s="221">
        <v>-3510776.5000000033</v>
      </c>
      <c r="J36" s="3">
        <f t="shared" si="0"/>
        <v>-3141068.4999999967</v>
      </c>
    </row>
    <row r="37" spans="1:10" x14ac:dyDescent="0.25">
      <c r="A37" s="2" t="s">
        <v>241</v>
      </c>
      <c r="B37" s="2" t="s">
        <v>242</v>
      </c>
      <c r="C37" s="2" t="s">
        <v>108</v>
      </c>
      <c r="D37" s="2"/>
      <c r="E37" s="2"/>
      <c r="F37" s="249"/>
      <c r="G37" s="2" t="s">
        <v>175</v>
      </c>
      <c r="H37" s="7">
        <v>-142.27000000000001</v>
      </c>
      <c r="I37" s="221">
        <v>0</v>
      </c>
      <c r="J37" s="3">
        <f t="shared" si="0"/>
        <v>-142.27000000000001</v>
      </c>
    </row>
    <row r="38" spans="1:10" x14ac:dyDescent="0.25">
      <c r="A38" s="2" t="s">
        <v>897</v>
      </c>
      <c r="B38" s="2" t="s">
        <v>898</v>
      </c>
      <c r="C38" s="2" t="s">
        <v>108</v>
      </c>
      <c r="D38" s="2" t="s">
        <v>26</v>
      </c>
      <c r="E38" s="2" t="s">
        <v>26</v>
      </c>
      <c r="F38" s="249" t="s">
        <v>848</v>
      </c>
      <c r="G38" s="2" t="s">
        <v>177</v>
      </c>
      <c r="H38" s="7">
        <v>-32603.37</v>
      </c>
      <c r="I38" s="221">
        <v>0</v>
      </c>
      <c r="J38" s="3">
        <f t="shared" si="0"/>
        <v>-32603.37</v>
      </c>
    </row>
    <row r="39" spans="1:10" x14ac:dyDescent="0.25">
      <c r="A39" s="2" t="s">
        <v>243</v>
      </c>
      <c r="B39" s="2" t="s">
        <v>244</v>
      </c>
      <c r="C39" s="2" t="s">
        <v>810</v>
      </c>
      <c r="D39" s="2"/>
      <c r="E39" s="2"/>
      <c r="F39" s="249"/>
      <c r="G39" s="2" t="s">
        <v>175</v>
      </c>
      <c r="H39" s="7">
        <v>-78559.510000000009</v>
      </c>
      <c r="I39" s="221">
        <v>0</v>
      </c>
      <c r="J39" s="3">
        <f t="shared" si="0"/>
        <v>-78559.510000000009</v>
      </c>
    </row>
    <row r="40" spans="1:10" x14ac:dyDescent="0.25">
      <c r="A40" s="2" t="s">
        <v>899</v>
      </c>
      <c r="B40" s="2" t="s">
        <v>900</v>
      </c>
      <c r="C40" s="2" t="s">
        <v>810</v>
      </c>
      <c r="D40" s="2" t="s">
        <v>26</v>
      </c>
      <c r="E40" s="2" t="s">
        <v>26</v>
      </c>
      <c r="F40" s="249" t="s">
        <v>848</v>
      </c>
      <c r="G40" s="2" t="s">
        <v>177</v>
      </c>
      <c r="H40" s="7">
        <v>-86238.400000000009</v>
      </c>
      <c r="I40" s="221">
        <v>0</v>
      </c>
      <c r="J40" s="3">
        <f t="shared" si="0"/>
        <v>-86238.400000000009</v>
      </c>
    </row>
    <row r="41" spans="1:10" x14ac:dyDescent="0.25">
      <c r="A41" s="2" t="s">
        <v>901</v>
      </c>
      <c r="B41" s="2" t="s">
        <v>902</v>
      </c>
      <c r="C41" s="2" t="s">
        <v>810</v>
      </c>
      <c r="D41" s="2"/>
      <c r="E41" s="2"/>
      <c r="F41" s="249"/>
      <c r="G41" s="2" t="s">
        <v>175</v>
      </c>
      <c r="H41" s="7">
        <v>-215968.57</v>
      </c>
      <c r="I41" s="221">
        <v>0</v>
      </c>
      <c r="J41" s="3">
        <f t="shared" si="0"/>
        <v>-215968.57</v>
      </c>
    </row>
    <row r="42" spans="1:10" x14ac:dyDescent="0.25">
      <c r="A42" s="2" t="s">
        <v>245</v>
      </c>
      <c r="B42" s="2" t="s">
        <v>246</v>
      </c>
      <c r="C42" s="2" t="s">
        <v>810</v>
      </c>
      <c r="D42" s="2"/>
      <c r="E42" s="2"/>
      <c r="F42" s="249"/>
      <c r="G42" s="2" t="s">
        <v>175</v>
      </c>
      <c r="H42" s="7">
        <v>-26817.3</v>
      </c>
      <c r="I42" s="221">
        <v>0</v>
      </c>
      <c r="J42" s="3">
        <f t="shared" si="0"/>
        <v>-26817.3</v>
      </c>
    </row>
    <row r="43" spans="1:10" x14ac:dyDescent="0.25">
      <c r="A43" s="2" t="s">
        <v>247</v>
      </c>
      <c r="B43" s="2" t="s">
        <v>248</v>
      </c>
      <c r="C43" s="2" t="s">
        <v>810</v>
      </c>
      <c r="D43" s="2"/>
      <c r="E43" s="2"/>
      <c r="F43" s="249"/>
      <c r="G43" s="2" t="s">
        <v>175</v>
      </c>
      <c r="H43" s="7">
        <v>-328596.65999999997</v>
      </c>
      <c r="I43" s="221">
        <v>0</v>
      </c>
      <c r="J43" s="3">
        <f t="shared" si="0"/>
        <v>-328596.65999999997</v>
      </c>
    </row>
    <row r="44" spans="1:10" x14ac:dyDescent="0.25">
      <c r="A44" s="2" t="s">
        <v>903</v>
      </c>
      <c r="B44" s="2" t="s">
        <v>904</v>
      </c>
      <c r="C44" s="2" t="s">
        <v>810</v>
      </c>
      <c r="D44" s="2"/>
      <c r="E44" s="2"/>
      <c r="F44" s="249"/>
      <c r="G44" s="2" t="s">
        <v>175</v>
      </c>
      <c r="H44" s="7">
        <v>-16812.05</v>
      </c>
      <c r="I44" s="221">
        <v>0</v>
      </c>
      <c r="J44" s="3">
        <f t="shared" si="0"/>
        <v>-16812.05</v>
      </c>
    </row>
    <row r="45" spans="1:10" x14ac:dyDescent="0.25">
      <c r="A45" s="2" t="s">
        <v>249</v>
      </c>
      <c r="B45" s="2" t="s">
        <v>250</v>
      </c>
      <c r="C45" s="2" t="s">
        <v>810</v>
      </c>
      <c r="D45" s="2"/>
      <c r="E45" s="2"/>
      <c r="F45" s="249"/>
      <c r="G45" s="2" t="s">
        <v>175</v>
      </c>
      <c r="H45" s="7">
        <v>-501758.06999999995</v>
      </c>
      <c r="I45" s="221">
        <v>0</v>
      </c>
      <c r="J45" s="3">
        <f t="shared" si="0"/>
        <v>-501758.06999999995</v>
      </c>
    </row>
    <row r="46" spans="1:10" x14ac:dyDescent="0.25">
      <c r="A46" s="2" t="s">
        <v>251</v>
      </c>
      <c r="B46" s="2" t="s">
        <v>252</v>
      </c>
      <c r="C46" s="2" t="s">
        <v>810</v>
      </c>
      <c r="D46" s="2"/>
      <c r="E46" s="2"/>
      <c r="F46" s="249"/>
      <c r="G46" s="2" t="s">
        <v>175</v>
      </c>
      <c r="H46" s="7">
        <v>-752.48000000000013</v>
      </c>
      <c r="I46" s="221">
        <v>0</v>
      </c>
      <c r="J46" s="3">
        <f t="shared" si="0"/>
        <v>-752.48000000000013</v>
      </c>
    </row>
    <row r="47" spans="1:10" x14ac:dyDescent="0.25">
      <c r="A47" s="2" t="s">
        <v>905</v>
      </c>
      <c r="B47" s="2" t="s">
        <v>906</v>
      </c>
      <c r="C47" s="2" t="s">
        <v>810</v>
      </c>
      <c r="D47" s="2"/>
      <c r="E47" s="2"/>
      <c r="F47" s="249"/>
      <c r="G47" s="2" t="s">
        <v>175</v>
      </c>
      <c r="H47" s="7">
        <v>-212438.2</v>
      </c>
      <c r="I47" s="221">
        <v>0</v>
      </c>
      <c r="J47" s="3">
        <f t="shared" si="0"/>
        <v>-212438.2</v>
      </c>
    </row>
    <row r="48" spans="1:10" x14ac:dyDescent="0.25">
      <c r="A48" s="2" t="s">
        <v>253</v>
      </c>
      <c r="B48" s="2" t="s">
        <v>254</v>
      </c>
      <c r="C48" s="2" t="s">
        <v>810</v>
      </c>
      <c r="D48" s="2"/>
      <c r="E48" s="2"/>
      <c r="F48" s="249"/>
      <c r="G48" s="2" t="s">
        <v>175</v>
      </c>
      <c r="H48" s="7">
        <v>-1687241.67</v>
      </c>
      <c r="I48" s="221">
        <v>0</v>
      </c>
      <c r="J48" s="3">
        <f t="shared" si="0"/>
        <v>-1687241.67</v>
      </c>
    </row>
    <row r="49" spans="1:11" x14ac:dyDescent="0.25">
      <c r="A49" s="2" t="s">
        <v>907</v>
      </c>
      <c r="B49" s="2" t="s">
        <v>908</v>
      </c>
      <c r="C49" s="2" t="s">
        <v>810</v>
      </c>
      <c r="D49" s="2"/>
      <c r="E49" s="2"/>
      <c r="F49" s="249"/>
      <c r="G49" s="2" t="s">
        <v>175</v>
      </c>
      <c r="H49" s="7">
        <v>-1356429.5599999998</v>
      </c>
      <c r="I49" s="221">
        <v>0</v>
      </c>
      <c r="J49" s="3">
        <f t="shared" si="0"/>
        <v>-1356429.5599999998</v>
      </c>
    </row>
    <row r="50" spans="1:11" x14ac:dyDescent="0.25">
      <c r="A50" s="2" t="s">
        <v>257</v>
      </c>
      <c r="B50" s="2" t="s">
        <v>258</v>
      </c>
      <c r="C50" s="2" t="s">
        <v>810</v>
      </c>
      <c r="D50" s="2"/>
      <c r="E50" s="2"/>
      <c r="F50" s="249"/>
      <c r="G50" s="2" t="s">
        <v>175</v>
      </c>
      <c r="H50" s="7">
        <v>176.26</v>
      </c>
      <c r="I50" s="221">
        <v>0</v>
      </c>
      <c r="J50" s="3">
        <f t="shared" si="0"/>
        <v>176.26</v>
      </c>
    </row>
    <row r="51" spans="1:11" x14ac:dyDescent="0.25">
      <c r="A51" s="2" t="s">
        <v>259</v>
      </c>
      <c r="B51" s="2" t="s">
        <v>260</v>
      </c>
      <c r="C51" s="2" t="s">
        <v>810</v>
      </c>
      <c r="D51" s="2"/>
      <c r="E51" s="2"/>
      <c r="F51" s="249"/>
      <c r="G51" s="2" t="s">
        <v>175</v>
      </c>
      <c r="H51" s="7">
        <v>7583.27</v>
      </c>
      <c r="I51" s="221">
        <v>0</v>
      </c>
      <c r="J51" s="3">
        <f t="shared" si="0"/>
        <v>7583.27</v>
      </c>
    </row>
    <row r="52" spans="1:11" x14ac:dyDescent="0.25">
      <c r="A52" s="2" t="s">
        <v>909</v>
      </c>
      <c r="B52" s="2" t="s">
        <v>910</v>
      </c>
      <c r="C52" s="2" t="s">
        <v>810</v>
      </c>
      <c r="D52" s="2"/>
      <c r="E52" s="2"/>
      <c r="F52" s="249"/>
      <c r="G52" s="2" t="s">
        <v>175</v>
      </c>
      <c r="H52" s="7">
        <v>-748465.54</v>
      </c>
      <c r="I52" s="221">
        <v>0</v>
      </c>
      <c r="J52" s="222">
        <f t="shared" si="0"/>
        <v>-748465.54</v>
      </c>
      <c r="K52" s="222"/>
    </row>
    <row r="53" spans="1:11" x14ac:dyDescent="0.25">
      <c r="A53" s="2" t="s">
        <v>911</v>
      </c>
      <c r="B53" s="2" t="s">
        <v>912</v>
      </c>
      <c r="C53" s="2" t="s">
        <v>810</v>
      </c>
      <c r="D53" s="2"/>
      <c r="E53" s="2"/>
      <c r="F53" s="249"/>
      <c r="G53" s="2" t="s">
        <v>175</v>
      </c>
      <c r="H53" s="7">
        <v>-3579613.96</v>
      </c>
      <c r="I53" s="221">
        <v>0</v>
      </c>
      <c r="J53" s="3">
        <f t="shared" si="0"/>
        <v>-3579613.96</v>
      </c>
    </row>
    <row r="54" spans="1:11" x14ac:dyDescent="0.25">
      <c r="A54" s="2" t="s">
        <v>261</v>
      </c>
      <c r="B54" s="2" t="s">
        <v>262</v>
      </c>
      <c r="C54" s="2" t="s">
        <v>810</v>
      </c>
      <c r="D54" s="2"/>
      <c r="E54" s="2"/>
      <c r="F54" s="249"/>
      <c r="G54" s="248" t="s">
        <v>175</v>
      </c>
      <c r="H54" s="7">
        <v>-2868.41</v>
      </c>
      <c r="I54" s="221">
        <v>0</v>
      </c>
      <c r="J54" s="3">
        <f t="shared" si="0"/>
        <v>-2868.41</v>
      </c>
    </row>
    <row r="55" spans="1:11" x14ac:dyDescent="0.25">
      <c r="A55" s="2" t="s">
        <v>913</v>
      </c>
      <c r="B55" s="2" t="s">
        <v>914</v>
      </c>
      <c r="C55" s="2" t="s">
        <v>810</v>
      </c>
      <c r="D55" s="2"/>
      <c r="E55" s="2"/>
      <c r="F55" s="249"/>
      <c r="G55" s="2" t="s">
        <v>175</v>
      </c>
      <c r="H55" s="7">
        <v>-162419.6</v>
      </c>
      <c r="I55" s="221">
        <v>0</v>
      </c>
      <c r="J55" s="3">
        <f t="shared" si="0"/>
        <v>-162419.6</v>
      </c>
    </row>
    <row r="56" spans="1:11" x14ac:dyDescent="0.25">
      <c r="A56" s="2" t="s">
        <v>263</v>
      </c>
      <c r="B56" s="2" t="s">
        <v>915</v>
      </c>
      <c r="C56" s="2" t="s">
        <v>810</v>
      </c>
      <c r="D56" s="2"/>
      <c r="E56" s="2"/>
      <c r="F56" s="249"/>
      <c r="G56" s="2" t="s">
        <v>175</v>
      </c>
      <c r="H56" s="7">
        <v>1371.58</v>
      </c>
      <c r="I56" s="221">
        <v>0</v>
      </c>
      <c r="J56" s="3">
        <f t="shared" si="0"/>
        <v>1371.58</v>
      </c>
    </row>
    <row r="57" spans="1:11" x14ac:dyDescent="0.25">
      <c r="A57" s="2" t="s">
        <v>264</v>
      </c>
      <c r="B57" s="2" t="s">
        <v>265</v>
      </c>
      <c r="C57" s="2" t="s">
        <v>810</v>
      </c>
      <c r="D57" s="2"/>
      <c r="E57" s="2"/>
      <c r="F57" s="249"/>
      <c r="G57" s="2" t="s">
        <v>175</v>
      </c>
      <c r="H57" s="7">
        <v>35140.990000000005</v>
      </c>
      <c r="I57" s="221">
        <v>0</v>
      </c>
      <c r="J57" s="3">
        <f t="shared" si="0"/>
        <v>35140.990000000005</v>
      </c>
    </row>
    <row r="58" spans="1:11" x14ac:dyDescent="0.25">
      <c r="A58" s="2" t="s">
        <v>266</v>
      </c>
      <c r="B58" s="2" t="s">
        <v>267</v>
      </c>
      <c r="C58" s="2" t="s">
        <v>810</v>
      </c>
      <c r="D58" s="2"/>
      <c r="E58" s="2"/>
      <c r="F58" s="249"/>
      <c r="G58" s="2" t="s">
        <v>175</v>
      </c>
      <c r="H58" s="7">
        <v>-5155266.5999999996</v>
      </c>
      <c r="I58" s="221">
        <v>0</v>
      </c>
      <c r="J58" s="3">
        <f t="shared" si="0"/>
        <v>-5155266.5999999996</v>
      </c>
    </row>
    <row r="59" spans="1:11" x14ac:dyDescent="0.25">
      <c r="A59" s="2" t="s">
        <v>268</v>
      </c>
      <c r="B59" s="2" t="s">
        <v>269</v>
      </c>
      <c r="C59" s="2" t="s">
        <v>810</v>
      </c>
      <c r="D59" s="2"/>
      <c r="E59" s="2"/>
      <c r="F59" s="249"/>
      <c r="G59" s="2" t="s">
        <v>175</v>
      </c>
      <c r="H59" s="7">
        <v>-215501.25</v>
      </c>
      <c r="I59" s="221">
        <v>0</v>
      </c>
      <c r="J59" s="3">
        <f t="shared" si="0"/>
        <v>-215501.25</v>
      </c>
    </row>
    <row r="60" spans="1:11" x14ac:dyDescent="0.25">
      <c r="A60" s="2" t="s">
        <v>272</v>
      </c>
      <c r="B60" s="2" t="s">
        <v>273</v>
      </c>
      <c r="C60" s="2" t="s">
        <v>810</v>
      </c>
      <c r="D60" s="2"/>
      <c r="E60" s="2"/>
      <c r="F60" s="249"/>
      <c r="G60" s="2" t="s">
        <v>175</v>
      </c>
      <c r="H60" s="7">
        <v>-2505.86</v>
      </c>
      <c r="I60" s="221">
        <v>0</v>
      </c>
      <c r="J60" s="3">
        <f t="shared" si="0"/>
        <v>-2505.86</v>
      </c>
    </row>
    <row r="61" spans="1:11" x14ac:dyDescent="0.25">
      <c r="A61" s="2" t="s">
        <v>276</v>
      </c>
      <c r="B61" s="2" t="s">
        <v>277</v>
      </c>
      <c r="C61" s="2" t="s">
        <v>810</v>
      </c>
      <c r="D61" s="2"/>
      <c r="E61" s="2"/>
      <c r="F61" s="249"/>
      <c r="G61" s="2" t="s">
        <v>175</v>
      </c>
      <c r="H61" s="7">
        <v>32784.700000000004</v>
      </c>
      <c r="I61" s="221">
        <v>0</v>
      </c>
      <c r="J61" s="3">
        <f t="shared" si="0"/>
        <v>32784.700000000004</v>
      </c>
    </row>
    <row r="62" spans="1:11" x14ac:dyDescent="0.25">
      <c r="A62" s="2" t="s">
        <v>916</v>
      </c>
      <c r="B62" s="2" t="s">
        <v>917</v>
      </c>
      <c r="C62" s="2" t="s">
        <v>108</v>
      </c>
      <c r="D62" s="2"/>
      <c r="E62" s="2"/>
      <c r="F62" s="249"/>
      <c r="G62" s="2" t="s">
        <v>175</v>
      </c>
      <c r="H62" s="7">
        <v>-92479</v>
      </c>
      <c r="I62" s="221">
        <v>0</v>
      </c>
      <c r="J62" s="3">
        <f t="shared" si="0"/>
        <v>-92479</v>
      </c>
    </row>
    <row r="63" spans="1:11" x14ac:dyDescent="0.25">
      <c r="A63" s="2" t="s">
        <v>278</v>
      </c>
      <c r="B63" s="2" t="s">
        <v>279</v>
      </c>
      <c r="C63" s="2" t="s">
        <v>108</v>
      </c>
      <c r="D63" s="2"/>
      <c r="E63" s="2"/>
      <c r="F63" s="249"/>
      <c r="G63" s="2" t="s">
        <v>175</v>
      </c>
      <c r="H63" s="7">
        <v>-2659583.0299999998</v>
      </c>
      <c r="I63" s="221">
        <v>0</v>
      </c>
      <c r="J63" s="3">
        <f t="shared" si="0"/>
        <v>-2659583.0299999998</v>
      </c>
    </row>
    <row r="64" spans="1:11" x14ac:dyDescent="0.25">
      <c r="A64" s="2" t="s">
        <v>280</v>
      </c>
      <c r="B64" s="2" t="s">
        <v>281</v>
      </c>
      <c r="C64" s="2" t="s">
        <v>108</v>
      </c>
      <c r="D64" s="2"/>
      <c r="E64" s="2"/>
      <c r="F64" s="249"/>
      <c r="G64" s="2" t="s">
        <v>175</v>
      </c>
      <c r="H64" s="7">
        <v>-10201.11</v>
      </c>
      <c r="I64" s="221">
        <v>0</v>
      </c>
      <c r="J64" s="3">
        <f t="shared" si="0"/>
        <v>-10201.11</v>
      </c>
    </row>
    <row r="65" spans="1:10" x14ac:dyDescent="0.25">
      <c r="A65" s="2" t="s">
        <v>918</v>
      </c>
      <c r="B65" s="2" t="s">
        <v>919</v>
      </c>
      <c r="C65" s="2" t="s">
        <v>108</v>
      </c>
      <c r="D65" s="2"/>
      <c r="E65" s="2"/>
      <c r="F65" s="249"/>
      <c r="G65" s="2" t="s">
        <v>175</v>
      </c>
      <c r="H65" s="7">
        <v>-294545.07</v>
      </c>
      <c r="I65" s="221">
        <v>0</v>
      </c>
      <c r="J65" s="3">
        <f t="shared" si="0"/>
        <v>-294545.07</v>
      </c>
    </row>
    <row r="66" spans="1:10" x14ac:dyDescent="0.25">
      <c r="A66" s="2" t="s">
        <v>282</v>
      </c>
      <c r="B66" s="2" t="s">
        <v>283</v>
      </c>
      <c r="C66" s="2" t="s">
        <v>810</v>
      </c>
      <c r="D66" s="2"/>
      <c r="E66" s="2"/>
      <c r="F66" s="249"/>
      <c r="G66" s="2" t="s">
        <v>175</v>
      </c>
      <c r="H66" s="7">
        <v>-205120.47000000003</v>
      </c>
      <c r="I66" s="221">
        <v>0</v>
      </c>
      <c r="J66" s="3">
        <f t="shared" si="0"/>
        <v>-205120.47000000003</v>
      </c>
    </row>
    <row r="67" spans="1:10" x14ac:dyDescent="0.25">
      <c r="A67" s="2" t="s">
        <v>284</v>
      </c>
      <c r="B67" s="2" t="s">
        <v>285</v>
      </c>
      <c r="C67" s="2" t="s">
        <v>810</v>
      </c>
      <c r="D67" s="2"/>
      <c r="E67" s="2"/>
      <c r="F67" s="249"/>
      <c r="G67" s="2" t="s">
        <v>175</v>
      </c>
      <c r="H67" s="7">
        <v>-1560297.85</v>
      </c>
      <c r="I67" s="221">
        <v>0</v>
      </c>
      <c r="J67" s="3">
        <f t="shared" si="0"/>
        <v>-1560297.85</v>
      </c>
    </row>
    <row r="68" spans="1:10" x14ac:dyDescent="0.25">
      <c r="A68" s="2" t="s">
        <v>920</v>
      </c>
      <c r="B68" s="2" t="s">
        <v>921</v>
      </c>
      <c r="C68" s="2" t="s">
        <v>810</v>
      </c>
      <c r="D68" s="2"/>
      <c r="E68" s="2"/>
      <c r="F68" s="249"/>
      <c r="G68" s="2" t="s">
        <v>175</v>
      </c>
      <c r="H68" s="7">
        <v>-115491.54000000001</v>
      </c>
      <c r="I68" s="221">
        <v>0</v>
      </c>
      <c r="J68" s="3">
        <f t="shared" si="0"/>
        <v>-115491.54000000001</v>
      </c>
    </row>
    <row r="69" spans="1:10" x14ac:dyDescent="0.25">
      <c r="A69" s="2" t="s">
        <v>286</v>
      </c>
      <c r="B69" s="2" t="s">
        <v>287</v>
      </c>
      <c r="C69" s="2" t="s">
        <v>810</v>
      </c>
      <c r="D69" s="2"/>
      <c r="E69" s="2"/>
      <c r="F69" s="249"/>
      <c r="G69" s="2" t="s">
        <v>175</v>
      </c>
      <c r="H69" s="7">
        <v>-121.9</v>
      </c>
      <c r="I69" s="221">
        <v>0</v>
      </c>
      <c r="J69" s="3">
        <f t="shared" si="0"/>
        <v>-121.9</v>
      </c>
    </row>
    <row r="70" spans="1:10" x14ac:dyDescent="0.25">
      <c r="A70" s="2" t="s">
        <v>288</v>
      </c>
      <c r="B70" s="2" t="s">
        <v>289</v>
      </c>
      <c r="C70" s="2" t="s">
        <v>108</v>
      </c>
      <c r="D70" s="2"/>
      <c r="E70" s="2"/>
      <c r="F70" s="249"/>
      <c r="G70" s="2" t="s">
        <v>175</v>
      </c>
      <c r="H70" s="7">
        <v>-489415.45</v>
      </c>
      <c r="I70" s="221">
        <v>0</v>
      </c>
      <c r="J70" s="3">
        <f t="shared" ref="J70:J133" si="1">H70-I70</f>
        <v>-489415.45</v>
      </c>
    </row>
    <row r="71" spans="1:10" x14ac:dyDescent="0.25">
      <c r="A71" s="2" t="s">
        <v>290</v>
      </c>
      <c r="B71" s="2" t="s">
        <v>291</v>
      </c>
      <c r="C71" s="2" t="s">
        <v>108</v>
      </c>
      <c r="D71" s="2"/>
      <c r="E71" s="2"/>
      <c r="F71" s="249"/>
      <c r="G71" s="2" t="s">
        <v>175</v>
      </c>
      <c r="H71" s="7">
        <v>-222361.19999999998</v>
      </c>
      <c r="I71" s="221">
        <v>0</v>
      </c>
      <c r="J71" s="3">
        <f t="shared" si="1"/>
        <v>-222361.19999999998</v>
      </c>
    </row>
    <row r="72" spans="1:10" x14ac:dyDescent="0.25">
      <c r="A72" s="2" t="s">
        <v>292</v>
      </c>
      <c r="B72" s="2" t="s">
        <v>293</v>
      </c>
      <c r="C72" s="2" t="s">
        <v>108</v>
      </c>
      <c r="D72" s="2"/>
      <c r="E72" s="2"/>
      <c r="F72" s="249"/>
      <c r="G72" s="2" t="s">
        <v>175</v>
      </c>
      <c r="H72" s="7">
        <v>-148786.75</v>
      </c>
      <c r="I72" s="221">
        <v>0</v>
      </c>
      <c r="J72" s="3">
        <f t="shared" si="1"/>
        <v>-148786.75</v>
      </c>
    </row>
    <row r="73" spans="1:10" x14ac:dyDescent="0.25">
      <c r="A73" s="2" t="s">
        <v>294</v>
      </c>
      <c r="B73" s="2" t="s">
        <v>295</v>
      </c>
      <c r="C73" s="2" t="s">
        <v>108</v>
      </c>
      <c r="D73" s="2"/>
      <c r="E73" s="2"/>
      <c r="F73" s="249"/>
      <c r="G73" s="2" t="s">
        <v>175</v>
      </c>
      <c r="H73" s="7">
        <v>-411865.72</v>
      </c>
      <c r="I73" s="221">
        <v>0</v>
      </c>
      <c r="J73" s="3">
        <f t="shared" si="1"/>
        <v>-411865.72</v>
      </c>
    </row>
    <row r="74" spans="1:10" x14ac:dyDescent="0.25">
      <c r="A74" s="2" t="s">
        <v>296</v>
      </c>
      <c r="B74" s="2" t="s">
        <v>297</v>
      </c>
      <c r="C74" s="2" t="s">
        <v>810</v>
      </c>
      <c r="D74" s="2"/>
      <c r="E74" s="2"/>
      <c r="F74" s="249"/>
      <c r="G74" s="2" t="s">
        <v>175</v>
      </c>
      <c r="H74" s="7">
        <v>-460673.31</v>
      </c>
      <c r="I74" s="221">
        <v>0</v>
      </c>
      <c r="J74" s="3">
        <f t="shared" si="1"/>
        <v>-460673.31</v>
      </c>
    </row>
    <row r="75" spans="1:10" x14ac:dyDescent="0.25">
      <c r="A75" s="2" t="s">
        <v>298</v>
      </c>
      <c r="B75" s="2" t="s">
        <v>299</v>
      </c>
      <c r="C75" s="2" t="s">
        <v>810</v>
      </c>
      <c r="D75" s="2"/>
      <c r="E75" s="2"/>
      <c r="F75" s="249"/>
      <c r="G75" s="2" t="s">
        <v>175</v>
      </c>
      <c r="H75" s="7">
        <v>-2073.23</v>
      </c>
      <c r="I75" s="221">
        <v>0</v>
      </c>
      <c r="J75" s="3">
        <f t="shared" si="1"/>
        <v>-2073.23</v>
      </c>
    </row>
    <row r="76" spans="1:10" x14ac:dyDescent="0.25">
      <c r="A76" s="2" t="s">
        <v>300</v>
      </c>
      <c r="B76" s="2" t="s">
        <v>301</v>
      </c>
      <c r="C76" s="2" t="s">
        <v>108</v>
      </c>
      <c r="D76" s="2"/>
      <c r="E76" s="2"/>
      <c r="F76" s="249"/>
      <c r="G76" s="2" t="s">
        <v>175</v>
      </c>
      <c r="H76" s="7">
        <v>-447.47</v>
      </c>
      <c r="I76" s="221">
        <v>0</v>
      </c>
      <c r="J76" s="3">
        <f t="shared" si="1"/>
        <v>-447.47</v>
      </c>
    </row>
    <row r="77" spans="1:10" x14ac:dyDescent="0.25">
      <c r="A77" s="2" t="s">
        <v>302</v>
      </c>
      <c r="B77" s="2" t="s">
        <v>303</v>
      </c>
      <c r="C77" s="2" t="s">
        <v>108</v>
      </c>
      <c r="D77" s="2"/>
      <c r="E77" s="2"/>
      <c r="F77" s="249"/>
      <c r="G77" s="2" t="s">
        <v>175</v>
      </c>
      <c r="H77" s="7">
        <v>-2356558.71</v>
      </c>
      <c r="I77" s="221">
        <v>0</v>
      </c>
      <c r="J77" s="3">
        <f t="shared" si="1"/>
        <v>-2356558.71</v>
      </c>
    </row>
    <row r="78" spans="1:10" x14ac:dyDescent="0.25">
      <c r="A78" s="2" t="s">
        <v>922</v>
      </c>
      <c r="B78" s="2" t="s">
        <v>923</v>
      </c>
      <c r="C78" s="2" t="s">
        <v>810</v>
      </c>
      <c r="D78" s="2"/>
      <c r="E78" s="2"/>
      <c r="F78" s="249"/>
      <c r="G78" s="2" t="s">
        <v>175</v>
      </c>
      <c r="H78" s="7">
        <v>-11682.27</v>
      </c>
      <c r="I78" s="221">
        <v>0</v>
      </c>
      <c r="J78" s="3">
        <f t="shared" si="1"/>
        <v>-11682.27</v>
      </c>
    </row>
    <row r="79" spans="1:10" x14ac:dyDescent="0.25">
      <c r="A79" s="2" t="s">
        <v>306</v>
      </c>
      <c r="B79" s="2" t="s">
        <v>307</v>
      </c>
      <c r="C79" s="2" t="s">
        <v>810</v>
      </c>
      <c r="D79" s="2"/>
      <c r="E79" s="2"/>
      <c r="F79" s="249"/>
      <c r="G79" s="2" t="s">
        <v>175</v>
      </c>
      <c r="H79" s="7">
        <v>-1036876.43</v>
      </c>
      <c r="I79" s="221">
        <v>0</v>
      </c>
      <c r="J79" s="3">
        <f t="shared" si="1"/>
        <v>-1036876.43</v>
      </c>
    </row>
    <row r="80" spans="1:10" x14ac:dyDescent="0.25">
      <c r="A80" s="2" t="s">
        <v>308</v>
      </c>
      <c r="B80" s="2" t="s">
        <v>309</v>
      </c>
      <c r="C80" s="2" t="s">
        <v>810</v>
      </c>
      <c r="D80" s="2"/>
      <c r="E80" s="2"/>
      <c r="F80" s="249"/>
      <c r="G80" s="2" t="s">
        <v>175</v>
      </c>
      <c r="H80" s="7">
        <v>-580285.51</v>
      </c>
      <c r="I80" s="221">
        <v>0</v>
      </c>
      <c r="J80" s="3">
        <f t="shared" si="1"/>
        <v>-580285.51</v>
      </c>
    </row>
    <row r="81" spans="1:11" x14ac:dyDescent="0.25">
      <c r="A81" s="2" t="s">
        <v>924</v>
      </c>
      <c r="B81" s="2" t="s">
        <v>925</v>
      </c>
      <c r="C81" s="2" t="s">
        <v>810</v>
      </c>
      <c r="D81" s="2"/>
      <c r="E81" s="2"/>
      <c r="F81" s="249"/>
      <c r="G81" s="2" t="s">
        <v>175</v>
      </c>
      <c r="H81" s="7">
        <v>-46884.63</v>
      </c>
      <c r="I81" s="221">
        <v>0</v>
      </c>
      <c r="J81" s="3">
        <f t="shared" si="1"/>
        <v>-46884.63</v>
      </c>
    </row>
    <row r="82" spans="1:11" x14ac:dyDescent="0.25">
      <c r="A82" s="2" t="s">
        <v>310</v>
      </c>
      <c r="B82" s="2" t="s">
        <v>867</v>
      </c>
      <c r="C82" s="2" t="s">
        <v>810</v>
      </c>
      <c r="D82" s="2"/>
      <c r="E82" s="2"/>
      <c r="F82" s="249"/>
      <c r="G82" s="2" t="s">
        <v>175</v>
      </c>
      <c r="H82" s="7">
        <v>-23098678.969999999</v>
      </c>
      <c r="I82" s="221">
        <v>0</v>
      </c>
      <c r="J82" s="3">
        <f t="shared" si="1"/>
        <v>-23098678.969999999</v>
      </c>
    </row>
    <row r="83" spans="1:11" x14ac:dyDescent="0.25">
      <c r="A83" s="2" t="s">
        <v>926</v>
      </c>
      <c r="B83" s="2" t="s">
        <v>927</v>
      </c>
      <c r="C83" s="2" t="s">
        <v>810</v>
      </c>
      <c r="D83" s="2"/>
      <c r="E83" s="2"/>
      <c r="F83" s="249"/>
      <c r="G83" s="2" t="s">
        <v>175</v>
      </c>
      <c r="H83" s="7">
        <v>-453856.88999999996</v>
      </c>
      <c r="I83" s="221">
        <v>0</v>
      </c>
      <c r="J83" s="3">
        <f t="shared" si="1"/>
        <v>-453856.88999999996</v>
      </c>
    </row>
    <row r="84" spans="1:11" x14ac:dyDescent="0.25">
      <c r="A84" s="2" t="s">
        <v>311</v>
      </c>
      <c r="B84" s="2" t="s">
        <v>312</v>
      </c>
      <c r="C84" s="2" t="s">
        <v>108</v>
      </c>
      <c r="D84" s="2"/>
      <c r="E84" s="2"/>
      <c r="F84" s="249"/>
      <c r="G84" s="2" t="s">
        <v>175</v>
      </c>
      <c r="H84" s="7">
        <v>-3162412.83</v>
      </c>
      <c r="I84" s="221">
        <v>0</v>
      </c>
      <c r="J84" s="3">
        <f t="shared" si="1"/>
        <v>-3162412.83</v>
      </c>
    </row>
    <row r="85" spans="1:11" x14ac:dyDescent="0.25">
      <c r="A85" s="2" t="s">
        <v>313</v>
      </c>
      <c r="B85" s="2" t="s">
        <v>314</v>
      </c>
      <c r="C85" s="2" t="s">
        <v>810</v>
      </c>
      <c r="D85" s="2"/>
      <c r="E85" s="2"/>
      <c r="F85" s="249"/>
      <c r="G85" s="2" t="s">
        <v>175</v>
      </c>
      <c r="H85" s="7">
        <v>-2.1599999999999682</v>
      </c>
      <c r="I85" s="221">
        <v>0</v>
      </c>
      <c r="J85" s="3">
        <f t="shared" si="1"/>
        <v>-2.1599999999999682</v>
      </c>
    </row>
    <row r="86" spans="1:11" x14ac:dyDescent="0.25">
      <c r="A86" s="2" t="s">
        <v>928</v>
      </c>
      <c r="B86" s="2" t="s">
        <v>929</v>
      </c>
      <c r="C86" s="2" t="s">
        <v>810</v>
      </c>
      <c r="D86" s="2"/>
      <c r="E86" s="2"/>
      <c r="F86" s="249"/>
      <c r="G86" s="2" t="s">
        <v>175</v>
      </c>
      <c r="H86" s="7">
        <v>-243997.36000000002</v>
      </c>
      <c r="I86" s="221">
        <v>0</v>
      </c>
      <c r="J86" s="3">
        <f t="shared" si="1"/>
        <v>-243997.36000000002</v>
      </c>
      <c r="K86" t="s">
        <v>868</v>
      </c>
    </row>
    <row r="87" spans="1:11" x14ac:dyDescent="0.25">
      <c r="A87" s="2" t="s">
        <v>930</v>
      </c>
      <c r="B87" s="2" t="s">
        <v>931</v>
      </c>
      <c r="C87" s="2" t="s">
        <v>810</v>
      </c>
      <c r="D87" s="2"/>
      <c r="E87" s="2"/>
      <c r="F87" s="249"/>
      <c r="G87" s="2" t="s">
        <v>175</v>
      </c>
      <c r="H87" s="7">
        <v>-875253.88000000012</v>
      </c>
      <c r="I87" s="221">
        <v>-2006158.0000000044</v>
      </c>
      <c r="J87" s="3">
        <f t="shared" si="1"/>
        <v>1130904.1200000043</v>
      </c>
    </row>
    <row r="88" spans="1:11" x14ac:dyDescent="0.25">
      <c r="A88" s="2" t="s">
        <v>315</v>
      </c>
      <c r="B88" s="2" t="s">
        <v>316</v>
      </c>
      <c r="C88" s="2" t="s">
        <v>810</v>
      </c>
      <c r="D88" s="2"/>
      <c r="E88" s="2"/>
      <c r="F88" s="249"/>
      <c r="G88" s="2" t="s">
        <v>175</v>
      </c>
      <c r="H88" s="7">
        <v>-32828.839999999982</v>
      </c>
      <c r="I88" s="221">
        <v>-1002452.9929552966</v>
      </c>
      <c r="J88" s="3">
        <f t="shared" si="1"/>
        <v>969624.15295529668</v>
      </c>
    </row>
    <row r="89" spans="1:11" x14ac:dyDescent="0.25">
      <c r="A89" s="2" t="s">
        <v>317</v>
      </c>
      <c r="B89" s="2" t="s">
        <v>318</v>
      </c>
      <c r="C89" s="2" t="s">
        <v>108</v>
      </c>
      <c r="D89" s="2"/>
      <c r="E89" s="2"/>
      <c r="F89" s="249"/>
      <c r="G89" s="2" t="s">
        <v>174</v>
      </c>
      <c r="H89" s="7">
        <v>-333967.66000000003</v>
      </c>
      <c r="I89" s="221">
        <v>0</v>
      </c>
      <c r="J89" s="3">
        <f t="shared" si="1"/>
        <v>-333967.66000000003</v>
      </c>
    </row>
    <row r="90" spans="1:11" x14ac:dyDescent="0.25">
      <c r="A90" s="2" t="s">
        <v>319</v>
      </c>
      <c r="B90" s="2" t="s">
        <v>320</v>
      </c>
      <c r="C90" s="2" t="s">
        <v>108</v>
      </c>
      <c r="D90" s="2"/>
      <c r="E90" s="2"/>
      <c r="F90" s="249"/>
      <c r="G90" s="2" t="s">
        <v>174</v>
      </c>
      <c r="H90" s="7">
        <v>-28404.17</v>
      </c>
      <c r="I90" s="221">
        <v>-519.3025718322632</v>
      </c>
      <c r="J90" s="3">
        <f t="shared" si="1"/>
        <v>-27884.867428167734</v>
      </c>
    </row>
    <row r="91" spans="1:11" x14ac:dyDescent="0.25">
      <c r="A91" s="2" t="s">
        <v>321</v>
      </c>
      <c r="B91" s="2" t="s">
        <v>322</v>
      </c>
      <c r="C91" s="2" t="s">
        <v>108</v>
      </c>
      <c r="D91" s="2"/>
      <c r="E91" s="2"/>
      <c r="F91" s="249"/>
      <c r="G91" s="2" t="s">
        <v>174</v>
      </c>
      <c r="H91" s="7">
        <v>-692849.32000000007</v>
      </c>
      <c r="I91" s="221">
        <v>-520556.19948164519</v>
      </c>
      <c r="J91" s="3">
        <f t="shared" si="1"/>
        <v>-172293.12051835487</v>
      </c>
    </row>
    <row r="92" spans="1:11" x14ac:dyDescent="0.25">
      <c r="A92" s="2" t="s">
        <v>323</v>
      </c>
      <c r="B92" s="2" t="s">
        <v>324</v>
      </c>
      <c r="C92" s="2" t="s">
        <v>108</v>
      </c>
      <c r="D92" s="2"/>
      <c r="E92" s="2"/>
      <c r="F92" s="249"/>
      <c r="G92" s="2" t="s">
        <v>174</v>
      </c>
      <c r="H92" s="7">
        <v>-38015.090000000004</v>
      </c>
      <c r="I92" s="221">
        <v>0</v>
      </c>
      <c r="J92" s="3">
        <f t="shared" si="1"/>
        <v>-38015.090000000004</v>
      </c>
    </row>
    <row r="93" spans="1:11" x14ac:dyDescent="0.25">
      <c r="A93" s="2" t="s">
        <v>325</v>
      </c>
      <c r="B93" s="2" t="s">
        <v>326</v>
      </c>
      <c r="C93" s="2" t="s">
        <v>108</v>
      </c>
      <c r="D93" s="2"/>
      <c r="E93" s="2"/>
      <c r="F93" s="249"/>
      <c r="G93" s="2" t="s">
        <v>174</v>
      </c>
      <c r="H93" s="7">
        <v>-8661.9599999999991</v>
      </c>
      <c r="I93" s="221">
        <v>0</v>
      </c>
      <c r="J93" s="3">
        <f t="shared" si="1"/>
        <v>-8661.9599999999991</v>
      </c>
    </row>
    <row r="94" spans="1:11" x14ac:dyDescent="0.25">
      <c r="A94" s="2" t="s">
        <v>327</v>
      </c>
      <c r="B94" s="2" t="s">
        <v>328</v>
      </c>
      <c r="C94" s="2" t="s">
        <v>108</v>
      </c>
      <c r="D94" s="2"/>
      <c r="E94" s="2"/>
      <c r="F94" s="249"/>
      <c r="G94" s="2" t="s">
        <v>174</v>
      </c>
      <c r="H94" s="7">
        <v>-12166.64</v>
      </c>
      <c r="I94" s="221">
        <v>0</v>
      </c>
      <c r="J94" s="3">
        <f t="shared" si="1"/>
        <v>-12166.64</v>
      </c>
    </row>
    <row r="95" spans="1:11" x14ac:dyDescent="0.25">
      <c r="A95" s="2" t="s">
        <v>329</v>
      </c>
      <c r="B95" s="2" t="s">
        <v>330</v>
      </c>
      <c r="C95" s="2" t="s">
        <v>108</v>
      </c>
      <c r="D95" s="2"/>
      <c r="E95" s="2"/>
      <c r="F95" s="249"/>
      <c r="G95" s="2" t="s">
        <v>174</v>
      </c>
      <c r="H95" s="7">
        <v>-10290041.15</v>
      </c>
      <c r="I95" s="221">
        <v>-9245928.526850177</v>
      </c>
      <c r="J95" s="3">
        <f t="shared" si="1"/>
        <v>-1044112.6231498234</v>
      </c>
    </row>
    <row r="96" spans="1:11" x14ac:dyDescent="0.25">
      <c r="A96" s="2" t="s">
        <v>331</v>
      </c>
      <c r="B96" s="2" t="s">
        <v>332</v>
      </c>
      <c r="C96" s="2" t="s">
        <v>108</v>
      </c>
      <c r="D96" s="2"/>
      <c r="E96" s="2"/>
      <c r="F96" s="249"/>
      <c r="G96" s="2" t="s">
        <v>174</v>
      </c>
      <c r="H96" s="7">
        <v>-5144336.99</v>
      </c>
      <c r="I96" s="221">
        <v>-4501342.2193697849</v>
      </c>
      <c r="J96" s="3">
        <f t="shared" si="1"/>
        <v>-642994.77063021529</v>
      </c>
    </row>
    <row r="97" spans="1:10" x14ac:dyDescent="0.25">
      <c r="A97" s="2" t="s">
        <v>333</v>
      </c>
      <c r="B97" s="2" t="s">
        <v>334</v>
      </c>
      <c r="C97" s="2" t="s">
        <v>108</v>
      </c>
      <c r="D97" s="2"/>
      <c r="E97" s="2"/>
      <c r="F97" s="249"/>
      <c r="G97" s="2" t="s">
        <v>174</v>
      </c>
      <c r="H97" s="7">
        <v>-334796.18000000005</v>
      </c>
      <c r="I97" s="221">
        <v>-966780</v>
      </c>
      <c r="J97" s="3">
        <f t="shared" si="1"/>
        <v>631983.81999999995</v>
      </c>
    </row>
    <row r="98" spans="1:10" x14ac:dyDescent="0.25">
      <c r="A98" s="2" t="s">
        <v>337</v>
      </c>
      <c r="B98" s="2" t="s">
        <v>338</v>
      </c>
      <c r="C98" s="2" t="s">
        <v>108</v>
      </c>
      <c r="D98" s="2"/>
      <c r="E98" s="2"/>
      <c r="F98" s="249"/>
      <c r="G98" s="2" t="s">
        <v>174</v>
      </c>
      <c r="H98" s="7">
        <v>-1456724.73</v>
      </c>
      <c r="I98" s="221">
        <v>-195278.32699202772</v>
      </c>
      <c r="J98" s="3">
        <f t="shared" si="1"/>
        <v>-1261446.4030079723</v>
      </c>
    </row>
    <row r="99" spans="1:10" x14ac:dyDescent="0.25">
      <c r="A99" s="2" t="s">
        <v>339</v>
      </c>
      <c r="B99" s="2" t="s">
        <v>340</v>
      </c>
      <c r="C99" s="2" t="s">
        <v>108</v>
      </c>
      <c r="D99" s="2"/>
      <c r="E99" s="2"/>
      <c r="F99" s="249"/>
      <c r="G99" s="248" t="s">
        <v>174</v>
      </c>
      <c r="H99" s="7">
        <v>-4161827.87</v>
      </c>
      <c r="I99" s="221">
        <v>-315571.14894611394</v>
      </c>
      <c r="J99" s="3">
        <f t="shared" si="1"/>
        <v>-3846256.7210538862</v>
      </c>
    </row>
    <row r="100" spans="1:10" x14ac:dyDescent="0.25">
      <c r="A100" s="2" t="s">
        <v>932</v>
      </c>
      <c r="B100" s="2" t="s">
        <v>933</v>
      </c>
      <c r="C100" s="2" t="s">
        <v>108</v>
      </c>
      <c r="D100" s="2"/>
      <c r="E100" s="2"/>
      <c r="F100" s="249"/>
      <c r="G100" s="2" t="s">
        <v>174</v>
      </c>
      <c r="H100" s="7">
        <v>-26306575.300000001</v>
      </c>
      <c r="I100" s="221">
        <v>0</v>
      </c>
      <c r="J100" s="3">
        <f t="shared" si="1"/>
        <v>-26306575.300000001</v>
      </c>
    </row>
    <row r="101" spans="1:10" x14ac:dyDescent="0.25">
      <c r="A101" s="2" t="s">
        <v>341</v>
      </c>
      <c r="B101" s="2" t="s">
        <v>342</v>
      </c>
      <c r="C101" s="2" t="s">
        <v>108</v>
      </c>
      <c r="D101" s="2"/>
      <c r="E101" s="2"/>
      <c r="F101" s="249"/>
      <c r="G101" s="2" t="s">
        <v>174</v>
      </c>
      <c r="H101" s="7">
        <v>-766151.29</v>
      </c>
      <c r="I101" s="221">
        <v>-4455701.3619814906</v>
      </c>
      <c r="J101" s="3">
        <f t="shared" si="1"/>
        <v>3689550.0719814906</v>
      </c>
    </row>
    <row r="102" spans="1:10" x14ac:dyDescent="0.25">
      <c r="A102" s="2" t="s">
        <v>343</v>
      </c>
      <c r="B102" s="2" t="s">
        <v>344</v>
      </c>
      <c r="C102" s="2" t="s">
        <v>108</v>
      </c>
      <c r="D102" s="2"/>
      <c r="E102" s="2"/>
      <c r="F102" s="249"/>
      <c r="G102" s="2" t="s">
        <v>174</v>
      </c>
      <c r="H102" s="7">
        <v>-1423.3899999999999</v>
      </c>
      <c r="I102" s="221">
        <v>-27.994684835583648</v>
      </c>
      <c r="J102" s="3">
        <f t="shared" si="1"/>
        <v>-1395.3953151644162</v>
      </c>
    </row>
    <row r="103" spans="1:10" x14ac:dyDescent="0.25">
      <c r="A103" s="2" t="s">
        <v>345</v>
      </c>
      <c r="B103" s="2" t="s">
        <v>346</v>
      </c>
      <c r="C103" s="2" t="s">
        <v>108</v>
      </c>
      <c r="D103" s="2"/>
      <c r="E103" s="2"/>
      <c r="F103" s="249"/>
      <c r="G103" s="2" t="s">
        <v>174</v>
      </c>
      <c r="H103" s="7">
        <v>-4466532.1399999997</v>
      </c>
      <c r="I103" s="221">
        <v>0</v>
      </c>
      <c r="J103" s="3">
        <f t="shared" si="1"/>
        <v>-4466532.1399999997</v>
      </c>
    </row>
    <row r="104" spans="1:10" x14ac:dyDescent="0.25">
      <c r="A104" s="2" t="s">
        <v>349</v>
      </c>
      <c r="B104" s="2" t="s">
        <v>350</v>
      </c>
      <c r="C104" s="2" t="s">
        <v>108</v>
      </c>
      <c r="D104" s="2"/>
      <c r="E104" s="2"/>
      <c r="F104" s="249"/>
      <c r="G104" s="2" t="s">
        <v>174</v>
      </c>
      <c r="H104" s="7">
        <v>-481105.61</v>
      </c>
      <c r="I104" s="221">
        <v>0</v>
      </c>
      <c r="J104" s="3">
        <f t="shared" si="1"/>
        <v>-481105.61</v>
      </c>
    </row>
    <row r="105" spans="1:10" x14ac:dyDescent="0.25">
      <c r="A105" s="2" t="s">
        <v>353</v>
      </c>
      <c r="B105" s="2" t="s">
        <v>354</v>
      </c>
      <c r="C105" s="2" t="s">
        <v>108</v>
      </c>
      <c r="D105" s="2"/>
      <c r="E105" s="2"/>
      <c r="F105" s="249"/>
      <c r="G105" s="2" t="s">
        <v>174</v>
      </c>
      <c r="H105" s="7">
        <v>-75472.11</v>
      </c>
      <c r="I105" s="221">
        <v>0</v>
      </c>
      <c r="J105" s="3">
        <f t="shared" si="1"/>
        <v>-75472.11</v>
      </c>
    </row>
    <row r="106" spans="1:10" x14ac:dyDescent="0.25">
      <c r="A106" s="2" t="s">
        <v>355</v>
      </c>
      <c r="B106" s="2" t="s">
        <v>356</v>
      </c>
      <c r="C106" s="2" t="s">
        <v>108</v>
      </c>
      <c r="D106" s="2"/>
      <c r="E106" s="2"/>
      <c r="F106" s="249"/>
      <c r="G106" s="2" t="s">
        <v>174</v>
      </c>
      <c r="H106" s="7">
        <v>-619258.31000000006</v>
      </c>
      <c r="I106" s="221">
        <v>0</v>
      </c>
      <c r="J106" s="3">
        <f t="shared" si="1"/>
        <v>-619258.31000000006</v>
      </c>
    </row>
    <row r="107" spans="1:10" x14ac:dyDescent="0.25">
      <c r="A107" s="2" t="s">
        <v>357</v>
      </c>
      <c r="B107" s="2" t="s">
        <v>358</v>
      </c>
      <c r="C107" s="2" t="s">
        <v>108</v>
      </c>
      <c r="D107" s="2"/>
      <c r="E107" s="2"/>
      <c r="F107" s="249"/>
      <c r="G107" s="2" t="s">
        <v>174</v>
      </c>
      <c r="H107" s="7">
        <v>-2194459.17</v>
      </c>
      <c r="I107" s="221">
        <v>-2039804.7649654183</v>
      </c>
      <c r="J107" s="3">
        <f t="shared" si="1"/>
        <v>-154654.40503458166</v>
      </c>
    </row>
    <row r="108" spans="1:10" x14ac:dyDescent="0.25">
      <c r="A108" s="2" t="s">
        <v>359</v>
      </c>
      <c r="B108" s="2" t="s">
        <v>360</v>
      </c>
      <c r="C108" s="2" t="s">
        <v>108</v>
      </c>
      <c r="D108" s="2"/>
      <c r="E108" s="2"/>
      <c r="F108" s="249"/>
      <c r="G108" s="2" t="s">
        <v>174</v>
      </c>
      <c r="H108" s="7">
        <v>-27766.219999999998</v>
      </c>
      <c r="I108" s="221">
        <v>-47.150131837136961</v>
      </c>
      <c r="J108" s="3">
        <f t="shared" si="1"/>
        <v>-27719.06986816286</v>
      </c>
    </row>
    <row r="109" spans="1:10" x14ac:dyDescent="0.25">
      <c r="A109" s="2" t="s">
        <v>361</v>
      </c>
      <c r="B109" s="2" t="s">
        <v>362</v>
      </c>
      <c r="C109" s="2" t="s">
        <v>108</v>
      </c>
      <c r="D109" s="2"/>
      <c r="E109" s="2"/>
      <c r="F109" s="249"/>
      <c r="G109" s="2" t="s">
        <v>174</v>
      </c>
      <c r="H109" s="7">
        <v>-2406.3499999999995</v>
      </c>
      <c r="I109" s="221">
        <v>-8.220930000000001</v>
      </c>
      <c r="J109" s="3">
        <f t="shared" si="1"/>
        <v>-2398.1290699999995</v>
      </c>
    </row>
    <row r="110" spans="1:10" x14ac:dyDescent="0.25">
      <c r="A110" s="2" t="s">
        <v>363</v>
      </c>
      <c r="B110" s="2" t="s">
        <v>364</v>
      </c>
      <c r="C110" s="2" t="s">
        <v>159</v>
      </c>
      <c r="D110" s="2"/>
      <c r="E110" s="2"/>
      <c r="F110" s="249"/>
      <c r="G110" s="248" t="s">
        <v>174</v>
      </c>
      <c r="H110" s="7">
        <v>-1462705.48</v>
      </c>
      <c r="I110" s="221">
        <v>-2612889.5491013769</v>
      </c>
      <c r="J110" s="3">
        <f t="shared" si="1"/>
        <v>1150184.0691013769</v>
      </c>
    </row>
    <row r="111" spans="1:10" x14ac:dyDescent="0.25">
      <c r="A111" s="2" t="s">
        <v>365</v>
      </c>
      <c r="B111" s="2" t="s">
        <v>366</v>
      </c>
      <c r="C111" s="2" t="s">
        <v>108</v>
      </c>
      <c r="D111" s="2"/>
      <c r="E111" s="2"/>
      <c r="F111" s="249"/>
      <c r="G111" s="2" t="s">
        <v>174</v>
      </c>
      <c r="H111" s="7">
        <v>-76346.58</v>
      </c>
      <c r="I111" s="221">
        <v>0</v>
      </c>
      <c r="J111" s="3">
        <f t="shared" si="1"/>
        <v>-76346.58</v>
      </c>
    </row>
    <row r="112" spans="1:10" x14ac:dyDescent="0.25">
      <c r="A112" s="2" t="s">
        <v>367</v>
      </c>
      <c r="B112" s="2" t="s">
        <v>368</v>
      </c>
      <c r="C112" s="2" t="s">
        <v>108</v>
      </c>
      <c r="D112" s="2"/>
      <c r="E112" s="2"/>
      <c r="F112" s="249"/>
      <c r="G112" s="2" t="s">
        <v>174</v>
      </c>
      <c r="H112" s="7">
        <v>-9827167.8300000019</v>
      </c>
      <c r="I112" s="221">
        <v>-4646610.824600324</v>
      </c>
      <c r="J112" s="3">
        <f t="shared" si="1"/>
        <v>-5180557.0053996779</v>
      </c>
    </row>
    <row r="113" spans="1:11" x14ac:dyDescent="0.25">
      <c r="A113" s="2" t="s">
        <v>369</v>
      </c>
      <c r="B113" s="2" t="s">
        <v>370</v>
      </c>
      <c r="C113" s="2" t="s">
        <v>108</v>
      </c>
      <c r="D113" s="2"/>
      <c r="E113" s="2"/>
      <c r="F113" s="249"/>
      <c r="G113" s="2" t="s">
        <v>174</v>
      </c>
      <c r="H113" s="7">
        <v>-12479.72</v>
      </c>
      <c r="I113" s="221">
        <v>0</v>
      </c>
      <c r="J113" s="3">
        <f t="shared" si="1"/>
        <v>-12479.72</v>
      </c>
    </row>
    <row r="114" spans="1:11" x14ac:dyDescent="0.25">
      <c r="A114" s="2" t="s">
        <v>934</v>
      </c>
      <c r="B114" s="2" t="s">
        <v>935</v>
      </c>
      <c r="C114" s="2" t="s">
        <v>108</v>
      </c>
      <c r="D114" s="2"/>
      <c r="E114" s="2"/>
      <c r="F114" s="249"/>
      <c r="G114" s="248" t="s">
        <v>174</v>
      </c>
      <c r="H114" s="7">
        <v>-84891.27</v>
      </c>
      <c r="I114" s="221">
        <v>0</v>
      </c>
      <c r="J114" s="3">
        <f t="shared" si="1"/>
        <v>-84891.27</v>
      </c>
    </row>
    <row r="115" spans="1:11" x14ac:dyDescent="0.25">
      <c r="A115" s="2" t="s">
        <v>371</v>
      </c>
      <c r="B115" s="2" t="s">
        <v>372</v>
      </c>
      <c r="C115" s="2" t="s">
        <v>108</v>
      </c>
      <c r="D115" s="2"/>
      <c r="E115" s="2"/>
      <c r="F115" s="249"/>
      <c r="G115" s="248" t="s">
        <v>174</v>
      </c>
      <c r="H115" s="7">
        <v>-108514.34</v>
      </c>
      <c r="I115" s="221">
        <v>-361.50202961105344</v>
      </c>
      <c r="J115" s="3">
        <f t="shared" si="1"/>
        <v>-108152.83797038894</v>
      </c>
    </row>
    <row r="116" spans="1:11" x14ac:dyDescent="0.25">
      <c r="A116" s="2" t="s">
        <v>373</v>
      </c>
      <c r="B116" s="2" t="s">
        <v>374</v>
      </c>
      <c r="C116" s="2" t="s">
        <v>108</v>
      </c>
      <c r="D116" s="2"/>
      <c r="E116" s="2"/>
      <c r="F116" s="249"/>
      <c r="G116" s="2" t="s">
        <v>174</v>
      </c>
      <c r="H116" s="7">
        <v>-2603299.02</v>
      </c>
      <c r="I116" s="221">
        <v>-1306704.4822524022</v>
      </c>
      <c r="J116" s="3">
        <f t="shared" si="1"/>
        <v>-1296594.5377475978</v>
      </c>
    </row>
    <row r="117" spans="1:11" x14ac:dyDescent="0.25">
      <c r="A117" s="2" t="s">
        <v>376</v>
      </c>
      <c r="B117" s="2" t="s">
        <v>377</v>
      </c>
      <c r="C117" s="2" t="s">
        <v>108</v>
      </c>
      <c r="D117" s="2"/>
      <c r="E117" s="2"/>
      <c r="F117" s="249"/>
      <c r="G117" s="2" t="s">
        <v>174</v>
      </c>
      <c r="H117" s="7">
        <v>-272266.40000000002</v>
      </c>
      <c r="I117" s="221">
        <v>0</v>
      </c>
      <c r="J117" s="3">
        <f t="shared" si="1"/>
        <v>-272266.40000000002</v>
      </c>
    </row>
    <row r="118" spans="1:11" x14ac:dyDescent="0.25">
      <c r="A118" s="2" t="s">
        <v>378</v>
      </c>
      <c r="B118" s="2" t="s">
        <v>379</v>
      </c>
      <c r="C118" s="2" t="s">
        <v>108</v>
      </c>
      <c r="D118" s="2"/>
      <c r="E118" s="2"/>
      <c r="F118" s="249"/>
      <c r="G118" s="2" t="s">
        <v>174</v>
      </c>
      <c r="H118" s="7">
        <v>-7085.23</v>
      </c>
      <c r="I118" s="221">
        <v>0</v>
      </c>
      <c r="J118" s="3">
        <f t="shared" si="1"/>
        <v>-7085.23</v>
      </c>
    </row>
    <row r="119" spans="1:11" x14ac:dyDescent="0.25">
      <c r="A119" s="2" t="s">
        <v>382</v>
      </c>
      <c r="B119" s="2" t="s">
        <v>383</v>
      </c>
      <c r="C119" s="2" t="s">
        <v>108</v>
      </c>
      <c r="D119" s="2"/>
      <c r="E119" s="2"/>
      <c r="F119" s="249"/>
      <c r="G119" s="2" t="s">
        <v>174</v>
      </c>
      <c r="H119" s="7">
        <v>-1555245.8742493314</v>
      </c>
      <c r="I119" s="221">
        <v>0</v>
      </c>
      <c r="J119" s="3">
        <f t="shared" si="1"/>
        <v>-1555245.8742493314</v>
      </c>
    </row>
    <row r="120" spans="1:11" x14ac:dyDescent="0.25">
      <c r="A120" s="2" t="s">
        <v>384</v>
      </c>
      <c r="B120" s="2" t="s">
        <v>385</v>
      </c>
      <c r="C120" s="2" t="s">
        <v>159</v>
      </c>
      <c r="D120" s="2"/>
      <c r="E120" s="2"/>
      <c r="F120" s="249"/>
      <c r="G120" s="2" t="s">
        <v>174</v>
      </c>
      <c r="H120" s="7">
        <v>-480.01</v>
      </c>
      <c r="I120" s="221">
        <v>0</v>
      </c>
      <c r="J120" s="3">
        <f t="shared" si="1"/>
        <v>-480.01</v>
      </c>
    </row>
    <row r="121" spans="1:11" x14ac:dyDescent="0.25">
      <c r="A121" s="2" t="s">
        <v>386</v>
      </c>
      <c r="B121" s="2" t="s">
        <v>387</v>
      </c>
      <c r="C121" s="2" t="s">
        <v>159</v>
      </c>
      <c r="D121" s="2"/>
      <c r="E121" s="2"/>
      <c r="F121" s="249"/>
      <c r="G121" s="2" t="s">
        <v>174</v>
      </c>
      <c r="H121" s="7">
        <v>-267.82999999999947</v>
      </c>
      <c r="I121" s="221">
        <v>0</v>
      </c>
      <c r="J121" s="3">
        <f t="shared" si="1"/>
        <v>-267.82999999999947</v>
      </c>
    </row>
    <row r="122" spans="1:11" x14ac:dyDescent="0.25">
      <c r="A122" s="2" t="s">
        <v>936</v>
      </c>
      <c r="B122" s="2" t="s">
        <v>937</v>
      </c>
      <c r="C122" s="2" t="s">
        <v>159</v>
      </c>
      <c r="D122" s="2"/>
      <c r="E122" s="2"/>
      <c r="F122" s="249"/>
      <c r="G122" s="2" t="s">
        <v>174</v>
      </c>
      <c r="H122" s="7">
        <v>-440382.14999999997</v>
      </c>
      <c r="I122" s="221">
        <v>0</v>
      </c>
      <c r="J122" s="3">
        <f t="shared" si="1"/>
        <v>-440382.14999999997</v>
      </c>
    </row>
    <row r="123" spans="1:11" x14ac:dyDescent="0.25">
      <c r="A123" s="2" t="s">
        <v>388</v>
      </c>
      <c r="B123" s="2" t="s">
        <v>389</v>
      </c>
      <c r="C123" s="2" t="s">
        <v>108</v>
      </c>
      <c r="D123" s="2"/>
      <c r="E123" s="2"/>
      <c r="F123" s="249"/>
      <c r="G123" s="2" t="s">
        <v>174</v>
      </c>
      <c r="H123" s="7">
        <v>-28240.09</v>
      </c>
      <c r="I123" s="221">
        <v>-291.34078131383092</v>
      </c>
      <c r="J123" s="3">
        <f t="shared" si="1"/>
        <v>-27948.749218686171</v>
      </c>
    </row>
    <row r="124" spans="1:11" x14ac:dyDescent="0.25">
      <c r="A124" s="2" t="s">
        <v>390</v>
      </c>
      <c r="B124" s="2" t="s">
        <v>391</v>
      </c>
      <c r="C124" s="2" t="s">
        <v>108</v>
      </c>
      <c r="D124" s="2"/>
      <c r="E124" s="2"/>
      <c r="F124" s="249"/>
      <c r="G124" s="2" t="s">
        <v>174</v>
      </c>
      <c r="H124" s="7">
        <v>-226808.65</v>
      </c>
      <c r="I124" s="221">
        <v>0</v>
      </c>
      <c r="J124" s="3">
        <f t="shared" si="1"/>
        <v>-226808.65</v>
      </c>
    </row>
    <row r="125" spans="1:11" x14ac:dyDescent="0.25">
      <c r="A125" s="2" t="s">
        <v>392</v>
      </c>
      <c r="B125" s="2" t="s">
        <v>393</v>
      </c>
      <c r="C125" s="2" t="s">
        <v>108</v>
      </c>
      <c r="D125" s="2"/>
      <c r="E125" s="2"/>
      <c r="F125" s="249"/>
      <c r="G125" s="2" t="s">
        <v>174</v>
      </c>
      <c r="H125" s="7">
        <v>-1386.4999999999998</v>
      </c>
      <c r="I125" s="221">
        <v>-12794.258073584531</v>
      </c>
      <c r="J125" s="3">
        <f t="shared" si="1"/>
        <v>11407.758073584531</v>
      </c>
    </row>
    <row r="126" spans="1:11" x14ac:dyDescent="0.25">
      <c r="A126" s="2" t="s">
        <v>394</v>
      </c>
      <c r="B126" s="2" t="s">
        <v>395</v>
      </c>
      <c r="C126" s="2" t="s">
        <v>108</v>
      </c>
      <c r="D126" s="2"/>
      <c r="E126" s="2"/>
      <c r="F126" s="249"/>
      <c r="G126" s="2" t="s">
        <v>174</v>
      </c>
      <c r="H126" s="7">
        <v>-36492.78</v>
      </c>
      <c r="I126" s="221">
        <v>0</v>
      </c>
      <c r="J126" s="3">
        <f t="shared" si="1"/>
        <v>-36492.78</v>
      </c>
      <c r="K126" t="s">
        <v>868</v>
      </c>
    </row>
    <row r="127" spans="1:11" x14ac:dyDescent="0.25">
      <c r="A127" s="2" t="s">
        <v>396</v>
      </c>
      <c r="B127" s="2" t="s">
        <v>397</v>
      </c>
      <c r="C127" s="2" t="s">
        <v>108</v>
      </c>
      <c r="D127" s="2"/>
      <c r="E127" s="2"/>
      <c r="F127" s="249"/>
      <c r="G127" s="2" t="s">
        <v>174</v>
      </c>
      <c r="H127" s="7">
        <v>-3485416.2700000009</v>
      </c>
      <c r="I127" s="221">
        <v>-3095100.5623999964</v>
      </c>
      <c r="J127" s="3">
        <f t="shared" si="1"/>
        <v>-390315.70760000451</v>
      </c>
    </row>
    <row r="128" spans="1:11" x14ac:dyDescent="0.25">
      <c r="A128" s="2" t="s">
        <v>400</v>
      </c>
      <c r="B128" s="2" t="s">
        <v>401</v>
      </c>
      <c r="C128" s="2" t="s">
        <v>108</v>
      </c>
      <c r="D128" s="2" t="s">
        <v>12</v>
      </c>
      <c r="E128" s="2" t="s">
        <v>45</v>
      </c>
      <c r="F128" s="249"/>
      <c r="G128" s="248" t="s">
        <v>177</v>
      </c>
      <c r="H128" s="7">
        <v>-44509897.400000006</v>
      </c>
      <c r="I128" s="221">
        <v>-37051853.939228952</v>
      </c>
      <c r="J128" s="3">
        <f t="shared" si="1"/>
        <v>-7458043.460771054</v>
      </c>
    </row>
    <row r="129" spans="1:10" x14ac:dyDescent="0.25">
      <c r="A129" s="2" t="s">
        <v>402</v>
      </c>
      <c r="B129" s="2" t="s">
        <v>403</v>
      </c>
      <c r="C129" s="2" t="s">
        <v>108</v>
      </c>
      <c r="D129" s="2" t="s">
        <v>26</v>
      </c>
      <c r="E129" s="2" t="s">
        <v>26</v>
      </c>
      <c r="F129" s="249" t="s">
        <v>848</v>
      </c>
      <c r="G129" s="2" t="s">
        <v>177</v>
      </c>
      <c r="H129" s="7">
        <v>-423.68</v>
      </c>
      <c r="I129" s="221">
        <v>-1007314.4742219325</v>
      </c>
      <c r="J129" s="3">
        <f t="shared" si="1"/>
        <v>1006890.7942219324</v>
      </c>
    </row>
    <row r="130" spans="1:10" x14ac:dyDescent="0.25">
      <c r="A130" s="2" t="s">
        <v>406</v>
      </c>
      <c r="B130" s="2" t="s">
        <v>407</v>
      </c>
      <c r="C130" s="2" t="s">
        <v>108</v>
      </c>
      <c r="D130" s="2" t="s">
        <v>12</v>
      </c>
      <c r="E130" s="2" t="s">
        <v>45</v>
      </c>
      <c r="F130" s="249"/>
      <c r="G130" s="2" t="s">
        <v>177</v>
      </c>
      <c r="H130" s="7">
        <v>-158815791.07999998</v>
      </c>
      <c r="I130" s="221">
        <v>-3067957.5151001564</v>
      </c>
      <c r="J130" s="3">
        <f t="shared" si="1"/>
        <v>-155747833.56489983</v>
      </c>
    </row>
    <row r="131" spans="1:10" x14ac:dyDescent="0.25">
      <c r="A131" s="2" t="s">
        <v>408</v>
      </c>
      <c r="B131" s="2" t="s">
        <v>409</v>
      </c>
      <c r="C131" s="2" t="s">
        <v>108</v>
      </c>
      <c r="D131" s="2" t="s">
        <v>15</v>
      </c>
      <c r="E131" s="2" t="s">
        <v>41</v>
      </c>
      <c r="F131" s="249" t="s">
        <v>851</v>
      </c>
      <c r="G131" s="2" t="s">
        <v>177</v>
      </c>
      <c r="H131" s="7">
        <v>-5194074.5275619645</v>
      </c>
      <c r="I131" s="221">
        <v>-10122925.179183614</v>
      </c>
      <c r="J131" s="3">
        <f t="shared" si="1"/>
        <v>4928850.651621649</v>
      </c>
    </row>
    <row r="132" spans="1:10" x14ac:dyDescent="0.25">
      <c r="A132" s="2" t="s">
        <v>410</v>
      </c>
      <c r="B132" s="2" t="s">
        <v>411</v>
      </c>
      <c r="C132" s="2" t="s">
        <v>108</v>
      </c>
      <c r="D132" s="2" t="s">
        <v>15</v>
      </c>
      <c r="E132" s="2" t="s">
        <v>41</v>
      </c>
      <c r="F132" s="249" t="s">
        <v>851</v>
      </c>
      <c r="G132" s="2" t="s">
        <v>177</v>
      </c>
      <c r="H132" s="7">
        <v>-499538.91000000003</v>
      </c>
      <c r="I132" s="221">
        <v>-1434359.9340381329</v>
      </c>
      <c r="J132" s="3">
        <f t="shared" si="1"/>
        <v>934821.02403813286</v>
      </c>
    </row>
    <row r="133" spans="1:10" x14ac:dyDescent="0.25">
      <c r="A133" s="2" t="s">
        <v>412</v>
      </c>
      <c r="B133" s="2" t="s">
        <v>413</v>
      </c>
      <c r="C133" s="2" t="s">
        <v>108</v>
      </c>
      <c r="D133" s="2" t="s">
        <v>15</v>
      </c>
      <c r="E133" s="2" t="s">
        <v>41</v>
      </c>
      <c r="F133" s="249" t="s">
        <v>851</v>
      </c>
      <c r="G133" s="2" t="s">
        <v>177</v>
      </c>
      <c r="H133" s="7">
        <v>-155913.93</v>
      </c>
      <c r="I133" s="221">
        <v>0</v>
      </c>
      <c r="J133" s="3">
        <f t="shared" si="1"/>
        <v>-155913.93</v>
      </c>
    </row>
    <row r="134" spans="1:10" x14ac:dyDescent="0.25">
      <c r="A134" s="2" t="s">
        <v>414</v>
      </c>
      <c r="B134" s="2" t="s">
        <v>415</v>
      </c>
      <c r="C134" s="2" t="s">
        <v>108</v>
      </c>
      <c r="D134" s="2" t="s">
        <v>4</v>
      </c>
      <c r="E134" s="2" t="s">
        <v>821</v>
      </c>
      <c r="F134" s="249" t="s">
        <v>850</v>
      </c>
      <c r="G134" s="2" t="s">
        <v>177</v>
      </c>
      <c r="H134" s="7">
        <v>14562652.299999999</v>
      </c>
      <c r="I134" s="221">
        <v>6382400.0000000037</v>
      </c>
      <c r="J134" s="3">
        <f t="shared" ref="J134:J197" si="2">H134-I134</f>
        <v>8180252.2999999952</v>
      </c>
    </row>
    <row r="135" spans="1:10" x14ac:dyDescent="0.25">
      <c r="A135" s="2" t="s">
        <v>416</v>
      </c>
      <c r="B135" s="2" t="s">
        <v>417</v>
      </c>
      <c r="C135" s="2" t="s">
        <v>108</v>
      </c>
      <c r="D135" s="2" t="s">
        <v>6</v>
      </c>
      <c r="E135" s="2" t="s">
        <v>821</v>
      </c>
      <c r="F135" s="249" t="s">
        <v>850</v>
      </c>
      <c r="G135" s="2" t="s">
        <v>177</v>
      </c>
      <c r="H135" s="7">
        <v>-8041.6500000000005</v>
      </c>
      <c r="I135" s="221">
        <v>-3258429.238160836</v>
      </c>
      <c r="J135" s="3">
        <f t="shared" si="2"/>
        <v>3250387.5881608361</v>
      </c>
    </row>
    <row r="136" spans="1:10" x14ac:dyDescent="0.25">
      <c r="A136" s="2" t="s">
        <v>418</v>
      </c>
      <c r="B136" s="2" t="s">
        <v>419</v>
      </c>
      <c r="C136" s="2" t="s">
        <v>108</v>
      </c>
      <c r="D136" s="2" t="s">
        <v>6</v>
      </c>
      <c r="E136" s="2" t="s">
        <v>821</v>
      </c>
      <c r="F136" s="249" t="s">
        <v>850</v>
      </c>
      <c r="G136" s="2" t="s">
        <v>177</v>
      </c>
      <c r="H136" s="7">
        <v>-5512507.0853848783</v>
      </c>
      <c r="I136" s="221">
        <v>-3452.753015949349</v>
      </c>
      <c r="J136" s="3">
        <f t="shared" si="2"/>
        <v>-5509054.3323689289</v>
      </c>
    </row>
    <row r="137" spans="1:10" x14ac:dyDescent="0.25">
      <c r="A137" s="2" t="s">
        <v>420</v>
      </c>
      <c r="B137" s="2" t="s">
        <v>421</v>
      </c>
      <c r="C137" s="2" t="s">
        <v>108</v>
      </c>
      <c r="D137" s="2" t="s">
        <v>6</v>
      </c>
      <c r="E137" s="2" t="s">
        <v>821</v>
      </c>
      <c r="F137" s="249" t="s">
        <v>850</v>
      </c>
      <c r="G137" s="2" t="s">
        <v>177</v>
      </c>
      <c r="H137" s="7">
        <v>-7582881.0731643969</v>
      </c>
      <c r="I137" s="221">
        <v>-17543.818873808475</v>
      </c>
      <c r="J137" s="3">
        <f t="shared" si="2"/>
        <v>-7565337.2542905882</v>
      </c>
    </row>
    <row r="138" spans="1:10" x14ac:dyDescent="0.25">
      <c r="A138" s="2" t="s">
        <v>422</v>
      </c>
      <c r="B138" s="2" t="s">
        <v>423</v>
      </c>
      <c r="C138" s="2" t="s">
        <v>159</v>
      </c>
      <c r="D138" s="2" t="s">
        <v>6</v>
      </c>
      <c r="E138" s="2" t="s">
        <v>821</v>
      </c>
      <c r="F138" s="249" t="s">
        <v>849</v>
      </c>
      <c r="G138" s="2" t="s">
        <v>177</v>
      </c>
      <c r="H138" s="7">
        <v>-646283.88695918606</v>
      </c>
      <c r="I138" s="221">
        <v>0</v>
      </c>
      <c r="J138" s="3">
        <f t="shared" si="2"/>
        <v>-646283.88695918606</v>
      </c>
    </row>
    <row r="139" spans="1:10" x14ac:dyDescent="0.25">
      <c r="A139" s="2" t="s">
        <v>424</v>
      </c>
      <c r="B139" s="2" t="s">
        <v>425</v>
      </c>
      <c r="C139" s="2" t="s">
        <v>108</v>
      </c>
      <c r="D139" s="2" t="s">
        <v>6</v>
      </c>
      <c r="E139" s="2" t="s">
        <v>821</v>
      </c>
      <c r="F139" s="249" t="s">
        <v>850</v>
      </c>
      <c r="G139" s="2" t="s">
        <v>177</v>
      </c>
      <c r="H139" s="7">
        <v>-30083911.437621254</v>
      </c>
      <c r="I139" s="221">
        <v>-328048.10019989865</v>
      </c>
      <c r="J139" s="3">
        <f t="shared" si="2"/>
        <v>-29755863.337421358</v>
      </c>
    </row>
    <row r="140" spans="1:10" x14ac:dyDescent="0.25">
      <c r="A140" s="2" t="s">
        <v>426</v>
      </c>
      <c r="B140" s="2" t="s">
        <v>427</v>
      </c>
      <c r="C140" s="2" t="s">
        <v>108</v>
      </c>
      <c r="D140" s="2" t="s">
        <v>6</v>
      </c>
      <c r="E140" s="2" t="s">
        <v>821</v>
      </c>
      <c r="F140" s="249" t="s">
        <v>850</v>
      </c>
      <c r="G140" s="2" t="s">
        <v>177</v>
      </c>
      <c r="H140" s="7">
        <v>-7266526.9215241875</v>
      </c>
      <c r="I140" s="221">
        <v>-449542.03568699415</v>
      </c>
      <c r="J140" s="3">
        <f t="shared" si="2"/>
        <v>-6816984.8858371936</v>
      </c>
    </row>
    <row r="141" spans="1:10" x14ac:dyDescent="0.25">
      <c r="A141" s="2" t="s">
        <v>428</v>
      </c>
      <c r="B141" s="2" t="s">
        <v>429</v>
      </c>
      <c r="C141" s="2" t="s">
        <v>108</v>
      </c>
      <c r="D141" s="2" t="s">
        <v>6</v>
      </c>
      <c r="E141" s="2" t="s">
        <v>821</v>
      </c>
      <c r="F141" s="249" t="s">
        <v>850</v>
      </c>
      <c r="G141" s="2" t="s">
        <v>177</v>
      </c>
      <c r="H141" s="7">
        <v>-16922789.327885289</v>
      </c>
      <c r="I141" s="221">
        <v>-251838.00168329367</v>
      </c>
      <c r="J141" s="3">
        <f t="shared" si="2"/>
        <v>-16670951.326201996</v>
      </c>
    </row>
    <row r="142" spans="1:10" x14ac:dyDescent="0.25">
      <c r="A142" s="2" t="s">
        <v>430</v>
      </c>
      <c r="B142" s="2" t="s">
        <v>431</v>
      </c>
      <c r="C142" s="2" t="s">
        <v>108</v>
      </c>
      <c r="D142" s="2" t="s">
        <v>6</v>
      </c>
      <c r="E142" s="2" t="s">
        <v>821</v>
      </c>
      <c r="F142" s="249" t="s">
        <v>850</v>
      </c>
      <c r="G142" s="2" t="s">
        <v>177</v>
      </c>
      <c r="H142" s="7">
        <v>-15356014.49040377</v>
      </c>
      <c r="I142" s="221">
        <v>-194567.04748128986</v>
      </c>
      <c r="J142" s="3">
        <f t="shared" si="2"/>
        <v>-15161447.44292248</v>
      </c>
    </row>
    <row r="143" spans="1:10" x14ac:dyDescent="0.25">
      <c r="A143" s="2" t="s">
        <v>432</v>
      </c>
      <c r="B143" s="2" t="s">
        <v>433</v>
      </c>
      <c r="C143" s="2" t="s">
        <v>108</v>
      </c>
      <c r="D143" s="2" t="s">
        <v>26</v>
      </c>
      <c r="E143" s="2" t="s">
        <v>26</v>
      </c>
      <c r="F143" s="249" t="s">
        <v>848</v>
      </c>
      <c r="G143" s="2" t="s">
        <v>177</v>
      </c>
      <c r="H143" s="7">
        <v>779464.2824756623</v>
      </c>
      <c r="I143" s="221">
        <v>0</v>
      </c>
      <c r="J143" s="3">
        <f t="shared" si="2"/>
        <v>779464.2824756623</v>
      </c>
    </row>
    <row r="144" spans="1:10" x14ac:dyDescent="0.25">
      <c r="A144" s="2" t="s">
        <v>434</v>
      </c>
      <c r="B144" s="2" t="s">
        <v>435</v>
      </c>
      <c r="C144" s="2" t="s">
        <v>108</v>
      </c>
      <c r="D144" s="2" t="s">
        <v>19</v>
      </c>
      <c r="E144" s="2" t="s">
        <v>41</v>
      </c>
      <c r="F144" s="249" t="s">
        <v>853</v>
      </c>
      <c r="G144" s="2" t="s">
        <v>177</v>
      </c>
      <c r="H144" s="7">
        <v>734743.39999999991</v>
      </c>
      <c r="I144" s="221">
        <v>0</v>
      </c>
      <c r="J144" s="3">
        <f t="shared" si="2"/>
        <v>734743.39999999991</v>
      </c>
    </row>
    <row r="145" spans="1:10" x14ac:dyDescent="0.25">
      <c r="A145" s="2" t="s">
        <v>436</v>
      </c>
      <c r="B145" s="2" t="s">
        <v>437</v>
      </c>
      <c r="C145" s="2" t="s">
        <v>108</v>
      </c>
      <c r="D145" s="2" t="s">
        <v>23</v>
      </c>
      <c r="E145" s="2" t="s">
        <v>821</v>
      </c>
      <c r="F145" s="249" t="s">
        <v>850</v>
      </c>
      <c r="G145" s="2" t="s">
        <v>177</v>
      </c>
      <c r="H145" s="7">
        <v>-810990.75939100282</v>
      </c>
      <c r="I145" s="221">
        <v>-1757174.0094785567</v>
      </c>
      <c r="J145" s="3">
        <f t="shared" si="2"/>
        <v>946183.25008755387</v>
      </c>
    </row>
    <row r="146" spans="1:10" x14ac:dyDescent="0.25">
      <c r="A146" s="2" t="s">
        <v>438</v>
      </c>
      <c r="B146" s="2" t="s">
        <v>439</v>
      </c>
      <c r="C146" s="2" t="s">
        <v>108</v>
      </c>
      <c r="D146" s="2" t="s">
        <v>23</v>
      </c>
      <c r="E146" s="2" t="s">
        <v>821</v>
      </c>
      <c r="F146" s="249" t="s">
        <v>850</v>
      </c>
      <c r="G146" s="2" t="s">
        <v>177</v>
      </c>
      <c r="H146" s="7">
        <v>-1131792.849469675</v>
      </c>
      <c r="I146" s="221">
        <v>-2096.7850320589341</v>
      </c>
      <c r="J146" s="3">
        <f t="shared" si="2"/>
        <v>-1129696.0644376162</v>
      </c>
    </row>
    <row r="147" spans="1:10" x14ac:dyDescent="0.25">
      <c r="A147" s="2" t="s">
        <v>442</v>
      </c>
      <c r="B147" s="2" t="s">
        <v>443</v>
      </c>
      <c r="C147" s="2" t="s">
        <v>108</v>
      </c>
      <c r="D147" s="2" t="s">
        <v>23</v>
      </c>
      <c r="E147" s="2" t="s">
        <v>821</v>
      </c>
      <c r="F147" s="249" t="s">
        <v>850</v>
      </c>
      <c r="G147" s="2" t="s">
        <v>177</v>
      </c>
      <c r="H147" s="7">
        <v>-3259646.2076432169</v>
      </c>
      <c r="I147" s="221">
        <v>-129512.63623745092</v>
      </c>
      <c r="J147" s="3">
        <f t="shared" si="2"/>
        <v>-3130133.5714057661</v>
      </c>
    </row>
    <row r="148" spans="1:10" x14ac:dyDescent="0.25">
      <c r="A148" s="2" t="s">
        <v>444</v>
      </c>
      <c r="B148" s="2" t="s">
        <v>445</v>
      </c>
      <c r="C148" s="2" t="s">
        <v>108</v>
      </c>
      <c r="D148" s="2" t="s">
        <v>23</v>
      </c>
      <c r="E148" s="2" t="s">
        <v>821</v>
      </c>
      <c r="F148" s="249" t="s">
        <v>850</v>
      </c>
      <c r="G148" s="2" t="s">
        <v>177</v>
      </c>
      <c r="H148" s="7">
        <v>-13148591.727722567</v>
      </c>
      <c r="I148" s="221">
        <v>-939758.49658805644</v>
      </c>
      <c r="J148" s="3">
        <f t="shared" si="2"/>
        <v>-12208833.23113451</v>
      </c>
    </row>
    <row r="149" spans="1:10" x14ac:dyDescent="0.25">
      <c r="A149" s="2" t="s">
        <v>446</v>
      </c>
      <c r="B149" s="2" t="s">
        <v>447</v>
      </c>
      <c r="C149" s="2" t="s">
        <v>108</v>
      </c>
      <c r="D149" s="2" t="s">
        <v>23</v>
      </c>
      <c r="E149" s="2" t="s">
        <v>821</v>
      </c>
      <c r="F149" s="249" t="s">
        <v>850</v>
      </c>
      <c r="G149" s="2" t="s">
        <v>177</v>
      </c>
      <c r="H149" s="7">
        <v>-2124295.2299937215</v>
      </c>
      <c r="I149" s="221">
        <v>-1273712.1873202061</v>
      </c>
      <c r="J149" s="3">
        <f t="shared" si="2"/>
        <v>-850583.04267351539</v>
      </c>
    </row>
    <row r="150" spans="1:10" x14ac:dyDescent="0.25">
      <c r="A150" s="2" t="s">
        <v>448</v>
      </c>
      <c r="B150" s="2" t="s">
        <v>449</v>
      </c>
      <c r="C150" s="2" t="s">
        <v>108</v>
      </c>
      <c r="D150" s="2" t="s">
        <v>23</v>
      </c>
      <c r="E150" s="2" t="s">
        <v>821</v>
      </c>
      <c r="F150" s="249" t="s">
        <v>850</v>
      </c>
      <c r="G150" s="2" t="s">
        <v>177</v>
      </c>
      <c r="H150" s="7">
        <v>-1637663</v>
      </c>
      <c r="I150" s="221">
        <v>-42777.416438186134</v>
      </c>
      <c r="J150" s="3">
        <f t="shared" si="2"/>
        <v>-1594885.5835618139</v>
      </c>
    </row>
    <row r="151" spans="1:10" x14ac:dyDescent="0.25">
      <c r="A151" s="2" t="s">
        <v>450</v>
      </c>
      <c r="B151" s="2" t="s">
        <v>451</v>
      </c>
      <c r="C151" s="2" t="s">
        <v>108</v>
      </c>
      <c r="D151" s="2" t="s">
        <v>26</v>
      </c>
      <c r="E151" s="2" t="s">
        <v>26</v>
      </c>
      <c r="F151" s="249" t="s">
        <v>848</v>
      </c>
      <c r="G151" s="2" t="s">
        <v>177</v>
      </c>
      <c r="H151" s="7">
        <v>-757576.12361765897</v>
      </c>
      <c r="I151" s="221">
        <v>-197094.4790335955</v>
      </c>
      <c r="J151" s="3">
        <f t="shared" si="2"/>
        <v>-560481.64458406344</v>
      </c>
    </row>
    <row r="152" spans="1:10" x14ac:dyDescent="0.25">
      <c r="A152" s="2" t="s">
        <v>938</v>
      </c>
      <c r="B152" s="2" t="s">
        <v>939</v>
      </c>
      <c r="C152" s="2" t="s">
        <v>108</v>
      </c>
      <c r="D152" s="2" t="s">
        <v>26</v>
      </c>
      <c r="E152" s="2" t="s">
        <v>26</v>
      </c>
      <c r="F152" s="249" t="s">
        <v>848</v>
      </c>
      <c r="G152" s="2" t="s">
        <v>177</v>
      </c>
      <c r="H152" s="7">
        <v>-1292404.7968045236</v>
      </c>
      <c r="I152" s="221">
        <v>0</v>
      </c>
      <c r="J152" s="3">
        <f t="shared" si="2"/>
        <v>-1292404.7968045236</v>
      </c>
    </row>
    <row r="153" spans="1:10" x14ac:dyDescent="0.25">
      <c r="A153" s="2" t="s">
        <v>452</v>
      </c>
      <c r="B153" s="2" t="s">
        <v>453</v>
      </c>
      <c r="C153" s="2" t="s">
        <v>108</v>
      </c>
      <c r="D153" s="2" t="s">
        <v>26</v>
      </c>
      <c r="E153" s="2" t="s">
        <v>26</v>
      </c>
      <c r="F153" s="249" t="s">
        <v>848</v>
      </c>
      <c r="G153" s="2" t="s">
        <v>177</v>
      </c>
      <c r="H153" s="7">
        <v>-472148.33</v>
      </c>
      <c r="I153" s="221">
        <v>0</v>
      </c>
      <c r="J153" s="3">
        <f t="shared" si="2"/>
        <v>-472148.33</v>
      </c>
    </row>
    <row r="154" spans="1:10" x14ac:dyDescent="0.25">
      <c r="A154" s="2" t="s">
        <v>454</v>
      </c>
      <c r="B154" s="2" t="s">
        <v>455</v>
      </c>
      <c r="C154" s="2" t="s">
        <v>108</v>
      </c>
      <c r="D154" s="2" t="s">
        <v>26</v>
      </c>
      <c r="E154" s="2" t="s">
        <v>26</v>
      </c>
      <c r="F154" s="249" t="s">
        <v>848</v>
      </c>
      <c r="G154" s="2" t="s">
        <v>177</v>
      </c>
      <c r="H154" s="7">
        <v>-7722.8900000000012</v>
      </c>
      <c r="I154" s="221">
        <v>0</v>
      </c>
      <c r="J154" s="3">
        <f t="shared" si="2"/>
        <v>-7722.8900000000012</v>
      </c>
    </row>
    <row r="155" spans="1:10" x14ac:dyDescent="0.25">
      <c r="A155" s="2" t="s">
        <v>456</v>
      </c>
      <c r="B155" s="2" t="s">
        <v>457</v>
      </c>
      <c r="C155" s="2" t="s">
        <v>108</v>
      </c>
      <c r="D155" s="2" t="s">
        <v>23</v>
      </c>
      <c r="E155" s="2" t="s">
        <v>821</v>
      </c>
      <c r="F155" s="249" t="s">
        <v>850</v>
      </c>
      <c r="G155" s="2" t="s">
        <v>177</v>
      </c>
      <c r="H155" s="7">
        <v>-54192.090000000004</v>
      </c>
      <c r="I155" s="221">
        <v>-2601507.427617657</v>
      </c>
      <c r="J155" s="3">
        <f t="shared" si="2"/>
        <v>2547315.3376176571</v>
      </c>
    </row>
    <row r="156" spans="1:10" x14ac:dyDescent="0.25">
      <c r="A156" s="2" t="s">
        <v>460</v>
      </c>
      <c r="B156" s="2" t="s">
        <v>461</v>
      </c>
      <c r="C156" s="2" t="s">
        <v>108</v>
      </c>
      <c r="D156" s="2" t="s">
        <v>26</v>
      </c>
      <c r="E156" s="2" t="s">
        <v>26</v>
      </c>
      <c r="F156" s="249" t="s">
        <v>848</v>
      </c>
      <c r="G156" s="2" t="s">
        <v>177</v>
      </c>
      <c r="H156" s="7">
        <v>-5735.3399999999983</v>
      </c>
      <c r="I156" s="221">
        <v>-1303933.4285756261</v>
      </c>
      <c r="J156" s="3">
        <f t="shared" si="2"/>
        <v>1298198.088575626</v>
      </c>
    </row>
    <row r="157" spans="1:10" x14ac:dyDescent="0.25">
      <c r="A157" s="2" t="s">
        <v>462</v>
      </c>
      <c r="B157" s="2" t="s">
        <v>463</v>
      </c>
      <c r="C157" s="2" t="s">
        <v>108</v>
      </c>
      <c r="D157" s="2" t="s">
        <v>15</v>
      </c>
      <c r="E157" s="2" t="s">
        <v>41</v>
      </c>
      <c r="F157" s="249" t="s">
        <v>851</v>
      </c>
      <c r="G157" s="2" t="s">
        <v>177</v>
      </c>
      <c r="H157" s="7">
        <v>-267380.51999999996</v>
      </c>
      <c r="I157" s="221">
        <v>-2498008.7604297181</v>
      </c>
      <c r="J157" s="3">
        <f t="shared" si="2"/>
        <v>2230628.240429718</v>
      </c>
    </row>
    <row r="158" spans="1:10" x14ac:dyDescent="0.25">
      <c r="A158" s="2" t="s">
        <v>464</v>
      </c>
      <c r="B158" s="2" t="s">
        <v>465</v>
      </c>
      <c r="C158" s="2" t="s">
        <v>108</v>
      </c>
      <c r="D158" s="2"/>
      <c r="E158" s="2"/>
      <c r="F158" s="249"/>
      <c r="G158" s="2" t="s">
        <v>178</v>
      </c>
      <c r="H158" s="7">
        <v>-2517619.42</v>
      </c>
      <c r="I158" s="221">
        <v>0</v>
      </c>
      <c r="J158" s="3">
        <f t="shared" si="2"/>
        <v>-2517619.42</v>
      </c>
    </row>
    <row r="159" spans="1:10" x14ac:dyDescent="0.25">
      <c r="A159" s="2" t="s">
        <v>466</v>
      </c>
      <c r="B159" s="2" t="s">
        <v>467</v>
      </c>
      <c r="C159" s="2" t="s">
        <v>108</v>
      </c>
      <c r="D159" s="2" t="s">
        <v>10</v>
      </c>
      <c r="E159" s="2" t="s">
        <v>41</v>
      </c>
      <c r="F159" s="249" t="s">
        <v>846</v>
      </c>
      <c r="G159" s="2" t="s">
        <v>177</v>
      </c>
      <c r="H159" s="7">
        <v>-2406256.4755644454</v>
      </c>
      <c r="I159" s="221">
        <v>-3642840.7176343375</v>
      </c>
      <c r="J159" s="3">
        <f t="shared" si="2"/>
        <v>1236584.2420698921</v>
      </c>
    </row>
    <row r="160" spans="1:10" x14ac:dyDescent="0.25">
      <c r="A160" s="2" t="s">
        <v>468</v>
      </c>
      <c r="B160" s="2" t="s">
        <v>469</v>
      </c>
      <c r="C160" s="2" t="s">
        <v>108</v>
      </c>
      <c r="D160" s="2" t="s">
        <v>10</v>
      </c>
      <c r="E160" s="2" t="s">
        <v>41</v>
      </c>
      <c r="F160" s="249" t="s">
        <v>846</v>
      </c>
      <c r="G160" s="2" t="s">
        <v>177</v>
      </c>
      <c r="H160" s="7">
        <v>-2372040.1500000004</v>
      </c>
      <c r="I160" s="221">
        <v>-1756507.0783757369</v>
      </c>
      <c r="J160" s="3">
        <f t="shared" si="2"/>
        <v>-615533.07162426342</v>
      </c>
    </row>
    <row r="161" spans="1:10" x14ac:dyDescent="0.25">
      <c r="A161" s="2" t="s">
        <v>470</v>
      </c>
      <c r="B161" s="2" t="s">
        <v>471</v>
      </c>
      <c r="C161" s="2" t="s">
        <v>108</v>
      </c>
      <c r="D161" s="2" t="s">
        <v>10</v>
      </c>
      <c r="E161" s="2" t="s">
        <v>41</v>
      </c>
      <c r="F161" s="249" t="s">
        <v>846</v>
      </c>
      <c r="G161" s="2" t="s">
        <v>177</v>
      </c>
      <c r="H161" s="7">
        <v>-2139720.5425188881</v>
      </c>
      <c r="I161" s="221">
        <v>-1606939.8124574216</v>
      </c>
      <c r="J161" s="3">
        <f t="shared" si="2"/>
        <v>-532780.73006146657</v>
      </c>
    </row>
    <row r="162" spans="1:10" x14ac:dyDescent="0.25">
      <c r="A162" s="2" t="s">
        <v>472</v>
      </c>
      <c r="B162" s="2" t="s">
        <v>473</v>
      </c>
      <c r="C162" s="2" t="s">
        <v>108</v>
      </c>
      <c r="D162" s="2" t="s">
        <v>10</v>
      </c>
      <c r="E162" s="2" t="s">
        <v>41</v>
      </c>
      <c r="F162" s="249" t="s">
        <v>846</v>
      </c>
      <c r="G162" s="2" t="s">
        <v>177</v>
      </c>
      <c r="H162" s="7">
        <v>-6318232.3241704041</v>
      </c>
      <c r="I162" s="221">
        <v>-1189417.440160949</v>
      </c>
      <c r="J162" s="3">
        <f t="shared" si="2"/>
        <v>-5128814.8840094553</v>
      </c>
    </row>
    <row r="163" spans="1:10" x14ac:dyDescent="0.25">
      <c r="A163" s="2" t="s">
        <v>474</v>
      </c>
      <c r="B163" s="2" t="s">
        <v>475</v>
      </c>
      <c r="C163" s="2" t="s">
        <v>108</v>
      </c>
      <c r="D163" s="2" t="s">
        <v>10</v>
      </c>
      <c r="E163" s="2" t="s">
        <v>41</v>
      </c>
      <c r="F163" s="249" t="s">
        <v>846</v>
      </c>
      <c r="G163" s="2" t="s">
        <v>177</v>
      </c>
      <c r="H163" s="7">
        <v>-25478963.849993762</v>
      </c>
      <c r="I163" s="221">
        <v>-16869284.057530042</v>
      </c>
      <c r="J163" s="3">
        <f t="shared" si="2"/>
        <v>-8609679.7924637198</v>
      </c>
    </row>
    <row r="164" spans="1:10" x14ac:dyDescent="0.25">
      <c r="A164" s="2" t="s">
        <v>476</v>
      </c>
      <c r="B164" s="2" t="s">
        <v>477</v>
      </c>
      <c r="C164" s="2" t="s">
        <v>108</v>
      </c>
      <c r="D164" s="2" t="s">
        <v>10</v>
      </c>
      <c r="E164" s="2" t="s">
        <v>41</v>
      </c>
      <c r="F164" s="249" t="s">
        <v>846</v>
      </c>
      <c r="G164" s="2" t="s">
        <v>177</v>
      </c>
      <c r="H164" s="7">
        <v>-30365295.775305152</v>
      </c>
      <c r="I164" s="221">
        <v>-18644248.913706027</v>
      </c>
      <c r="J164" s="3">
        <f t="shared" si="2"/>
        <v>-11721046.861599125</v>
      </c>
    </row>
    <row r="165" spans="1:10" x14ac:dyDescent="0.25">
      <c r="A165" s="2" t="s">
        <v>478</v>
      </c>
      <c r="B165" s="2" t="s">
        <v>479</v>
      </c>
      <c r="C165" s="2" t="s">
        <v>108</v>
      </c>
      <c r="D165" s="2" t="s">
        <v>10</v>
      </c>
      <c r="E165" s="2" t="s">
        <v>41</v>
      </c>
      <c r="F165" s="249" t="s">
        <v>846</v>
      </c>
      <c r="G165" s="2" t="s">
        <v>177</v>
      </c>
      <c r="H165" s="7">
        <v>-4177086.3413060443</v>
      </c>
      <c r="I165" s="221">
        <v>-5064605.6706447974</v>
      </c>
      <c r="J165" s="3">
        <f t="shared" si="2"/>
        <v>887519.32933875313</v>
      </c>
    </row>
    <row r="166" spans="1:10" x14ac:dyDescent="0.25">
      <c r="A166" s="2" t="s">
        <v>480</v>
      </c>
      <c r="B166" s="2" t="s">
        <v>481</v>
      </c>
      <c r="C166" s="2" t="s">
        <v>108</v>
      </c>
      <c r="D166" s="2" t="s">
        <v>10</v>
      </c>
      <c r="E166" s="2" t="s">
        <v>41</v>
      </c>
      <c r="F166" s="249" t="s">
        <v>846</v>
      </c>
      <c r="G166" s="2" t="s">
        <v>177</v>
      </c>
      <c r="H166" s="7">
        <v>-6532201.7105618957</v>
      </c>
      <c r="I166" s="221">
        <v>-77270.408691708741</v>
      </c>
      <c r="J166" s="3">
        <f t="shared" si="2"/>
        <v>-6454931.3018701868</v>
      </c>
    </row>
    <row r="167" spans="1:10" x14ac:dyDescent="0.25">
      <c r="A167" s="2" t="s">
        <v>482</v>
      </c>
      <c r="B167" s="2" t="s">
        <v>483</v>
      </c>
      <c r="C167" s="2" t="s">
        <v>108</v>
      </c>
      <c r="D167" s="2" t="s">
        <v>2</v>
      </c>
      <c r="E167" s="2" t="s">
        <v>41</v>
      </c>
      <c r="F167" s="249"/>
      <c r="G167" s="2" t="s">
        <v>177</v>
      </c>
      <c r="H167" s="7">
        <v>5362.9899999999989</v>
      </c>
      <c r="I167" s="221">
        <v>0</v>
      </c>
      <c r="J167" s="3">
        <f t="shared" si="2"/>
        <v>5362.9899999999989</v>
      </c>
    </row>
    <row r="168" spans="1:10" x14ac:dyDescent="0.25">
      <c r="A168" s="2" t="s">
        <v>484</v>
      </c>
      <c r="B168" s="2" t="s">
        <v>485</v>
      </c>
      <c r="C168" s="2" t="s">
        <v>108</v>
      </c>
      <c r="D168" s="2" t="s">
        <v>2</v>
      </c>
      <c r="E168" s="2" t="s">
        <v>41</v>
      </c>
      <c r="F168" s="249"/>
      <c r="G168" s="2" t="s">
        <v>177</v>
      </c>
      <c r="H168" s="7">
        <v>-2746811.24</v>
      </c>
      <c r="I168" s="221">
        <v>-534307.19782597886</v>
      </c>
      <c r="J168" s="3">
        <f t="shared" si="2"/>
        <v>-2212504.0421740212</v>
      </c>
    </row>
    <row r="169" spans="1:10" x14ac:dyDescent="0.25">
      <c r="A169" s="2" t="s">
        <v>940</v>
      </c>
      <c r="B169" s="2" t="s">
        <v>941</v>
      </c>
      <c r="C169" s="2" t="s">
        <v>108</v>
      </c>
      <c r="D169" s="2" t="s">
        <v>26</v>
      </c>
      <c r="E169" s="2" t="s">
        <v>26</v>
      </c>
      <c r="F169" s="249" t="s">
        <v>848</v>
      </c>
      <c r="G169" s="2" t="s">
        <v>177</v>
      </c>
      <c r="H169" s="7">
        <v>-43840.73</v>
      </c>
      <c r="I169" s="221">
        <v>0</v>
      </c>
      <c r="J169" s="3">
        <f t="shared" si="2"/>
        <v>-43840.73</v>
      </c>
    </row>
    <row r="170" spans="1:10" x14ac:dyDescent="0.25">
      <c r="A170" s="2" t="s">
        <v>486</v>
      </c>
      <c r="B170" s="2" t="s">
        <v>487</v>
      </c>
      <c r="C170" s="2" t="s">
        <v>108</v>
      </c>
      <c r="D170" s="2" t="s">
        <v>23</v>
      </c>
      <c r="E170" s="2" t="s">
        <v>821</v>
      </c>
      <c r="F170" s="249" t="s">
        <v>850</v>
      </c>
      <c r="G170" s="2" t="s">
        <v>177</v>
      </c>
      <c r="H170" s="7">
        <v>-289356.60653857101</v>
      </c>
      <c r="I170" s="221">
        <v>-23122.496188339908</v>
      </c>
      <c r="J170" s="3">
        <f t="shared" si="2"/>
        <v>-266234.11035023112</v>
      </c>
    </row>
    <row r="171" spans="1:10" x14ac:dyDescent="0.25">
      <c r="A171" s="2" t="s">
        <v>488</v>
      </c>
      <c r="B171" s="2" t="s">
        <v>489</v>
      </c>
      <c r="C171" s="2" t="s">
        <v>108</v>
      </c>
      <c r="D171" s="2" t="s">
        <v>15</v>
      </c>
      <c r="E171" s="2" t="s">
        <v>41</v>
      </c>
      <c r="F171" s="249" t="s">
        <v>851</v>
      </c>
      <c r="G171" s="2" t="s">
        <v>177</v>
      </c>
      <c r="H171" s="7">
        <v>-13184031.87364202</v>
      </c>
      <c r="I171" s="221">
        <v>-13489572.617585285</v>
      </c>
      <c r="J171" s="3">
        <f t="shared" si="2"/>
        <v>305540.74394326471</v>
      </c>
    </row>
    <row r="172" spans="1:10" x14ac:dyDescent="0.25">
      <c r="A172" s="2" t="s">
        <v>490</v>
      </c>
      <c r="B172" s="2" t="s">
        <v>491</v>
      </c>
      <c r="C172" s="2" t="s">
        <v>108</v>
      </c>
      <c r="D172" s="2" t="s">
        <v>15</v>
      </c>
      <c r="E172" s="2" t="s">
        <v>41</v>
      </c>
      <c r="F172" s="249" t="s">
        <v>851</v>
      </c>
      <c r="G172" s="2" t="s">
        <v>177</v>
      </c>
      <c r="H172" s="7">
        <v>-26591228.166296277</v>
      </c>
      <c r="I172" s="221">
        <v>0</v>
      </c>
      <c r="J172" s="3">
        <f t="shared" si="2"/>
        <v>-26591228.166296277</v>
      </c>
    </row>
    <row r="173" spans="1:10" x14ac:dyDescent="0.25">
      <c r="A173" s="2" t="s">
        <v>492</v>
      </c>
      <c r="B173" s="2" t="s">
        <v>493</v>
      </c>
      <c r="C173" s="2" t="s">
        <v>108</v>
      </c>
      <c r="D173" s="2" t="s">
        <v>15</v>
      </c>
      <c r="E173" s="2" t="s">
        <v>41</v>
      </c>
      <c r="F173" s="249" t="s">
        <v>851</v>
      </c>
      <c r="G173" s="2" t="s">
        <v>177</v>
      </c>
      <c r="H173" s="7">
        <v>-8130037.159317242</v>
      </c>
      <c r="I173" s="221">
        <v>-46177442.508803926</v>
      </c>
      <c r="J173" s="3">
        <f t="shared" si="2"/>
        <v>38047405.349486686</v>
      </c>
    </row>
    <row r="174" spans="1:10" x14ac:dyDescent="0.25">
      <c r="A174" s="2" t="s">
        <v>494</v>
      </c>
      <c r="B174" s="2" t="s">
        <v>495</v>
      </c>
      <c r="C174" s="2" t="s">
        <v>108</v>
      </c>
      <c r="D174" s="2" t="s">
        <v>15</v>
      </c>
      <c r="E174" s="2" t="s">
        <v>41</v>
      </c>
      <c r="F174" s="249" t="s">
        <v>851</v>
      </c>
      <c r="G174" s="2" t="s">
        <v>177</v>
      </c>
      <c r="H174" s="7">
        <v>-1991093.3701229529</v>
      </c>
      <c r="I174" s="221">
        <v>-12358911.537837982</v>
      </c>
      <c r="J174" s="3">
        <f t="shared" si="2"/>
        <v>10367818.16771503</v>
      </c>
    </row>
    <row r="175" spans="1:10" x14ac:dyDescent="0.25">
      <c r="A175" s="2" t="s">
        <v>496</v>
      </c>
      <c r="B175" s="2" t="s">
        <v>497</v>
      </c>
      <c r="C175" s="2" t="s">
        <v>108</v>
      </c>
      <c r="D175" s="2" t="s">
        <v>15</v>
      </c>
      <c r="E175" s="2" t="s">
        <v>41</v>
      </c>
      <c r="F175" s="249" t="s">
        <v>851</v>
      </c>
      <c r="G175" s="2" t="s">
        <v>177</v>
      </c>
      <c r="H175" s="7">
        <v>-4644157.8318888973</v>
      </c>
      <c r="I175" s="221">
        <v>-3468753.4409467499</v>
      </c>
      <c r="J175" s="3">
        <f t="shared" si="2"/>
        <v>-1175404.3909421475</v>
      </c>
    </row>
    <row r="176" spans="1:10" x14ac:dyDescent="0.25">
      <c r="A176" s="2" t="s">
        <v>498</v>
      </c>
      <c r="B176" s="2" t="s">
        <v>499</v>
      </c>
      <c r="C176" s="2" t="s">
        <v>108</v>
      </c>
      <c r="D176" s="2" t="s">
        <v>15</v>
      </c>
      <c r="E176" s="2" t="s">
        <v>41</v>
      </c>
      <c r="F176" s="249" t="s">
        <v>851</v>
      </c>
      <c r="G176" s="2" t="s">
        <v>177</v>
      </c>
      <c r="H176" s="7">
        <v>-13874827.599354368</v>
      </c>
      <c r="I176" s="221">
        <v>-2743343.3116766242</v>
      </c>
      <c r="J176" s="3">
        <f t="shared" si="2"/>
        <v>-11131484.287677743</v>
      </c>
    </row>
    <row r="177" spans="1:14" x14ac:dyDescent="0.25">
      <c r="A177" s="2" t="s">
        <v>942</v>
      </c>
      <c r="B177" s="2" t="s">
        <v>943</v>
      </c>
      <c r="C177" s="2" t="s">
        <v>108</v>
      </c>
      <c r="D177" s="2" t="s">
        <v>26</v>
      </c>
      <c r="E177" s="2" t="s">
        <v>26</v>
      </c>
      <c r="F177" s="249" t="s">
        <v>848</v>
      </c>
      <c r="G177" s="2" t="s">
        <v>177</v>
      </c>
      <c r="H177" s="7">
        <v>-135145.16999999998</v>
      </c>
      <c r="I177" s="221">
        <v>0</v>
      </c>
      <c r="J177" s="3">
        <f t="shared" si="2"/>
        <v>-135145.16999999998</v>
      </c>
    </row>
    <row r="178" spans="1:14" x14ac:dyDescent="0.25">
      <c r="A178" s="2" t="s">
        <v>500</v>
      </c>
      <c r="B178" s="2" t="s">
        <v>501</v>
      </c>
      <c r="C178" s="2" t="s">
        <v>108</v>
      </c>
      <c r="D178" s="2" t="s">
        <v>26</v>
      </c>
      <c r="E178" s="2" t="s">
        <v>26</v>
      </c>
      <c r="F178" s="249" t="s">
        <v>848</v>
      </c>
      <c r="G178" s="2" t="s">
        <v>177</v>
      </c>
      <c r="H178" s="7">
        <v>-3089040.7899999996</v>
      </c>
      <c r="I178" s="221">
        <v>-2883351.1757637528</v>
      </c>
      <c r="J178" s="3">
        <f t="shared" si="2"/>
        <v>-205689.61423624679</v>
      </c>
    </row>
    <row r="179" spans="1:14" x14ac:dyDescent="0.25">
      <c r="A179" s="2" t="s">
        <v>502</v>
      </c>
      <c r="B179" s="2" t="s">
        <v>503</v>
      </c>
      <c r="C179" s="2" t="s">
        <v>108</v>
      </c>
      <c r="D179" s="2" t="s">
        <v>15</v>
      </c>
      <c r="E179" s="2" t="s">
        <v>41</v>
      </c>
      <c r="F179" s="249" t="s">
        <v>851</v>
      </c>
      <c r="G179" s="2" t="s">
        <v>177</v>
      </c>
      <c r="H179" s="7">
        <v>-19054204.977935247</v>
      </c>
      <c r="I179" s="221">
        <v>-11728176.84713937</v>
      </c>
      <c r="J179" s="3">
        <f t="shared" si="2"/>
        <v>-7326028.1307958774</v>
      </c>
    </row>
    <row r="180" spans="1:14" x14ac:dyDescent="0.25">
      <c r="A180" s="2" t="s">
        <v>504</v>
      </c>
      <c r="B180" s="2" t="s">
        <v>505</v>
      </c>
      <c r="C180" s="2" t="s">
        <v>108</v>
      </c>
      <c r="D180" s="2" t="s">
        <v>15</v>
      </c>
      <c r="E180" s="2" t="s">
        <v>41</v>
      </c>
      <c r="F180" s="249" t="s">
        <v>851</v>
      </c>
      <c r="G180" s="2" t="s">
        <v>177</v>
      </c>
      <c r="H180" s="7">
        <v>-1311998.2014965296</v>
      </c>
      <c r="I180" s="221">
        <v>-2842255.0083662439</v>
      </c>
      <c r="J180" s="3">
        <f t="shared" si="2"/>
        <v>1530256.8068697143</v>
      </c>
    </row>
    <row r="181" spans="1:14" x14ac:dyDescent="0.25">
      <c r="A181" s="2" t="s">
        <v>506</v>
      </c>
      <c r="B181" s="2" t="s">
        <v>507</v>
      </c>
      <c r="C181" s="2" t="s">
        <v>108</v>
      </c>
      <c r="D181" s="2" t="s">
        <v>15</v>
      </c>
      <c r="E181" s="2" t="s">
        <v>41</v>
      </c>
      <c r="F181" s="249" t="s">
        <v>851</v>
      </c>
      <c r="G181" s="2" t="s">
        <v>177</v>
      </c>
      <c r="H181" s="7">
        <v>-11013199.759829553</v>
      </c>
      <c r="I181" s="221">
        <v>-598051.27450237027</v>
      </c>
      <c r="J181" s="3">
        <f t="shared" si="2"/>
        <v>-10415148.485327182</v>
      </c>
    </row>
    <row r="182" spans="1:14" x14ac:dyDescent="0.25">
      <c r="A182" s="241" t="s">
        <v>510</v>
      </c>
      <c r="B182" s="241" t="s">
        <v>511</v>
      </c>
      <c r="C182" s="241" t="s">
        <v>108</v>
      </c>
      <c r="D182" s="241" t="s">
        <v>26</v>
      </c>
      <c r="E182" s="241" t="s">
        <v>26</v>
      </c>
      <c r="F182" s="280" t="s">
        <v>848</v>
      </c>
      <c r="G182" s="241" t="s">
        <v>177</v>
      </c>
      <c r="H182" s="242">
        <v>-140467.14000000001</v>
      </c>
      <c r="I182" s="243">
        <v>-343.58994116342234</v>
      </c>
      <c r="J182" s="242">
        <f t="shared" si="2"/>
        <v>-140123.55005883658</v>
      </c>
      <c r="K182" s="244"/>
      <c r="L182" s="7"/>
      <c r="M182" s="221"/>
      <c r="N182" s="3"/>
    </row>
    <row r="183" spans="1:14" x14ac:dyDescent="0.25">
      <c r="A183" s="2" t="s">
        <v>514</v>
      </c>
      <c r="B183" s="2" t="s">
        <v>515</v>
      </c>
      <c r="C183" s="2" t="s">
        <v>108</v>
      </c>
      <c r="D183" s="2" t="s">
        <v>15</v>
      </c>
      <c r="E183" s="2" t="s">
        <v>41</v>
      </c>
      <c r="F183" s="249" t="s">
        <v>851</v>
      </c>
      <c r="G183" s="2" t="s">
        <v>177</v>
      </c>
      <c r="H183" s="7">
        <v>-963883.77984976454</v>
      </c>
      <c r="I183" s="221">
        <v>0</v>
      </c>
      <c r="J183" s="3">
        <f t="shared" si="2"/>
        <v>-963883.77984976454</v>
      </c>
    </row>
    <row r="184" spans="1:14" x14ac:dyDescent="0.25">
      <c r="A184" s="2" t="s">
        <v>518</v>
      </c>
      <c r="B184" s="2" t="s">
        <v>519</v>
      </c>
      <c r="C184" s="2" t="s">
        <v>108</v>
      </c>
      <c r="D184" s="2" t="s">
        <v>26</v>
      </c>
      <c r="E184" s="2" t="s">
        <v>26</v>
      </c>
      <c r="F184" s="249" t="s">
        <v>848</v>
      </c>
      <c r="G184" s="2" t="s">
        <v>177</v>
      </c>
      <c r="H184" s="7">
        <v>-20759.32</v>
      </c>
      <c r="I184" s="221">
        <v>0</v>
      </c>
      <c r="J184" s="3">
        <f t="shared" si="2"/>
        <v>-20759.32</v>
      </c>
    </row>
    <row r="185" spans="1:14" x14ac:dyDescent="0.25">
      <c r="A185" s="2" t="s">
        <v>520</v>
      </c>
      <c r="B185" s="2" t="s">
        <v>521</v>
      </c>
      <c r="C185" s="2" t="s">
        <v>108</v>
      </c>
      <c r="D185" s="2" t="s">
        <v>15</v>
      </c>
      <c r="E185" s="2" t="s">
        <v>41</v>
      </c>
      <c r="F185" s="249" t="s">
        <v>851</v>
      </c>
      <c r="G185" s="2" t="s">
        <v>177</v>
      </c>
      <c r="H185" s="7">
        <v>-15526234.392010286</v>
      </c>
      <c r="I185" s="221">
        <v>-161747.64343363733</v>
      </c>
      <c r="J185" s="3">
        <f t="shared" si="2"/>
        <v>-15364486.748576649</v>
      </c>
    </row>
    <row r="186" spans="1:14" x14ac:dyDescent="0.25">
      <c r="A186" s="2" t="s">
        <v>522</v>
      </c>
      <c r="B186" s="2" t="s">
        <v>523</v>
      </c>
      <c r="C186" s="2" t="s">
        <v>108</v>
      </c>
      <c r="D186" s="2" t="s">
        <v>26</v>
      </c>
      <c r="E186" s="2" t="s">
        <v>26</v>
      </c>
      <c r="F186" s="249" t="s">
        <v>848</v>
      </c>
      <c r="G186" s="2" t="s">
        <v>177</v>
      </c>
      <c r="H186" s="7">
        <v>-944312.64973241067</v>
      </c>
      <c r="I186" s="221">
        <v>-2439.4244755307986</v>
      </c>
      <c r="J186" s="3">
        <f t="shared" si="2"/>
        <v>-941873.22525687993</v>
      </c>
    </row>
    <row r="187" spans="1:14" x14ac:dyDescent="0.25">
      <c r="A187" s="2" t="s">
        <v>524</v>
      </c>
      <c r="B187" s="2" t="s">
        <v>525</v>
      </c>
      <c r="C187" s="2" t="s">
        <v>108</v>
      </c>
      <c r="D187" s="2"/>
      <c r="E187" s="2"/>
      <c r="F187" s="249"/>
      <c r="G187" s="2" t="s">
        <v>178</v>
      </c>
      <c r="H187" s="7">
        <v>-277293.58741736418</v>
      </c>
      <c r="I187" s="221">
        <v>0</v>
      </c>
      <c r="J187" s="3">
        <f t="shared" si="2"/>
        <v>-277293.58741736418</v>
      </c>
    </row>
    <row r="188" spans="1:14" x14ac:dyDescent="0.25">
      <c r="A188" s="2" t="s">
        <v>526</v>
      </c>
      <c r="B188" s="2" t="s">
        <v>527</v>
      </c>
      <c r="C188" s="2" t="s">
        <v>108</v>
      </c>
      <c r="D188" s="2" t="s">
        <v>10</v>
      </c>
      <c r="E188" s="2" t="s">
        <v>41</v>
      </c>
      <c r="F188" s="249" t="s">
        <v>846</v>
      </c>
      <c r="G188" s="2" t="s">
        <v>177</v>
      </c>
      <c r="H188" s="7">
        <v>-4360134.8086507739</v>
      </c>
      <c r="I188" s="221">
        <v>-1208886.284194574</v>
      </c>
      <c r="J188" s="3">
        <f t="shared" si="2"/>
        <v>-3151248.5244562002</v>
      </c>
    </row>
    <row r="189" spans="1:14" x14ac:dyDescent="0.25">
      <c r="A189" s="2" t="s">
        <v>528</v>
      </c>
      <c r="B189" s="2" t="s">
        <v>529</v>
      </c>
      <c r="C189" s="2" t="s">
        <v>108</v>
      </c>
      <c r="D189" s="2" t="s">
        <v>10</v>
      </c>
      <c r="E189" s="2" t="s">
        <v>41</v>
      </c>
      <c r="F189" s="249" t="s">
        <v>846</v>
      </c>
      <c r="G189" s="2" t="s">
        <v>177</v>
      </c>
      <c r="H189" s="7">
        <v>-38573.47</v>
      </c>
      <c r="I189" s="221">
        <v>-219797.88139630793</v>
      </c>
      <c r="J189" s="3">
        <f t="shared" si="2"/>
        <v>181224.41139630793</v>
      </c>
    </row>
    <row r="190" spans="1:14" x14ac:dyDescent="0.25">
      <c r="A190" s="2" t="s">
        <v>532</v>
      </c>
      <c r="B190" s="2" t="s">
        <v>533</v>
      </c>
      <c r="C190" s="2" t="s">
        <v>108</v>
      </c>
      <c r="D190" s="2" t="s">
        <v>15</v>
      </c>
      <c r="E190" s="2" t="s">
        <v>41</v>
      </c>
      <c r="F190" s="249" t="s">
        <v>851</v>
      </c>
      <c r="G190" s="2" t="s">
        <v>177</v>
      </c>
      <c r="H190" s="7">
        <v>-6867195.1160102468</v>
      </c>
      <c r="I190" s="221">
        <v>-27730275.612953339</v>
      </c>
      <c r="J190" s="3">
        <f t="shared" si="2"/>
        <v>20863080.496943094</v>
      </c>
    </row>
    <row r="191" spans="1:14" x14ac:dyDescent="0.25">
      <c r="A191" s="2" t="s">
        <v>534</v>
      </c>
      <c r="B191" s="2" t="s">
        <v>535</v>
      </c>
      <c r="C191" s="2" t="s">
        <v>108</v>
      </c>
      <c r="D191" s="2" t="s">
        <v>15</v>
      </c>
      <c r="E191" s="2" t="s">
        <v>41</v>
      </c>
      <c r="F191" s="249" t="s">
        <v>851</v>
      </c>
      <c r="G191" s="2" t="s">
        <v>177</v>
      </c>
      <c r="H191" s="7">
        <v>-11986074.226060275</v>
      </c>
      <c r="I191" s="221">
        <v>-5896473.0104704974</v>
      </c>
      <c r="J191" s="3">
        <f t="shared" si="2"/>
        <v>-6089601.2155897776</v>
      </c>
    </row>
    <row r="192" spans="1:14" x14ac:dyDescent="0.25">
      <c r="A192" s="2" t="s">
        <v>536</v>
      </c>
      <c r="B192" s="2" t="s">
        <v>537</v>
      </c>
      <c r="C192" s="2" t="s">
        <v>108</v>
      </c>
      <c r="D192" s="2" t="s">
        <v>15</v>
      </c>
      <c r="E192" s="2" t="s">
        <v>41</v>
      </c>
      <c r="F192" s="249" t="s">
        <v>851</v>
      </c>
      <c r="G192" s="2" t="s">
        <v>177</v>
      </c>
      <c r="H192" s="7">
        <v>-1037790.98</v>
      </c>
      <c r="I192" s="221">
        <v>-132602.58469901333</v>
      </c>
      <c r="J192" s="3">
        <f t="shared" si="2"/>
        <v>-905188.39530098671</v>
      </c>
    </row>
    <row r="193" spans="1:10" x14ac:dyDescent="0.25">
      <c r="A193" s="2" t="s">
        <v>538</v>
      </c>
      <c r="B193" s="2" t="s">
        <v>539</v>
      </c>
      <c r="C193" s="2" t="s">
        <v>108</v>
      </c>
      <c r="D193" s="2" t="s">
        <v>15</v>
      </c>
      <c r="E193" s="2" t="s">
        <v>41</v>
      </c>
      <c r="F193" s="249" t="s">
        <v>851</v>
      </c>
      <c r="G193" s="2" t="s">
        <v>177</v>
      </c>
      <c r="H193" s="7">
        <v>-115430.08000000002</v>
      </c>
      <c r="I193" s="221">
        <v>-8484.2528510976499</v>
      </c>
      <c r="J193" s="3">
        <f t="shared" si="2"/>
        <v>-106945.82714890236</v>
      </c>
    </row>
    <row r="194" spans="1:10" x14ac:dyDescent="0.25">
      <c r="A194" s="2" t="s">
        <v>544</v>
      </c>
      <c r="B194" s="2" t="s">
        <v>545</v>
      </c>
      <c r="C194" s="2" t="s">
        <v>810</v>
      </c>
      <c r="D194" s="2" t="s">
        <v>872</v>
      </c>
      <c r="E194" s="2" t="s">
        <v>41</v>
      </c>
      <c r="F194" s="249" t="s">
        <v>844</v>
      </c>
      <c r="G194" s="2" t="s">
        <v>172</v>
      </c>
      <c r="H194" s="7">
        <v>-80813.69</v>
      </c>
      <c r="I194" s="221">
        <v>0</v>
      </c>
      <c r="J194" s="3">
        <f t="shared" si="2"/>
        <v>-80813.69</v>
      </c>
    </row>
    <row r="195" spans="1:10" x14ac:dyDescent="0.25">
      <c r="A195" s="2" t="s">
        <v>546</v>
      </c>
      <c r="B195" s="2" t="s">
        <v>547</v>
      </c>
      <c r="C195" s="2" t="s">
        <v>108</v>
      </c>
      <c r="D195" s="2" t="s">
        <v>872</v>
      </c>
      <c r="E195" s="2" t="s">
        <v>41</v>
      </c>
      <c r="F195" s="249" t="s">
        <v>844</v>
      </c>
      <c r="G195" s="2" t="s">
        <v>172</v>
      </c>
      <c r="H195" s="7">
        <v>-100838.31000000001</v>
      </c>
      <c r="I195" s="221">
        <v>0</v>
      </c>
      <c r="J195" s="3">
        <f t="shared" si="2"/>
        <v>-100838.31000000001</v>
      </c>
    </row>
    <row r="196" spans="1:10" x14ac:dyDescent="0.25">
      <c r="A196" s="2" t="s">
        <v>548</v>
      </c>
      <c r="B196" s="2" t="s">
        <v>549</v>
      </c>
      <c r="C196" s="2" t="s">
        <v>108</v>
      </c>
      <c r="D196" s="2" t="s">
        <v>872</v>
      </c>
      <c r="E196" s="2" t="s">
        <v>41</v>
      </c>
      <c r="F196" s="249" t="s">
        <v>844</v>
      </c>
      <c r="G196" s="2" t="s">
        <v>172</v>
      </c>
      <c r="H196" s="7">
        <v>-27840619.771862037</v>
      </c>
      <c r="I196" s="221">
        <v>-104544526.2964678</v>
      </c>
      <c r="J196" s="3">
        <f t="shared" si="2"/>
        <v>76703906.524605751</v>
      </c>
    </row>
    <row r="197" spans="1:10" x14ac:dyDescent="0.25">
      <c r="A197" s="2" t="s">
        <v>550</v>
      </c>
      <c r="B197" s="2" t="s">
        <v>551</v>
      </c>
      <c r="C197" s="2" t="s">
        <v>159</v>
      </c>
      <c r="D197" s="2" t="s">
        <v>872</v>
      </c>
      <c r="E197" s="2" t="s">
        <v>41</v>
      </c>
      <c r="F197" s="249" t="s">
        <v>844</v>
      </c>
      <c r="G197" s="2" t="s">
        <v>172</v>
      </c>
      <c r="H197" s="7">
        <v>-6439970.9736460894</v>
      </c>
      <c r="I197" s="221">
        <v>-62537804.720619835</v>
      </c>
      <c r="J197" s="3">
        <f t="shared" si="2"/>
        <v>56097833.746973746</v>
      </c>
    </row>
    <row r="198" spans="1:10" x14ac:dyDescent="0.25">
      <c r="A198" s="2" t="s">
        <v>944</v>
      </c>
      <c r="B198" s="2" t="s">
        <v>945</v>
      </c>
      <c r="C198" s="2" t="s">
        <v>108</v>
      </c>
      <c r="D198" s="2" t="s">
        <v>26</v>
      </c>
      <c r="E198" s="2" t="s">
        <v>26</v>
      </c>
      <c r="F198" s="249" t="s">
        <v>848</v>
      </c>
      <c r="G198" s="2" t="s">
        <v>177</v>
      </c>
      <c r="H198" s="7">
        <v>-7171.4800000000005</v>
      </c>
      <c r="I198" s="221">
        <v>61120.296803631776</v>
      </c>
      <c r="J198" s="3">
        <f t="shared" ref="J198:J261" si="3">H198-I198</f>
        <v>-68291.776803631772</v>
      </c>
    </row>
    <row r="199" spans="1:10" x14ac:dyDescent="0.25">
      <c r="A199" s="2" t="s">
        <v>552</v>
      </c>
      <c r="B199" s="2" t="s">
        <v>553</v>
      </c>
      <c r="C199" s="2" t="s">
        <v>159</v>
      </c>
      <c r="D199" s="2" t="s">
        <v>26</v>
      </c>
      <c r="E199" s="2" t="s">
        <v>26</v>
      </c>
      <c r="F199" s="249" t="s">
        <v>848</v>
      </c>
      <c r="G199" s="2" t="s">
        <v>177</v>
      </c>
      <c r="H199" s="7">
        <v>-270.436445034256</v>
      </c>
      <c r="I199" s="221">
        <v>-2399.9999999999973</v>
      </c>
      <c r="J199" s="3">
        <f t="shared" si="3"/>
        <v>2129.5635549657413</v>
      </c>
    </row>
    <row r="200" spans="1:10" x14ac:dyDescent="0.25">
      <c r="A200" s="2" t="s">
        <v>556</v>
      </c>
      <c r="B200" s="2" t="s">
        <v>557</v>
      </c>
      <c r="C200" s="2" t="s">
        <v>108</v>
      </c>
      <c r="D200" s="2" t="s">
        <v>15</v>
      </c>
      <c r="E200" s="2" t="s">
        <v>41</v>
      </c>
      <c r="F200" s="249" t="s">
        <v>851</v>
      </c>
      <c r="G200" s="2" t="s">
        <v>177</v>
      </c>
      <c r="H200" s="7">
        <v>-4055737.6486428548</v>
      </c>
      <c r="I200" s="221">
        <v>-9717623.2223387007</v>
      </c>
      <c r="J200" s="3">
        <f t="shared" si="3"/>
        <v>5661885.5736958459</v>
      </c>
    </row>
    <row r="201" spans="1:10" x14ac:dyDescent="0.25">
      <c r="A201" s="2" t="s">
        <v>560</v>
      </c>
      <c r="B201" s="2" t="s">
        <v>561</v>
      </c>
      <c r="C201" s="2" t="s">
        <v>108</v>
      </c>
      <c r="D201" s="2" t="s">
        <v>15</v>
      </c>
      <c r="E201" s="2" t="s">
        <v>41</v>
      </c>
      <c r="F201" s="249" t="s">
        <v>851</v>
      </c>
      <c r="G201" s="2" t="s">
        <v>177</v>
      </c>
      <c r="H201" s="7">
        <v>-23434.89</v>
      </c>
      <c r="I201" s="221">
        <v>0</v>
      </c>
      <c r="J201" s="3">
        <f t="shared" si="3"/>
        <v>-23434.89</v>
      </c>
    </row>
    <row r="202" spans="1:10" x14ac:dyDescent="0.25">
      <c r="A202" s="2" t="s">
        <v>562</v>
      </c>
      <c r="B202" s="2" t="s">
        <v>563</v>
      </c>
      <c r="C202" s="2" t="s">
        <v>108</v>
      </c>
      <c r="D202" s="2" t="s">
        <v>10</v>
      </c>
      <c r="E202" s="2" t="s">
        <v>41</v>
      </c>
      <c r="F202" s="249" t="s">
        <v>846</v>
      </c>
      <c r="G202" s="2" t="s">
        <v>177</v>
      </c>
      <c r="H202" s="7">
        <v>-6192262.1800000006</v>
      </c>
      <c r="I202" s="221">
        <v>-6277278.1563269272</v>
      </c>
      <c r="J202" s="3">
        <f t="shared" si="3"/>
        <v>85015.976326926611</v>
      </c>
    </row>
    <row r="203" spans="1:10" x14ac:dyDescent="0.25">
      <c r="A203" s="2" t="s">
        <v>564</v>
      </c>
      <c r="B203" s="2" t="s">
        <v>565</v>
      </c>
      <c r="C203" s="2" t="s">
        <v>108</v>
      </c>
      <c r="D203" s="2" t="s">
        <v>10</v>
      </c>
      <c r="E203" s="2" t="s">
        <v>41</v>
      </c>
      <c r="F203" s="249" t="s">
        <v>846</v>
      </c>
      <c r="G203" s="2" t="s">
        <v>177</v>
      </c>
      <c r="H203" s="7">
        <v>-2189643.1</v>
      </c>
      <c r="I203" s="221">
        <v>-2472772.7424335591</v>
      </c>
      <c r="J203" s="3">
        <f t="shared" si="3"/>
        <v>283129.64243355906</v>
      </c>
    </row>
    <row r="204" spans="1:10" x14ac:dyDescent="0.25">
      <c r="A204" s="2" t="s">
        <v>568</v>
      </c>
      <c r="B204" s="2" t="s">
        <v>946</v>
      </c>
      <c r="C204" s="2" t="s">
        <v>108</v>
      </c>
      <c r="D204" s="2" t="s">
        <v>15</v>
      </c>
      <c r="E204" s="2" t="s">
        <v>41</v>
      </c>
      <c r="F204" s="249" t="s">
        <v>851</v>
      </c>
      <c r="G204" s="2" t="s">
        <v>177</v>
      </c>
      <c r="H204" s="7">
        <v>-10412305.507208887</v>
      </c>
      <c r="I204" s="221">
        <v>-14286949.097328121</v>
      </c>
      <c r="J204" s="3">
        <f t="shared" si="3"/>
        <v>3874643.5901192334</v>
      </c>
    </row>
    <row r="205" spans="1:10" x14ac:dyDescent="0.25">
      <c r="A205" s="2" t="s">
        <v>569</v>
      </c>
      <c r="B205" s="2" t="s">
        <v>570</v>
      </c>
      <c r="C205" s="2" t="s">
        <v>108</v>
      </c>
      <c r="D205" s="2" t="s">
        <v>15</v>
      </c>
      <c r="E205" s="2" t="s">
        <v>41</v>
      </c>
      <c r="F205" s="249" t="s">
        <v>851</v>
      </c>
      <c r="G205" s="2" t="s">
        <v>177</v>
      </c>
      <c r="H205" s="7">
        <v>-15464.249154319601</v>
      </c>
      <c r="I205" s="221">
        <v>-12557.455440509662</v>
      </c>
      <c r="J205" s="3">
        <f t="shared" si="3"/>
        <v>-2906.7937138099387</v>
      </c>
    </row>
    <row r="206" spans="1:10" x14ac:dyDescent="0.25">
      <c r="A206" s="2" t="s">
        <v>947</v>
      </c>
      <c r="B206" s="2" t="s">
        <v>948</v>
      </c>
      <c r="C206" s="2" t="s">
        <v>108</v>
      </c>
      <c r="D206" s="2" t="s">
        <v>26</v>
      </c>
      <c r="E206" s="2" t="s">
        <v>26</v>
      </c>
      <c r="F206" s="249" t="s">
        <v>848</v>
      </c>
      <c r="G206" s="2" t="s">
        <v>177</v>
      </c>
      <c r="H206" s="7">
        <v>-1854282.2609922818</v>
      </c>
      <c r="I206" s="221">
        <v>0</v>
      </c>
      <c r="J206" s="3">
        <f t="shared" si="3"/>
        <v>-1854282.2609922818</v>
      </c>
    </row>
    <row r="207" spans="1:10" x14ac:dyDescent="0.25">
      <c r="A207" s="2" t="s">
        <v>577</v>
      </c>
      <c r="B207" s="2" t="s">
        <v>578</v>
      </c>
      <c r="C207" s="2" t="s">
        <v>108</v>
      </c>
      <c r="D207" s="2" t="s">
        <v>15</v>
      </c>
      <c r="E207" s="2" t="s">
        <v>41</v>
      </c>
      <c r="F207" s="249" t="s">
        <v>851</v>
      </c>
      <c r="G207" s="2" t="s">
        <v>177</v>
      </c>
      <c r="H207" s="7">
        <v>-8155.2199999999993</v>
      </c>
      <c r="I207" s="221">
        <v>-282885.45113292593</v>
      </c>
      <c r="J207" s="3">
        <f t="shared" si="3"/>
        <v>274730.23113292595</v>
      </c>
    </row>
    <row r="208" spans="1:10" x14ac:dyDescent="0.25">
      <c r="A208" s="2" t="s">
        <v>579</v>
      </c>
      <c r="B208" s="2" t="s">
        <v>580</v>
      </c>
      <c r="C208" s="2" t="s">
        <v>108</v>
      </c>
      <c r="D208" s="2" t="s">
        <v>26</v>
      </c>
      <c r="E208" s="2" t="s">
        <v>26</v>
      </c>
      <c r="F208" s="249" t="s">
        <v>848</v>
      </c>
      <c r="G208" s="2" t="s">
        <v>177</v>
      </c>
      <c r="H208" s="7">
        <v>-106259.76000000001</v>
      </c>
      <c r="I208" s="221">
        <v>-350000.00000000041</v>
      </c>
      <c r="J208" s="3">
        <f t="shared" si="3"/>
        <v>243740.2400000004</v>
      </c>
    </row>
    <row r="209" spans="1:10" x14ac:dyDescent="0.25">
      <c r="A209" s="2" t="s">
        <v>581</v>
      </c>
      <c r="B209" s="2" t="s">
        <v>582</v>
      </c>
      <c r="C209" s="2" t="s">
        <v>159</v>
      </c>
      <c r="D209" s="2" t="s">
        <v>13</v>
      </c>
      <c r="E209" s="2" t="s">
        <v>41</v>
      </c>
      <c r="F209" s="249" t="s">
        <v>852</v>
      </c>
      <c r="G209" s="2" t="s">
        <v>177</v>
      </c>
      <c r="H209" s="7">
        <v>-453596.06000000006</v>
      </c>
      <c r="I209" s="221">
        <v>-1187215.4833934451</v>
      </c>
      <c r="J209" s="3">
        <f t="shared" si="3"/>
        <v>733619.42339344509</v>
      </c>
    </row>
    <row r="210" spans="1:10" x14ac:dyDescent="0.25">
      <c r="A210" s="2" t="s">
        <v>583</v>
      </c>
      <c r="B210" s="2" t="s">
        <v>584</v>
      </c>
      <c r="C210" s="2" t="s">
        <v>159</v>
      </c>
      <c r="D210" s="2" t="s">
        <v>13</v>
      </c>
      <c r="E210" s="2" t="s">
        <v>41</v>
      </c>
      <c r="F210" s="249" t="s">
        <v>852</v>
      </c>
      <c r="G210" s="2" t="s">
        <v>177</v>
      </c>
      <c r="H210" s="7">
        <v>-142381.01</v>
      </c>
      <c r="I210" s="221">
        <v>-188614.82987705726</v>
      </c>
      <c r="J210" s="3">
        <f t="shared" si="3"/>
        <v>46233.819877057249</v>
      </c>
    </row>
    <row r="211" spans="1:10" x14ac:dyDescent="0.25">
      <c r="A211" s="2" t="s">
        <v>949</v>
      </c>
      <c r="B211" s="2" t="s">
        <v>950</v>
      </c>
      <c r="C211" s="2" t="s">
        <v>159</v>
      </c>
      <c r="D211" s="2" t="s">
        <v>26</v>
      </c>
      <c r="E211" s="2" t="s">
        <v>26</v>
      </c>
      <c r="F211" s="249" t="s">
        <v>848</v>
      </c>
      <c r="G211" s="2" t="s">
        <v>177</v>
      </c>
      <c r="H211" s="7">
        <v>-122749.41</v>
      </c>
      <c r="I211" s="221">
        <v>0</v>
      </c>
      <c r="J211" s="3">
        <f t="shared" si="3"/>
        <v>-122749.41</v>
      </c>
    </row>
    <row r="212" spans="1:10" x14ac:dyDescent="0.25">
      <c r="A212" s="2" t="s">
        <v>585</v>
      </c>
      <c r="B212" s="2" t="s">
        <v>586</v>
      </c>
      <c r="C212" s="2" t="s">
        <v>159</v>
      </c>
      <c r="D212" s="2" t="s">
        <v>20</v>
      </c>
      <c r="E212" s="2" t="s">
        <v>41</v>
      </c>
      <c r="F212" s="249" t="s">
        <v>854</v>
      </c>
      <c r="G212" s="2" t="s">
        <v>177</v>
      </c>
      <c r="H212" s="7">
        <v>-320771.7</v>
      </c>
      <c r="I212" s="221">
        <v>-576037.5544989194</v>
      </c>
      <c r="J212" s="3">
        <f t="shared" si="3"/>
        <v>255265.85449891939</v>
      </c>
    </row>
    <row r="213" spans="1:10" x14ac:dyDescent="0.25">
      <c r="A213" s="2" t="s">
        <v>589</v>
      </c>
      <c r="B213" s="2" t="s">
        <v>590</v>
      </c>
      <c r="C213" s="2" t="s">
        <v>159</v>
      </c>
      <c r="D213" s="2" t="s">
        <v>7</v>
      </c>
      <c r="E213" s="2" t="s">
        <v>821</v>
      </c>
      <c r="F213" s="249" t="s">
        <v>849</v>
      </c>
      <c r="G213" s="2" t="s">
        <v>177</v>
      </c>
      <c r="H213" s="7">
        <v>-1472992.01</v>
      </c>
      <c r="I213" s="221">
        <v>0</v>
      </c>
      <c r="J213" s="3">
        <f t="shared" si="3"/>
        <v>-1472992.01</v>
      </c>
    </row>
    <row r="214" spans="1:10" x14ac:dyDescent="0.25">
      <c r="A214" s="2" t="s">
        <v>591</v>
      </c>
      <c r="B214" s="2" t="s">
        <v>592</v>
      </c>
      <c r="C214" s="2" t="s">
        <v>159</v>
      </c>
      <c r="D214" s="2" t="s">
        <v>7</v>
      </c>
      <c r="E214" s="2" t="s">
        <v>821</v>
      </c>
      <c r="F214" s="249" t="s">
        <v>849</v>
      </c>
      <c r="G214" s="2" t="s">
        <v>177</v>
      </c>
      <c r="H214" s="7">
        <v>-2093679.8505118317</v>
      </c>
      <c r="I214" s="221">
        <v>-19817.837709763291</v>
      </c>
      <c r="J214" s="3">
        <f t="shared" si="3"/>
        <v>-2073862.0128020684</v>
      </c>
    </row>
    <row r="215" spans="1:10" x14ac:dyDescent="0.25">
      <c r="A215" s="2" t="s">
        <v>593</v>
      </c>
      <c r="B215" s="2" t="s">
        <v>594</v>
      </c>
      <c r="C215" s="2" t="s">
        <v>159</v>
      </c>
      <c r="D215" s="2" t="s">
        <v>7</v>
      </c>
      <c r="E215" s="2" t="s">
        <v>821</v>
      </c>
      <c r="F215" s="249" t="s">
        <v>849</v>
      </c>
      <c r="G215" s="2" t="s">
        <v>177</v>
      </c>
      <c r="H215" s="7">
        <v>-322903.42423175828</v>
      </c>
      <c r="I215" s="221">
        <v>-34389.036907058799</v>
      </c>
      <c r="J215" s="3">
        <f t="shared" si="3"/>
        <v>-288514.38732469949</v>
      </c>
    </row>
    <row r="216" spans="1:10" x14ac:dyDescent="0.25">
      <c r="A216" s="2" t="s">
        <v>595</v>
      </c>
      <c r="B216" s="2" t="s">
        <v>596</v>
      </c>
      <c r="C216" s="2" t="s">
        <v>159</v>
      </c>
      <c r="D216" s="2" t="s">
        <v>7</v>
      </c>
      <c r="E216" s="2" t="s">
        <v>821</v>
      </c>
      <c r="F216" s="249" t="s">
        <v>849</v>
      </c>
      <c r="G216" s="2" t="s">
        <v>177</v>
      </c>
      <c r="H216" s="7">
        <v>-11895177.780253317</v>
      </c>
      <c r="I216" s="221">
        <v>-17159.511265195943</v>
      </c>
      <c r="J216" s="3">
        <f t="shared" si="3"/>
        <v>-11878018.268988121</v>
      </c>
    </row>
    <row r="217" spans="1:10" x14ac:dyDescent="0.25">
      <c r="A217" s="2" t="s">
        <v>597</v>
      </c>
      <c r="B217" s="2" t="s">
        <v>598</v>
      </c>
      <c r="C217" s="2" t="s">
        <v>159</v>
      </c>
      <c r="D217" s="2" t="s">
        <v>5</v>
      </c>
      <c r="E217" s="2" t="s">
        <v>821</v>
      </c>
      <c r="F217" s="249" t="s">
        <v>849</v>
      </c>
      <c r="G217" s="2" t="s">
        <v>177</v>
      </c>
      <c r="H217" s="7">
        <v>198563.8</v>
      </c>
      <c r="I217" s="221">
        <v>3005100</v>
      </c>
      <c r="J217" s="3">
        <f t="shared" si="3"/>
        <v>-2806536.2</v>
      </c>
    </row>
    <row r="218" spans="1:10" x14ac:dyDescent="0.25">
      <c r="A218" s="2" t="s">
        <v>599</v>
      </c>
      <c r="B218" s="2" t="s">
        <v>600</v>
      </c>
      <c r="C218" s="2" t="s">
        <v>159</v>
      </c>
      <c r="D218" s="2" t="s">
        <v>7</v>
      </c>
      <c r="E218" s="2" t="s">
        <v>821</v>
      </c>
      <c r="F218" s="249" t="s">
        <v>849</v>
      </c>
      <c r="G218" s="2" t="s">
        <v>177</v>
      </c>
      <c r="H218" s="7">
        <v>-10504158.727816181</v>
      </c>
      <c r="I218" s="221">
        <v>-177108.11498440625</v>
      </c>
      <c r="J218" s="3">
        <f t="shared" si="3"/>
        <v>-10327050.612831775</v>
      </c>
    </row>
    <row r="219" spans="1:10" x14ac:dyDescent="0.25">
      <c r="A219" s="2" t="s">
        <v>601</v>
      </c>
      <c r="B219" s="2" t="s">
        <v>602</v>
      </c>
      <c r="C219" s="2" t="s">
        <v>159</v>
      </c>
      <c r="D219" s="2" t="s">
        <v>7</v>
      </c>
      <c r="E219" s="2" t="s">
        <v>821</v>
      </c>
      <c r="F219" s="249" t="s">
        <v>849</v>
      </c>
      <c r="G219" s="2" t="s">
        <v>177</v>
      </c>
      <c r="H219" s="7">
        <v>-2768771.462433415</v>
      </c>
      <c r="I219" s="221">
        <v>-35940.955616185987</v>
      </c>
      <c r="J219" s="3">
        <f t="shared" si="3"/>
        <v>-2732830.5068172291</v>
      </c>
    </row>
    <row r="220" spans="1:10" x14ac:dyDescent="0.25">
      <c r="A220" s="2" t="s">
        <v>603</v>
      </c>
      <c r="B220" s="2" t="s">
        <v>604</v>
      </c>
      <c r="C220" s="2" t="s">
        <v>159</v>
      </c>
      <c r="D220" s="2" t="s">
        <v>7</v>
      </c>
      <c r="E220" s="2" t="s">
        <v>821</v>
      </c>
      <c r="F220" s="249" t="s">
        <v>849</v>
      </c>
      <c r="G220" s="2" t="s">
        <v>177</v>
      </c>
      <c r="H220" s="7">
        <v>-8307148.0599999996</v>
      </c>
      <c r="I220" s="221">
        <v>-337792.25247504498</v>
      </c>
      <c r="J220" s="3">
        <f t="shared" si="3"/>
        <v>-7969355.8075249549</v>
      </c>
    </row>
    <row r="221" spans="1:10" x14ac:dyDescent="0.25">
      <c r="A221" s="2" t="s">
        <v>605</v>
      </c>
      <c r="B221" s="2" t="s">
        <v>606</v>
      </c>
      <c r="C221" s="2" t="s">
        <v>159</v>
      </c>
      <c r="D221" s="2" t="s">
        <v>7</v>
      </c>
      <c r="E221" s="2" t="s">
        <v>821</v>
      </c>
      <c r="F221" s="249" t="s">
        <v>849</v>
      </c>
      <c r="G221" s="2" t="s">
        <v>177</v>
      </c>
      <c r="H221" s="7">
        <v>-3109124.8301923983</v>
      </c>
      <c r="I221" s="221">
        <v>-26571.915949503546</v>
      </c>
      <c r="J221" s="3">
        <f t="shared" si="3"/>
        <v>-3082552.9142428949</v>
      </c>
    </row>
    <row r="222" spans="1:10" x14ac:dyDescent="0.25">
      <c r="A222" s="2" t="s">
        <v>607</v>
      </c>
      <c r="B222" s="2" t="s">
        <v>608</v>
      </c>
      <c r="C222" s="2" t="s">
        <v>159</v>
      </c>
      <c r="D222" s="2" t="s">
        <v>7</v>
      </c>
      <c r="E222" s="2" t="s">
        <v>821</v>
      </c>
      <c r="F222" s="249" t="s">
        <v>849</v>
      </c>
      <c r="G222" s="2" t="s">
        <v>177</v>
      </c>
      <c r="H222" s="7">
        <v>-7672221.6546261068</v>
      </c>
      <c r="I222" s="221">
        <v>-7135.7059427120903</v>
      </c>
      <c r="J222" s="3">
        <f t="shared" si="3"/>
        <v>-7665085.9486833951</v>
      </c>
    </row>
    <row r="223" spans="1:10" x14ac:dyDescent="0.25">
      <c r="A223" s="2" t="s">
        <v>609</v>
      </c>
      <c r="B223" s="2" t="s">
        <v>610</v>
      </c>
      <c r="C223" s="2" t="s">
        <v>159</v>
      </c>
      <c r="D223" s="2" t="s">
        <v>7</v>
      </c>
      <c r="E223" s="2" t="s">
        <v>821</v>
      </c>
      <c r="F223" s="249" t="s">
        <v>849</v>
      </c>
      <c r="G223" s="2" t="s">
        <v>177</v>
      </c>
      <c r="H223" s="7">
        <v>-3195490.0480205156</v>
      </c>
      <c r="I223" s="221">
        <v>-497.08362264671564</v>
      </c>
      <c r="J223" s="3">
        <f t="shared" si="3"/>
        <v>-3194992.9643978691</v>
      </c>
    </row>
    <row r="224" spans="1:10" x14ac:dyDescent="0.25">
      <c r="A224" s="2" t="s">
        <v>611</v>
      </c>
      <c r="B224" s="2" t="s">
        <v>612</v>
      </c>
      <c r="C224" s="2" t="s">
        <v>159</v>
      </c>
      <c r="D224" s="2" t="s">
        <v>7</v>
      </c>
      <c r="E224" s="2" t="s">
        <v>821</v>
      </c>
      <c r="F224" s="249" t="s">
        <v>849</v>
      </c>
      <c r="G224" s="2" t="s">
        <v>177</v>
      </c>
      <c r="H224" s="7">
        <v>-23735597.699419755</v>
      </c>
      <c r="I224" s="221">
        <v>-335.97149033117768</v>
      </c>
      <c r="J224" s="3">
        <f t="shared" si="3"/>
        <v>-23735261.727929424</v>
      </c>
    </row>
    <row r="225" spans="1:10" x14ac:dyDescent="0.25">
      <c r="A225" s="2" t="s">
        <v>613</v>
      </c>
      <c r="B225" s="2" t="s">
        <v>614</v>
      </c>
      <c r="C225" s="2" t="s">
        <v>159</v>
      </c>
      <c r="D225" s="2" t="s">
        <v>7</v>
      </c>
      <c r="E225" s="2" t="s">
        <v>821</v>
      </c>
      <c r="F225" s="249" t="s">
        <v>849</v>
      </c>
      <c r="G225" s="2" t="s">
        <v>177</v>
      </c>
      <c r="H225" s="7">
        <v>-7990777.4568597265</v>
      </c>
      <c r="I225" s="221">
        <v>0</v>
      </c>
      <c r="J225" s="3">
        <f t="shared" si="3"/>
        <v>-7990777.4568597265</v>
      </c>
    </row>
    <row r="226" spans="1:10" x14ac:dyDescent="0.25">
      <c r="A226" s="2" t="s">
        <v>615</v>
      </c>
      <c r="B226" s="2" t="s">
        <v>616</v>
      </c>
      <c r="C226" s="2" t="s">
        <v>159</v>
      </c>
      <c r="D226" s="2" t="s">
        <v>7</v>
      </c>
      <c r="E226" s="2" t="s">
        <v>821</v>
      </c>
      <c r="F226" s="249" t="s">
        <v>849</v>
      </c>
      <c r="G226" s="2" t="s">
        <v>177</v>
      </c>
      <c r="H226" s="7">
        <v>-1650613.8911316695</v>
      </c>
      <c r="I226" s="221">
        <v>0</v>
      </c>
      <c r="J226" s="3">
        <f t="shared" si="3"/>
        <v>-1650613.8911316695</v>
      </c>
    </row>
    <row r="227" spans="1:10" x14ac:dyDescent="0.25">
      <c r="A227" s="2" t="s">
        <v>617</v>
      </c>
      <c r="B227" s="2" t="s">
        <v>618</v>
      </c>
      <c r="C227" s="2" t="s">
        <v>159</v>
      </c>
      <c r="D227" s="2" t="s">
        <v>7</v>
      </c>
      <c r="E227" s="2" t="s">
        <v>821</v>
      </c>
      <c r="F227" s="249" t="s">
        <v>849</v>
      </c>
      <c r="G227" s="2" t="s">
        <v>177</v>
      </c>
      <c r="H227" s="7">
        <v>-121043.48999999999</v>
      </c>
      <c r="I227" s="221">
        <v>-15613608.879516477</v>
      </c>
      <c r="J227" s="3">
        <f t="shared" si="3"/>
        <v>15492565.389516477</v>
      </c>
    </row>
    <row r="228" spans="1:10" x14ac:dyDescent="0.25">
      <c r="A228" s="2" t="s">
        <v>621</v>
      </c>
      <c r="B228" s="2" t="s">
        <v>622</v>
      </c>
      <c r="C228" s="2" t="s">
        <v>159</v>
      </c>
      <c r="D228" s="2" t="s">
        <v>24</v>
      </c>
      <c r="E228" s="2" t="s">
        <v>821</v>
      </c>
      <c r="F228" s="249" t="s">
        <v>849</v>
      </c>
      <c r="G228" s="2" t="s">
        <v>177</v>
      </c>
      <c r="H228" s="7">
        <v>-35901727.902302429</v>
      </c>
      <c r="I228" s="221">
        <v>-111550.10453963163</v>
      </c>
      <c r="J228" s="3">
        <f t="shared" si="3"/>
        <v>-35790177.797762796</v>
      </c>
    </row>
    <row r="229" spans="1:10" x14ac:dyDescent="0.25">
      <c r="A229" s="2" t="s">
        <v>623</v>
      </c>
      <c r="B229" s="2" t="s">
        <v>624</v>
      </c>
      <c r="C229" s="2" t="s">
        <v>159</v>
      </c>
      <c r="D229" s="2" t="s">
        <v>24</v>
      </c>
      <c r="E229" s="2" t="s">
        <v>821</v>
      </c>
      <c r="F229" s="249" t="s">
        <v>849</v>
      </c>
      <c r="G229" s="2" t="s">
        <v>177</v>
      </c>
      <c r="H229" s="7">
        <v>-1060031.0369270334</v>
      </c>
      <c r="I229" s="221">
        <v>-22867.544331385841</v>
      </c>
      <c r="J229" s="3">
        <f t="shared" si="3"/>
        <v>-1037163.4925956476</v>
      </c>
    </row>
    <row r="230" spans="1:10" x14ac:dyDescent="0.25">
      <c r="A230" s="2" t="s">
        <v>625</v>
      </c>
      <c r="B230" s="2" t="s">
        <v>626</v>
      </c>
      <c r="C230" s="2" t="s">
        <v>159</v>
      </c>
      <c r="D230" s="2" t="s">
        <v>26</v>
      </c>
      <c r="E230" s="2" t="s">
        <v>26</v>
      </c>
      <c r="F230" s="249" t="s">
        <v>848</v>
      </c>
      <c r="G230" s="2" t="s">
        <v>177</v>
      </c>
      <c r="H230" s="7">
        <v>-1333382.6600000001</v>
      </c>
      <c r="I230" s="221">
        <v>0</v>
      </c>
      <c r="J230" s="3">
        <f t="shared" si="3"/>
        <v>-1333382.6600000001</v>
      </c>
    </row>
    <row r="231" spans="1:10" x14ac:dyDescent="0.25">
      <c r="A231" s="2" t="s">
        <v>951</v>
      </c>
      <c r="B231" s="2" t="s">
        <v>952</v>
      </c>
      <c r="C231" s="2" t="s">
        <v>159</v>
      </c>
      <c r="D231" s="2" t="s">
        <v>26</v>
      </c>
      <c r="E231" s="2" t="s">
        <v>26</v>
      </c>
      <c r="F231" s="249" t="s">
        <v>848</v>
      </c>
      <c r="G231" s="2" t="s">
        <v>177</v>
      </c>
      <c r="H231" s="7">
        <v>-619359.33000000007</v>
      </c>
      <c r="I231" s="221">
        <v>0</v>
      </c>
      <c r="J231" s="3">
        <f t="shared" si="3"/>
        <v>-619359.33000000007</v>
      </c>
    </row>
    <row r="232" spans="1:10" x14ac:dyDescent="0.25">
      <c r="A232" s="2" t="s">
        <v>627</v>
      </c>
      <c r="B232" s="2" t="s">
        <v>628</v>
      </c>
      <c r="C232" s="2" t="s">
        <v>159</v>
      </c>
      <c r="D232" s="2" t="s">
        <v>24</v>
      </c>
      <c r="E232" s="2" t="s">
        <v>821</v>
      </c>
      <c r="F232" s="249" t="s">
        <v>849</v>
      </c>
      <c r="G232" s="2" t="s">
        <v>177</v>
      </c>
      <c r="H232" s="7">
        <v>9426.8999999999942</v>
      </c>
      <c r="I232" s="221">
        <v>0</v>
      </c>
      <c r="J232" s="3">
        <f t="shared" si="3"/>
        <v>9426.8999999999942</v>
      </c>
    </row>
    <row r="233" spans="1:10" x14ac:dyDescent="0.25">
      <c r="A233" s="2" t="s">
        <v>629</v>
      </c>
      <c r="B233" s="2" t="s">
        <v>630</v>
      </c>
      <c r="C233" s="2" t="s">
        <v>159</v>
      </c>
      <c r="D233" s="2" t="s">
        <v>26</v>
      </c>
      <c r="E233" s="2" t="s">
        <v>26</v>
      </c>
      <c r="F233" s="249" t="s">
        <v>848</v>
      </c>
      <c r="G233" s="2" t="s">
        <v>177</v>
      </c>
      <c r="H233" s="7">
        <v>-794.06</v>
      </c>
      <c r="I233" s="221">
        <v>0</v>
      </c>
      <c r="J233" s="3">
        <f t="shared" si="3"/>
        <v>-794.06</v>
      </c>
    </row>
    <row r="234" spans="1:10" x14ac:dyDescent="0.25">
      <c r="A234" s="2" t="s">
        <v>631</v>
      </c>
      <c r="B234" s="2" t="s">
        <v>632</v>
      </c>
      <c r="C234" s="2" t="s">
        <v>159</v>
      </c>
      <c r="D234" s="2" t="s">
        <v>26</v>
      </c>
      <c r="E234" s="2" t="s">
        <v>26</v>
      </c>
      <c r="F234" s="249" t="s">
        <v>848</v>
      </c>
      <c r="G234" s="2" t="s">
        <v>177</v>
      </c>
      <c r="H234" s="7">
        <v>-336.5</v>
      </c>
      <c r="I234" s="221">
        <v>0</v>
      </c>
      <c r="J234" s="3">
        <f t="shared" si="3"/>
        <v>-336.5</v>
      </c>
    </row>
    <row r="235" spans="1:10" x14ac:dyDescent="0.25">
      <c r="A235" s="2" t="s">
        <v>633</v>
      </c>
      <c r="B235" s="2" t="s">
        <v>634</v>
      </c>
      <c r="C235" s="2" t="s">
        <v>159</v>
      </c>
      <c r="D235" s="2" t="s">
        <v>24</v>
      </c>
      <c r="E235" s="2" t="s">
        <v>821</v>
      </c>
      <c r="F235" s="249" t="s">
        <v>849</v>
      </c>
      <c r="G235" s="2" t="s">
        <v>177</v>
      </c>
      <c r="H235" s="7">
        <v>-391890.36423175829</v>
      </c>
      <c r="I235" s="221">
        <v>-6744.3420826951178</v>
      </c>
      <c r="J235" s="3">
        <f t="shared" si="3"/>
        <v>-385146.02214906318</v>
      </c>
    </row>
    <row r="236" spans="1:10" x14ac:dyDescent="0.25">
      <c r="A236" s="2" t="s">
        <v>635</v>
      </c>
      <c r="B236" s="2" t="s">
        <v>636</v>
      </c>
      <c r="C236" s="2" t="s">
        <v>159</v>
      </c>
      <c r="D236" s="2" t="s">
        <v>24</v>
      </c>
      <c r="E236" s="2" t="s">
        <v>821</v>
      </c>
      <c r="F236" s="249" t="s">
        <v>849</v>
      </c>
      <c r="G236" s="2" t="s">
        <v>177</v>
      </c>
      <c r="H236" s="7">
        <v>-69817.070000000007</v>
      </c>
      <c r="I236" s="221">
        <v>-2770.3443842876318</v>
      </c>
      <c r="J236" s="3">
        <f t="shared" si="3"/>
        <v>-67046.725615712377</v>
      </c>
    </row>
    <row r="237" spans="1:10" x14ac:dyDescent="0.25">
      <c r="A237" s="2" t="s">
        <v>637</v>
      </c>
      <c r="B237" s="2" t="s">
        <v>638</v>
      </c>
      <c r="C237" s="2" t="s">
        <v>159</v>
      </c>
      <c r="D237" s="2" t="s">
        <v>20</v>
      </c>
      <c r="E237" s="2" t="s">
        <v>41</v>
      </c>
      <c r="F237" s="249" t="s">
        <v>854</v>
      </c>
      <c r="G237" s="2" t="s">
        <v>177</v>
      </c>
      <c r="H237" s="7">
        <v>-2876519.4599999995</v>
      </c>
      <c r="I237" s="221">
        <v>0</v>
      </c>
      <c r="J237" s="3">
        <f t="shared" si="3"/>
        <v>-2876519.4599999995</v>
      </c>
    </row>
    <row r="238" spans="1:10" x14ac:dyDescent="0.25">
      <c r="A238" s="2" t="s">
        <v>639</v>
      </c>
      <c r="B238" s="2" t="s">
        <v>640</v>
      </c>
      <c r="C238" s="2" t="s">
        <v>159</v>
      </c>
      <c r="D238" s="2" t="s">
        <v>11</v>
      </c>
      <c r="E238" s="2" t="s">
        <v>41</v>
      </c>
      <c r="F238" s="249" t="s">
        <v>846</v>
      </c>
      <c r="G238" s="2" t="s">
        <v>177</v>
      </c>
      <c r="H238" s="7">
        <v>-184180.97000000003</v>
      </c>
      <c r="I238" s="221">
        <v>-429333.65074284392</v>
      </c>
      <c r="J238" s="3">
        <f t="shared" si="3"/>
        <v>245152.68074284389</v>
      </c>
    </row>
    <row r="239" spans="1:10" x14ac:dyDescent="0.25">
      <c r="A239" s="2" t="s">
        <v>641</v>
      </c>
      <c r="B239" s="2" t="s">
        <v>642</v>
      </c>
      <c r="C239" s="2" t="s">
        <v>159</v>
      </c>
      <c r="D239" s="2" t="s">
        <v>11</v>
      </c>
      <c r="E239" s="2" t="s">
        <v>41</v>
      </c>
      <c r="F239" s="249" t="s">
        <v>846</v>
      </c>
      <c r="G239" s="2" t="s">
        <v>177</v>
      </c>
      <c r="H239" s="7">
        <v>-2767569.4869907317</v>
      </c>
      <c r="I239" s="221">
        <v>-3578145.4171307739</v>
      </c>
      <c r="J239" s="3">
        <f t="shared" si="3"/>
        <v>810575.93014004221</v>
      </c>
    </row>
    <row r="240" spans="1:10" x14ac:dyDescent="0.25">
      <c r="A240" s="2" t="s">
        <v>643</v>
      </c>
      <c r="B240" s="2" t="s">
        <v>644</v>
      </c>
      <c r="C240" s="2" t="s">
        <v>159</v>
      </c>
      <c r="D240" s="2" t="s">
        <v>11</v>
      </c>
      <c r="E240" s="2" t="s">
        <v>41</v>
      </c>
      <c r="F240" s="249" t="s">
        <v>846</v>
      </c>
      <c r="G240" s="2" t="s">
        <v>177</v>
      </c>
      <c r="H240" s="7">
        <v>-924204.17000000016</v>
      </c>
      <c r="I240" s="221">
        <v>-1307244.2242086243</v>
      </c>
      <c r="J240" s="3">
        <f t="shared" si="3"/>
        <v>383040.05420862418</v>
      </c>
    </row>
    <row r="241" spans="1:10" x14ac:dyDescent="0.25">
      <c r="A241" s="2" t="s">
        <v>645</v>
      </c>
      <c r="B241" s="2" t="s">
        <v>646</v>
      </c>
      <c r="C241" s="2" t="s">
        <v>159</v>
      </c>
      <c r="D241" s="2" t="s">
        <v>11</v>
      </c>
      <c r="E241" s="2" t="s">
        <v>41</v>
      </c>
      <c r="F241" s="249" t="s">
        <v>846</v>
      </c>
      <c r="G241" s="2" t="s">
        <v>177</v>
      </c>
      <c r="H241" s="7">
        <v>-2180001.2442317582</v>
      </c>
      <c r="I241" s="221">
        <v>-1506973.3174859753</v>
      </c>
      <c r="J241" s="3">
        <f t="shared" si="3"/>
        <v>-673027.92674578284</v>
      </c>
    </row>
    <row r="242" spans="1:10" x14ac:dyDescent="0.25">
      <c r="A242" s="2" t="s">
        <v>647</v>
      </c>
      <c r="B242" s="2" t="s">
        <v>648</v>
      </c>
      <c r="C242" s="2" t="s">
        <v>159</v>
      </c>
      <c r="D242" s="2"/>
      <c r="E242" s="2"/>
      <c r="F242" s="249"/>
      <c r="G242" s="2" t="s">
        <v>178</v>
      </c>
      <c r="H242" s="7">
        <v>-123834.78999999998</v>
      </c>
      <c r="I242" s="221">
        <v>0</v>
      </c>
      <c r="J242" s="3">
        <f t="shared" si="3"/>
        <v>-123834.78999999998</v>
      </c>
    </row>
    <row r="243" spans="1:10" x14ac:dyDescent="0.25">
      <c r="A243" s="2" t="s">
        <v>649</v>
      </c>
      <c r="B243" s="2" t="s">
        <v>650</v>
      </c>
      <c r="C243" s="2" t="s">
        <v>159</v>
      </c>
      <c r="D243" s="2" t="s">
        <v>13</v>
      </c>
      <c r="E243" s="2" t="s">
        <v>41</v>
      </c>
      <c r="F243" s="249" t="s">
        <v>852</v>
      </c>
      <c r="G243" s="2" t="s">
        <v>177</v>
      </c>
      <c r="H243" s="7">
        <v>-352107.17289311904</v>
      </c>
      <c r="I243" s="221">
        <v>-625050.26624476083</v>
      </c>
      <c r="J243" s="3">
        <f t="shared" si="3"/>
        <v>272943.09335164179</v>
      </c>
    </row>
    <row r="244" spans="1:10" x14ac:dyDescent="0.25">
      <c r="A244" s="2" t="s">
        <v>651</v>
      </c>
      <c r="B244" s="2" t="s">
        <v>652</v>
      </c>
      <c r="C244" s="2" t="s">
        <v>159</v>
      </c>
      <c r="D244" s="2" t="s">
        <v>13</v>
      </c>
      <c r="E244" s="2" t="s">
        <v>41</v>
      </c>
      <c r="F244" s="249" t="s">
        <v>852</v>
      </c>
      <c r="G244" s="2" t="s">
        <v>177</v>
      </c>
      <c r="H244" s="7">
        <v>-752419.54020554142</v>
      </c>
      <c r="I244" s="221">
        <v>-624510.63401803852</v>
      </c>
      <c r="J244" s="3">
        <f t="shared" si="3"/>
        <v>-127908.9061875029</v>
      </c>
    </row>
    <row r="245" spans="1:10" x14ac:dyDescent="0.25">
      <c r="A245" s="2" t="s">
        <v>653</v>
      </c>
      <c r="B245" s="2" t="s">
        <v>654</v>
      </c>
      <c r="C245" s="2" t="s">
        <v>159</v>
      </c>
      <c r="D245" s="2" t="s">
        <v>25</v>
      </c>
      <c r="E245" s="2" t="s">
        <v>41</v>
      </c>
      <c r="F245" s="249" t="s">
        <v>847</v>
      </c>
      <c r="G245" s="2" t="s">
        <v>177</v>
      </c>
      <c r="H245" s="7">
        <v>-49271824.509905539</v>
      </c>
      <c r="I245" s="221">
        <v>-44009686.222595572</v>
      </c>
      <c r="J245" s="3">
        <f t="shared" si="3"/>
        <v>-5262138.287309967</v>
      </c>
    </row>
    <row r="246" spans="1:10" x14ac:dyDescent="0.25">
      <c r="A246" s="2" t="s">
        <v>655</v>
      </c>
      <c r="B246" s="2" t="s">
        <v>656</v>
      </c>
      <c r="C246" s="2" t="s">
        <v>159</v>
      </c>
      <c r="D246" s="2" t="s">
        <v>13</v>
      </c>
      <c r="E246" s="2" t="s">
        <v>41</v>
      </c>
      <c r="F246" s="249" t="s">
        <v>852</v>
      </c>
      <c r="G246" s="2" t="s">
        <v>177</v>
      </c>
      <c r="H246" s="7">
        <v>-1430500.6300000004</v>
      </c>
      <c r="I246" s="221">
        <v>-3749768.5819981149</v>
      </c>
      <c r="J246" s="3">
        <f t="shared" si="3"/>
        <v>2319267.9519981146</v>
      </c>
    </row>
    <row r="247" spans="1:10" x14ac:dyDescent="0.25">
      <c r="A247" s="2" t="s">
        <v>657</v>
      </c>
      <c r="B247" s="2" t="s">
        <v>658</v>
      </c>
      <c r="C247" s="2" t="s">
        <v>159</v>
      </c>
      <c r="D247" s="2" t="s">
        <v>13</v>
      </c>
      <c r="E247" s="2" t="s">
        <v>41</v>
      </c>
      <c r="F247" s="249" t="s">
        <v>852</v>
      </c>
      <c r="G247" s="2" t="s">
        <v>177</v>
      </c>
      <c r="H247" s="7">
        <v>-651433.83091583464</v>
      </c>
      <c r="I247" s="221">
        <v>-1449293.4231263725</v>
      </c>
      <c r="J247" s="3">
        <f t="shared" si="3"/>
        <v>797859.59221053787</v>
      </c>
    </row>
    <row r="248" spans="1:10" x14ac:dyDescent="0.25">
      <c r="A248" s="2" t="s">
        <v>661</v>
      </c>
      <c r="B248" s="2" t="s">
        <v>662</v>
      </c>
      <c r="C248" s="2" t="s">
        <v>159</v>
      </c>
      <c r="D248" s="2" t="s">
        <v>25</v>
      </c>
      <c r="E248" s="2" t="s">
        <v>41</v>
      </c>
      <c r="F248" s="249" t="s">
        <v>847</v>
      </c>
      <c r="G248" s="2" t="s">
        <v>177</v>
      </c>
      <c r="H248" s="7">
        <v>-95795.199999999997</v>
      </c>
      <c r="I248" s="221">
        <v>0</v>
      </c>
      <c r="J248" s="3">
        <f t="shared" si="3"/>
        <v>-95795.199999999997</v>
      </c>
    </row>
    <row r="249" spans="1:10" x14ac:dyDescent="0.25">
      <c r="A249" s="2" t="s">
        <v>665</v>
      </c>
      <c r="B249" s="2" t="s">
        <v>666</v>
      </c>
      <c r="C249" s="2" t="s">
        <v>159</v>
      </c>
      <c r="D249" s="2" t="s">
        <v>13</v>
      </c>
      <c r="E249" s="2" t="s">
        <v>41</v>
      </c>
      <c r="F249" s="249" t="s">
        <v>852</v>
      </c>
      <c r="G249" s="2" t="s">
        <v>177</v>
      </c>
      <c r="H249" s="7">
        <v>-62919.437061768433</v>
      </c>
      <c r="I249" s="221">
        <v>-531422.58285930974</v>
      </c>
      <c r="J249" s="3">
        <f t="shared" si="3"/>
        <v>468503.14579754131</v>
      </c>
    </row>
    <row r="250" spans="1:10" x14ac:dyDescent="0.25">
      <c r="A250" s="2" t="s">
        <v>667</v>
      </c>
      <c r="B250" s="2" t="s">
        <v>668</v>
      </c>
      <c r="C250" s="2" t="s">
        <v>159</v>
      </c>
      <c r="D250" s="2" t="s">
        <v>13</v>
      </c>
      <c r="E250" s="2" t="s">
        <v>41</v>
      </c>
      <c r="F250" s="249" t="s">
        <v>852</v>
      </c>
      <c r="G250" s="2" t="s">
        <v>177</v>
      </c>
      <c r="H250" s="7">
        <v>-2695663.9240990998</v>
      </c>
      <c r="I250" s="221">
        <v>-2702523.9300158662</v>
      </c>
      <c r="J250" s="3">
        <f t="shared" si="3"/>
        <v>6860.0059167663567</v>
      </c>
    </row>
    <row r="251" spans="1:10" x14ac:dyDescent="0.25">
      <c r="A251" s="2" t="s">
        <v>669</v>
      </c>
      <c r="B251" s="2" t="s">
        <v>670</v>
      </c>
      <c r="C251" s="2" t="s">
        <v>159</v>
      </c>
      <c r="D251" s="2" t="s">
        <v>13</v>
      </c>
      <c r="E251" s="2" t="s">
        <v>41</v>
      </c>
      <c r="F251" s="249" t="s">
        <v>852</v>
      </c>
      <c r="G251" s="2" t="s">
        <v>177</v>
      </c>
      <c r="H251" s="7">
        <v>-824.92000000000007</v>
      </c>
      <c r="I251" s="221">
        <v>-2025.39265001081</v>
      </c>
      <c r="J251" s="3">
        <f t="shared" si="3"/>
        <v>1200.47265001081</v>
      </c>
    </row>
    <row r="252" spans="1:10" x14ac:dyDescent="0.25">
      <c r="A252" s="2" t="s">
        <v>671</v>
      </c>
      <c r="B252" s="2" t="s">
        <v>672</v>
      </c>
      <c r="C252" s="2" t="s">
        <v>159</v>
      </c>
      <c r="D252" s="2" t="s">
        <v>13</v>
      </c>
      <c r="E252" s="2" t="s">
        <v>41</v>
      </c>
      <c r="F252" s="249" t="s">
        <v>852</v>
      </c>
      <c r="G252" s="2" t="s">
        <v>177</v>
      </c>
      <c r="H252" s="7">
        <v>-1967967.6142317585</v>
      </c>
      <c r="I252" s="221">
        <v>-3267068.2414549603</v>
      </c>
      <c r="J252" s="3">
        <f t="shared" si="3"/>
        <v>1299100.6272232018</v>
      </c>
    </row>
    <row r="253" spans="1:10" x14ac:dyDescent="0.25">
      <c r="A253" s="2" t="s">
        <v>673</v>
      </c>
      <c r="B253" s="2" t="s">
        <v>674</v>
      </c>
      <c r="C253" s="2" t="s">
        <v>159</v>
      </c>
      <c r="D253" s="2" t="s">
        <v>13</v>
      </c>
      <c r="E253" s="2" t="s">
        <v>41</v>
      </c>
      <c r="F253" s="249" t="s">
        <v>852</v>
      </c>
      <c r="G253" s="2" t="s">
        <v>177</v>
      </c>
      <c r="H253" s="7">
        <v>-3935224.7000000007</v>
      </c>
      <c r="I253" s="221">
        <v>-3683508.9904270922</v>
      </c>
      <c r="J253" s="3">
        <f t="shared" si="3"/>
        <v>-251715.70957290847</v>
      </c>
    </row>
    <row r="254" spans="1:10" x14ac:dyDescent="0.25">
      <c r="A254" s="2" t="s">
        <v>677</v>
      </c>
      <c r="B254" s="2" t="s">
        <v>678</v>
      </c>
      <c r="C254" s="2" t="s">
        <v>159</v>
      </c>
      <c r="D254" s="2" t="s">
        <v>13</v>
      </c>
      <c r="E254" s="2" t="s">
        <v>41</v>
      </c>
      <c r="F254" s="249" t="s">
        <v>852</v>
      </c>
      <c r="G254" s="2" t="s">
        <v>177</v>
      </c>
      <c r="H254" s="7">
        <v>-201883.58</v>
      </c>
      <c r="I254" s="221">
        <v>-429745.23016552208</v>
      </c>
      <c r="J254" s="3">
        <f t="shared" si="3"/>
        <v>227861.65016552209</v>
      </c>
    </row>
    <row r="255" spans="1:10" x14ac:dyDescent="0.25">
      <c r="A255" s="2" t="s">
        <v>679</v>
      </c>
      <c r="B255" s="2" t="s">
        <v>680</v>
      </c>
      <c r="C255" s="2" t="s">
        <v>159</v>
      </c>
      <c r="D255" s="2" t="s">
        <v>13</v>
      </c>
      <c r="E255" s="2" t="s">
        <v>41</v>
      </c>
      <c r="F255" s="249" t="s">
        <v>852</v>
      </c>
      <c r="G255" s="2" t="s">
        <v>177</v>
      </c>
      <c r="H255" s="7">
        <v>-712659.35018657148</v>
      </c>
      <c r="I255" s="221">
        <v>-4103148.8046456487</v>
      </c>
      <c r="J255" s="3">
        <f t="shared" si="3"/>
        <v>3390489.4544590772</v>
      </c>
    </row>
    <row r="256" spans="1:10" x14ac:dyDescent="0.25">
      <c r="A256" s="2" t="s">
        <v>681</v>
      </c>
      <c r="B256" s="2" t="s">
        <v>682</v>
      </c>
      <c r="C256" s="2" t="s">
        <v>159</v>
      </c>
      <c r="D256" s="2" t="s">
        <v>25</v>
      </c>
      <c r="E256" s="2" t="s">
        <v>41</v>
      </c>
      <c r="F256" s="249" t="s">
        <v>847</v>
      </c>
      <c r="G256" s="2" t="s">
        <v>177</v>
      </c>
      <c r="H256" s="7">
        <v>-6038892.223055413</v>
      </c>
      <c r="I256" s="221">
        <v>-5653600.1325064488</v>
      </c>
      <c r="J256" s="3">
        <f t="shared" si="3"/>
        <v>-385292.09054896422</v>
      </c>
    </row>
    <row r="257" spans="1:10" x14ac:dyDescent="0.25">
      <c r="A257" s="2" t="s">
        <v>953</v>
      </c>
      <c r="B257" s="2" t="s">
        <v>954</v>
      </c>
      <c r="C257" s="2" t="s">
        <v>159</v>
      </c>
      <c r="D257" s="2" t="s">
        <v>26</v>
      </c>
      <c r="E257" s="2" t="s">
        <v>26</v>
      </c>
      <c r="F257" s="249" t="s">
        <v>848</v>
      </c>
      <c r="G257" s="2" t="s">
        <v>177</v>
      </c>
      <c r="H257" s="7">
        <v>-148211.1511587915</v>
      </c>
      <c r="I257" s="221">
        <v>0</v>
      </c>
      <c r="J257" s="3">
        <f t="shared" si="3"/>
        <v>-148211.1511587915</v>
      </c>
    </row>
    <row r="258" spans="1:10" x14ac:dyDescent="0.25">
      <c r="A258" s="2" t="s">
        <v>683</v>
      </c>
      <c r="B258" s="2" t="s">
        <v>684</v>
      </c>
      <c r="C258" s="2" t="s">
        <v>159</v>
      </c>
      <c r="D258" s="2" t="s">
        <v>13</v>
      </c>
      <c r="E258" s="2" t="s">
        <v>41</v>
      </c>
      <c r="F258" s="249" t="s">
        <v>852</v>
      </c>
      <c r="G258" s="2" t="s">
        <v>177</v>
      </c>
      <c r="H258" s="7">
        <v>-42149.364231758293</v>
      </c>
      <c r="I258" s="221">
        <v>-180175.30185413003</v>
      </c>
      <c r="J258" s="3">
        <f t="shared" si="3"/>
        <v>138025.93762237174</v>
      </c>
    </row>
    <row r="259" spans="1:10" x14ac:dyDescent="0.25">
      <c r="A259" s="2" t="s">
        <v>685</v>
      </c>
      <c r="B259" s="2" t="s">
        <v>686</v>
      </c>
      <c r="C259" s="2" t="s">
        <v>159</v>
      </c>
      <c r="D259" s="2" t="s">
        <v>26</v>
      </c>
      <c r="E259" s="2" t="s">
        <v>26</v>
      </c>
      <c r="F259" s="249" t="s">
        <v>848</v>
      </c>
      <c r="G259" s="2" t="s">
        <v>177</v>
      </c>
      <c r="H259" s="7">
        <v>-2315739.2355960906</v>
      </c>
      <c r="I259" s="221">
        <v>-3754567.2705454882</v>
      </c>
      <c r="J259" s="3">
        <f t="shared" si="3"/>
        <v>1438828.0349493977</v>
      </c>
    </row>
    <row r="260" spans="1:10" x14ac:dyDescent="0.25">
      <c r="A260" s="2" t="s">
        <v>687</v>
      </c>
      <c r="B260" s="2" t="s">
        <v>688</v>
      </c>
      <c r="C260" s="2" t="s">
        <v>159</v>
      </c>
      <c r="D260" s="2" t="s">
        <v>11</v>
      </c>
      <c r="E260" s="2" t="s">
        <v>41</v>
      </c>
      <c r="F260" s="249" t="s">
        <v>846</v>
      </c>
      <c r="G260" s="2" t="s">
        <v>177</v>
      </c>
      <c r="H260" s="7">
        <v>-352751.58934313926</v>
      </c>
      <c r="I260" s="221">
        <v>-1026506.7600291376</v>
      </c>
      <c r="J260" s="3">
        <f t="shared" si="3"/>
        <v>673755.1706859984</v>
      </c>
    </row>
    <row r="261" spans="1:10" x14ac:dyDescent="0.25">
      <c r="A261" s="2" t="s">
        <v>689</v>
      </c>
      <c r="B261" s="2" t="s">
        <v>690</v>
      </c>
      <c r="C261" s="2" t="s">
        <v>159</v>
      </c>
      <c r="D261" s="2" t="s">
        <v>11</v>
      </c>
      <c r="E261" s="2" t="s">
        <v>41</v>
      </c>
      <c r="F261" s="249" t="s">
        <v>846</v>
      </c>
      <c r="G261" s="2" t="s">
        <v>177</v>
      </c>
      <c r="H261" s="7">
        <v>-1279814.0942317583</v>
      </c>
      <c r="I261" s="221">
        <v>-2029436.6604549391</v>
      </c>
      <c r="J261" s="3">
        <f t="shared" si="3"/>
        <v>749622.56622318085</v>
      </c>
    </row>
    <row r="262" spans="1:10" x14ac:dyDescent="0.25">
      <c r="A262" s="2" t="s">
        <v>691</v>
      </c>
      <c r="B262" s="2" t="s">
        <v>692</v>
      </c>
      <c r="C262" s="2" t="s">
        <v>159</v>
      </c>
      <c r="D262" s="2" t="s">
        <v>11</v>
      </c>
      <c r="E262" s="2" t="s">
        <v>41</v>
      </c>
      <c r="F262" s="249" t="s">
        <v>846</v>
      </c>
      <c r="G262" s="2" t="s">
        <v>177</v>
      </c>
      <c r="H262" s="7">
        <v>-10043107.29948145</v>
      </c>
      <c r="I262" s="221">
        <v>-9056163.8387702424</v>
      </c>
      <c r="J262" s="3">
        <f t="shared" ref="J262:J325" si="4">H262-I262</f>
        <v>-986943.46071120724</v>
      </c>
    </row>
    <row r="263" spans="1:10" x14ac:dyDescent="0.25">
      <c r="A263" s="2" t="s">
        <v>693</v>
      </c>
      <c r="B263" s="2" t="s">
        <v>694</v>
      </c>
      <c r="C263" s="2" t="s">
        <v>159</v>
      </c>
      <c r="D263" s="2" t="s">
        <v>11</v>
      </c>
      <c r="E263" s="2" t="s">
        <v>41</v>
      </c>
      <c r="F263" s="249" t="s">
        <v>846</v>
      </c>
      <c r="G263" s="2" t="s">
        <v>177</v>
      </c>
      <c r="H263" s="7">
        <v>-240389.55</v>
      </c>
      <c r="I263" s="221">
        <v>-297924.5009148001</v>
      </c>
      <c r="J263" s="3">
        <f t="shared" si="4"/>
        <v>57534.950914800109</v>
      </c>
    </row>
    <row r="264" spans="1:10" x14ac:dyDescent="0.25">
      <c r="A264" s="2" t="s">
        <v>695</v>
      </c>
      <c r="B264" s="2" t="s">
        <v>696</v>
      </c>
      <c r="C264" s="2" t="s">
        <v>159</v>
      </c>
      <c r="D264" s="2" t="s">
        <v>11</v>
      </c>
      <c r="E264" s="2" t="s">
        <v>41</v>
      </c>
      <c r="F264" s="249" t="s">
        <v>846</v>
      </c>
      <c r="G264" s="2" t="s">
        <v>177</v>
      </c>
      <c r="H264" s="7">
        <v>-4787.1899999999996</v>
      </c>
      <c r="I264" s="221">
        <v>-148439.5139193655</v>
      </c>
      <c r="J264" s="3">
        <f t="shared" si="4"/>
        <v>143652.3239193655</v>
      </c>
    </row>
    <row r="265" spans="1:10" x14ac:dyDescent="0.25">
      <c r="A265" s="2" t="s">
        <v>699</v>
      </c>
      <c r="B265" s="2" t="s">
        <v>700</v>
      </c>
      <c r="C265" s="2" t="s">
        <v>159</v>
      </c>
      <c r="D265" s="2" t="s">
        <v>11</v>
      </c>
      <c r="E265" s="2" t="s">
        <v>41</v>
      </c>
      <c r="F265" s="249" t="s">
        <v>846</v>
      </c>
      <c r="G265" s="2" t="s">
        <v>177</v>
      </c>
      <c r="H265" s="7">
        <v>-248141.69423175833</v>
      </c>
      <c r="I265" s="221">
        <v>-1205412.4114736328</v>
      </c>
      <c r="J265" s="3">
        <f t="shared" si="4"/>
        <v>957270.71724187443</v>
      </c>
    </row>
    <row r="266" spans="1:10" x14ac:dyDescent="0.25">
      <c r="A266" s="2" t="s">
        <v>701</v>
      </c>
      <c r="B266" s="2" t="s">
        <v>702</v>
      </c>
      <c r="C266" s="2" t="s">
        <v>159</v>
      </c>
      <c r="D266" s="2" t="s">
        <v>25</v>
      </c>
      <c r="E266" s="2" t="s">
        <v>41</v>
      </c>
      <c r="F266" s="249" t="s">
        <v>847</v>
      </c>
      <c r="G266" s="2" t="s">
        <v>177</v>
      </c>
      <c r="H266" s="7">
        <v>-3825169.7299999995</v>
      </c>
      <c r="I266" s="221">
        <v>0</v>
      </c>
      <c r="J266" s="3">
        <f t="shared" si="4"/>
        <v>-3825169.7299999995</v>
      </c>
    </row>
    <row r="267" spans="1:10" x14ac:dyDescent="0.25">
      <c r="A267" s="2" t="s">
        <v>703</v>
      </c>
      <c r="B267" s="2" t="s">
        <v>704</v>
      </c>
      <c r="C267" s="2" t="s">
        <v>159</v>
      </c>
      <c r="D267" s="2" t="s">
        <v>25</v>
      </c>
      <c r="E267" s="2" t="s">
        <v>41</v>
      </c>
      <c r="F267" s="249" t="s">
        <v>847</v>
      </c>
      <c r="G267" s="2" t="s">
        <v>177</v>
      </c>
      <c r="H267" s="7">
        <v>-661462.49559882458</v>
      </c>
      <c r="I267" s="221">
        <v>0</v>
      </c>
      <c r="J267" s="3">
        <f t="shared" si="4"/>
        <v>-661462.49559882458</v>
      </c>
    </row>
    <row r="268" spans="1:10" x14ac:dyDescent="0.25">
      <c r="A268" s="2" t="s">
        <v>705</v>
      </c>
      <c r="B268" s="2" t="s">
        <v>706</v>
      </c>
      <c r="C268" s="2" t="s">
        <v>159</v>
      </c>
      <c r="D268" s="2" t="s">
        <v>26</v>
      </c>
      <c r="E268" s="2" t="s">
        <v>26</v>
      </c>
      <c r="F268" s="249" t="s">
        <v>848</v>
      </c>
      <c r="G268" s="2" t="s">
        <v>177</v>
      </c>
      <c r="H268" s="7">
        <v>-1530.8</v>
      </c>
      <c r="I268" s="221">
        <v>-1176.1589987058437</v>
      </c>
      <c r="J268" s="3">
        <f t="shared" si="4"/>
        <v>-354.64100129415624</v>
      </c>
    </row>
    <row r="269" spans="1:10" x14ac:dyDescent="0.25">
      <c r="A269" s="2" t="s">
        <v>709</v>
      </c>
      <c r="B269" s="2" t="s">
        <v>710</v>
      </c>
      <c r="C269" s="2" t="s">
        <v>159</v>
      </c>
      <c r="D269" s="2" t="s">
        <v>13</v>
      </c>
      <c r="E269" s="2" t="s">
        <v>41</v>
      </c>
      <c r="F269" s="249" t="s">
        <v>852</v>
      </c>
      <c r="G269" s="2" t="s">
        <v>177</v>
      </c>
      <c r="H269" s="7">
        <v>-30357.300000000003</v>
      </c>
      <c r="I269" s="221">
        <v>-192004.56225498812</v>
      </c>
      <c r="J269" s="3">
        <f t="shared" si="4"/>
        <v>161647.26225498813</v>
      </c>
    </row>
    <row r="270" spans="1:10" x14ac:dyDescent="0.25">
      <c r="A270" s="2" t="s">
        <v>711</v>
      </c>
      <c r="B270" s="2" t="s">
        <v>712</v>
      </c>
      <c r="C270" s="2" t="s">
        <v>159</v>
      </c>
      <c r="D270" s="2" t="s">
        <v>3</v>
      </c>
      <c r="E270" s="2" t="s">
        <v>41</v>
      </c>
      <c r="F270" s="249"/>
      <c r="G270" s="2" t="s">
        <v>177</v>
      </c>
      <c r="H270" s="7">
        <v>-2580429.9736258262</v>
      </c>
      <c r="I270" s="221">
        <v>-8824690.6817541234</v>
      </c>
      <c r="J270" s="3">
        <f t="shared" si="4"/>
        <v>6244260.7081282977</v>
      </c>
    </row>
    <row r="271" spans="1:10" x14ac:dyDescent="0.25">
      <c r="A271" s="2" t="s">
        <v>713</v>
      </c>
      <c r="B271" s="2" t="s">
        <v>714</v>
      </c>
      <c r="C271" s="2" t="s">
        <v>159</v>
      </c>
      <c r="D271" s="2" t="s">
        <v>3</v>
      </c>
      <c r="E271" s="2" t="s">
        <v>41</v>
      </c>
      <c r="F271" s="249"/>
      <c r="G271" s="2" t="s">
        <v>177</v>
      </c>
      <c r="H271" s="7">
        <v>-3239929.69</v>
      </c>
      <c r="I271" s="221">
        <v>-4989828.6341764741</v>
      </c>
      <c r="J271" s="3">
        <f t="shared" si="4"/>
        <v>1749898.9441764741</v>
      </c>
    </row>
    <row r="272" spans="1:10" x14ac:dyDescent="0.25">
      <c r="A272" s="2" t="s">
        <v>715</v>
      </c>
      <c r="B272" s="2" t="s">
        <v>716</v>
      </c>
      <c r="C272" s="2" t="s">
        <v>159</v>
      </c>
      <c r="D272" s="2" t="s">
        <v>26</v>
      </c>
      <c r="E272" s="2" t="s">
        <v>26</v>
      </c>
      <c r="F272" s="249" t="s">
        <v>848</v>
      </c>
      <c r="G272" s="2" t="s">
        <v>177</v>
      </c>
      <c r="H272" s="7">
        <v>-346.02644804097525</v>
      </c>
      <c r="I272" s="221">
        <v>0</v>
      </c>
      <c r="J272" s="3">
        <f t="shared" si="4"/>
        <v>-346.02644804097525</v>
      </c>
    </row>
    <row r="273" spans="1:10" x14ac:dyDescent="0.25">
      <c r="A273" s="2" t="s">
        <v>955</v>
      </c>
      <c r="B273" s="2" t="s">
        <v>956</v>
      </c>
      <c r="C273" s="2" t="s">
        <v>159</v>
      </c>
      <c r="D273" s="2" t="s">
        <v>26</v>
      </c>
      <c r="E273" s="2" t="s">
        <v>26</v>
      </c>
      <c r="F273" s="249" t="s">
        <v>848</v>
      </c>
      <c r="G273" s="2" t="s">
        <v>177</v>
      </c>
      <c r="H273" s="7">
        <v>-161561.24</v>
      </c>
      <c r="I273" s="221">
        <v>-6458825.6809999952</v>
      </c>
      <c r="J273" s="3">
        <f t="shared" si="4"/>
        <v>6297264.440999995</v>
      </c>
    </row>
    <row r="274" spans="1:10" x14ac:dyDescent="0.25">
      <c r="A274" s="2" t="s">
        <v>957</v>
      </c>
      <c r="B274" s="2" t="s">
        <v>958</v>
      </c>
      <c r="C274" s="2" t="s">
        <v>108</v>
      </c>
      <c r="D274" s="2" t="s">
        <v>26</v>
      </c>
      <c r="E274" s="2" t="s">
        <v>26</v>
      </c>
      <c r="F274" s="249" t="s">
        <v>848</v>
      </c>
      <c r="G274" s="2" t="s">
        <v>177</v>
      </c>
      <c r="H274" s="7">
        <v>-380747.7737545399</v>
      </c>
      <c r="I274" s="221">
        <v>0</v>
      </c>
      <c r="J274" s="3">
        <f t="shared" si="4"/>
        <v>-380747.7737545399</v>
      </c>
    </row>
    <row r="275" spans="1:10" x14ac:dyDescent="0.25">
      <c r="A275" s="2" t="s">
        <v>717</v>
      </c>
      <c r="B275" s="2" t="s">
        <v>718</v>
      </c>
      <c r="C275" s="2" t="s">
        <v>108</v>
      </c>
      <c r="D275" s="2" t="s">
        <v>1</v>
      </c>
      <c r="E275" s="2" t="s">
        <v>45</v>
      </c>
      <c r="F275" s="249" t="s">
        <v>845</v>
      </c>
      <c r="G275" s="2" t="s">
        <v>177</v>
      </c>
      <c r="H275" s="7">
        <v>-617924.75170522952</v>
      </c>
      <c r="I275" s="221">
        <v>-1131175.8880827052</v>
      </c>
      <c r="J275" s="3">
        <f t="shared" si="4"/>
        <v>513251.13637747569</v>
      </c>
    </row>
    <row r="276" spans="1:10" x14ac:dyDescent="0.25">
      <c r="A276" s="2" t="s">
        <v>719</v>
      </c>
      <c r="B276" s="2" t="s">
        <v>720</v>
      </c>
      <c r="C276" s="2" t="s">
        <v>159</v>
      </c>
      <c r="D276" s="2" t="s">
        <v>26</v>
      </c>
      <c r="E276" s="2" t="s">
        <v>26</v>
      </c>
      <c r="F276" s="249" t="s">
        <v>848</v>
      </c>
      <c r="G276" s="2" t="s">
        <v>177</v>
      </c>
      <c r="H276" s="7">
        <v>-17769.763644497842</v>
      </c>
      <c r="I276" s="221">
        <v>-1504618.5</v>
      </c>
      <c r="J276" s="3">
        <f t="shared" si="4"/>
        <v>1486848.7363555022</v>
      </c>
    </row>
    <row r="277" spans="1:10" x14ac:dyDescent="0.25">
      <c r="A277" s="2" t="s">
        <v>721</v>
      </c>
      <c r="B277" s="2" t="s">
        <v>722</v>
      </c>
      <c r="C277" s="2" t="s">
        <v>108</v>
      </c>
      <c r="D277" s="2" t="s">
        <v>26</v>
      </c>
      <c r="E277" s="2" t="s">
        <v>26</v>
      </c>
      <c r="F277" s="249" t="s">
        <v>848</v>
      </c>
      <c r="G277" s="2" t="s">
        <v>177</v>
      </c>
      <c r="H277" s="7">
        <v>-62851.043824734457</v>
      </c>
      <c r="I277" s="221">
        <v>0</v>
      </c>
      <c r="J277" s="3">
        <f t="shared" si="4"/>
        <v>-62851.043824734457</v>
      </c>
    </row>
    <row r="278" spans="1:10" x14ac:dyDescent="0.25">
      <c r="A278" s="2" t="s">
        <v>723</v>
      </c>
      <c r="B278" s="2" t="s">
        <v>724</v>
      </c>
      <c r="C278" s="2" t="s">
        <v>108</v>
      </c>
      <c r="D278" s="2" t="s">
        <v>26</v>
      </c>
      <c r="E278" s="2" t="s">
        <v>26</v>
      </c>
      <c r="F278" s="249" t="s">
        <v>848</v>
      </c>
      <c r="G278" s="2" t="s">
        <v>177</v>
      </c>
      <c r="H278" s="7">
        <v>-323491.58117287129</v>
      </c>
      <c r="I278" s="221">
        <v>-5483.3921518843536</v>
      </c>
      <c r="J278" s="3">
        <f t="shared" si="4"/>
        <v>-318008.18902098696</v>
      </c>
    </row>
    <row r="279" spans="1:10" x14ac:dyDescent="0.25">
      <c r="A279" s="2" t="s">
        <v>725</v>
      </c>
      <c r="B279" s="2" t="s">
        <v>726</v>
      </c>
      <c r="C279" s="2" t="s">
        <v>159</v>
      </c>
      <c r="D279" s="2" t="s">
        <v>26</v>
      </c>
      <c r="E279" s="2" t="s">
        <v>26</v>
      </c>
      <c r="F279" s="249" t="s">
        <v>848</v>
      </c>
      <c r="G279" s="2" t="s">
        <v>177</v>
      </c>
      <c r="H279" s="7">
        <v>-453634.87382154108</v>
      </c>
      <c r="I279" s="221">
        <v>-974194.62083176814</v>
      </c>
      <c r="J279" s="3">
        <f t="shared" si="4"/>
        <v>520559.74701022706</v>
      </c>
    </row>
    <row r="280" spans="1:10" x14ac:dyDescent="0.25">
      <c r="A280" s="2" t="s">
        <v>727</v>
      </c>
      <c r="B280" s="2" t="s">
        <v>728</v>
      </c>
      <c r="C280" s="2" t="s">
        <v>159</v>
      </c>
      <c r="D280" s="2" t="s">
        <v>11</v>
      </c>
      <c r="E280" s="2" t="s">
        <v>41</v>
      </c>
      <c r="F280" s="249" t="s">
        <v>846</v>
      </c>
      <c r="G280" s="2" t="s">
        <v>177</v>
      </c>
      <c r="H280" s="7">
        <v>-453746.58106083988</v>
      </c>
      <c r="I280" s="221">
        <v>-189383.4311452531</v>
      </c>
      <c r="J280" s="3">
        <f t="shared" si="4"/>
        <v>-264363.14991558681</v>
      </c>
    </row>
    <row r="281" spans="1:10" x14ac:dyDescent="0.25">
      <c r="A281" s="2" t="s">
        <v>729</v>
      </c>
      <c r="B281" s="2" t="s">
        <v>730</v>
      </c>
      <c r="C281" s="2" t="s">
        <v>159</v>
      </c>
      <c r="D281" s="2" t="s">
        <v>13</v>
      </c>
      <c r="E281" s="2" t="s">
        <v>41</v>
      </c>
      <c r="F281" s="249" t="s">
        <v>852</v>
      </c>
      <c r="G281" s="2" t="s">
        <v>177</v>
      </c>
      <c r="H281" s="7">
        <v>-848270.26872199017</v>
      </c>
      <c r="I281" s="221">
        <v>-1331904.7345001313</v>
      </c>
      <c r="J281" s="3">
        <f t="shared" si="4"/>
        <v>483634.46577814117</v>
      </c>
    </row>
    <row r="282" spans="1:10" x14ac:dyDescent="0.25">
      <c r="A282" s="2" t="s">
        <v>731</v>
      </c>
      <c r="B282" s="2" t="s">
        <v>732</v>
      </c>
      <c r="C282" s="2" t="s">
        <v>108</v>
      </c>
      <c r="D282" s="2" t="s">
        <v>19</v>
      </c>
      <c r="E282" s="2" t="s">
        <v>41</v>
      </c>
      <c r="F282" s="249" t="s">
        <v>853</v>
      </c>
      <c r="G282" s="2" t="s">
        <v>177</v>
      </c>
      <c r="H282" s="7">
        <v>-624116.57000000007</v>
      </c>
      <c r="I282" s="221">
        <v>0</v>
      </c>
      <c r="J282" s="3">
        <f t="shared" si="4"/>
        <v>-624116.57000000007</v>
      </c>
    </row>
    <row r="283" spans="1:10" x14ac:dyDescent="0.25">
      <c r="A283" s="2" t="s">
        <v>733</v>
      </c>
      <c r="B283" s="2" t="s">
        <v>734</v>
      </c>
      <c r="C283" s="2" t="s">
        <v>108</v>
      </c>
      <c r="D283" s="2" t="s">
        <v>28</v>
      </c>
      <c r="E283" s="2" t="s">
        <v>45</v>
      </c>
      <c r="F283" s="249" t="s">
        <v>855</v>
      </c>
      <c r="G283" s="2" t="s">
        <v>177</v>
      </c>
      <c r="H283" s="7">
        <v>-44028432.891698539</v>
      </c>
      <c r="I283" s="221">
        <v>-9047247.2370254043</v>
      </c>
      <c r="J283" s="3">
        <f t="shared" si="4"/>
        <v>-34981185.654673137</v>
      </c>
    </row>
    <row r="284" spans="1:10" x14ac:dyDescent="0.25">
      <c r="A284" s="2" t="s">
        <v>735</v>
      </c>
      <c r="B284" s="2" t="s">
        <v>736</v>
      </c>
      <c r="C284" s="2" t="s">
        <v>108</v>
      </c>
      <c r="D284" s="2" t="s">
        <v>26</v>
      </c>
      <c r="E284" s="2" t="s">
        <v>26</v>
      </c>
      <c r="F284" s="249" t="s">
        <v>848</v>
      </c>
      <c r="G284" s="2" t="s">
        <v>177</v>
      </c>
      <c r="H284" s="7">
        <v>-4173800.6999999997</v>
      </c>
      <c r="I284" s="221">
        <v>-2044206.999999996</v>
      </c>
      <c r="J284" s="3">
        <f t="shared" si="4"/>
        <v>-2129593.7000000039</v>
      </c>
    </row>
    <row r="285" spans="1:10" x14ac:dyDescent="0.25">
      <c r="A285" s="2" t="s">
        <v>737</v>
      </c>
      <c r="B285" s="2" t="s">
        <v>738</v>
      </c>
      <c r="C285" s="2" t="s">
        <v>159</v>
      </c>
      <c r="D285" s="2" t="s">
        <v>26</v>
      </c>
      <c r="E285" s="2" t="s">
        <v>26</v>
      </c>
      <c r="F285" s="249" t="s">
        <v>848</v>
      </c>
      <c r="G285" s="2" t="s">
        <v>177</v>
      </c>
      <c r="H285" s="7">
        <v>-1748850.5200000003</v>
      </c>
      <c r="I285" s="221">
        <v>-1370745.999999996</v>
      </c>
      <c r="J285" s="3">
        <f t="shared" si="4"/>
        <v>-378104.52000000421</v>
      </c>
    </row>
    <row r="286" spans="1:10" x14ac:dyDescent="0.25">
      <c r="A286" s="2" t="s">
        <v>739</v>
      </c>
      <c r="B286" s="2" t="s">
        <v>740</v>
      </c>
      <c r="C286" s="2" t="s">
        <v>810</v>
      </c>
      <c r="D286" s="2" t="s">
        <v>26</v>
      </c>
      <c r="E286" s="2" t="s">
        <v>26</v>
      </c>
      <c r="F286" s="249" t="s">
        <v>848</v>
      </c>
      <c r="G286" s="2" t="s">
        <v>177</v>
      </c>
      <c r="H286" s="7">
        <v>-2278.79</v>
      </c>
      <c r="I286" s="221">
        <v>-500000.00000000041</v>
      </c>
      <c r="J286" s="3">
        <f t="shared" si="4"/>
        <v>497721.21000000043</v>
      </c>
    </row>
    <row r="287" spans="1:10" x14ac:dyDescent="0.25">
      <c r="A287" s="2" t="s">
        <v>741</v>
      </c>
      <c r="B287" s="2" t="s">
        <v>742</v>
      </c>
      <c r="C287" s="2" t="s">
        <v>108</v>
      </c>
      <c r="D287" s="2" t="s">
        <v>26</v>
      </c>
      <c r="E287" s="2" t="s">
        <v>26</v>
      </c>
      <c r="F287" s="249" t="s">
        <v>848</v>
      </c>
      <c r="G287" s="2" t="s">
        <v>177</v>
      </c>
      <c r="H287" s="7">
        <v>-413845.27999999997</v>
      </c>
      <c r="I287" s="221">
        <v>-800000.00000000081</v>
      </c>
      <c r="J287" s="3">
        <f t="shared" si="4"/>
        <v>386154.72000000085</v>
      </c>
    </row>
    <row r="288" spans="1:10" x14ac:dyDescent="0.25">
      <c r="A288" s="2" t="s">
        <v>743</v>
      </c>
      <c r="B288" s="2" t="s">
        <v>744</v>
      </c>
      <c r="C288" s="2" t="s">
        <v>810</v>
      </c>
      <c r="D288" s="2" t="s">
        <v>26</v>
      </c>
      <c r="E288" s="2" t="s">
        <v>26</v>
      </c>
      <c r="F288" s="249" t="s">
        <v>848</v>
      </c>
      <c r="G288" s="2" t="s">
        <v>177</v>
      </c>
      <c r="H288" s="7">
        <v>-14588.580000000002</v>
      </c>
      <c r="I288" s="221">
        <v>-600000</v>
      </c>
      <c r="J288" s="3">
        <f t="shared" si="4"/>
        <v>585411.42000000004</v>
      </c>
    </row>
    <row r="289" spans="1:10" x14ac:dyDescent="0.25">
      <c r="A289" s="2" t="s">
        <v>749</v>
      </c>
      <c r="B289" s="2" t="s">
        <v>750</v>
      </c>
      <c r="C289" s="2" t="s">
        <v>108</v>
      </c>
      <c r="D289" s="2" t="s">
        <v>19</v>
      </c>
      <c r="E289" s="2" t="s">
        <v>41</v>
      </c>
      <c r="F289" s="249" t="s">
        <v>853</v>
      </c>
      <c r="G289" s="2" t="s">
        <v>177</v>
      </c>
      <c r="H289" s="7">
        <v>-8740.1426829300908</v>
      </c>
      <c r="I289" s="221">
        <v>-33464.042713734896</v>
      </c>
      <c r="J289" s="3">
        <f t="shared" si="4"/>
        <v>24723.900030804805</v>
      </c>
    </row>
    <row r="290" spans="1:10" x14ac:dyDescent="0.25">
      <c r="A290" s="2" t="s">
        <v>751</v>
      </c>
      <c r="B290" s="2" t="s">
        <v>752</v>
      </c>
      <c r="C290" s="2" t="s">
        <v>108</v>
      </c>
      <c r="D290" s="2" t="s">
        <v>19</v>
      </c>
      <c r="E290" s="2" t="s">
        <v>41</v>
      </c>
      <c r="F290" s="249" t="s">
        <v>853</v>
      </c>
      <c r="G290" s="2" t="s">
        <v>177</v>
      </c>
      <c r="H290" s="7">
        <v>-589047.8020893184</v>
      </c>
      <c r="I290" s="221">
        <v>-348759.9182160495</v>
      </c>
      <c r="J290" s="3">
        <f t="shared" si="4"/>
        <v>-240287.8838732689</v>
      </c>
    </row>
    <row r="291" spans="1:10" x14ac:dyDescent="0.25">
      <c r="A291" s="2" t="s">
        <v>757</v>
      </c>
      <c r="B291" s="2" t="s">
        <v>758</v>
      </c>
      <c r="C291" s="2" t="s">
        <v>108</v>
      </c>
      <c r="D291" s="2" t="s">
        <v>19</v>
      </c>
      <c r="E291" s="2" t="s">
        <v>41</v>
      </c>
      <c r="F291" s="249" t="s">
        <v>853</v>
      </c>
      <c r="G291" s="2" t="s">
        <v>177</v>
      </c>
      <c r="H291" s="7">
        <v>-332803.5</v>
      </c>
      <c r="I291" s="221">
        <v>0</v>
      </c>
      <c r="J291" s="3">
        <f t="shared" si="4"/>
        <v>-332803.5</v>
      </c>
    </row>
    <row r="292" spans="1:10" x14ac:dyDescent="0.25">
      <c r="A292" s="2" t="s">
        <v>959</v>
      </c>
      <c r="B292" s="2" t="s">
        <v>960</v>
      </c>
      <c r="C292" s="2" t="s">
        <v>108</v>
      </c>
      <c r="D292" s="2" t="s">
        <v>19</v>
      </c>
      <c r="E292" s="2" t="s">
        <v>41</v>
      </c>
      <c r="F292" s="249" t="s">
        <v>853</v>
      </c>
      <c r="G292" s="2" t="s">
        <v>177</v>
      </c>
      <c r="H292" s="7">
        <v>-2275718.2799999998</v>
      </c>
      <c r="I292" s="221">
        <v>0</v>
      </c>
      <c r="J292" s="3">
        <f t="shared" si="4"/>
        <v>-2275718.2799999998</v>
      </c>
    </row>
    <row r="293" spans="1:10" x14ac:dyDescent="0.25">
      <c r="A293" s="2" t="s">
        <v>759</v>
      </c>
      <c r="B293" s="2" t="s">
        <v>760</v>
      </c>
      <c r="C293" s="2" t="s">
        <v>108</v>
      </c>
      <c r="D293" s="2" t="s">
        <v>29</v>
      </c>
      <c r="E293" s="2" t="s">
        <v>45</v>
      </c>
      <c r="F293" s="249" t="s">
        <v>856</v>
      </c>
      <c r="G293" s="2" t="s">
        <v>177</v>
      </c>
      <c r="H293" s="7">
        <v>-19661839.260000002</v>
      </c>
      <c r="I293" s="221">
        <v>-10173066.606914049</v>
      </c>
      <c r="J293" s="3">
        <f t="shared" si="4"/>
        <v>-9488772.6530859526</v>
      </c>
    </row>
    <row r="294" spans="1:10" x14ac:dyDescent="0.25">
      <c r="A294" s="2" t="s">
        <v>761</v>
      </c>
      <c r="B294" s="2" t="s">
        <v>762</v>
      </c>
      <c r="C294" s="2" t="s">
        <v>108</v>
      </c>
      <c r="D294" s="2" t="s">
        <v>19</v>
      </c>
      <c r="E294" s="2" t="s">
        <v>41</v>
      </c>
      <c r="F294" s="249" t="s">
        <v>853</v>
      </c>
      <c r="G294" s="2" t="s">
        <v>177</v>
      </c>
      <c r="H294" s="7">
        <v>-4427.7899999999991</v>
      </c>
      <c r="I294" s="221">
        <v>-1243996.6522279081</v>
      </c>
      <c r="J294" s="3">
        <f t="shared" si="4"/>
        <v>1239568.8622279081</v>
      </c>
    </row>
    <row r="295" spans="1:10" x14ac:dyDescent="0.25">
      <c r="A295" s="2" t="s">
        <v>803</v>
      </c>
      <c r="B295" s="2" t="s">
        <v>804</v>
      </c>
      <c r="C295" s="2" t="s">
        <v>108</v>
      </c>
      <c r="D295" s="2" t="s">
        <v>822</v>
      </c>
      <c r="E295" s="2" t="s">
        <v>41</v>
      </c>
      <c r="F295" s="249"/>
      <c r="G295" s="2" t="s">
        <v>177</v>
      </c>
      <c r="H295" s="7">
        <v>-1442703.39398975</v>
      </c>
      <c r="I295" s="221">
        <v>-7165996.3759999918</v>
      </c>
      <c r="J295" s="3">
        <f t="shared" si="4"/>
        <v>5723292.9820102416</v>
      </c>
    </row>
    <row r="296" spans="1:10" x14ac:dyDescent="0.25">
      <c r="A296" s="2" t="s">
        <v>769</v>
      </c>
      <c r="B296" s="2" t="s">
        <v>961</v>
      </c>
      <c r="C296" s="2" t="s">
        <v>108</v>
      </c>
      <c r="D296" s="2" t="s">
        <v>31</v>
      </c>
      <c r="E296" s="2" t="s">
        <v>41</v>
      </c>
      <c r="F296" s="249"/>
      <c r="G296" s="2" t="s">
        <v>177</v>
      </c>
      <c r="H296" s="7">
        <v>-1258562.3289936027</v>
      </c>
      <c r="I296" s="221">
        <v>-4266596.526499996</v>
      </c>
      <c r="J296" s="3">
        <f t="shared" si="4"/>
        <v>3008034.1975063933</v>
      </c>
    </row>
    <row r="297" spans="1:10" x14ac:dyDescent="0.25">
      <c r="A297" s="2" t="s">
        <v>789</v>
      </c>
      <c r="B297" s="2" t="s">
        <v>790</v>
      </c>
      <c r="C297" s="2" t="s">
        <v>108</v>
      </c>
      <c r="D297" s="2" t="s">
        <v>26</v>
      </c>
      <c r="E297" s="2" t="s">
        <v>26</v>
      </c>
      <c r="F297" s="249" t="s">
        <v>848</v>
      </c>
      <c r="G297" s="2" t="s">
        <v>177</v>
      </c>
      <c r="H297" s="7">
        <v>-3266.9763681120999</v>
      </c>
      <c r="I297" s="221">
        <v>-1885788.5200000035</v>
      </c>
      <c r="J297" s="3">
        <f t="shared" si="4"/>
        <v>1882521.5436318915</v>
      </c>
    </row>
    <row r="298" spans="1:10" x14ac:dyDescent="0.25">
      <c r="A298" s="2" t="s">
        <v>962</v>
      </c>
      <c r="B298" s="2" t="s">
        <v>963</v>
      </c>
      <c r="C298" s="2" t="s">
        <v>159</v>
      </c>
      <c r="D298" s="2" t="s">
        <v>26</v>
      </c>
      <c r="E298" s="2" t="s">
        <v>26</v>
      </c>
      <c r="F298" s="249" t="s">
        <v>848</v>
      </c>
      <c r="G298" s="2" t="s">
        <v>177</v>
      </c>
      <c r="H298" s="7">
        <v>-1024585.86</v>
      </c>
      <c r="I298" s="221">
        <v>0</v>
      </c>
      <c r="J298" s="3">
        <f t="shared" si="4"/>
        <v>-1024585.86</v>
      </c>
    </row>
    <row r="299" spans="1:10" x14ac:dyDescent="0.25">
      <c r="A299" s="2" t="s">
        <v>770</v>
      </c>
      <c r="B299" s="2" t="s">
        <v>771</v>
      </c>
      <c r="C299" s="2" t="s">
        <v>159</v>
      </c>
      <c r="D299" s="2" t="s">
        <v>21</v>
      </c>
      <c r="E299" s="2" t="s">
        <v>45</v>
      </c>
      <c r="F299" s="249"/>
      <c r="G299" s="2" t="s">
        <v>177</v>
      </c>
      <c r="H299" s="7">
        <v>-110540.0559775251</v>
      </c>
      <c r="I299" s="221">
        <v>0</v>
      </c>
      <c r="J299" s="3">
        <f t="shared" si="4"/>
        <v>-110540.0559775251</v>
      </c>
    </row>
    <row r="300" spans="1:10" x14ac:dyDescent="0.25">
      <c r="A300" s="2" t="s">
        <v>772</v>
      </c>
      <c r="B300" s="2" t="s">
        <v>773</v>
      </c>
      <c r="C300" s="2" t="s">
        <v>108</v>
      </c>
      <c r="D300" s="2"/>
      <c r="E300" s="2"/>
      <c r="F300" s="249"/>
      <c r="G300" s="2" t="s">
        <v>176</v>
      </c>
      <c r="H300" s="7">
        <v>-2774952.2051824466</v>
      </c>
      <c r="I300" s="221">
        <v>-4757737.4334327346</v>
      </c>
      <c r="J300" s="3">
        <f t="shared" si="4"/>
        <v>1982785.2282502879</v>
      </c>
    </row>
    <row r="301" spans="1:10" x14ac:dyDescent="0.25">
      <c r="A301" s="2" t="s">
        <v>774</v>
      </c>
      <c r="B301" s="2" t="s">
        <v>775</v>
      </c>
      <c r="C301" s="2" t="s">
        <v>108</v>
      </c>
      <c r="D301" s="2"/>
      <c r="E301" s="2"/>
      <c r="F301" s="249"/>
      <c r="G301" s="2" t="s">
        <v>176</v>
      </c>
      <c r="H301" s="7">
        <v>-1813298.1</v>
      </c>
      <c r="I301" s="221">
        <v>-1610902.4702044392</v>
      </c>
      <c r="J301" s="3">
        <f t="shared" si="4"/>
        <v>-202395.62979556085</v>
      </c>
    </row>
    <row r="302" spans="1:10" x14ac:dyDescent="0.25">
      <c r="A302" s="2" t="s">
        <v>776</v>
      </c>
      <c r="B302" s="2" t="s">
        <v>777</v>
      </c>
      <c r="C302" s="2" t="s">
        <v>108</v>
      </c>
      <c r="D302" s="2"/>
      <c r="E302" s="2"/>
      <c r="F302" s="249"/>
      <c r="G302" s="2" t="s">
        <v>176</v>
      </c>
      <c r="H302" s="7">
        <v>-2995082.71</v>
      </c>
      <c r="I302" s="221">
        <v>-229013.27651958822</v>
      </c>
      <c r="J302" s="3">
        <f t="shared" si="4"/>
        <v>-2766069.4334804118</v>
      </c>
    </row>
    <row r="303" spans="1:10" x14ac:dyDescent="0.25">
      <c r="A303" s="2" t="s">
        <v>778</v>
      </c>
      <c r="B303" s="2" t="s">
        <v>779</v>
      </c>
      <c r="C303" s="2" t="s">
        <v>108</v>
      </c>
      <c r="D303" s="2"/>
      <c r="E303" s="2"/>
      <c r="F303" s="249"/>
      <c r="G303" s="2" t="s">
        <v>176</v>
      </c>
      <c r="H303" s="7">
        <v>-1026939.6350094073</v>
      </c>
      <c r="I303" s="221">
        <v>-945078.68989740359</v>
      </c>
      <c r="J303" s="3">
        <f t="shared" si="4"/>
        <v>-81860.945112003712</v>
      </c>
    </row>
    <row r="304" spans="1:10" x14ac:dyDescent="0.25">
      <c r="A304" s="2" t="s">
        <v>780</v>
      </c>
      <c r="B304" s="2" t="s">
        <v>781</v>
      </c>
      <c r="C304" s="2" t="s">
        <v>108</v>
      </c>
      <c r="D304" s="2"/>
      <c r="E304" s="2"/>
      <c r="F304" s="249"/>
      <c r="G304" s="2" t="s">
        <v>176</v>
      </c>
      <c r="H304" s="7">
        <v>140154.20000000001</v>
      </c>
      <c r="I304" s="221">
        <v>0</v>
      </c>
      <c r="J304" s="3">
        <f t="shared" si="4"/>
        <v>140154.20000000001</v>
      </c>
    </row>
    <row r="305" spans="1:10" x14ac:dyDescent="0.25">
      <c r="A305" s="2" t="s">
        <v>782</v>
      </c>
      <c r="B305" s="2" t="s">
        <v>783</v>
      </c>
      <c r="C305" s="2" t="s">
        <v>108</v>
      </c>
      <c r="D305" s="2"/>
      <c r="E305" s="2"/>
      <c r="F305" s="249"/>
      <c r="G305" s="2" t="s">
        <v>176</v>
      </c>
      <c r="H305" s="7">
        <v>-2297632.6732302085</v>
      </c>
      <c r="I305" s="221">
        <v>-6022703.3382038157</v>
      </c>
      <c r="J305" s="3">
        <f t="shared" si="4"/>
        <v>3725070.6649736073</v>
      </c>
    </row>
    <row r="306" spans="1:10" x14ac:dyDescent="0.25">
      <c r="A306" s="2" t="s">
        <v>786</v>
      </c>
      <c r="B306" s="2" t="s">
        <v>787</v>
      </c>
      <c r="C306" s="2" t="s">
        <v>108</v>
      </c>
      <c r="D306" s="2"/>
      <c r="E306" s="2"/>
      <c r="F306" s="249"/>
      <c r="G306" s="2" t="s">
        <v>176</v>
      </c>
      <c r="H306" s="7">
        <v>-1829357.0899999996</v>
      </c>
      <c r="I306" s="221">
        <v>0</v>
      </c>
      <c r="J306" s="3">
        <f t="shared" si="4"/>
        <v>-1829357.0899999996</v>
      </c>
    </row>
    <row r="307" spans="1:10" x14ac:dyDescent="0.25">
      <c r="A307" s="2" t="s">
        <v>964</v>
      </c>
      <c r="B307" s="2" t="s">
        <v>965</v>
      </c>
      <c r="C307" s="2" t="s">
        <v>810</v>
      </c>
      <c r="D307" s="2"/>
      <c r="E307" s="2"/>
      <c r="F307" s="249"/>
      <c r="G307" s="2" t="s">
        <v>176</v>
      </c>
      <c r="H307" s="7">
        <v>-744122.07000000007</v>
      </c>
      <c r="I307" s="221">
        <v>0</v>
      </c>
      <c r="J307" s="3">
        <f t="shared" si="4"/>
        <v>-744122.07000000007</v>
      </c>
    </row>
    <row r="308" spans="1:10" x14ac:dyDescent="0.25">
      <c r="A308" s="2" t="s">
        <v>1573</v>
      </c>
      <c r="B308" s="2" t="s">
        <v>1574</v>
      </c>
      <c r="C308" s="2" t="s">
        <v>108</v>
      </c>
      <c r="D308" s="2"/>
      <c r="E308" s="2"/>
      <c r="F308" s="249"/>
      <c r="G308" t="s">
        <v>175</v>
      </c>
      <c r="H308" s="7"/>
      <c r="I308" s="221">
        <v>-12011.948750007665</v>
      </c>
      <c r="J308" s="3">
        <f t="shared" si="4"/>
        <v>12011.948750007665</v>
      </c>
    </row>
    <row r="309" spans="1:10" x14ac:dyDescent="0.25">
      <c r="A309" s="2" t="s">
        <v>1575</v>
      </c>
      <c r="B309" s="2" t="s">
        <v>1576</v>
      </c>
      <c r="C309" s="2" t="s">
        <v>108</v>
      </c>
      <c r="D309" s="2"/>
      <c r="E309" s="2"/>
      <c r="F309" s="249"/>
      <c r="G309" t="s">
        <v>176</v>
      </c>
      <c r="H309" s="7"/>
      <c r="I309" s="221">
        <v>-3379999.9999999907</v>
      </c>
      <c r="J309" s="3">
        <f t="shared" si="4"/>
        <v>3379999.9999999907</v>
      </c>
    </row>
    <row r="310" spans="1:10" x14ac:dyDescent="0.25">
      <c r="A310" s="2" t="s">
        <v>1577</v>
      </c>
      <c r="B310" s="2" t="s">
        <v>1578</v>
      </c>
      <c r="C310" s="2" t="s">
        <v>108</v>
      </c>
      <c r="D310" s="2"/>
      <c r="E310" s="2"/>
      <c r="F310" s="249"/>
      <c r="G310" t="s">
        <v>177</v>
      </c>
      <c r="H310" s="7"/>
      <c r="I310" s="221">
        <v>-779493.89760000783</v>
      </c>
      <c r="J310" s="3">
        <f t="shared" si="4"/>
        <v>779493.89760000783</v>
      </c>
    </row>
    <row r="311" spans="1:10" x14ac:dyDescent="0.25">
      <c r="A311" s="2" t="s">
        <v>1579</v>
      </c>
      <c r="B311" s="2" t="s">
        <v>1580</v>
      </c>
      <c r="C311" s="2" t="s">
        <v>108</v>
      </c>
      <c r="D311" s="2"/>
      <c r="E311" s="2"/>
      <c r="F311" s="249"/>
      <c r="G311" t="s">
        <v>175</v>
      </c>
      <c r="H311" s="7"/>
      <c r="I311" s="221">
        <v>-194225.09758083988</v>
      </c>
      <c r="J311" s="3">
        <f t="shared" si="4"/>
        <v>194225.09758083988</v>
      </c>
    </row>
    <row r="312" spans="1:10" x14ac:dyDescent="0.25">
      <c r="A312" s="2" t="s">
        <v>1581</v>
      </c>
      <c r="B312" s="2" t="s">
        <v>1582</v>
      </c>
      <c r="C312" s="2" t="s">
        <v>108</v>
      </c>
      <c r="D312" s="2"/>
      <c r="E312" s="2"/>
      <c r="F312" s="249"/>
      <c r="G312" t="s">
        <v>176</v>
      </c>
      <c r="H312" s="7"/>
      <c r="I312" s="221">
        <v>-321149.78495599958</v>
      </c>
      <c r="J312" s="3">
        <f t="shared" si="4"/>
        <v>321149.78495599958</v>
      </c>
    </row>
    <row r="313" spans="1:10" x14ac:dyDescent="0.25">
      <c r="A313" s="2" t="s">
        <v>1583</v>
      </c>
      <c r="B313" s="2" t="s">
        <v>1584</v>
      </c>
      <c r="C313" s="2" t="s">
        <v>108</v>
      </c>
      <c r="D313" s="2"/>
      <c r="E313" s="2"/>
      <c r="F313" s="249"/>
      <c r="G313" t="s">
        <v>176</v>
      </c>
      <c r="H313" s="7"/>
      <c r="I313" s="221">
        <v>-409618.9999999993</v>
      </c>
      <c r="J313" s="3">
        <f t="shared" si="4"/>
        <v>409618.9999999993</v>
      </c>
    </row>
    <row r="314" spans="1:10" x14ac:dyDescent="0.25">
      <c r="A314" s="2" t="s">
        <v>1585</v>
      </c>
      <c r="B314" s="2" t="s">
        <v>1586</v>
      </c>
      <c r="C314" s="2" t="s">
        <v>108</v>
      </c>
      <c r="D314" s="2"/>
      <c r="E314" s="2"/>
      <c r="F314" s="249"/>
      <c r="G314" s="353" t="s">
        <v>176</v>
      </c>
      <c r="H314" s="7"/>
      <c r="I314" s="221">
        <v>-1039999.9999999983</v>
      </c>
      <c r="J314" s="3">
        <f t="shared" si="4"/>
        <v>1039999.9999999983</v>
      </c>
    </row>
    <row r="315" spans="1:10" x14ac:dyDescent="0.25">
      <c r="A315" s="2" t="s">
        <v>966</v>
      </c>
      <c r="B315" s="2" t="s">
        <v>967</v>
      </c>
      <c r="C315" s="2" t="s">
        <v>810</v>
      </c>
      <c r="D315" s="2"/>
      <c r="E315" s="2"/>
      <c r="F315" s="249"/>
      <c r="G315" s="2" t="s">
        <v>173</v>
      </c>
      <c r="H315" s="7">
        <v>-1045825.5800000001</v>
      </c>
      <c r="I315" s="221">
        <v>0</v>
      </c>
      <c r="J315" s="3">
        <f t="shared" si="4"/>
        <v>-1045825.5800000001</v>
      </c>
    </row>
    <row r="316" spans="1:10" x14ac:dyDescent="0.25">
      <c r="A316" s="2" t="s">
        <v>968</v>
      </c>
      <c r="B316" s="2" t="s">
        <v>969</v>
      </c>
      <c r="C316" s="2" t="s">
        <v>810</v>
      </c>
      <c r="D316" s="2"/>
      <c r="E316" s="2"/>
      <c r="F316" s="249"/>
      <c r="G316" s="2" t="s">
        <v>173</v>
      </c>
      <c r="H316" s="7">
        <v>-3014945.66</v>
      </c>
      <c r="I316" s="221">
        <v>0</v>
      </c>
      <c r="J316" s="3">
        <f t="shared" si="4"/>
        <v>-3014945.66</v>
      </c>
    </row>
    <row r="317" spans="1:10" x14ac:dyDescent="0.25">
      <c r="A317" s="2" t="s">
        <v>970</v>
      </c>
      <c r="B317" s="2" t="s">
        <v>971</v>
      </c>
      <c r="C317" s="2" t="s">
        <v>108</v>
      </c>
      <c r="D317" s="2"/>
      <c r="E317" s="2"/>
      <c r="F317" s="249"/>
      <c r="G317" s="2" t="s">
        <v>173</v>
      </c>
      <c r="H317" s="7">
        <v>-348942.11</v>
      </c>
      <c r="I317" s="221">
        <v>0</v>
      </c>
      <c r="J317" s="3">
        <f t="shared" si="4"/>
        <v>-348942.11</v>
      </c>
    </row>
    <row r="318" spans="1:10" x14ac:dyDescent="0.25">
      <c r="A318" s="2" t="s">
        <v>972</v>
      </c>
      <c r="B318" s="2" t="s">
        <v>973</v>
      </c>
      <c r="C318" s="2" t="s">
        <v>108</v>
      </c>
      <c r="D318" s="2"/>
      <c r="E318" s="2"/>
      <c r="F318" s="249"/>
      <c r="G318" s="2" t="s">
        <v>175</v>
      </c>
      <c r="H318" s="7">
        <v>-2216233.5699999998</v>
      </c>
      <c r="I318" s="221">
        <v>0</v>
      </c>
      <c r="J318" s="3">
        <f t="shared" si="4"/>
        <v>-2216233.5699999998</v>
      </c>
    </row>
    <row r="319" spans="1:10" x14ac:dyDescent="0.25">
      <c r="A319" s="2" t="s">
        <v>974</v>
      </c>
      <c r="B319" s="2" t="s">
        <v>975</v>
      </c>
      <c r="C319" s="2" t="s">
        <v>159</v>
      </c>
      <c r="D319" s="2"/>
      <c r="E319" s="2"/>
      <c r="F319" s="249"/>
      <c r="G319" s="2" t="s">
        <v>175</v>
      </c>
      <c r="H319" s="7">
        <v>-259777.62</v>
      </c>
      <c r="I319" s="221">
        <v>-1556639.0985517884</v>
      </c>
      <c r="J319" s="3">
        <f t="shared" si="4"/>
        <v>1296861.4785517883</v>
      </c>
    </row>
    <row r="320" spans="1:10" x14ac:dyDescent="0.25">
      <c r="A320" s="2" t="s">
        <v>976</v>
      </c>
      <c r="B320" s="2" t="s">
        <v>977</v>
      </c>
      <c r="C320" s="2" t="s">
        <v>159</v>
      </c>
      <c r="D320" s="2"/>
      <c r="E320" s="2"/>
      <c r="F320" s="249"/>
      <c r="G320" s="2" t="s">
        <v>175</v>
      </c>
      <c r="H320" s="7">
        <v>-211064.18</v>
      </c>
      <c r="I320" s="221">
        <v>0</v>
      </c>
      <c r="J320" s="3">
        <f t="shared" si="4"/>
        <v>-211064.18</v>
      </c>
    </row>
    <row r="321" spans="1:10" x14ac:dyDescent="0.25">
      <c r="A321" s="2" t="s">
        <v>978</v>
      </c>
      <c r="B321" s="2" t="s">
        <v>979</v>
      </c>
      <c r="C321" s="2" t="s">
        <v>810</v>
      </c>
      <c r="D321" s="2"/>
      <c r="E321" s="2"/>
      <c r="F321" s="249"/>
      <c r="G321" s="2" t="s">
        <v>175</v>
      </c>
      <c r="H321" s="7">
        <v>-278769.55</v>
      </c>
      <c r="I321" s="221">
        <v>-2075710.4702499928</v>
      </c>
      <c r="J321" s="3">
        <f t="shared" si="4"/>
        <v>1796940.9202499927</v>
      </c>
    </row>
    <row r="322" spans="1:10" x14ac:dyDescent="0.25">
      <c r="A322" s="2" t="s">
        <v>980</v>
      </c>
      <c r="B322" s="2" t="s">
        <v>981</v>
      </c>
      <c r="C322" s="2" t="s">
        <v>810</v>
      </c>
      <c r="D322" s="2"/>
      <c r="E322" s="2"/>
      <c r="F322" s="249"/>
      <c r="G322" s="2" t="s">
        <v>175</v>
      </c>
      <c r="H322" s="7">
        <v>-3229430.16</v>
      </c>
      <c r="I322" s="221">
        <v>0</v>
      </c>
      <c r="J322" s="3">
        <f t="shared" si="4"/>
        <v>-3229430.16</v>
      </c>
    </row>
    <row r="323" spans="1:10" x14ac:dyDescent="0.25">
      <c r="A323" s="2" t="s">
        <v>982</v>
      </c>
      <c r="B323" s="2" t="s">
        <v>983</v>
      </c>
      <c r="C323" s="2" t="s">
        <v>810</v>
      </c>
      <c r="D323" s="2"/>
      <c r="E323" s="2"/>
      <c r="F323" s="249"/>
      <c r="G323" s="2" t="s">
        <v>175</v>
      </c>
      <c r="H323" s="7">
        <v>-1534151.84</v>
      </c>
      <c r="I323" s="221">
        <v>0</v>
      </c>
      <c r="J323" s="3">
        <f t="shared" si="4"/>
        <v>-1534151.84</v>
      </c>
    </row>
    <row r="324" spans="1:10" x14ac:dyDescent="0.25">
      <c r="A324" s="2" t="s">
        <v>984</v>
      </c>
      <c r="B324" s="2" t="s">
        <v>985</v>
      </c>
      <c r="C324" s="2" t="s">
        <v>108</v>
      </c>
      <c r="D324" s="2"/>
      <c r="E324" s="2"/>
      <c r="F324" s="249"/>
      <c r="G324" s="2" t="s">
        <v>175</v>
      </c>
      <c r="H324" s="7">
        <v>-143896.11000000002</v>
      </c>
      <c r="I324" s="221">
        <v>0</v>
      </c>
      <c r="J324" s="3">
        <f t="shared" si="4"/>
        <v>-143896.11000000002</v>
      </c>
    </row>
    <row r="325" spans="1:10" x14ac:dyDescent="0.25">
      <c r="A325" s="2" t="s">
        <v>986</v>
      </c>
      <c r="B325" s="2" t="s">
        <v>987</v>
      </c>
      <c r="C325" s="2" t="s">
        <v>810</v>
      </c>
      <c r="D325" s="2"/>
      <c r="E325" s="2"/>
      <c r="F325" s="249"/>
      <c r="G325" s="2" t="s">
        <v>175</v>
      </c>
      <c r="H325" s="7">
        <v>-944878.86</v>
      </c>
      <c r="I325" s="221">
        <v>0</v>
      </c>
      <c r="J325" s="3">
        <f t="shared" si="4"/>
        <v>-944878.86</v>
      </c>
    </row>
    <row r="326" spans="1:10" x14ac:dyDescent="0.25">
      <c r="A326" s="2" t="s">
        <v>988</v>
      </c>
      <c r="B326" s="2" t="s">
        <v>989</v>
      </c>
      <c r="C326" s="2" t="s">
        <v>810</v>
      </c>
      <c r="D326" s="2"/>
      <c r="E326" s="2"/>
      <c r="F326" s="249"/>
      <c r="G326" s="2" t="s">
        <v>175</v>
      </c>
      <c r="H326" s="7">
        <v>-957357.45</v>
      </c>
      <c r="I326" s="221">
        <v>0</v>
      </c>
      <c r="J326" s="3">
        <f t="shared" ref="J326:J389" si="5">H326-I326</f>
        <v>-957357.45</v>
      </c>
    </row>
    <row r="327" spans="1:10" x14ac:dyDescent="0.25">
      <c r="A327" s="2" t="s">
        <v>990</v>
      </c>
      <c r="B327" s="2" t="s">
        <v>991</v>
      </c>
      <c r="C327" s="2" t="s">
        <v>810</v>
      </c>
      <c r="D327" s="2"/>
      <c r="E327" s="2"/>
      <c r="F327" s="249"/>
      <c r="G327" s="2" t="s">
        <v>175</v>
      </c>
      <c r="H327" s="7">
        <v>-53665.39</v>
      </c>
      <c r="I327" s="221">
        <v>0</v>
      </c>
      <c r="J327" s="3">
        <f t="shared" si="5"/>
        <v>-53665.39</v>
      </c>
    </row>
    <row r="328" spans="1:10" x14ac:dyDescent="0.25">
      <c r="A328" s="2" t="s">
        <v>992</v>
      </c>
      <c r="B328" s="2" t="s">
        <v>993</v>
      </c>
      <c r="C328" s="2" t="s">
        <v>810</v>
      </c>
      <c r="D328" s="2"/>
      <c r="E328" s="2"/>
      <c r="F328" s="249"/>
      <c r="G328" s="2" t="s">
        <v>175</v>
      </c>
      <c r="H328" s="7">
        <v>-647845.66</v>
      </c>
      <c r="I328" s="221">
        <v>0</v>
      </c>
      <c r="J328" s="3">
        <f t="shared" si="5"/>
        <v>-647845.66</v>
      </c>
    </row>
    <row r="329" spans="1:10" x14ac:dyDescent="0.25">
      <c r="A329" s="2" t="s">
        <v>994</v>
      </c>
      <c r="B329" s="2" t="s">
        <v>995</v>
      </c>
      <c r="C329" s="2" t="s">
        <v>108</v>
      </c>
      <c r="D329" s="2"/>
      <c r="E329" s="2"/>
      <c r="F329" s="249"/>
      <c r="G329" s="2" t="s">
        <v>175</v>
      </c>
      <c r="H329" s="7">
        <v>-175823.08</v>
      </c>
      <c r="I329" s="221">
        <v>0</v>
      </c>
      <c r="J329" s="3">
        <f t="shared" si="5"/>
        <v>-175823.08</v>
      </c>
    </row>
    <row r="330" spans="1:10" x14ac:dyDescent="0.25">
      <c r="A330" s="2" t="s">
        <v>996</v>
      </c>
      <c r="B330" s="2" t="s">
        <v>997</v>
      </c>
      <c r="C330" s="2" t="s">
        <v>810</v>
      </c>
      <c r="D330" s="2"/>
      <c r="E330" s="2"/>
      <c r="F330" s="249"/>
      <c r="G330" s="2" t="s">
        <v>175</v>
      </c>
      <c r="H330" s="7">
        <v>-175716.3</v>
      </c>
      <c r="I330" s="221">
        <v>0</v>
      </c>
      <c r="J330" s="3">
        <f t="shared" si="5"/>
        <v>-175716.3</v>
      </c>
    </row>
    <row r="331" spans="1:10" x14ac:dyDescent="0.25">
      <c r="A331" s="2" t="s">
        <v>998</v>
      </c>
      <c r="B331" s="2" t="s">
        <v>999</v>
      </c>
      <c r="C331" s="2" t="s">
        <v>810</v>
      </c>
      <c r="D331" s="2"/>
      <c r="E331" s="2"/>
      <c r="F331" s="249"/>
      <c r="G331" s="2" t="s">
        <v>175</v>
      </c>
      <c r="H331" s="7">
        <v>-270244.25</v>
      </c>
      <c r="I331" s="221">
        <v>0</v>
      </c>
      <c r="J331" s="3">
        <f t="shared" si="5"/>
        <v>-270244.25</v>
      </c>
    </row>
    <row r="332" spans="1:10" x14ac:dyDescent="0.25">
      <c r="A332" s="2" t="s">
        <v>1000</v>
      </c>
      <c r="B332" s="2" t="s">
        <v>1001</v>
      </c>
      <c r="C332" s="2" t="s">
        <v>810</v>
      </c>
      <c r="D332" s="2"/>
      <c r="E332" s="2"/>
      <c r="F332" s="249"/>
      <c r="G332" s="2" t="s">
        <v>175</v>
      </c>
      <c r="H332" s="7">
        <v>-156400.57</v>
      </c>
      <c r="I332" s="221">
        <v>0</v>
      </c>
      <c r="J332" s="3">
        <f t="shared" si="5"/>
        <v>-156400.57</v>
      </c>
    </row>
    <row r="333" spans="1:10" x14ac:dyDescent="0.25">
      <c r="A333" s="2" t="s">
        <v>1002</v>
      </c>
      <c r="B333" s="2" t="s">
        <v>1003</v>
      </c>
      <c r="C333" s="2" t="s">
        <v>810</v>
      </c>
      <c r="D333" s="2"/>
      <c r="E333" s="2"/>
      <c r="F333" s="249"/>
      <c r="G333" s="2" t="s">
        <v>175</v>
      </c>
      <c r="H333" s="7">
        <v>-49287.6</v>
      </c>
      <c r="I333" s="221">
        <v>0</v>
      </c>
      <c r="J333" s="3">
        <f t="shared" si="5"/>
        <v>-49287.6</v>
      </c>
    </row>
    <row r="334" spans="1:10" x14ac:dyDescent="0.25">
      <c r="A334" s="2" t="s">
        <v>1004</v>
      </c>
      <c r="B334" s="2" t="s">
        <v>1005</v>
      </c>
      <c r="C334" s="2" t="s">
        <v>810</v>
      </c>
      <c r="D334" s="2"/>
      <c r="E334" s="2"/>
      <c r="F334" s="249"/>
      <c r="G334" s="2" t="s">
        <v>175</v>
      </c>
      <c r="H334" s="7">
        <v>-137262.07999999999</v>
      </c>
      <c r="I334" s="221">
        <v>0</v>
      </c>
      <c r="J334" s="3">
        <f t="shared" si="5"/>
        <v>-137262.07999999999</v>
      </c>
    </row>
    <row r="335" spans="1:10" x14ac:dyDescent="0.25">
      <c r="A335" s="2" t="s">
        <v>1006</v>
      </c>
      <c r="B335" s="2" t="s">
        <v>1007</v>
      </c>
      <c r="C335" s="2" t="s">
        <v>810</v>
      </c>
      <c r="D335" s="2"/>
      <c r="E335" s="2"/>
      <c r="F335" s="249"/>
      <c r="G335" s="2" t="s">
        <v>175</v>
      </c>
      <c r="H335" s="7">
        <v>-35417.21</v>
      </c>
      <c r="I335" s="221">
        <v>0</v>
      </c>
      <c r="J335" s="3">
        <f t="shared" si="5"/>
        <v>-35417.21</v>
      </c>
    </row>
    <row r="336" spans="1:10" x14ac:dyDescent="0.25">
      <c r="A336" s="2" t="s">
        <v>1008</v>
      </c>
      <c r="B336" s="2" t="s">
        <v>1009</v>
      </c>
      <c r="C336" s="2" t="s">
        <v>810</v>
      </c>
      <c r="D336" s="2"/>
      <c r="E336" s="2"/>
      <c r="F336" s="249"/>
      <c r="G336" s="2" t="s">
        <v>175</v>
      </c>
      <c r="H336" s="7">
        <v>-485772.88</v>
      </c>
      <c r="I336" s="221">
        <v>0</v>
      </c>
      <c r="J336" s="3">
        <f t="shared" si="5"/>
        <v>-485772.88</v>
      </c>
    </row>
    <row r="337" spans="1:10" x14ac:dyDescent="0.25">
      <c r="A337" s="2" t="s">
        <v>1010</v>
      </c>
      <c r="B337" s="2" t="s">
        <v>1011</v>
      </c>
      <c r="C337" s="2" t="s">
        <v>810</v>
      </c>
      <c r="D337" s="2"/>
      <c r="E337" s="2"/>
      <c r="F337" s="249"/>
      <c r="G337" s="2" t="s">
        <v>175</v>
      </c>
      <c r="H337" s="7">
        <v>-482646.76</v>
      </c>
      <c r="I337" s="221">
        <v>0</v>
      </c>
      <c r="J337" s="3">
        <f t="shared" si="5"/>
        <v>-482646.76</v>
      </c>
    </row>
    <row r="338" spans="1:10" x14ac:dyDescent="0.25">
      <c r="A338" s="2" t="s">
        <v>1012</v>
      </c>
      <c r="B338" s="2" t="s">
        <v>1013</v>
      </c>
      <c r="C338" s="2" t="s">
        <v>810</v>
      </c>
      <c r="D338" s="2"/>
      <c r="E338" s="2"/>
      <c r="F338" s="249"/>
      <c r="G338" s="2" t="s">
        <v>175</v>
      </c>
      <c r="H338" s="7">
        <v>-390708.47999999998</v>
      </c>
      <c r="I338" s="221">
        <v>0</v>
      </c>
      <c r="J338" s="3">
        <f t="shared" si="5"/>
        <v>-390708.47999999998</v>
      </c>
    </row>
    <row r="339" spans="1:10" x14ac:dyDescent="0.25">
      <c r="A339" s="2" t="s">
        <v>1014</v>
      </c>
      <c r="B339" s="2" t="s">
        <v>1015</v>
      </c>
      <c r="C339" s="2" t="s">
        <v>810</v>
      </c>
      <c r="D339" s="2"/>
      <c r="E339" s="2"/>
      <c r="F339" s="249"/>
      <c r="G339" s="2" t="s">
        <v>175</v>
      </c>
      <c r="H339" s="7">
        <v>-84038.26</v>
      </c>
      <c r="I339" s="221">
        <v>0</v>
      </c>
      <c r="J339" s="3">
        <f t="shared" si="5"/>
        <v>-84038.26</v>
      </c>
    </row>
    <row r="340" spans="1:10" x14ac:dyDescent="0.25">
      <c r="A340" s="2" t="s">
        <v>1016</v>
      </c>
      <c r="B340" s="2" t="s">
        <v>1017</v>
      </c>
      <c r="C340" s="2" t="s">
        <v>810</v>
      </c>
      <c r="D340" s="2"/>
      <c r="E340" s="2"/>
      <c r="F340" s="249"/>
      <c r="G340" s="2" t="s">
        <v>175</v>
      </c>
      <c r="H340" s="7">
        <v>-175404.75</v>
      </c>
      <c r="I340" s="221">
        <v>0</v>
      </c>
      <c r="J340" s="3">
        <f t="shared" si="5"/>
        <v>-175404.75</v>
      </c>
    </row>
    <row r="341" spans="1:10" x14ac:dyDescent="0.25">
      <c r="A341" s="2" t="s">
        <v>1018</v>
      </c>
      <c r="B341" s="2" t="s">
        <v>1019</v>
      </c>
      <c r="C341" s="2" t="s">
        <v>810</v>
      </c>
      <c r="D341" s="2"/>
      <c r="E341" s="2"/>
      <c r="F341" s="249"/>
      <c r="G341" s="2" t="s">
        <v>175</v>
      </c>
      <c r="H341" s="7">
        <v>-68963.759999999995</v>
      </c>
      <c r="I341" s="221">
        <v>0</v>
      </c>
      <c r="J341" s="3">
        <f t="shared" si="5"/>
        <v>-68963.759999999995</v>
      </c>
    </row>
    <row r="342" spans="1:10" x14ac:dyDescent="0.25">
      <c r="A342" s="2" t="s">
        <v>1020</v>
      </c>
      <c r="B342" s="2" t="s">
        <v>1021</v>
      </c>
      <c r="C342" s="2" t="s">
        <v>810</v>
      </c>
      <c r="D342" s="2"/>
      <c r="E342" s="2"/>
      <c r="F342" s="249"/>
      <c r="G342" s="2" t="s">
        <v>175</v>
      </c>
      <c r="H342" s="7">
        <v>-471605</v>
      </c>
      <c r="I342" s="221">
        <v>0</v>
      </c>
      <c r="J342" s="3">
        <f t="shared" si="5"/>
        <v>-471605</v>
      </c>
    </row>
    <row r="343" spans="1:10" x14ac:dyDescent="0.25">
      <c r="A343" s="2" t="s">
        <v>1022</v>
      </c>
      <c r="B343" s="2" t="s">
        <v>1023</v>
      </c>
      <c r="C343" s="2" t="s">
        <v>810</v>
      </c>
      <c r="D343" s="2"/>
      <c r="E343" s="2"/>
      <c r="F343" s="249"/>
      <c r="G343" s="2" t="s">
        <v>175</v>
      </c>
      <c r="H343" s="7">
        <v>-772496.25000000012</v>
      </c>
      <c r="I343" s="221">
        <v>0</v>
      </c>
      <c r="J343" s="3">
        <f t="shared" si="5"/>
        <v>-772496.25000000012</v>
      </c>
    </row>
    <row r="344" spans="1:10" x14ac:dyDescent="0.25">
      <c r="A344" s="2" t="s">
        <v>1024</v>
      </c>
      <c r="B344" s="2" t="s">
        <v>1025</v>
      </c>
      <c r="C344" s="2" t="s">
        <v>810</v>
      </c>
      <c r="D344" s="2"/>
      <c r="E344" s="2"/>
      <c r="F344" s="249"/>
      <c r="G344" s="2" t="s">
        <v>175</v>
      </c>
      <c r="H344" s="7">
        <v>-184143.81</v>
      </c>
      <c r="I344" s="221">
        <v>0</v>
      </c>
      <c r="J344" s="3">
        <f t="shared" si="5"/>
        <v>-184143.81</v>
      </c>
    </row>
    <row r="345" spans="1:10" x14ac:dyDescent="0.25">
      <c r="A345" s="2" t="s">
        <v>1026</v>
      </c>
      <c r="B345" s="2" t="s">
        <v>1027</v>
      </c>
      <c r="C345" s="2" t="s">
        <v>810</v>
      </c>
      <c r="D345" s="2"/>
      <c r="E345" s="2"/>
      <c r="F345" s="249"/>
      <c r="G345" s="2" t="s">
        <v>175</v>
      </c>
      <c r="H345" s="7">
        <v>-428200.25</v>
      </c>
      <c r="I345" s="221">
        <v>0</v>
      </c>
      <c r="J345" s="3">
        <f t="shared" si="5"/>
        <v>-428200.25</v>
      </c>
    </row>
    <row r="346" spans="1:10" x14ac:dyDescent="0.25">
      <c r="A346" s="2" t="s">
        <v>1028</v>
      </c>
      <c r="B346" s="2" t="s">
        <v>1029</v>
      </c>
      <c r="C346" s="2" t="s">
        <v>810</v>
      </c>
      <c r="D346" s="2"/>
      <c r="E346" s="2"/>
      <c r="F346" s="249"/>
      <c r="G346" s="2" t="s">
        <v>175</v>
      </c>
      <c r="H346" s="7">
        <v>-139126.70000000001</v>
      </c>
      <c r="I346" s="221">
        <v>0</v>
      </c>
      <c r="J346" s="3">
        <f t="shared" si="5"/>
        <v>-139126.70000000001</v>
      </c>
    </row>
    <row r="347" spans="1:10" x14ac:dyDescent="0.25">
      <c r="A347" s="2" t="s">
        <v>1030</v>
      </c>
      <c r="B347" s="2" t="s">
        <v>1031</v>
      </c>
      <c r="C347" s="2" t="s">
        <v>810</v>
      </c>
      <c r="D347" s="2"/>
      <c r="E347" s="2"/>
      <c r="F347" s="249"/>
      <c r="G347" s="2" t="s">
        <v>175</v>
      </c>
      <c r="H347" s="7">
        <v>-186899.47999999998</v>
      </c>
      <c r="I347" s="221">
        <v>0</v>
      </c>
      <c r="J347" s="3">
        <f t="shared" si="5"/>
        <v>-186899.47999999998</v>
      </c>
    </row>
    <row r="348" spans="1:10" x14ac:dyDescent="0.25">
      <c r="A348" s="2" t="s">
        <v>1032</v>
      </c>
      <c r="B348" s="2" t="s">
        <v>1033</v>
      </c>
      <c r="C348" s="2" t="s">
        <v>810</v>
      </c>
      <c r="D348" s="2"/>
      <c r="E348" s="2"/>
      <c r="F348" s="249"/>
      <c r="G348" s="2" t="s">
        <v>175</v>
      </c>
      <c r="H348" s="7">
        <v>-522840.7</v>
      </c>
      <c r="I348" s="221">
        <v>0</v>
      </c>
      <c r="J348" s="3">
        <f t="shared" si="5"/>
        <v>-522840.7</v>
      </c>
    </row>
    <row r="349" spans="1:10" x14ac:dyDescent="0.25">
      <c r="A349" s="2" t="s">
        <v>1034</v>
      </c>
      <c r="B349" s="2" t="s">
        <v>1035</v>
      </c>
      <c r="C349" s="2" t="s">
        <v>810</v>
      </c>
      <c r="D349" s="2"/>
      <c r="E349" s="2"/>
      <c r="F349" s="249"/>
      <c r="G349" s="2" t="s">
        <v>175</v>
      </c>
      <c r="H349" s="7">
        <v>-799360.76</v>
      </c>
      <c r="I349" s="221">
        <v>0</v>
      </c>
      <c r="J349" s="3">
        <f t="shared" si="5"/>
        <v>-799360.76</v>
      </c>
    </row>
    <row r="350" spans="1:10" x14ac:dyDescent="0.25">
      <c r="A350" s="2" t="s">
        <v>1036</v>
      </c>
      <c r="B350" s="2" t="s">
        <v>1037</v>
      </c>
      <c r="C350" s="2" t="s">
        <v>810</v>
      </c>
      <c r="D350" s="2"/>
      <c r="E350" s="2"/>
      <c r="F350" s="249"/>
      <c r="G350" s="2" t="s">
        <v>175</v>
      </c>
      <c r="H350" s="7">
        <v>-129316.09</v>
      </c>
      <c r="I350" s="221">
        <v>0</v>
      </c>
      <c r="J350" s="3">
        <f t="shared" si="5"/>
        <v>-129316.09</v>
      </c>
    </row>
    <row r="351" spans="1:10" x14ac:dyDescent="0.25">
      <c r="A351" s="2" t="s">
        <v>1038</v>
      </c>
      <c r="B351" s="2" t="s">
        <v>1039</v>
      </c>
      <c r="C351" s="2" t="s">
        <v>810</v>
      </c>
      <c r="D351" s="2"/>
      <c r="E351" s="2"/>
      <c r="F351" s="249"/>
      <c r="G351" s="2" t="s">
        <v>175</v>
      </c>
      <c r="H351" s="7">
        <v>-126827.98</v>
      </c>
      <c r="I351" s="221">
        <v>0</v>
      </c>
      <c r="J351" s="3">
        <f t="shared" si="5"/>
        <v>-126827.98</v>
      </c>
    </row>
    <row r="352" spans="1:10" x14ac:dyDescent="0.25">
      <c r="A352" s="2" t="s">
        <v>1040</v>
      </c>
      <c r="B352" s="2" t="s">
        <v>1041</v>
      </c>
      <c r="C352" s="2" t="s">
        <v>810</v>
      </c>
      <c r="D352" s="2"/>
      <c r="E352" s="2"/>
      <c r="F352" s="249"/>
      <c r="G352" s="2" t="s">
        <v>175</v>
      </c>
      <c r="H352" s="7">
        <v>-335795.19</v>
      </c>
      <c r="I352" s="221">
        <v>0</v>
      </c>
      <c r="J352" s="3">
        <f t="shared" si="5"/>
        <v>-335795.19</v>
      </c>
    </row>
    <row r="353" spans="1:10" x14ac:dyDescent="0.25">
      <c r="A353" s="2" t="s">
        <v>1042</v>
      </c>
      <c r="B353" s="2" t="s">
        <v>1043</v>
      </c>
      <c r="C353" s="2" t="s">
        <v>810</v>
      </c>
      <c r="D353" s="2"/>
      <c r="E353" s="2"/>
      <c r="F353" s="249"/>
      <c r="G353" s="2" t="s">
        <v>175</v>
      </c>
      <c r="H353" s="7">
        <v>-616432.77</v>
      </c>
      <c r="I353" s="221">
        <v>0</v>
      </c>
      <c r="J353" s="3">
        <f t="shared" si="5"/>
        <v>-616432.77</v>
      </c>
    </row>
    <row r="354" spans="1:10" x14ac:dyDescent="0.25">
      <c r="A354" s="2" t="s">
        <v>1044</v>
      </c>
      <c r="B354" s="2" t="s">
        <v>1045</v>
      </c>
      <c r="C354" s="2" t="s">
        <v>159</v>
      </c>
      <c r="D354" s="2"/>
      <c r="E354" s="2"/>
      <c r="F354" s="249"/>
      <c r="G354" s="2" t="s">
        <v>175</v>
      </c>
      <c r="H354" s="7">
        <v>-1372689.31</v>
      </c>
      <c r="I354" s="221">
        <v>0</v>
      </c>
      <c r="J354" s="3">
        <f t="shared" si="5"/>
        <v>-1372689.31</v>
      </c>
    </row>
    <row r="355" spans="1:10" x14ac:dyDescent="0.25">
      <c r="A355" s="2" t="s">
        <v>1046</v>
      </c>
      <c r="B355" s="2" t="s">
        <v>1047</v>
      </c>
      <c r="C355" s="2" t="s">
        <v>159</v>
      </c>
      <c r="D355" s="2"/>
      <c r="E355" s="2"/>
      <c r="F355" s="249"/>
      <c r="G355" s="2" t="s">
        <v>175</v>
      </c>
      <c r="H355" s="7">
        <v>-213097.9</v>
      </c>
      <c r="I355" s="221">
        <v>0</v>
      </c>
      <c r="J355" s="3">
        <f t="shared" si="5"/>
        <v>-213097.9</v>
      </c>
    </row>
    <row r="356" spans="1:10" x14ac:dyDescent="0.25">
      <c r="A356" s="2" t="s">
        <v>1048</v>
      </c>
      <c r="B356" s="2" t="s">
        <v>1049</v>
      </c>
      <c r="C356" s="2" t="s">
        <v>810</v>
      </c>
      <c r="D356" s="2"/>
      <c r="E356" s="2"/>
      <c r="F356" s="249"/>
      <c r="G356" s="2" t="s">
        <v>175</v>
      </c>
      <c r="H356" s="7">
        <v>-415822.3</v>
      </c>
      <c r="I356" s="221">
        <v>0</v>
      </c>
      <c r="J356" s="3">
        <f t="shared" si="5"/>
        <v>-415822.3</v>
      </c>
    </row>
    <row r="357" spans="1:10" x14ac:dyDescent="0.25">
      <c r="A357" s="2" t="s">
        <v>1050</v>
      </c>
      <c r="B357" s="2" t="s">
        <v>1051</v>
      </c>
      <c r="C357" s="2" t="s">
        <v>108</v>
      </c>
      <c r="D357" s="2"/>
      <c r="E357" s="2"/>
      <c r="F357" s="249"/>
      <c r="G357" s="2" t="s">
        <v>174</v>
      </c>
      <c r="H357" s="7">
        <v>-3892596.55</v>
      </c>
      <c r="I357" s="221">
        <v>0</v>
      </c>
      <c r="J357" s="3">
        <f t="shared" si="5"/>
        <v>-3892596.55</v>
      </c>
    </row>
    <row r="358" spans="1:10" x14ac:dyDescent="0.25">
      <c r="A358" s="2" t="s">
        <v>1052</v>
      </c>
      <c r="B358" s="2" t="s">
        <v>1053</v>
      </c>
      <c r="C358" s="2" t="s">
        <v>108</v>
      </c>
      <c r="D358" s="2"/>
      <c r="E358" s="2"/>
      <c r="F358" s="249"/>
      <c r="G358" s="2" t="s">
        <v>174</v>
      </c>
      <c r="H358" s="7">
        <v>-3436991.0099999993</v>
      </c>
      <c r="I358" s="221">
        <v>0</v>
      </c>
      <c r="J358" s="3">
        <f t="shared" si="5"/>
        <v>-3436991.0099999993</v>
      </c>
    </row>
    <row r="359" spans="1:10" x14ac:dyDescent="0.25">
      <c r="A359" s="2" t="s">
        <v>1054</v>
      </c>
      <c r="B359" s="2" t="s">
        <v>1055</v>
      </c>
      <c r="C359" s="2" t="s">
        <v>108</v>
      </c>
      <c r="D359" s="2"/>
      <c r="E359" s="2"/>
      <c r="F359" s="249"/>
      <c r="G359" s="2" t="s">
        <v>174</v>
      </c>
      <c r="H359" s="7">
        <v>-24497000.530000001</v>
      </c>
      <c r="I359" s="221">
        <v>0</v>
      </c>
      <c r="J359" s="3">
        <f t="shared" si="5"/>
        <v>-24497000.530000001</v>
      </c>
    </row>
    <row r="360" spans="1:10" x14ac:dyDescent="0.25">
      <c r="A360" s="2" t="s">
        <v>1056</v>
      </c>
      <c r="B360" s="2" t="s">
        <v>1057</v>
      </c>
      <c r="C360" s="2" t="s">
        <v>108</v>
      </c>
      <c r="D360" s="2" t="s">
        <v>15</v>
      </c>
      <c r="E360" s="2" t="s">
        <v>41</v>
      </c>
      <c r="F360" s="249" t="s">
        <v>851</v>
      </c>
      <c r="G360" s="2" t="s">
        <v>177</v>
      </c>
      <c r="H360" s="7">
        <v>-1735036.521348729</v>
      </c>
      <c r="I360" s="221">
        <v>0</v>
      </c>
      <c r="J360" s="3">
        <f t="shared" si="5"/>
        <v>-1735036.521348729</v>
      </c>
    </row>
    <row r="361" spans="1:10" x14ac:dyDescent="0.25">
      <c r="A361" s="2" t="s">
        <v>1058</v>
      </c>
      <c r="B361" s="2" t="s">
        <v>1059</v>
      </c>
      <c r="C361" s="2" t="s">
        <v>108</v>
      </c>
      <c r="D361" s="2" t="s">
        <v>26</v>
      </c>
      <c r="E361" s="2" t="s">
        <v>26</v>
      </c>
      <c r="F361" s="249" t="s">
        <v>848</v>
      </c>
      <c r="G361" s="2" t="s">
        <v>177</v>
      </c>
      <c r="H361" s="7">
        <v>-45509.87</v>
      </c>
      <c r="I361" s="221">
        <v>0</v>
      </c>
      <c r="J361" s="3">
        <f t="shared" si="5"/>
        <v>-45509.87</v>
      </c>
    </row>
    <row r="362" spans="1:10" x14ac:dyDescent="0.25">
      <c r="A362" s="2" t="s">
        <v>1060</v>
      </c>
      <c r="B362" s="2" t="s">
        <v>1061</v>
      </c>
      <c r="C362" s="2" t="s">
        <v>159</v>
      </c>
      <c r="D362" s="2" t="s">
        <v>26</v>
      </c>
      <c r="E362" s="2" t="s">
        <v>26</v>
      </c>
      <c r="F362" s="249" t="s">
        <v>848</v>
      </c>
      <c r="G362" s="2" t="s">
        <v>177</v>
      </c>
      <c r="H362" s="7">
        <v>-17267.640000000003</v>
      </c>
      <c r="I362" s="221">
        <v>0</v>
      </c>
      <c r="J362" s="3">
        <f t="shared" si="5"/>
        <v>-17267.640000000003</v>
      </c>
    </row>
    <row r="363" spans="1:10" x14ac:dyDescent="0.25">
      <c r="A363" s="2" t="s">
        <v>1062</v>
      </c>
      <c r="B363" s="2" t="s">
        <v>1063</v>
      </c>
      <c r="C363" s="2" t="s">
        <v>159</v>
      </c>
      <c r="D363" s="2" t="s">
        <v>25</v>
      </c>
      <c r="E363" s="2" t="s">
        <v>41</v>
      </c>
      <c r="F363" s="249" t="s">
        <v>847</v>
      </c>
      <c r="G363" s="2" t="s">
        <v>177</v>
      </c>
      <c r="H363" s="7">
        <v>-3890525.25</v>
      </c>
      <c r="I363" s="221">
        <v>0</v>
      </c>
      <c r="J363" s="3">
        <f t="shared" si="5"/>
        <v>-3890525.25</v>
      </c>
    </row>
    <row r="364" spans="1:10" x14ac:dyDescent="0.25">
      <c r="A364" s="2" t="s">
        <v>1064</v>
      </c>
      <c r="B364" s="2" t="s">
        <v>1065</v>
      </c>
      <c r="C364" s="2" t="s">
        <v>108</v>
      </c>
      <c r="D364" s="2" t="s">
        <v>26</v>
      </c>
      <c r="E364" s="2" t="s">
        <v>26</v>
      </c>
      <c r="F364" s="249" t="s">
        <v>848</v>
      </c>
      <c r="G364" s="248" t="s">
        <v>177</v>
      </c>
      <c r="H364" s="7">
        <v>-16426.059999999998</v>
      </c>
      <c r="I364" s="221">
        <v>0</v>
      </c>
      <c r="J364" s="3">
        <f t="shared" si="5"/>
        <v>-16426.059999999998</v>
      </c>
    </row>
    <row r="365" spans="1:10" x14ac:dyDescent="0.25">
      <c r="A365" s="2" t="s">
        <v>1066</v>
      </c>
      <c r="B365" s="2" t="s">
        <v>1067</v>
      </c>
      <c r="C365" s="2" t="s">
        <v>108</v>
      </c>
      <c r="D365" s="2" t="s">
        <v>26</v>
      </c>
      <c r="E365" s="2" t="s">
        <v>45</v>
      </c>
      <c r="F365" s="249"/>
      <c r="G365" s="248" t="s">
        <v>177</v>
      </c>
      <c r="H365" s="7">
        <v>-1635.29</v>
      </c>
      <c r="I365" s="221">
        <v>0</v>
      </c>
      <c r="J365" s="3">
        <f t="shared" si="5"/>
        <v>-1635.29</v>
      </c>
    </row>
    <row r="366" spans="1:10" x14ac:dyDescent="0.25">
      <c r="A366" s="2" t="s">
        <v>1068</v>
      </c>
      <c r="B366" s="2" t="s">
        <v>1069</v>
      </c>
      <c r="C366" s="2" t="s">
        <v>108</v>
      </c>
      <c r="D366" s="2" t="s">
        <v>15</v>
      </c>
      <c r="E366" s="2" t="s">
        <v>41</v>
      </c>
      <c r="F366" s="249" t="s">
        <v>851</v>
      </c>
      <c r="G366" s="2" t="s">
        <v>177</v>
      </c>
      <c r="H366" s="7">
        <v>-10674.04</v>
      </c>
      <c r="I366" s="221">
        <v>0</v>
      </c>
      <c r="J366" s="3">
        <f t="shared" si="5"/>
        <v>-10674.04</v>
      </c>
    </row>
    <row r="367" spans="1:10" x14ac:dyDescent="0.25">
      <c r="A367" s="2" t="s">
        <v>1070</v>
      </c>
      <c r="B367" s="2" t="s">
        <v>1071</v>
      </c>
      <c r="C367" s="2" t="s">
        <v>108</v>
      </c>
      <c r="D367" s="2"/>
      <c r="E367" s="2"/>
      <c r="F367" s="249"/>
      <c r="G367" s="2" t="s">
        <v>176</v>
      </c>
      <c r="H367" s="7">
        <v>-396715.91</v>
      </c>
      <c r="I367" s="221">
        <v>0</v>
      </c>
      <c r="J367" s="3">
        <f t="shared" si="5"/>
        <v>-396715.91</v>
      </c>
    </row>
    <row r="368" spans="1:10" x14ac:dyDescent="0.25">
      <c r="A368" s="2" t="s">
        <v>189</v>
      </c>
      <c r="B368" s="2" t="s">
        <v>1072</v>
      </c>
      <c r="C368" s="2" t="s">
        <v>810</v>
      </c>
      <c r="D368" s="2"/>
      <c r="E368" s="2"/>
      <c r="F368" s="249"/>
      <c r="G368" s="2" t="s">
        <v>173</v>
      </c>
      <c r="H368" s="7">
        <v>0</v>
      </c>
      <c r="I368" s="221">
        <v>-12462842.578559984</v>
      </c>
      <c r="J368" s="3">
        <f t="shared" si="5"/>
        <v>12462842.578559984</v>
      </c>
    </row>
    <row r="369" spans="1:10" x14ac:dyDescent="0.25">
      <c r="A369" s="2" t="s">
        <v>191</v>
      </c>
      <c r="B369" s="2" t="s">
        <v>1073</v>
      </c>
      <c r="C369" s="2" t="s">
        <v>810</v>
      </c>
      <c r="D369" s="2"/>
      <c r="E369" s="2"/>
      <c r="F369" s="249"/>
      <c r="G369" s="2" t="s">
        <v>173</v>
      </c>
      <c r="H369" s="7">
        <v>0</v>
      </c>
      <c r="I369" s="221">
        <v>-14472.17</v>
      </c>
      <c r="J369" s="3">
        <f t="shared" si="5"/>
        <v>14472.17</v>
      </c>
    </row>
    <row r="370" spans="1:10" x14ac:dyDescent="0.25">
      <c r="A370" s="2" t="s">
        <v>194</v>
      </c>
      <c r="B370" s="2" t="s">
        <v>1074</v>
      </c>
      <c r="C370" s="2" t="s">
        <v>810</v>
      </c>
      <c r="D370" s="2"/>
      <c r="E370" s="2"/>
      <c r="F370" s="249"/>
      <c r="G370" s="2" t="s">
        <v>173</v>
      </c>
      <c r="H370" s="7">
        <v>0</v>
      </c>
      <c r="I370" s="221">
        <v>-707.89717266828973</v>
      </c>
      <c r="J370" s="3">
        <f t="shared" si="5"/>
        <v>707.89717266828973</v>
      </c>
    </row>
    <row r="371" spans="1:10" x14ac:dyDescent="0.25">
      <c r="A371" s="2" t="s">
        <v>1075</v>
      </c>
      <c r="B371" s="2" t="s">
        <v>1076</v>
      </c>
      <c r="C371" s="2" t="s">
        <v>108</v>
      </c>
      <c r="D371" s="2"/>
      <c r="E371" s="2"/>
      <c r="F371" s="249"/>
      <c r="G371" s="2" t="s">
        <v>174</v>
      </c>
      <c r="H371" s="7">
        <v>0</v>
      </c>
      <c r="I371" s="221">
        <v>-13040.026999999964</v>
      </c>
      <c r="J371" s="3">
        <f t="shared" si="5"/>
        <v>13040.026999999964</v>
      </c>
    </row>
    <row r="372" spans="1:10" x14ac:dyDescent="0.25">
      <c r="A372" s="2" t="s">
        <v>1077</v>
      </c>
      <c r="B372" s="2" t="s">
        <v>1078</v>
      </c>
      <c r="C372" s="2" t="s">
        <v>810</v>
      </c>
      <c r="D372" s="2"/>
      <c r="E372" s="2"/>
      <c r="F372" s="249"/>
      <c r="G372" s="2" t="s">
        <v>175</v>
      </c>
      <c r="H372" s="7">
        <v>0</v>
      </c>
      <c r="I372" s="221">
        <v>-752309.25</v>
      </c>
      <c r="J372" s="3">
        <f t="shared" si="5"/>
        <v>752309.25</v>
      </c>
    </row>
    <row r="373" spans="1:10" x14ac:dyDescent="0.25">
      <c r="A373" s="2" t="s">
        <v>351</v>
      </c>
      <c r="B373" s="2" t="s">
        <v>352</v>
      </c>
      <c r="C373" s="2" t="s">
        <v>810</v>
      </c>
      <c r="D373" s="2"/>
      <c r="E373" s="2"/>
      <c r="F373" s="249"/>
      <c r="G373" s="2" t="s">
        <v>175</v>
      </c>
      <c r="H373" s="7">
        <v>0</v>
      </c>
      <c r="I373" s="221">
        <v>-4834241.3076954903</v>
      </c>
      <c r="J373" s="3">
        <f t="shared" si="5"/>
        <v>4834241.3076954903</v>
      </c>
    </row>
    <row r="374" spans="1:10" x14ac:dyDescent="0.25">
      <c r="A374" s="2" t="s">
        <v>1079</v>
      </c>
      <c r="B374" s="2" t="s">
        <v>1080</v>
      </c>
      <c r="C374" s="2" t="s">
        <v>108</v>
      </c>
      <c r="D374" s="2" t="s">
        <v>15</v>
      </c>
      <c r="E374" s="2" t="s">
        <v>41</v>
      </c>
      <c r="F374" s="249" t="s">
        <v>851</v>
      </c>
      <c r="G374" s="2" t="s">
        <v>177</v>
      </c>
      <c r="H374" s="7">
        <v>0</v>
      </c>
      <c r="I374" s="221">
        <v>-5600000.0000000037</v>
      </c>
      <c r="J374" s="3">
        <f t="shared" si="5"/>
        <v>5600000.0000000037</v>
      </c>
    </row>
    <row r="375" spans="1:10" x14ac:dyDescent="0.25">
      <c r="A375" s="2" t="s">
        <v>1081</v>
      </c>
      <c r="B375" s="2" t="s">
        <v>1082</v>
      </c>
      <c r="C375" s="2" t="s">
        <v>810</v>
      </c>
      <c r="D375" s="2"/>
      <c r="E375" s="2"/>
      <c r="F375" s="249"/>
      <c r="G375" s="2" t="s">
        <v>173</v>
      </c>
      <c r="H375" s="7">
        <v>0</v>
      </c>
      <c r="I375" s="221">
        <v>-5000000.0000000037</v>
      </c>
      <c r="J375" s="3">
        <f t="shared" si="5"/>
        <v>5000000.0000000037</v>
      </c>
    </row>
    <row r="376" spans="1:10" x14ac:dyDescent="0.25">
      <c r="A376" s="2" t="s">
        <v>214</v>
      </c>
      <c r="B376" s="2" t="s">
        <v>215</v>
      </c>
      <c r="C376" s="2" t="s">
        <v>108</v>
      </c>
      <c r="D376" s="2"/>
      <c r="E376" s="2"/>
      <c r="F376" s="249"/>
      <c r="G376" s="2" t="s">
        <v>178</v>
      </c>
      <c r="H376" s="7">
        <v>0</v>
      </c>
      <c r="I376" s="221">
        <v>-1658458.9199999992</v>
      </c>
      <c r="J376" s="3">
        <f t="shared" si="5"/>
        <v>1658458.9199999992</v>
      </c>
    </row>
    <row r="377" spans="1:10" x14ac:dyDescent="0.25">
      <c r="A377" s="2" t="s">
        <v>1083</v>
      </c>
      <c r="B377" s="2" t="s">
        <v>1084</v>
      </c>
      <c r="C377" s="2" t="s">
        <v>108</v>
      </c>
      <c r="D377" s="2"/>
      <c r="E377" s="2"/>
      <c r="F377" s="249"/>
      <c r="G377" s="248" t="s">
        <v>178</v>
      </c>
      <c r="H377" s="7">
        <v>0</v>
      </c>
      <c r="I377" s="221">
        <v>-431725.07999999978</v>
      </c>
      <c r="J377" s="3">
        <f t="shared" si="5"/>
        <v>431725.07999999978</v>
      </c>
    </row>
    <row r="378" spans="1:10" x14ac:dyDescent="0.25">
      <c r="A378" s="2" t="s">
        <v>1085</v>
      </c>
      <c r="B378" s="2" t="s">
        <v>1086</v>
      </c>
      <c r="C378" s="2" t="s">
        <v>810</v>
      </c>
      <c r="D378" s="2"/>
      <c r="E378" s="2"/>
      <c r="F378" s="249"/>
      <c r="G378" s="2" t="s">
        <v>175</v>
      </c>
      <c r="H378" s="7">
        <v>0</v>
      </c>
      <c r="I378" s="221">
        <v>-2000000.000000004</v>
      </c>
      <c r="J378" s="3">
        <f t="shared" si="5"/>
        <v>2000000.000000004</v>
      </c>
    </row>
    <row r="379" spans="1:10" x14ac:dyDescent="0.25">
      <c r="A379" s="2" t="s">
        <v>1087</v>
      </c>
      <c r="B379" s="2" t="s">
        <v>1088</v>
      </c>
      <c r="C379" s="2" t="s">
        <v>810</v>
      </c>
      <c r="D379" s="2"/>
      <c r="E379" s="2"/>
      <c r="F379" s="249"/>
      <c r="G379" s="2" t="s">
        <v>175</v>
      </c>
      <c r="H379" s="7">
        <v>0</v>
      </c>
      <c r="I379" s="221">
        <v>-1003078.9999999995</v>
      </c>
      <c r="J379" s="3">
        <f t="shared" si="5"/>
        <v>1003078.9999999995</v>
      </c>
    </row>
    <row r="380" spans="1:10" x14ac:dyDescent="0.25">
      <c r="A380" s="2" t="s">
        <v>274</v>
      </c>
      <c r="B380" s="2" t="s">
        <v>275</v>
      </c>
      <c r="C380" s="2" t="s">
        <v>810</v>
      </c>
      <c r="D380" s="2"/>
      <c r="E380" s="2"/>
      <c r="F380" s="249"/>
      <c r="G380" s="2" t="s">
        <v>175</v>
      </c>
      <c r="H380" s="7">
        <v>0</v>
      </c>
      <c r="I380" s="221">
        <v>-852336.81811125285</v>
      </c>
      <c r="J380" s="3">
        <f t="shared" si="5"/>
        <v>852336.81811125285</v>
      </c>
    </row>
    <row r="381" spans="1:10" x14ac:dyDescent="0.25">
      <c r="A381" s="2" t="s">
        <v>791</v>
      </c>
      <c r="B381" s="2" t="s">
        <v>792</v>
      </c>
      <c r="C381" s="2" t="s">
        <v>810</v>
      </c>
      <c r="D381" s="2"/>
      <c r="E381" s="2"/>
      <c r="F381" s="249"/>
      <c r="G381" s="2" t="s">
        <v>175</v>
      </c>
      <c r="H381" s="7">
        <v>0</v>
      </c>
      <c r="I381" s="221">
        <v>-4.3576999492663603E-2</v>
      </c>
      <c r="J381" s="3">
        <f t="shared" si="5"/>
        <v>4.3576999492663603E-2</v>
      </c>
    </row>
    <row r="382" spans="1:10" x14ac:dyDescent="0.25">
      <c r="A382" s="2" t="s">
        <v>793</v>
      </c>
      <c r="B382" s="2" t="s">
        <v>794</v>
      </c>
      <c r="C382" s="2" t="s">
        <v>108</v>
      </c>
      <c r="D382" s="2"/>
      <c r="E382" s="2"/>
      <c r="F382" s="249"/>
      <c r="G382" s="2" t="s">
        <v>174</v>
      </c>
      <c r="H382" s="7">
        <v>0</v>
      </c>
      <c r="I382" s="221">
        <v>-1447.5462448451858</v>
      </c>
      <c r="J382" s="3">
        <f t="shared" si="5"/>
        <v>1447.5462448451858</v>
      </c>
    </row>
    <row r="383" spans="1:10" x14ac:dyDescent="0.25">
      <c r="A383" s="2" t="s">
        <v>795</v>
      </c>
      <c r="B383" s="2" t="s">
        <v>796</v>
      </c>
      <c r="C383" s="2" t="s">
        <v>108</v>
      </c>
      <c r="D383" s="2" t="s">
        <v>26</v>
      </c>
      <c r="E383" s="2" t="s">
        <v>26</v>
      </c>
      <c r="F383" s="249" t="s">
        <v>848</v>
      </c>
      <c r="G383" s="2" t="s">
        <v>177</v>
      </c>
      <c r="H383" s="7">
        <v>0</v>
      </c>
      <c r="I383" s="221">
        <v>-524.70298175999994</v>
      </c>
      <c r="J383" s="3">
        <f t="shared" si="5"/>
        <v>524.70298175999994</v>
      </c>
    </row>
    <row r="384" spans="1:10" x14ac:dyDescent="0.25">
      <c r="A384" s="2" t="s">
        <v>573</v>
      </c>
      <c r="B384" s="2" t="s">
        <v>574</v>
      </c>
      <c r="C384" s="2" t="s">
        <v>108</v>
      </c>
      <c r="D384" s="2" t="s">
        <v>26</v>
      </c>
      <c r="E384" s="2" t="s">
        <v>26</v>
      </c>
      <c r="F384" s="249" t="s">
        <v>848</v>
      </c>
      <c r="G384" s="2" t="s">
        <v>177</v>
      </c>
      <c r="H384" s="7">
        <v>0</v>
      </c>
      <c r="I384" s="221">
        <v>-25677.839382580027</v>
      </c>
      <c r="J384" s="3">
        <f t="shared" si="5"/>
        <v>25677.839382580027</v>
      </c>
    </row>
    <row r="385" spans="1:10" x14ac:dyDescent="0.25">
      <c r="A385" s="2" t="s">
        <v>797</v>
      </c>
      <c r="B385" s="2" t="s">
        <v>798</v>
      </c>
      <c r="C385" s="2" t="s">
        <v>159</v>
      </c>
      <c r="D385" s="2"/>
      <c r="E385" s="2"/>
      <c r="F385" s="249"/>
      <c r="G385" s="2" t="s">
        <v>178</v>
      </c>
      <c r="H385" s="7">
        <v>0</v>
      </c>
      <c r="I385" s="221">
        <v>-1920.0000000000036</v>
      </c>
      <c r="J385" s="3">
        <f t="shared" si="5"/>
        <v>1920.0000000000036</v>
      </c>
    </row>
    <row r="386" spans="1:10" x14ac:dyDescent="0.25">
      <c r="A386" s="2" t="s">
        <v>1089</v>
      </c>
      <c r="B386" s="2" t="s">
        <v>1090</v>
      </c>
      <c r="C386" s="2" t="s">
        <v>108</v>
      </c>
      <c r="D386" s="2" t="s">
        <v>26</v>
      </c>
      <c r="E386" s="2" t="s">
        <v>26</v>
      </c>
      <c r="F386" s="249" t="s">
        <v>848</v>
      </c>
      <c r="G386" s="2" t="s">
        <v>177</v>
      </c>
      <c r="H386" s="7">
        <v>0</v>
      </c>
      <c r="I386" s="221">
        <v>-385505.82864000025</v>
      </c>
      <c r="J386" s="3">
        <f t="shared" si="5"/>
        <v>385505.82864000025</v>
      </c>
    </row>
    <row r="387" spans="1:10" x14ac:dyDescent="0.25">
      <c r="A387" s="2" t="s">
        <v>799</v>
      </c>
      <c r="B387" s="2" t="s">
        <v>800</v>
      </c>
      <c r="C387" s="2" t="s">
        <v>108</v>
      </c>
      <c r="D387" s="2" t="s">
        <v>23</v>
      </c>
      <c r="E387" s="2" t="s">
        <v>821</v>
      </c>
      <c r="F387" s="249" t="s">
        <v>850</v>
      </c>
      <c r="G387" s="2" t="s">
        <v>177</v>
      </c>
      <c r="H387" s="7">
        <v>0</v>
      </c>
      <c r="I387" s="221">
        <v>-366.15172416000001</v>
      </c>
      <c r="J387" s="3">
        <f t="shared" si="5"/>
        <v>366.15172416000001</v>
      </c>
    </row>
    <row r="388" spans="1:10" x14ac:dyDescent="0.25">
      <c r="A388" s="2" t="s">
        <v>1091</v>
      </c>
      <c r="B388" s="2" t="s">
        <v>1092</v>
      </c>
      <c r="C388" s="2" t="s">
        <v>108</v>
      </c>
      <c r="D388" s="2" t="s">
        <v>19</v>
      </c>
      <c r="E388" s="2" t="s">
        <v>41</v>
      </c>
      <c r="F388" s="249" t="s">
        <v>853</v>
      </c>
      <c r="G388" s="2" t="s">
        <v>177</v>
      </c>
      <c r="H388" s="7">
        <v>0</v>
      </c>
      <c r="I388" s="221">
        <v>-9072.57</v>
      </c>
      <c r="J388" s="3">
        <f t="shared" si="5"/>
        <v>9072.57</v>
      </c>
    </row>
    <row r="389" spans="1:10" x14ac:dyDescent="0.25">
      <c r="A389" s="2" t="s">
        <v>236</v>
      </c>
      <c r="B389" s="2" t="s">
        <v>1093</v>
      </c>
      <c r="C389" s="2" t="s">
        <v>810</v>
      </c>
      <c r="D389" s="2"/>
      <c r="E389" s="2"/>
      <c r="F389" s="249"/>
      <c r="G389" s="2" t="s">
        <v>175</v>
      </c>
      <c r="H389" s="7">
        <v>0</v>
      </c>
      <c r="I389" s="221">
        <v>-31095448.999999966</v>
      </c>
      <c r="J389" s="3">
        <f t="shared" si="5"/>
        <v>31095448.999999966</v>
      </c>
    </row>
    <row r="390" spans="1:10" x14ac:dyDescent="0.25">
      <c r="A390" s="2" t="s">
        <v>1094</v>
      </c>
      <c r="B390" s="2" t="s">
        <v>1095</v>
      </c>
      <c r="C390" s="2" t="s">
        <v>108</v>
      </c>
      <c r="D390" s="2" t="s">
        <v>26</v>
      </c>
      <c r="E390" s="2" t="s">
        <v>26</v>
      </c>
      <c r="F390" s="249" t="s">
        <v>848</v>
      </c>
      <c r="G390" s="2" t="s">
        <v>177</v>
      </c>
      <c r="H390" s="7">
        <v>0</v>
      </c>
      <c r="I390" s="221">
        <v>-27570.89</v>
      </c>
      <c r="J390" s="3">
        <f t="shared" ref="J390:J453" si="6">H390-I390</f>
        <v>27570.89</v>
      </c>
    </row>
    <row r="391" spans="1:10" x14ac:dyDescent="0.25">
      <c r="A391" s="2" t="s">
        <v>747</v>
      </c>
      <c r="B391" s="2" t="s">
        <v>748</v>
      </c>
      <c r="C391" s="2" t="s">
        <v>159</v>
      </c>
      <c r="D391" s="2"/>
      <c r="E391" s="2"/>
      <c r="F391" s="249"/>
      <c r="G391" s="2" t="s">
        <v>178</v>
      </c>
      <c r="H391" s="7">
        <v>0</v>
      </c>
      <c r="I391" s="221">
        <v>-127819.20000000042</v>
      </c>
      <c r="J391" s="3">
        <f t="shared" si="6"/>
        <v>127819.20000000042</v>
      </c>
    </row>
    <row r="392" spans="1:10" x14ac:dyDescent="0.25">
      <c r="A392" s="2" t="s">
        <v>745</v>
      </c>
      <c r="B392" s="2" t="s">
        <v>746</v>
      </c>
      <c r="C392" s="2" t="s">
        <v>108</v>
      </c>
      <c r="D392" s="2"/>
      <c r="E392" s="2"/>
      <c r="F392" s="249"/>
      <c r="G392" s="2" t="s">
        <v>178</v>
      </c>
      <c r="H392" s="7">
        <v>0</v>
      </c>
      <c r="I392" s="221">
        <v>-456998.8599999994</v>
      </c>
      <c r="J392" s="3">
        <f t="shared" si="6"/>
        <v>456998.8599999994</v>
      </c>
    </row>
    <row r="393" spans="1:10" x14ac:dyDescent="0.25">
      <c r="A393" s="2" t="s">
        <v>1096</v>
      </c>
      <c r="B393" s="2" t="s">
        <v>1097</v>
      </c>
      <c r="C393" s="2" t="s">
        <v>159</v>
      </c>
      <c r="D393" s="2" t="s">
        <v>3</v>
      </c>
      <c r="E393" s="2" t="s">
        <v>41</v>
      </c>
      <c r="F393" s="249"/>
      <c r="G393" s="2" t="s">
        <v>177</v>
      </c>
      <c r="H393" s="7">
        <v>0</v>
      </c>
      <c r="I393" s="221">
        <v>-2830389.3665578598</v>
      </c>
      <c r="J393" s="3">
        <f t="shared" si="6"/>
        <v>2830389.3665578598</v>
      </c>
    </row>
    <row r="394" spans="1:10" x14ac:dyDescent="0.25">
      <c r="A394" s="2" t="s">
        <v>516</v>
      </c>
      <c r="B394" s="2" t="s">
        <v>517</v>
      </c>
      <c r="C394" s="2" t="s">
        <v>108</v>
      </c>
      <c r="D394" s="2" t="s">
        <v>2</v>
      </c>
      <c r="E394" s="2" t="s">
        <v>41</v>
      </c>
      <c r="F394" s="249"/>
      <c r="G394" s="2" t="s">
        <v>177</v>
      </c>
      <c r="H394" s="7">
        <v>0</v>
      </c>
      <c r="I394" s="221">
        <v>-31978133.108033676</v>
      </c>
      <c r="J394" s="3">
        <f t="shared" si="6"/>
        <v>31978133.108033676</v>
      </c>
    </row>
    <row r="395" spans="1:10" x14ac:dyDescent="0.25">
      <c r="A395" s="2" t="s">
        <v>805</v>
      </c>
      <c r="B395" s="2" t="s">
        <v>1098</v>
      </c>
      <c r="C395" s="2" t="s">
        <v>108</v>
      </c>
      <c r="D395" s="2" t="s">
        <v>26</v>
      </c>
      <c r="E395" s="2" t="s">
        <v>26</v>
      </c>
      <c r="F395" s="249" t="s">
        <v>848</v>
      </c>
      <c r="G395" s="2" t="s">
        <v>177</v>
      </c>
      <c r="H395" s="7">
        <v>0</v>
      </c>
      <c r="I395" s="221">
        <v>40119811.454329111</v>
      </c>
      <c r="J395" s="3">
        <f t="shared" si="6"/>
        <v>-40119811.454329111</v>
      </c>
    </row>
    <row r="396" spans="1:10" x14ac:dyDescent="0.25">
      <c r="A396" s="2" t="s">
        <v>198</v>
      </c>
      <c r="B396" s="2" t="s">
        <v>199</v>
      </c>
      <c r="C396" s="2" t="s">
        <v>108</v>
      </c>
      <c r="D396" s="2" t="s">
        <v>26</v>
      </c>
      <c r="E396" s="2" t="s">
        <v>26</v>
      </c>
      <c r="F396" s="249" t="s">
        <v>848</v>
      </c>
      <c r="G396" s="2" t="s">
        <v>177</v>
      </c>
      <c r="H396" s="7">
        <v>0</v>
      </c>
      <c r="I396" s="221">
        <v>-59235.828801300908</v>
      </c>
      <c r="J396" s="3">
        <f t="shared" si="6"/>
        <v>59235.828801300908</v>
      </c>
    </row>
    <row r="397" spans="1:10" x14ac:dyDescent="0.25">
      <c r="A397" s="2" t="s">
        <v>1099</v>
      </c>
      <c r="B397" s="2" t="s">
        <v>1100</v>
      </c>
      <c r="C397" s="2" t="s">
        <v>810</v>
      </c>
      <c r="D397" s="2"/>
      <c r="E397" s="2"/>
      <c r="F397" s="249"/>
      <c r="G397" s="2" t="s">
        <v>175</v>
      </c>
      <c r="H397" s="7">
        <v>0</v>
      </c>
      <c r="I397" s="221">
        <v>-7264315.7932416741</v>
      </c>
      <c r="J397" s="3">
        <f t="shared" si="6"/>
        <v>7264315.7932416741</v>
      </c>
    </row>
    <row r="398" spans="1:10" x14ac:dyDescent="0.25">
      <c r="A398" s="2" t="s">
        <v>1101</v>
      </c>
      <c r="B398" s="2" t="s">
        <v>1102</v>
      </c>
      <c r="C398" s="2" t="s">
        <v>108</v>
      </c>
      <c r="D398" s="2"/>
      <c r="E398" s="2"/>
      <c r="F398" s="249"/>
      <c r="G398" s="2" t="s">
        <v>175</v>
      </c>
      <c r="H398" s="7">
        <v>0</v>
      </c>
      <c r="I398" s="221">
        <v>-3293534.9291970716</v>
      </c>
      <c r="J398" s="3">
        <f t="shared" si="6"/>
        <v>3293534.9291970716</v>
      </c>
    </row>
    <row r="399" spans="1:10" x14ac:dyDescent="0.25">
      <c r="A399" s="2" t="s">
        <v>1103</v>
      </c>
      <c r="B399" s="2" t="s">
        <v>1104</v>
      </c>
      <c r="C399" s="2" t="s">
        <v>108</v>
      </c>
      <c r="D399" s="2"/>
      <c r="E399" s="2"/>
      <c r="F399" s="249"/>
      <c r="G399" s="2" t="s">
        <v>175</v>
      </c>
      <c r="H399" s="7">
        <v>0</v>
      </c>
      <c r="I399" s="221">
        <v>-13682163.113017503</v>
      </c>
      <c r="J399" s="3">
        <f t="shared" si="6"/>
        <v>13682163.113017503</v>
      </c>
    </row>
    <row r="400" spans="1:10" x14ac:dyDescent="0.25">
      <c r="A400" s="2" t="s">
        <v>255</v>
      </c>
      <c r="B400" s="2" t="s">
        <v>256</v>
      </c>
      <c r="C400" s="2" t="s">
        <v>810</v>
      </c>
      <c r="D400" s="2"/>
      <c r="E400" s="2"/>
      <c r="F400" s="249"/>
      <c r="G400" s="2" t="s">
        <v>175</v>
      </c>
      <c r="H400" s="7">
        <v>0</v>
      </c>
      <c r="I400" s="221">
        <v>-951662.06136646483</v>
      </c>
      <c r="J400" s="3">
        <f t="shared" si="6"/>
        <v>951662.06136646483</v>
      </c>
    </row>
    <row r="401" spans="1:10" x14ac:dyDescent="0.25">
      <c r="A401" s="2" t="s">
        <v>270</v>
      </c>
      <c r="B401" s="2" t="s">
        <v>271</v>
      </c>
      <c r="C401" s="2" t="s">
        <v>810</v>
      </c>
      <c r="D401" s="2"/>
      <c r="E401" s="2"/>
      <c r="F401" s="249"/>
      <c r="G401" s="2" t="s">
        <v>175</v>
      </c>
      <c r="H401" s="7">
        <v>0</v>
      </c>
      <c r="I401" s="221">
        <v>-1002546.142512465</v>
      </c>
      <c r="J401" s="3">
        <f t="shared" si="6"/>
        <v>1002546.142512465</v>
      </c>
    </row>
    <row r="402" spans="1:10" x14ac:dyDescent="0.25">
      <c r="A402" s="2" t="s">
        <v>304</v>
      </c>
      <c r="B402" s="2" t="s">
        <v>305</v>
      </c>
      <c r="C402" s="2" t="s">
        <v>108</v>
      </c>
      <c r="D402" s="2"/>
      <c r="E402" s="2"/>
      <c r="F402" s="249"/>
      <c r="G402" s="2" t="s">
        <v>175</v>
      </c>
      <c r="H402" s="7">
        <v>0</v>
      </c>
      <c r="I402" s="221">
        <v>-421.66687436472955</v>
      </c>
      <c r="J402" s="3">
        <f t="shared" si="6"/>
        <v>421.66687436472955</v>
      </c>
    </row>
    <row r="403" spans="1:10" x14ac:dyDescent="0.25">
      <c r="A403" s="2" t="s">
        <v>335</v>
      </c>
      <c r="B403" s="2" t="s">
        <v>336</v>
      </c>
      <c r="C403" s="2" t="s">
        <v>108</v>
      </c>
      <c r="D403" s="2"/>
      <c r="E403" s="2"/>
      <c r="F403" s="249"/>
      <c r="G403" s="2" t="s">
        <v>174</v>
      </c>
      <c r="H403" s="7">
        <v>0</v>
      </c>
      <c r="I403" s="221">
        <v>-247.00998259545034</v>
      </c>
      <c r="J403" s="3">
        <f t="shared" si="6"/>
        <v>247.00998259545034</v>
      </c>
    </row>
    <row r="404" spans="1:10" x14ac:dyDescent="0.25">
      <c r="A404" s="2" t="s">
        <v>347</v>
      </c>
      <c r="B404" s="2" t="s">
        <v>348</v>
      </c>
      <c r="C404" s="2" t="s">
        <v>108</v>
      </c>
      <c r="D404" s="2"/>
      <c r="E404" s="2"/>
      <c r="F404" s="249"/>
      <c r="G404" s="2" t="s">
        <v>174</v>
      </c>
      <c r="H404" s="7">
        <v>0</v>
      </c>
      <c r="I404" s="221">
        <v>-1030.8043452929946</v>
      </c>
      <c r="J404" s="3">
        <f t="shared" si="6"/>
        <v>1030.8043452929946</v>
      </c>
    </row>
    <row r="405" spans="1:10" x14ac:dyDescent="0.25">
      <c r="A405" s="2" t="s">
        <v>375</v>
      </c>
      <c r="B405" s="2" t="s">
        <v>1105</v>
      </c>
      <c r="C405" s="2" t="s">
        <v>108</v>
      </c>
      <c r="D405" s="2"/>
      <c r="E405" s="2"/>
      <c r="F405" s="249"/>
      <c r="G405" s="2" t="s">
        <v>174</v>
      </c>
      <c r="H405" s="7">
        <v>0</v>
      </c>
      <c r="I405" s="221">
        <v>4193238.3499930049</v>
      </c>
      <c r="J405" s="3">
        <f t="shared" si="6"/>
        <v>-4193238.3499930049</v>
      </c>
    </row>
    <row r="406" spans="1:10" x14ac:dyDescent="0.25">
      <c r="A406" s="2" t="s">
        <v>380</v>
      </c>
      <c r="B406" s="2" t="s">
        <v>381</v>
      </c>
      <c r="C406" s="2" t="s">
        <v>108</v>
      </c>
      <c r="D406" s="2"/>
      <c r="E406" s="2"/>
      <c r="F406" s="249"/>
      <c r="G406" s="2" t="s">
        <v>174</v>
      </c>
      <c r="H406" s="7">
        <v>0</v>
      </c>
      <c r="I406" s="221">
        <v>-1057.8890008416356</v>
      </c>
      <c r="J406" s="3">
        <f t="shared" si="6"/>
        <v>1057.8890008416356</v>
      </c>
    </row>
    <row r="407" spans="1:10" x14ac:dyDescent="0.25">
      <c r="A407" s="2" t="s">
        <v>398</v>
      </c>
      <c r="B407" s="2" t="s">
        <v>399</v>
      </c>
      <c r="C407" s="2" t="s">
        <v>810</v>
      </c>
      <c r="D407" s="2" t="s">
        <v>26</v>
      </c>
      <c r="E407" s="2" t="s">
        <v>26</v>
      </c>
      <c r="F407" s="249" t="s">
        <v>848</v>
      </c>
      <c r="G407" s="2" t="s">
        <v>177</v>
      </c>
      <c r="H407" s="7">
        <v>0</v>
      </c>
      <c r="I407" s="221">
        <v>-146624.00000000041</v>
      </c>
      <c r="J407" s="3">
        <f t="shared" si="6"/>
        <v>146624.00000000041</v>
      </c>
    </row>
    <row r="408" spans="1:10" x14ac:dyDescent="0.25">
      <c r="A408" s="2" t="s">
        <v>404</v>
      </c>
      <c r="B408" s="2" t="s">
        <v>405</v>
      </c>
      <c r="C408" s="2" t="s">
        <v>108</v>
      </c>
      <c r="D408" s="2" t="s">
        <v>26</v>
      </c>
      <c r="E408" s="2" t="s">
        <v>26</v>
      </c>
      <c r="F408" s="249" t="s">
        <v>848</v>
      </c>
      <c r="G408" s="2" t="s">
        <v>177</v>
      </c>
      <c r="H408" s="7">
        <v>0</v>
      </c>
      <c r="I408" s="221">
        <v>-8529285.6655276697</v>
      </c>
      <c r="J408" s="3">
        <f t="shared" si="6"/>
        <v>8529285.6655276697</v>
      </c>
    </row>
    <row r="409" spans="1:10" x14ac:dyDescent="0.25">
      <c r="A409" s="2" t="s">
        <v>440</v>
      </c>
      <c r="B409" s="2" t="s">
        <v>441</v>
      </c>
      <c r="C409" s="2" t="s">
        <v>108</v>
      </c>
      <c r="D409" s="2" t="s">
        <v>26</v>
      </c>
      <c r="E409" s="2" t="s">
        <v>26</v>
      </c>
      <c r="F409" s="249" t="s">
        <v>848</v>
      </c>
      <c r="G409" s="2" t="s">
        <v>177</v>
      </c>
      <c r="H409" s="7">
        <v>0</v>
      </c>
      <c r="I409" s="221">
        <v>-2433475.0000000047</v>
      </c>
      <c r="J409" s="3">
        <f t="shared" si="6"/>
        <v>2433475.0000000047</v>
      </c>
    </row>
    <row r="410" spans="1:10" x14ac:dyDescent="0.25">
      <c r="A410" s="2" t="s">
        <v>458</v>
      </c>
      <c r="B410" s="2" t="s">
        <v>459</v>
      </c>
      <c r="C410" s="2" t="s">
        <v>108</v>
      </c>
      <c r="D410" s="2" t="s">
        <v>23</v>
      </c>
      <c r="E410" s="2" t="s">
        <v>821</v>
      </c>
      <c r="F410" s="249" t="s">
        <v>850</v>
      </c>
      <c r="G410" s="2" t="s">
        <v>177</v>
      </c>
      <c r="H410" s="7">
        <v>0</v>
      </c>
      <c r="I410" s="221">
        <v>-3027511.3667107685</v>
      </c>
      <c r="J410" s="3">
        <f t="shared" si="6"/>
        <v>3027511.3667107685</v>
      </c>
    </row>
    <row r="411" spans="1:10" x14ac:dyDescent="0.25">
      <c r="A411" s="2" t="s">
        <v>1106</v>
      </c>
      <c r="B411" s="2" t="s">
        <v>1107</v>
      </c>
      <c r="C411" s="2" t="s">
        <v>108</v>
      </c>
      <c r="D411" s="2" t="s">
        <v>19</v>
      </c>
      <c r="E411" s="2" t="s">
        <v>41</v>
      </c>
      <c r="F411" s="249" t="s">
        <v>853</v>
      </c>
      <c r="G411" s="2" t="s">
        <v>177</v>
      </c>
      <c r="H411" s="7">
        <v>0</v>
      </c>
      <c r="I411" s="221">
        <v>-293524.86</v>
      </c>
      <c r="J411" s="3">
        <f t="shared" si="6"/>
        <v>293524.86</v>
      </c>
    </row>
    <row r="412" spans="1:10" x14ac:dyDescent="0.25">
      <c r="A412" s="2" t="s">
        <v>508</v>
      </c>
      <c r="B412" s="2" t="s">
        <v>509</v>
      </c>
      <c r="C412" s="2" t="s">
        <v>108</v>
      </c>
      <c r="D412" s="2" t="s">
        <v>26</v>
      </c>
      <c r="E412" s="2" t="s">
        <v>26</v>
      </c>
      <c r="F412" s="249" t="s">
        <v>848</v>
      </c>
      <c r="G412" s="2" t="s">
        <v>177</v>
      </c>
      <c r="H412" s="7">
        <v>0</v>
      </c>
      <c r="I412" s="221">
        <v>-809.57372929571864</v>
      </c>
      <c r="J412" s="3">
        <f t="shared" si="6"/>
        <v>809.57372929571864</v>
      </c>
    </row>
    <row r="413" spans="1:10" x14ac:dyDescent="0.25">
      <c r="A413" s="2" t="s">
        <v>512</v>
      </c>
      <c r="B413" s="2" t="s">
        <v>513</v>
      </c>
      <c r="C413" s="2" t="s">
        <v>108</v>
      </c>
      <c r="D413" s="2" t="s">
        <v>26</v>
      </c>
      <c r="E413" s="2" t="s">
        <v>26</v>
      </c>
      <c r="F413" s="249" t="s">
        <v>848</v>
      </c>
      <c r="G413" s="2" t="s">
        <v>177</v>
      </c>
      <c r="H413" s="7">
        <v>0</v>
      </c>
      <c r="I413" s="221">
        <v>-3019.2287270564416</v>
      </c>
      <c r="J413" s="3">
        <f t="shared" si="6"/>
        <v>3019.2287270564416</v>
      </c>
    </row>
    <row r="414" spans="1:10" x14ac:dyDescent="0.25">
      <c r="A414" s="2" t="s">
        <v>530</v>
      </c>
      <c r="B414" s="2" t="s">
        <v>531</v>
      </c>
      <c r="C414" s="2" t="s">
        <v>108</v>
      </c>
      <c r="D414" s="2"/>
      <c r="E414" s="2"/>
      <c r="F414" s="249"/>
      <c r="G414" s="2" t="s">
        <v>176</v>
      </c>
      <c r="H414" s="7">
        <v>0</v>
      </c>
      <c r="I414" s="221">
        <v>-1548118.7639594919</v>
      </c>
      <c r="J414" s="3">
        <f t="shared" si="6"/>
        <v>1548118.7639594919</v>
      </c>
    </row>
    <row r="415" spans="1:10" x14ac:dyDescent="0.25">
      <c r="A415" s="2" t="s">
        <v>540</v>
      </c>
      <c r="B415" s="2" t="s">
        <v>541</v>
      </c>
      <c r="C415" s="2" t="s">
        <v>108</v>
      </c>
      <c r="D415" s="2" t="s">
        <v>19</v>
      </c>
      <c r="E415" s="2" t="s">
        <v>41</v>
      </c>
      <c r="F415" s="249" t="s">
        <v>853</v>
      </c>
      <c r="G415" s="2" t="s">
        <v>177</v>
      </c>
      <c r="H415" s="7">
        <v>0</v>
      </c>
      <c r="I415" s="221">
        <v>-896569.74399518361</v>
      </c>
      <c r="J415" s="3">
        <f t="shared" si="6"/>
        <v>896569.74399518361</v>
      </c>
    </row>
    <row r="416" spans="1:10" x14ac:dyDescent="0.25">
      <c r="A416" s="2" t="s">
        <v>542</v>
      </c>
      <c r="B416" s="2" t="s">
        <v>543</v>
      </c>
      <c r="C416" s="2" t="s">
        <v>108</v>
      </c>
      <c r="D416" s="2" t="s">
        <v>26</v>
      </c>
      <c r="E416" s="2" t="s">
        <v>26</v>
      </c>
      <c r="F416" s="249" t="s">
        <v>848</v>
      </c>
      <c r="G416" s="2" t="s">
        <v>177</v>
      </c>
      <c r="H416" s="7">
        <v>0</v>
      </c>
      <c r="I416" s="221">
        <v>-1168.2136096328079</v>
      </c>
      <c r="J416" s="3">
        <f t="shared" si="6"/>
        <v>1168.2136096328079</v>
      </c>
    </row>
    <row r="417" spans="1:14" x14ac:dyDescent="0.25">
      <c r="A417" s="2" t="s">
        <v>1108</v>
      </c>
      <c r="B417" s="2" t="s">
        <v>1109</v>
      </c>
      <c r="C417" s="2" t="s">
        <v>108</v>
      </c>
      <c r="D417" s="2" t="s">
        <v>19</v>
      </c>
      <c r="E417" s="2" t="s">
        <v>41</v>
      </c>
      <c r="F417" s="249" t="s">
        <v>853</v>
      </c>
      <c r="G417" s="2" t="s">
        <v>177</v>
      </c>
      <c r="H417" s="7">
        <v>0</v>
      </c>
      <c r="I417" s="221">
        <v>-131192.39999999997</v>
      </c>
      <c r="J417" s="3">
        <f t="shared" si="6"/>
        <v>131192.39999999997</v>
      </c>
    </row>
    <row r="418" spans="1:14" x14ac:dyDescent="0.25">
      <c r="A418" s="2" t="s">
        <v>554</v>
      </c>
      <c r="B418" s="2" t="s">
        <v>555</v>
      </c>
      <c r="C418" s="2" t="s">
        <v>108</v>
      </c>
      <c r="D418" s="2" t="s">
        <v>15</v>
      </c>
      <c r="E418" s="2" t="s">
        <v>41</v>
      </c>
      <c r="F418" s="249" t="s">
        <v>851</v>
      </c>
      <c r="G418" s="2" t="s">
        <v>177</v>
      </c>
      <c r="H418" s="7">
        <v>0</v>
      </c>
      <c r="I418" s="221">
        <v>-19619.743762079994</v>
      </c>
      <c r="J418" s="3">
        <f t="shared" si="6"/>
        <v>19619.743762079994</v>
      </c>
    </row>
    <row r="419" spans="1:14" x14ac:dyDescent="0.25">
      <c r="A419" s="2" t="s">
        <v>558</v>
      </c>
      <c r="B419" s="2" t="s">
        <v>559</v>
      </c>
      <c r="C419" s="2" t="s">
        <v>108</v>
      </c>
      <c r="D419" s="2" t="s">
        <v>15</v>
      </c>
      <c r="E419" s="2" t="s">
        <v>41</v>
      </c>
      <c r="F419" s="249" t="s">
        <v>851</v>
      </c>
      <c r="G419" s="2" t="s">
        <v>177</v>
      </c>
      <c r="H419" s="7">
        <v>0</v>
      </c>
      <c r="I419" s="221">
        <v>-235723.56499999951</v>
      </c>
      <c r="J419" s="3">
        <f t="shared" si="6"/>
        <v>235723.56499999951</v>
      </c>
    </row>
    <row r="420" spans="1:14" x14ac:dyDescent="0.25">
      <c r="A420" s="2" t="s">
        <v>1110</v>
      </c>
      <c r="B420" s="2" t="s">
        <v>1111</v>
      </c>
      <c r="C420" s="2" t="s">
        <v>108</v>
      </c>
      <c r="D420" s="2" t="s">
        <v>26</v>
      </c>
      <c r="E420" s="2" t="s">
        <v>26</v>
      </c>
      <c r="F420" s="249" t="s">
        <v>848</v>
      </c>
      <c r="G420" s="2" t="s">
        <v>177</v>
      </c>
      <c r="H420" s="7">
        <v>0</v>
      </c>
      <c r="I420" s="221">
        <v>-27319.3194416431</v>
      </c>
      <c r="J420" s="3">
        <f t="shared" si="6"/>
        <v>27319.3194416431</v>
      </c>
    </row>
    <row r="421" spans="1:14" x14ac:dyDescent="0.25">
      <c r="A421" s="2" t="s">
        <v>566</v>
      </c>
      <c r="B421" s="2" t="s">
        <v>567</v>
      </c>
      <c r="C421" s="2" t="s">
        <v>108</v>
      </c>
      <c r="D421" s="2" t="s">
        <v>15</v>
      </c>
      <c r="E421" s="2" t="s">
        <v>41</v>
      </c>
      <c r="F421" s="249" t="s">
        <v>851</v>
      </c>
      <c r="G421" s="2" t="s">
        <v>177</v>
      </c>
      <c r="H421" s="7">
        <v>0</v>
      </c>
      <c r="I421" s="221">
        <v>-11481.873981504688</v>
      </c>
      <c r="J421" s="3">
        <f t="shared" si="6"/>
        <v>11481.873981504688</v>
      </c>
    </row>
    <row r="422" spans="1:14" x14ac:dyDescent="0.25">
      <c r="A422" s="2" t="s">
        <v>571</v>
      </c>
      <c r="B422" s="2" t="s">
        <v>572</v>
      </c>
      <c r="C422" s="2" t="s">
        <v>108</v>
      </c>
      <c r="D422" s="2" t="s">
        <v>26</v>
      </c>
      <c r="E422" s="2" t="s">
        <v>26</v>
      </c>
      <c r="F422" s="249" t="s">
        <v>848</v>
      </c>
      <c r="G422" s="2" t="s">
        <v>177</v>
      </c>
      <c r="H422" s="7">
        <v>0</v>
      </c>
      <c r="I422" s="221">
        <v>-197744.84222017261</v>
      </c>
      <c r="J422" s="3">
        <f t="shared" si="6"/>
        <v>197744.84222017261</v>
      </c>
    </row>
    <row r="423" spans="1:14" x14ac:dyDescent="0.25">
      <c r="A423" s="2" t="s">
        <v>575</v>
      </c>
      <c r="B423" s="2" t="s">
        <v>576</v>
      </c>
      <c r="C423" s="2" t="s">
        <v>108</v>
      </c>
      <c r="D423" s="2" t="s">
        <v>15</v>
      </c>
      <c r="E423" s="2" t="s">
        <v>41</v>
      </c>
      <c r="F423" s="249" t="s">
        <v>851</v>
      </c>
      <c r="G423" s="2" t="s">
        <v>177</v>
      </c>
      <c r="H423" s="7">
        <v>0</v>
      </c>
      <c r="I423" s="221">
        <v>-27477.059530902337</v>
      </c>
      <c r="J423" s="3">
        <f t="shared" si="6"/>
        <v>27477.059530902337</v>
      </c>
    </row>
    <row r="424" spans="1:14" x14ac:dyDescent="0.25">
      <c r="A424" s="2" t="s">
        <v>587</v>
      </c>
      <c r="B424" s="2" t="s">
        <v>588</v>
      </c>
      <c r="C424" s="2" t="s">
        <v>159</v>
      </c>
      <c r="D424" s="2" t="s">
        <v>26</v>
      </c>
      <c r="E424" s="2" t="s">
        <v>26</v>
      </c>
      <c r="F424" s="249" t="s">
        <v>848</v>
      </c>
      <c r="G424" s="2" t="s">
        <v>177</v>
      </c>
      <c r="H424" s="7">
        <v>0</v>
      </c>
      <c r="I424" s="221">
        <v>-59.562392879999997</v>
      </c>
      <c r="J424" s="3">
        <f t="shared" si="6"/>
        <v>59.562392879999997</v>
      </c>
    </row>
    <row r="425" spans="1:14" x14ac:dyDescent="0.25">
      <c r="A425" s="2" t="s">
        <v>619</v>
      </c>
      <c r="B425" s="2" t="s">
        <v>620</v>
      </c>
      <c r="C425" s="2" t="s">
        <v>159</v>
      </c>
      <c r="D425" s="2" t="s">
        <v>26</v>
      </c>
      <c r="E425" s="2" t="s">
        <v>26</v>
      </c>
      <c r="F425" s="249" t="s">
        <v>848</v>
      </c>
      <c r="G425" s="2" t="s">
        <v>177</v>
      </c>
      <c r="H425" s="7">
        <v>0</v>
      </c>
      <c r="I425" s="221">
        <v>-1810156.0000000042</v>
      </c>
      <c r="J425" s="3">
        <f t="shared" si="6"/>
        <v>1810156.0000000042</v>
      </c>
    </row>
    <row r="426" spans="1:14" x14ac:dyDescent="0.25">
      <c r="A426" s="2" t="s">
        <v>659</v>
      </c>
      <c r="B426" s="2" t="s">
        <v>660</v>
      </c>
      <c r="C426" s="2" t="s">
        <v>159</v>
      </c>
      <c r="D426" s="2" t="s">
        <v>26</v>
      </c>
      <c r="E426" s="2" t="s">
        <v>26</v>
      </c>
      <c r="F426" s="249" t="s">
        <v>848</v>
      </c>
      <c r="G426" s="2" t="s">
        <v>177</v>
      </c>
      <c r="H426" s="7">
        <v>0</v>
      </c>
      <c r="I426" s="221">
        <v>-49.703927520000008</v>
      </c>
      <c r="J426" s="3">
        <f t="shared" si="6"/>
        <v>49.703927520000008</v>
      </c>
    </row>
    <row r="427" spans="1:14" x14ac:dyDescent="0.25">
      <c r="A427" s="2" t="s">
        <v>663</v>
      </c>
      <c r="B427" s="2" t="s">
        <v>664</v>
      </c>
      <c r="C427" s="2" t="s">
        <v>159</v>
      </c>
      <c r="D427" s="2" t="s">
        <v>25</v>
      </c>
      <c r="E427" s="2" t="s">
        <v>41</v>
      </c>
      <c r="F427" s="249" t="s">
        <v>847</v>
      </c>
      <c r="G427" s="2" t="s">
        <v>177</v>
      </c>
      <c r="H427" s="7">
        <v>0</v>
      </c>
      <c r="I427" s="221">
        <v>-1085.1389019671803</v>
      </c>
      <c r="J427" s="3">
        <f t="shared" si="6"/>
        <v>1085.1389019671803</v>
      </c>
    </row>
    <row r="428" spans="1:14" x14ac:dyDescent="0.25">
      <c r="A428" s="2" t="s">
        <v>675</v>
      </c>
      <c r="B428" s="2" t="s">
        <v>676</v>
      </c>
      <c r="C428" s="2" t="s">
        <v>159</v>
      </c>
      <c r="D428" s="2" t="s">
        <v>13</v>
      </c>
      <c r="E428" s="2" t="s">
        <v>41</v>
      </c>
      <c r="F428" s="249" t="s">
        <v>852</v>
      </c>
      <c r="G428" s="2" t="s">
        <v>177</v>
      </c>
      <c r="H428" s="7">
        <v>0</v>
      </c>
      <c r="I428" s="221">
        <v>-227997.05396916272</v>
      </c>
      <c r="J428" s="3">
        <f t="shared" si="6"/>
        <v>227997.05396916272</v>
      </c>
    </row>
    <row r="429" spans="1:14" x14ac:dyDescent="0.25">
      <c r="A429" s="2" t="s">
        <v>697</v>
      </c>
      <c r="B429" s="2" t="s">
        <v>698</v>
      </c>
      <c r="C429" s="2" t="s">
        <v>159</v>
      </c>
      <c r="D429" s="2" t="s">
        <v>11</v>
      </c>
      <c r="E429" s="2" t="s">
        <v>41</v>
      </c>
      <c r="F429" s="249" t="s">
        <v>846</v>
      </c>
      <c r="G429" s="2" t="s">
        <v>177</v>
      </c>
      <c r="H429" s="7">
        <v>0</v>
      </c>
      <c r="I429" s="221">
        <v>-148843.13564760002</v>
      </c>
      <c r="J429" s="3">
        <f t="shared" si="6"/>
        <v>148843.13564760002</v>
      </c>
    </row>
    <row r="430" spans="1:14" x14ac:dyDescent="0.25">
      <c r="A430" s="2" t="s">
        <v>707</v>
      </c>
      <c r="B430" s="2" t="s">
        <v>708</v>
      </c>
      <c r="C430" s="2" t="s">
        <v>159</v>
      </c>
      <c r="D430" s="2" t="s">
        <v>3</v>
      </c>
      <c r="E430" s="2" t="s">
        <v>41</v>
      </c>
      <c r="F430" s="249"/>
      <c r="G430" s="2" t="s">
        <v>177</v>
      </c>
      <c r="H430" s="7">
        <v>0</v>
      </c>
      <c r="I430" s="221">
        <v>-28888.675200000012</v>
      </c>
      <c r="J430" s="3">
        <f t="shared" si="6"/>
        <v>28888.675200000012</v>
      </c>
      <c r="L430" s="7"/>
      <c r="M430" s="7"/>
      <c r="N430" s="7"/>
    </row>
    <row r="431" spans="1:14" x14ac:dyDescent="0.25">
      <c r="A431" s="223" t="s">
        <v>1112</v>
      </c>
      <c r="B431" s="223" t="s">
        <v>1113</v>
      </c>
      <c r="C431" s="223" t="s">
        <v>108</v>
      </c>
      <c r="D431" s="223" t="s">
        <v>26</v>
      </c>
      <c r="E431" s="223" t="s">
        <v>26</v>
      </c>
      <c r="F431" s="281" t="s">
        <v>848</v>
      </c>
      <c r="G431" s="223" t="s">
        <v>177</v>
      </c>
      <c r="H431" s="224">
        <v>0</v>
      </c>
      <c r="I431" s="225">
        <v>-680074.44000000029</v>
      </c>
      <c r="J431" s="226">
        <f t="shared" si="6"/>
        <v>680074.44000000029</v>
      </c>
    </row>
    <row r="432" spans="1:14" x14ac:dyDescent="0.25">
      <c r="A432" t="s">
        <v>1114</v>
      </c>
      <c r="B432" t="s">
        <v>1115</v>
      </c>
      <c r="C432" t="s">
        <v>108</v>
      </c>
      <c r="D432" t="s">
        <v>26</v>
      </c>
      <c r="E432" t="s">
        <v>26</v>
      </c>
      <c r="F432" s="249" t="s">
        <v>848</v>
      </c>
      <c r="G432" s="2" t="s">
        <v>177</v>
      </c>
      <c r="H432" s="7">
        <v>0</v>
      </c>
      <c r="I432" s="221">
        <v>-11263990.043497428</v>
      </c>
      <c r="J432" s="3">
        <f t="shared" si="6"/>
        <v>11263990.043497428</v>
      </c>
    </row>
    <row r="433" spans="1:10" x14ac:dyDescent="0.25">
      <c r="A433" t="s">
        <v>1116</v>
      </c>
      <c r="B433" t="s">
        <v>1117</v>
      </c>
      <c r="C433" t="s">
        <v>108</v>
      </c>
      <c r="D433" t="s">
        <v>1</v>
      </c>
      <c r="E433" t="s">
        <v>45</v>
      </c>
      <c r="F433" s="249" t="s">
        <v>845</v>
      </c>
      <c r="G433" s="2" t="s">
        <v>177</v>
      </c>
      <c r="H433">
        <v>0</v>
      </c>
      <c r="I433" s="221">
        <v>-11427708.012799999</v>
      </c>
      <c r="J433" s="3">
        <f t="shared" si="6"/>
        <v>11427708.012799999</v>
      </c>
    </row>
    <row r="434" spans="1:10" x14ac:dyDescent="0.25">
      <c r="A434" t="s">
        <v>1118</v>
      </c>
      <c r="B434" t="s">
        <v>1119</v>
      </c>
      <c r="C434" t="s">
        <v>108</v>
      </c>
      <c r="D434" t="s">
        <v>26</v>
      </c>
      <c r="E434" t="s">
        <v>26</v>
      </c>
      <c r="F434" s="249" t="s">
        <v>848</v>
      </c>
      <c r="G434" s="2" t="s">
        <v>177</v>
      </c>
      <c r="H434" s="7">
        <v>0</v>
      </c>
      <c r="I434" s="221">
        <v>-1457506.97</v>
      </c>
      <c r="J434" s="3">
        <f t="shared" si="6"/>
        <v>1457506.97</v>
      </c>
    </row>
    <row r="435" spans="1:10" x14ac:dyDescent="0.25">
      <c r="A435" t="s">
        <v>1120</v>
      </c>
      <c r="B435" t="s">
        <v>1121</v>
      </c>
      <c r="C435" t="s">
        <v>108</v>
      </c>
      <c r="D435" t="s">
        <v>19</v>
      </c>
      <c r="E435" t="s">
        <v>41</v>
      </c>
      <c r="F435" s="249" t="s">
        <v>853</v>
      </c>
      <c r="G435" s="2" t="s">
        <v>177</v>
      </c>
      <c r="H435" s="7">
        <v>0</v>
      </c>
      <c r="I435" s="221">
        <v>-336742.25999999995</v>
      </c>
      <c r="J435" s="3">
        <f t="shared" si="6"/>
        <v>336742.25999999995</v>
      </c>
    </row>
    <row r="436" spans="1:10" x14ac:dyDescent="0.25">
      <c r="A436" t="s">
        <v>753</v>
      </c>
      <c r="B436" t="s">
        <v>754</v>
      </c>
      <c r="C436" t="s">
        <v>108</v>
      </c>
      <c r="D436" t="s">
        <v>19</v>
      </c>
      <c r="E436" t="s">
        <v>41</v>
      </c>
      <c r="F436" s="249" t="s">
        <v>853</v>
      </c>
      <c r="G436" s="2" t="s">
        <v>177</v>
      </c>
      <c r="H436">
        <v>0</v>
      </c>
      <c r="I436" s="221">
        <v>-32985.933926084843</v>
      </c>
      <c r="J436" s="3">
        <f t="shared" si="6"/>
        <v>32985.933926084843</v>
      </c>
    </row>
    <row r="437" spans="1:10" x14ac:dyDescent="0.25">
      <c r="A437" t="s">
        <v>755</v>
      </c>
      <c r="B437" t="s">
        <v>756</v>
      </c>
      <c r="C437" t="s">
        <v>108</v>
      </c>
      <c r="D437" t="s">
        <v>19</v>
      </c>
      <c r="E437" t="s">
        <v>41</v>
      </c>
      <c r="F437" s="249" t="s">
        <v>853</v>
      </c>
      <c r="G437" s="2" t="s">
        <v>177</v>
      </c>
      <c r="H437">
        <v>0</v>
      </c>
      <c r="I437" s="221">
        <v>-23091.114418321577</v>
      </c>
      <c r="J437" s="3">
        <f t="shared" si="6"/>
        <v>23091.114418321577</v>
      </c>
    </row>
    <row r="438" spans="1:10" x14ac:dyDescent="0.25">
      <c r="A438" t="s">
        <v>1122</v>
      </c>
      <c r="B438" t="s">
        <v>1123</v>
      </c>
      <c r="C438" t="s">
        <v>108</v>
      </c>
      <c r="D438" t="s">
        <v>19</v>
      </c>
      <c r="E438" t="s">
        <v>41</v>
      </c>
      <c r="F438" s="249" t="s">
        <v>853</v>
      </c>
      <c r="G438" s="2" t="s">
        <v>177</v>
      </c>
      <c r="H438">
        <v>0</v>
      </c>
      <c r="I438" s="221">
        <v>-725216.84904763056</v>
      </c>
      <c r="J438" s="3">
        <f t="shared" si="6"/>
        <v>725216.84904763056</v>
      </c>
    </row>
    <row r="439" spans="1:10" x14ac:dyDescent="0.25">
      <c r="A439" t="s">
        <v>1124</v>
      </c>
      <c r="B439" t="s">
        <v>1125</v>
      </c>
      <c r="C439" t="s">
        <v>108</v>
      </c>
      <c r="D439" t="s">
        <v>19</v>
      </c>
      <c r="E439" t="s">
        <v>41</v>
      </c>
      <c r="F439" s="249" t="s">
        <v>853</v>
      </c>
      <c r="G439" s="2" t="s">
        <v>177</v>
      </c>
      <c r="H439">
        <v>0</v>
      </c>
      <c r="I439" s="221">
        <v>-24582.460000000003</v>
      </c>
      <c r="J439" s="3">
        <f t="shared" si="6"/>
        <v>24582.460000000003</v>
      </c>
    </row>
    <row r="440" spans="1:10" x14ac:dyDescent="0.25">
      <c r="A440" t="s">
        <v>1126</v>
      </c>
      <c r="B440" t="s">
        <v>1127</v>
      </c>
      <c r="C440" t="s">
        <v>108</v>
      </c>
      <c r="D440" t="s">
        <v>19</v>
      </c>
      <c r="E440" t="s">
        <v>41</v>
      </c>
      <c r="F440" s="249" t="s">
        <v>853</v>
      </c>
      <c r="G440" s="2" t="s">
        <v>177</v>
      </c>
      <c r="H440">
        <v>0</v>
      </c>
      <c r="I440" s="221">
        <v>-7233886.9230798203</v>
      </c>
      <c r="J440" s="3">
        <f t="shared" si="6"/>
        <v>7233886.9230798203</v>
      </c>
    </row>
    <row r="441" spans="1:10" x14ac:dyDescent="0.25">
      <c r="A441" t="s">
        <v>763</v>
      </c>
      <c r="B441" t="s">
        <v>764</v>
      </c>
      <c r="C441" t="s">
        <v>108</v>
      </c>
      <c r="D441" t="s">
        <v>19</v>
      </c>
      <c r="E441" t="s">
        <v>41</v>
      </c>
      <c r="F441" s="249" t="s">
        <v>853</v>
      </c>
      <c r="G441" s="2" t="s">
        <v>177</v>
      </c>
      <c r="H441" s="7">
        <v>0</v>
      </c>
      <c r="I441" s="221">
        <v>-1883740.9732457648</v>
      </c>
      <c r="J441" s="3">
        <f t="shared" si="6"/>
        <v>1883740.9732457648</v>
      </c>
    </row>
    <row r="442" spans="1:10" x14ac:dyDescent="0.25">
      <c r="A442" t="s">
        <v>765</v>
      </c>
      <c r="B442" t="s">
        <v>766</v>
      </c>
      <c r="C442" t="s">
        <v>108</v>
      </c>
      <c r="D442" t="s">
        <v>15</v>
      </c>
      <c r="E442" t="s">
        <v>41</v>
      </c>
      <c r="F442" s="249" t="s">
        <v>851</v>
      </c>
      <c r="G442" s="2" t="s">
        <v>177</v>
      </c>
      <c r="H442" s="7">
        <v>0</v>
      </c>
      <c r="I442" s="221">
        <v>-900000</v>
      </c>
      <c r="J442" s="3">
        <f t="shared" si="6"/>
        <v>900000</v>
      </c>
    </row>
    <row r="443" spans="1:10" x14ac:dyDescent="0.25">
      <c r="A443" t="s">
        <v>767</v>
      </c>
      <c r="B443" t="s">
        <v>768</v>
      </c>
      <c r="C443" t="s">
        <v>108</v>
      </c>
      <c r="D443" t="s">
        <v>15</v>
      </c>
      <c r="E443" t="s">
        <v>41</v>
      </c>
      <c r="F443" s="249" t="s">
        <v>851</v>
      </c>
      <c r="G443" s="2" t="s">
        <v>177</v>
      </c>
      <c r="H443">
        <v>0</v>
      </c>
      <c r="I443" s="221">
        <v>-1154777.0333071921</v>
      </c>
      <c r="J443" s="3">
        <f t="shared" si="6"/>
        <v>1154777.0333071921</v>
      </c>
    </row>
    <row r="444" spans="1:10" x14ac:dyDescent="0.25">
      <c r="A444" t="s">
        <v>801</v>
      </c>
      <c r="B444" t="s">
        <v>802</v>
      </c>
      <c r="C444" t="s">
        <v>108</v>
      </c>
      <c r="D444" t="s">
        <v>15</v>
      </c>
      <c r="E444" t="s">
        <v>41</v>
      </c>
      <c r="F444" s="249" t="s">
        <v>851</v>
      </c>
      <c r="G444" s="2" t="s">
        <v>177</v>
      </c>
      <c r="H444">
        <v>0</v>
      </c>
      <c r="I444" s="221">
        <v>-3771577.0399999958</v>
      </c>
      <c r="J444" s="3">
        <f t="shared" si="6"/>
        <v>3771577.0399999958</v>
      </c>
    </row>
    <row r="445" spans="1:10" x14ac:dyDescent="0.25">
      <c r="A445" t="s">
        <v>784</v>
      </c>
      <c r="B445" t="s">
        <v>785</v>
      </c>
      <c r="C445" t="s">
        <v>108</v>
      </c>
      <c r="F445" s="249"/>
      <c r="G445" s="2" t="s">
        <v>176</v>
      </c>
      <c r="H445" s="7">
        <v>0</v>
      </c>
      <c r="I445" s="221">
        <v>-9453083.7009711824</v>
      </c>
      <c r="J445" s="3">
        <f t="shared" si="6"/>
        <v>9453083.7009711824</v>
      </c>
    </row>
    <row r="446" spans="1:10" x14ac:dyDescent="0.25">
      <c r="A446" t="s">
        <v>1128</v>
      </c>
      <c r="B446" t="s">
        <v>1129</v>
      </c>
      <c r="C446" t="s">
        <v>108</v>
      </c>
      <c r="F446" s="249"/>
      <c r="G446" s="2" t="s">
        <v>175</v>
      </c>
      <c r="H446" s="7">
        <v>0</v>
      </c>
      <c r="I446" s="221">
        <v>-1504618.5</v>
      </c>
      <c r="J446" s="3">
        <f t="shared" si="6"/>
        <v>1504618.5</v>
      </c>
    </row>
    <row r="447" spans="1:10" x14ac:dyDescent="0.25">
      <c r="A447" t="s">
        <v>1130</v>
      </c>
      <c r="B447" t="s">
        <v>1131</v>
      </c>
      <c r="C447" t="s">
        <v>108</v>
      </c>
      <c r="F447" s="249"/>
      <c r="G447" s="2" t="s">
        <v>175</v>
      </c>
      <c r="H447">
        <v>0</v>
      </c>
      <c r="I447" s="221">
        <v>-2849402.9636734715</v>
      </c>
      <c r="J447" s="3">
        <f t="shared" si="6"/>
        <v>2849402.9636734715</v>
      </c>
    </row>
    <row r="448" spans="1:10" x14ac:dyDescent="0.25">
      <c r="A448" t="s">
        <v>1132</v>
      </c>
      <c r="B448" t="s">
        <v>788</v>
      </c>
      <c r="C448" t="s">
        <v>108</v>
      </c>
      <c r="F448" s="249"/>
      <c r="G448" s="2" t="s">
        <v>175</v>
      </c>
      <c r="H448">
        <v>0</v>
      </c>
      <c r="I448" s="221">
        <v>-2250000.0000000005</v>
      </c>
      <c r="J448" s="3">
        <f t="shared" si="6"/>
        <v>2250000.0000000005</v>
      </c>
    </row>
    <row r="449" spans="1:14" x14ac:dyDescent="0.25">
      <c r="A449" t="s">
        <v>1133</v>
      </c>
      <c r="B449" t="s">
        <v>1134</v>
      </c>
      <c r="C449" t="s">
        <v>810</v>
      </c>
      <c r="F449" s="249"/>
      <c r="G449" s="2" t="s">
        <v>175</v>
      </c>
      <c r="H449" s="7">
        <v>0</v>
      </c>
      <c r="I449" s="221">
        <v>-3113278.1971035767</v>
      </c>
      <c r="J449" s="3">
        <f t="shared" si="6"/>
        <v>3113278.1971035767</v>
      </c>
    </row>
    <row r="450" spans="1:14" x14ac:dyDescent="0.25">
      <c r="A450" t="s">
        <v>1135</v>
      </c>
      <c r="B450" t="s">
        <v>1136</v>
      </c>
      <c r="C450" t="s">
        <v>108</v>
      </c>
      <c r="F450" s="249"/>
      <c r="G450" s="2" t="s">
        <v>175</v>
      </c>
      <c r="H450">
        <v>0</v>
      </c>
      <c r="I450" s="221">
        <v>-2000000.000000004</v>
      </c>
      <c r="J450" s="3">
        <f t="shared" si="6"/>
        <v>2000000.000000004</v>
      </c>
    </row>
    <row r="451" spans="1:14" x14ac:dyDescent="0.25">
      <c r="A451" t="s">
        <v>1137</v>
      </c>
      <c r="B451" t="s">
        <v>1138</v>
      </c>
      <c r="C451" t="s">
        <v>810</v>
      </c>
      <c r="F451" s="249"/>
      <c r="G451" s="2" t="s">
        <v>175</v>
      </c>
      <c r="H451" s="7">
        <v>0</v>
      </c>
      <c r="I451" s="221">
        <v>-3009237</v>
      </c>
      <c r="J451" s="3">
        <f t="shared" si="6"/>
        <v>3009237</v>
      </c>
    </row>
    <row r="452" spans="1:14" x14ac:dyDescent="0.25">
      <c r="A452" t="s">
        <v>1139</v>
      </c>
      <c r="B452" t="s">
        <v>1140</v>
      </c>
      <c r="C452" t="s">
        <v>108</v>
      </c>
      <c r="F452" s="249"/>
      <c r="G452" s="2" t="s">
        <v>175</v>
      </c>
      <c r="H452" s="7">
        <v>0</v>
      </c>
      <c r="I452" s="221">
        <v>-942894.25999999931</v>
      </c>
      <c r="J452" s="3">
        <f t="shared" si="6"/>
        <v>942894.25999999931</v>
      </c>
    </row>
    <row r="453" spans="1:14" x14ac:dyDescent="0.25">
      <c r="A453" t="s">
        <v>1141</v>
      </c>
      <c r="B453" t="s">
        <v>1142</v>
      </c>
      <c r="C453" t="s">
        <v>810</v>
      </c>
      <c r="F453" s="249"/>
      <c r="G453" s="2" t="s">
        <v>175</v>
      </c>
      <c r="H453" s="7">
        <v>0</v>
      </c>
      <c r="I453" s="221">
        <v>-539634.88749795302</v>
      </c>
      <c r="J453" s="3">
        <f t="shared" si="6"/>
        <v>539634.88749795302</v>
      </c>
    </row>
    <row r="454" spans="1:14" x14ac:dyDescent="0.25">
      <c r="A454" s="227" t="s">
        <v>1143</v>
      </c>
      <c r="B454" s="228"/>
      <c r="C454" s="228"/>
      <c r="D454" s="228"/>
      <c r="E454" s="228"/>
      <c r="F454" s="228"/>
      <c r="G454" s="228"/>
      <c r="H454" s="258">
        <f>SUM(H5:H453)</f>
        <v>-1174390719.3526733</v>
      </c>
      <c r="I454" s="258">
        <f>SUM(I5:I453)</f>
        <v>-910885102.06535113</v>
      </c>
      <c r="J454" s="258">
        <f>SUM(J5:J453)</f>
        <v>-263505617.28732461</v>
      </c>
      <c r="K454" s="7"/>
      <c r="L454" s="7"/>
      <c r="M454" s="3"/>
      <c r="N454" s="3"/>
    </row>
    <row r="455" spans="1:14" x14ac:dyDescent="0.25">
      <c r="G455" s="373" t="s">
        <v>1213</v>
      </c>
      <c r="H455" s="372">
        <f>'Reconcile 2023 Actual GP&amp;Adds'!Q749</f>
        <v>1174455208.4599991</v>
      </c>
      <c r="I455" s="372">
        <f>'Reconcile JAK-5 22 GRC'!C7</f>
        <v>910885102</v>
      </c>
      <c r="J455" s="229"/>
    </row>
    <row r="456" spans="1:14" x14ac:dyDescent="0.25">
      <c r="A456" s="230"/>
      <c r="G456" s="373" t="s">
        <v>1566</v>
      </c>
      <c r="H456" s="372">
        <f>SUM(H454:H455)</f>
        <v>64489.107325792313</v>
      </c>
      <c r="I456" s="372">
        <f>SUM(I454:I455)</f>
        <v>-6.5351128578186035E-2</v>
      </c>
    </row>
  </sheetData>
  <autoFilter ref="A4:K456"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32" sqref="J32"/>
    </sheetView>
  </sheetViews>
  <sheetFormatPr defaultColWidth="8.85546875" defaultRowHeight="15" x14ac:dyDescent="0.25"/>
  <cols>
    <col min="1" max="1" width="8.85546875" style="340"/>
    <col min="2" max="2" width="55.5703125" style="340" bestFit="1" customWidth="1"/>
    <col min="3" max="3" width="4.7109375" style="340" customWidth="1"/>
    <col min="4" max="4" width="16.7109375" style="340" bestFit="1" customWidth="1"/>
    <col min="5" max="11" width="17.42578125" style="340" customWidth="1"/>
    <col min="12" max="12" width="19.28515625" style="340" bestFit="1" customWidth="1"/>
    <col min="13" max="14" width="17.42578125" customWidth="1"/>
    <col min="15" max="31" width="17.42578125" style="340" customWidth="1"/>
    <col min="32" max="16384" width="8.85546875" style="340"/>
  </cols>
  <sheetData>
    <row r="1" spans="1:12" x14ac:dyDescent="0.25">
      <c r="A1" s="317" t="s">
        <v>128</v>
      </c>
      <c r="B1" s="318"/>
      <c r="L1" s="320" t="s">
        <v>1198</v>
      </c>
    </row>
    <row r="2" spans="1:12" ht="15.75" thickBot="1" x14ac:dyDescent="0.3">
      <c r="A2" s="317" t="s">
        <v>130</v>
      </c>
      <c r="B2" s="318"/>
      <c r="L2" s="321" t="s">
        <v>1206</v>
      </c>
    </row>
    <row r="3" spans="1:12" x14ac:dyDescent="0.25">
      <c r="A3" s="317" t="s">
        <v>131</v>
      </c>
      <c r="B3" s="318"/>
    </row>
    <row r="4" spans="1:12" x14ac:dyDescent="0.25">
      <c r="A4" s="317"/>
      <c r="B4" s="323"/>
    </row>
    <row r="5" spans="1:12" x14ac:dyDescent="0.25">
      <c r="A5" s="324" t="s">
        <v>132</v>
      </c>
      <c r="E5" s="341"/>
      <c r="F5" s="341"/>
      <c r="G5" s="341"/>
      <c r="H5" s="341"/>
      <c r="I5" s="341"/>
      <c r="J5" s="341"/>
      <c r="K5" s="341"/>
      <c r="L5" s="341"/>
    </row>
    <row r="6" spans="1:12" x14ac:dyDescent="0.25">
      <c r="E6" s="342" t="s">
        <v>1153</v>
      </c>
      <c r="F6" s="342"/>
      <c r="G6" s="342" t="s">
        <v>1153</v>
      </c>
      <c r="H6" s="342"/>
      <c r="I6" s="342" t="s">
        <v>1154</v>
      </c>
      <c r="J6" s="342"/>
      <c r="K6" s="342" t="s">
        <v>1154</v>
      </c>
      <c r="L6" s="342"/>
    </row>
    <row r="7" spans="1:12" x14ac:dyDescent="0.25">
      <c r="E7" s="341" t="s">
        <v>1155</v>
      </c>
      <c r="F7" s="341" t="s">
        <v>1155</v>
      </c>
      <c r="G7" s="341">
        <v>2022</v>
      </c>
      <c r="H7" s="341" t="s">
        <v>1156</v>
      </c>
      <c r="I7" s="341">
        <v>2023</v>
      </c>
      <c r="J7" s="341" t="s">
        <v>1156</v>
      </c>
      <c r="K7" s="341">
        <v>2024</v>
      </c>
      <c r="L7" s="341" t="s">
        <v>1156</v>
      </c>
    </row>
    <row r="8" spans="1:12" x14ac:dyDescent="0.25">
      <c r="C8" s="343"/>
      <c r="D8" s="344"/>
      <c r="E8" s="341" t="s">
        <v>1157</v>
      </c>
      <c r="F8" s="341" t="s">
        <v>1156</v>
      </c>
      <c r="G8" s="341" t="s">
        <v>1158</v>
      </c>
      <c r="H8" s="341" t="s">
        <v>1159</v>
      </c>
      <c r="I8" s="341" t="s">
        <v>1160</v>
      </c>
      <c r="J8" s="341" t="s">
        <v>1159</v>
      </c>
      <c r="K8" s="341" t="s">
        <v>1161</v>
      </c>
      <c r="L8" s="341" t="s">
        <v>1159</v>
      </c>
    </row>
    <row r="9" spans="1:12" x14ac:dyDescent="0.25">
      <c r="A9" s="341" t="s">
        <v>133</v>
      </c>
      <c r="B9" s="345"/>
      <c r="C9" s="346"/>
      <c r="D9" s="346"/>
      <c r="E9" s="341" t="s">
        <v>1162</v>
      </c>
      <c r="F9" s="341" t="s">
        <v>1163</v>
      </c>
      <c r="G9" s="341" t="s">
        <v>1164</v>
      </c>
      <c r="H9" s="341" t="s">
        <v>1165</v>
      </c>
      <c r="I9" s="341" t="s">
        <v>1164</v>
      </c>
      <c r="J9" s="341" t="s">
        <v>1166</v>
      </c>
      <c r="K9" s="341" t="s">
        <v>1164</v>
      </c>
      <c r="L9" s="341" t="s">
        <v>1166</v>
      </c>
    </row>
    <row r="10" spans="1:12" x14ac:dyDescent="0.25">
      <c r="A10" s="347" t="s">
        <v>1167</v>
      </c>
      <c r="B10" s="347" t="s">
        <v>1168</v>
      </c>
      <c r="C10" s="347"/>
      <c r="D10" s="347"/>
      <c r="E10" s="347" t="s">
        <v>1169</v>
      </c>
      <c r="F10" s="347" t="s">
        <v>1170</v>
      </c>
      <c r="G10" s="347" t="s">
        <v>1169</v>
      </c>
      <c r="H10" s="347" t="s">
        <v>1160</v>
      </c>
      <c r="I10" s="347" t="s">
        <v>1169</v>
      </c>
      <c r="J10" s="347" t="s">
        <v>1160</v>
      </c>
      <c r="K10" s="347" t="s">
        <v>1169</v>
      </c>
      <c r="L10" s="347" t="s">
        <v>1161</v>
      </c>
    </row>
    <row r="11" spans="1:12" x14ac:dyDescent="0.25">
      <c r="A11" s="341">
        <v>1</v>
      </c>
      <c r="B11" s="348"/>
      <c r="C11" s="346"/>
      <c r="D11" s="346"/>
      <c r="E11" s="346"/>
      <c r="F11" s="346"/>
    </row>
    <row r="12" spans="1:12" x14ac:dyDescent="0.25">
      <c r="A12" s="341">
        <v>2</v>
      </c>
      <c r="B12" s="340" t="s">
        <v>1201</v>
      </c>
      <c r="D12" s="349">
        <v>0</v>
      </c>
      <c r="E12" s="350">
        <v>0</v>
      </c>
      <c r="F12" s="350">
        <v>0</v>
      </c>
      <c r="G12" s="350">
        <v>-2916126.0900000008</v>
      </c>
      <c r="H12" s="350">
        <v>-2916126.0900000008</v>
      </c>
      <c r="I12" s="350">
        <v>-6221238.26000001</v>
      </c>
      <c r="J12" s="350">
        <v>-9137364.3500000108</v>
      </c>
      <c r="K12" s="350">
        <v>-3602864.8999999873</v>
      </c>
      <c r="L12" s="350">
        <v>-12740229.249999998</v>
      </c>
    </row>
    <row r="13" spans="1:12" x14ac:dyDescent="0.25">
      <c r="A13" s="341">
        <v>3</v>
      </c>
      <c r="B13" s="340" t="s">
        <v>1202</v>
      </c>
      <c r="D13" s="349">
        <v>0</v>
      </c>
      <c r="E13" s="350">
        <v>0</v>
      </c>
      <c r="F13" s="350">
        <v>0</v>
      </c>
      <c r="G13" s="350">
        <v>-27499.076892000001</v>
      </c>
      <c r="H13" s="350">
        <v>-27499.076892000001</v>
      </c>
      <c r="I13" s="350">
        <v>-169791.72163799999</v>
      </c>
      <c r="J13" s="350">
        <v>-197290.79853</v>
      </c>
      <c r="K13" s="350">
        <v>-147196.12118400002</v>
      </c>
      <c r="L13" s="350">
        <v>-344486.91971400002</v>
      </c>
    </row>
    <row r="14" spans="1:12" x14ac:dyDescent="0.25">
      <c r="A14" s="341">
        <v>4</v>
      </c>
      <c r="B14" s="340" t="s">
        <v>1203</v>
      </c>
      <c r="D14" s="349">
        <v>0</v>
      </c>
      <c r="E14" s="350">
        <v>0</v>
      </c>
      <c r="F14" s="350">
        <v>0</v>
      </c>
      <c r="G14" s="350">
        <v>-30109.61</v>
      </c>
      <c r="H14" s="350">
        <v>-30109.61</v>
      </c>
      <c r="I14" s="350">
        <v>-42469.2</v>
      </c>
      <c r="J14" s="350">
        <v>-72578.81</v>
      </c>
      <c r="K14" s="350">
        <v>-42469.2</v>
      </c>
      <c r="L14" s="350">
        <v>-115048.01</v>
      </c>
    </row>
    <row r="15" spans="1:12" x14ac:dyDescent="0.25">
      <c r="A15" s="341">
        <v>5</v>
      </c>
      <c r="B15" s="340" t="s">
        <v>1204</v>
      </c>
      <c r="D15" s="351">
        <v>0</v>
      </c>
      <c r="E15" s="352">
        <v>0</v>
      </c>
      <c r="F15" s="352">
        <v>0</v>
      </c>
      <c r="G15" s="352">
        <v>-137.18157599999998</v>
      </c>
      <c r="H15" s="352">
        <v>-137.18157599999998</v>
      </c>
      <c r="I15" s="352">
        <v>-143.14255199999999</v>
      </c>
      <c r="J15" s="352">
        <v>-280.32412799999997</v>
      </c>
      <c r="K15" s="352">
        <v>-143.14255200000002</v>
      </c>
      <c r="L15" s="352">
        <v>-423.46668</v>
      </c>
    </row>
    <row r="16" spans="1:12" x14ac:dyDescent="0.25">
      <c r="A16" s="341">
        <v>6</v>
      </c>
      <c r="B16" s="353" t="s">
        <v>1187</v>
      </c>
      <c r="D16" s="354">
        <v>0</v>
      </c>
      <c r="E16" s="355">
        <v>0</v>
      </c>
      <c r="F16" s="355">
        <v>0</v>
      </c>
      <c r="G16" s="355">
        <v>-2973871.9584680009</v>
      </c>
      <c r="H16" s="355">
        <v>-2973871.9584680009</v>
      </c>
      <c r="I16" s="355">
        <v>-6433642.3241900094</v>
      </c>
      <c r="J16" s="355">
        <v>-9407514.2826580107</v>
      </c>
      <c r="K16" s="355">
        <v>-3792673.3637359873</v>
      </c>
      <c r="L16" s="355">
        <v>-13200187.646393998</v>
      </c>
    </row>
    <row r="17" spans="1:15" x14ac:dyDescent="0.25">
      <c r="A17" s="341">
        <v>7</v>
      </c>
      <c r="B17" s="353" t="s">
        <v>1207</v>
      </c>
      <c r="D17" s="354">
        <v>0</v>
      </c>
      <c r="E17" s="350">
        <v>0</v>
      </c>
      <c r="F17" s="355">
        <v>0</v>
      </c>
      <c r="G17" s="350">
        <v>0</v>
      </c>
      <c r="H17" s="355">
        <v>0</v>
      </c>
      <c r="I17" s="350">
        <v>0</v>
      </c>
      <c r="J17" s="355">
        <v>0</v>
      </c>
      <c r="K17" s="350">
        <v>0</v>
      </c>
      <c r="L17" s="355">
        <v>0</v>
      </c>
    </row>
    <row r="18" spans="1:15" x14ac:dyDescent="0.25">
      <c r="A18" s="341">
        <v>8</v>
      </c>
      <c r="B18" s="353" t="s">
        <v>1208</v>
      </c>
      <c r="D18" s="354">
        <v>0</v>
      </c>
      <c r="E18" s="350">
        <v>0</v>
      </c>
      <c r="F18" s="355">
        <v>0</v>
      </c>
      <c r="G18" s="350">
        <v>0</v>
      </c>
      <c r="H18" s="355">
        <v>0</v>
      </c>
      <c r="I18" s="350">
        <v>0</v>
      </c>
      <c r="J18" s="355">
        <v>0</v>
      </c>
      <c r="K18" s="350">
        <v>0</v>
      </c>
      <c r="L18" s="355">
        <v>0</v>
      </c>
    </row>
    <row r="19" spans="1:15" x14ac:dyDescent="0.25">
      <c r="A19" s="341">
        <v>9</v>
      </c>
      <c r="B19" s="353" t="s">
        <v>1209</v>
      </c>
      <c r="D19" s="351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</row>
    <row r="20" spans="1:15" x14ac:dyDescent="0.25">
      <c r="A20" s="341">
        <v>10</v>
      </c>
      <c r="B20" s="353" t="s">
        <v>1191</v>
      </c>
      <c r="D20" s="349">
        <v>0</v>
      </c>
      <c r="E20" s="350">
        <v>0</v>
      </c>
      <c r="F20" s="350">
        <v>0</v>
      </c>
      <c r="G20" s="350">
        <v>-2973871.9584680009</v>
      </c>
      <c r="H20" s="350">
        <v>-2973871.9584680009</v>
      </c>
      <c r="I20" s="350">
        <v>-6433642.3241900094</v>
      </c>
      <c r="J20" s="350">
        <v>-9407514.2826580107</v>
      </c>
      <c r="K20" s="350">
        <v>-3792673.3637359873</v>
      </c>
      <c r="L20" s="350">
        <v>-13200187.646393998</v>
      </c>
    </row>
    <row r="21" spans="1:15" x14ac:dyDescent="0.25">
      <c r="A21" s="341">
        <v>11</v>
      </c>
      <c r="D21" s="349"/>
      <c r="E21" s="350"/>
      <c r="F21" s="350"/>
      <c r="G21" s="350"/>
      <c r="H21" s="350"/>
      <c r="I21" s="350"/>
      <c r="J21" s="350"/>
      <c r="K21" s="350"/>
      <c r="L21" s="350"/>
    </row>
    <row r="22" spans="1:15" x14ac:dyDescent="0.25">
      <c r="A22" s="341">
        <v>12</v>
      </c>
      <c r="B22" s="340" t="s">
        <v>1177</v>
      </c>
      <c r="D22" s="349">
        <v>0</v>
      </c>
      <c r="E22" s="350">
        <v>0</v>
      </c>
      <c r="F22" s="350">
        <v>0</v>
      </c>
      <c r="G22" s="350">
        <v>-2973871.9584680009</v>
      </c>
      <c r="H22" s="350">
        <v>-2973871.9584680009</v>
      </c>
      <c r="I22" s="350">
        <v>-6433642.3241900094</v>
      </c>
      <c r="J22" s="350">
        <v>-9407514.2826580107</v>
      </c>
      <c r="K22" s="350">
        <v>-3792673.3637359873</v>
      </c>
      <c r="L22" s="350">
        <v>-13200187.646393998</v>
      </c>
    </row>
    <row r="23" spans="1:15" x14ac:dyDescent="0.25">
      <c r="A23" s="341">
        <v>13</v>
      </c>
      <c r="D23" s="349"/>
      <c r="E23" s="350"/>
      <c r="F23" s="350"/>
      <c r="G23" s="350"/>
      <c r="H23" s="350"/>
      <c r="I23" s="350"/>
      <c r="J23" s="350"/>
      <c r="K23" s="350"/>
      <c r="L23" s="350"/>
    </row>
    <row r="24" spans="1:15" x14ac:dyDescent="0.25">
      <c r="A24" s="341">
        <v>14</v>
      </c>
      <c r="B24" s="340" t="s">
        <v>1178</v>
      </c>
      <c r="C24" s="356">
        <v>0.21</v>
      </c>
      <c r="D24" s="354">
        <v>0</v>
      </c>
      <c r="E24" s="355">
        <v>0</v>
      </c>
      <c r="F24" s="355">
        <v>0</v>
      </c>
      <c r="G24" s="355">
        <v>624513.11127828015</v>
      </c>
      <c r="H24" s="355">
        <v>624513.11127828015</v>
      </c>
      <c r="I24" s="355">
        <v>1351064.8880799019</v>
      </c>
      <c r="J24" s="355">
        <v>1975577.9993581821</v>
      </c>
      <c r="K24" s="355">
        <v>796461.40638455737</v>
      </c>
      <c r="L24" s="355">
        <v>2772039.4057427393</v>
      </c>
    </row>
    <row r="25" spans="1:15" x14ac:dyDescent="0.25">
      <c r="A25" s="341">
        <v>15</v>
      </c>
      <c r="B25" s="340" t="s">
        <v>1192</v>
      </c>
      <c r="C25" s="356"/>
      <c r="D25" s="354">
        <v>0</v>
      </c>
      <c r="E25" s="355">
        <v>0</v>
      </c>
      <c r="F25" s="355">
        <v>0</v>
      </c>
      <c r="G25" s="355">
        <v>399107.57837995887</v>
      </c>
      <c r="H25" s="355">
        <v>399107.57837995887</v>
      </c>
      <c r="I25" s="355">
        <v>426432.45898801833</v>
      </c>
      <c r="J25" s="355">
        <v>825540.0373679772</v>
      </c>
      <c r="K25" s="355">
        <v>116933.38469486125</v>
      </c>
      <c r="L25" s="355">
        <v>942473.42206283845</v>
      </c>
    </row>
    <row r="26" spans="1:15" x14ac:dyDescent="0.25">
      <c r="A26" s="341">
        <v>16</v>
      </c>
      <c r="B26" s="340" t="s">
        <v>1193</v>
      </c>
      <c r="C26" s="356"/>
      <c r="D26" s="354">
        <v>0</v>
      </c>
      <c r="E26" s="355">
        <v>0</v>
      </c>
      <c r="F26" s="355">
        <v>0</v>
      </c>
      <c r="G26" s="355">
        <v>-648388.07391119981</v>
      </c>
      <c r="H26" s="355">
        <v>-648388.07391119981</v>
      </c>
      <c r="I26" s="355">
        <v>-78137.362856700318</v>
      </c>
      <c r="J26" s="355">
        <v>-726525.43676790013</v>
      </c>
      <c r="K26" s="355">
        <v>-656931.5863849197</v>
      </c>
      <c r="L26" s="355">
        <v>-1383457.0231528198</v>
      </c>
    </row>
    <row r="27" spans="1:15" x14ac:dyDescent="0.25">
      <c r="A27" s="341">
        <v>17</v>
      </c>
      <c r="B27" s="340" t="s">
        <v>1194</v>
      </c>
      <c r="C27" s="356"/>
      <c r="D27" s="357">
        <v>0</v>
      </c>
      <c r="E27" s="357">
        <v>0</v>
      </c>
      <c r="F27" s="357">
        <v>0</v>
      </c>
      <c r="G27" s="358">
        <v>375232.61574703921</v>
      </c>
      <c r="H27" s="358">
        <v>375232.61574703921</v>
      </c>
      <c r="I27" s="358">
        <v>1699359.9842112199</v>
      </c>
      <c r="J27" s="358">
        <v>2074592.5999582589</v>
      </c>
      <c r="K27" s="358">
        <v>256463.20469449891</v>
      </c>
      <c r="L27" s="358">
        <v>2331055.8046527579</v>
      </c>
    </row>
    <row r="28" spans="1:15" x14ac:dyDescent="0.25">
      <c r="A28" s="341">
        <v>18</v>
      </c>
      <c r="D28" s="349"/>
      <c r="E28" s="350"/>
      <c r="F28" s="350"/>
      <c r="G28" s="350"/>
      <c r="H28" s="350"/>
      <c r="I28" s="350"/>
      <c r="J28" s="350"/>
      <c r="K28" s="350"/>
      <c r="L28" s="350"/>
    </row>
    <row r="29" spans="1:15" ht="15.75" thickBot="1" x14ac:dyDescent="0.3">
      <c r="A29" s="341">
        <v>19</v>
      </c>
      <c r="B29" s="340" t="s">
        <v>1179</v>
      </c>
      <c r="D29" s="359">
        <v>0</v>
      </c>
      <c r="E29" s="360">
        <v>0</v>
      </c>
      <c r="F29" s="360">
        <v>0</v>
      </c>
      <c r="G29" s="360">
        <v>2598639.3427209617</v>
      </c>
      <c r="H29" s="360">
        <v>2598639.3427209617</v>
      </c>
      <c r="I29" s="360">
        <v>4734282.3399787899</v>
      </c>
      <c r="J29" s="360">
        <v>7332921.682699752</v>
      </c>
      <c r="K29" s="360">
        <v>3536210.1590414885</v>
      </c>
      <c r="L29" s="360">
        <v>10869131.84174124</v>
      </c>
    </row>
    <row r="30" spans="1:15" ht="15.75" thickTop="1" x14ac:dyDescent="0.25">
      <c r="A30" s="341">
        <v>20</v>
      </c>
      <c r="D30" s="349"/>
      <c r="E30" s="350"/>
      <c r="F30" s="350"/>
      <c r="G30" s="350"/>
      <c r="H30" s="350"/>
      <c r="I30" s="350"/>
      <c r="J30" s="350"/>
      <c r="K30" s="350"/>
      <c r="L30" s="350"/>
    </row>
    <row r="31" spans="1:15" x14ac:dyDescent="0.25">
      <c r="A31" s="341">
        <v>21</v>
      </c>
      <c r="B31" s="353" t="s">
        <v>1195</v>
      </c>
      <c r="D31" s="349"/>
      <c r="E31" s="350"/>
      <c r="F31" s="350"/>
      <c r="G31" s="350"/>
      <c r="H31" s="350"/>
      <c r="I31" s="350"/>
      <c r="J31" s="350"/>
      <c r="K31" s="350"/>
      <c r="L31" s="350"/>
    </row>
    <row r="32" spans="1:15" x14ac:dyDescent="0.25">
      <c r="A32" s="341">
        <v>22</v>
      </c>
      <c r="B32" s="353" t="s">
        <v>1196</v>
      </c>
      <c r="D32" s="349">
        <v>0</v>
      </c>
      <c r="E32" s="350">
        <v>0</v>
      </c>
      <c r="F32" s="350">
        <v>0</v>
      </c>
      <c r="G32" s="350">
        <v>2973871.9584680009</v>
      </c>
      <c r="H32" s="350">
        <v>2973871.9584680009</v>
      </c>
      <c r="I32" s="350">
        <v>4250861.0535299983</v>
      </c>
      <c r="J32" s="350">
        <v>7224733.0119979996</v>
      </c>
      <c r="K32" s="350">
        <v>11531408.077932002</v>
      </c>
      <c r="L32" s="350">
        <v>18756141.089930002</v>
      </c>
      <c r="O32" s="361"/>
    </row>
    <row r="33" spans="1:12" x14ac:dyDescent="0.25">
      <c r="A33" s="341">
        <v>23</v>
      </c>
      <c r="B33" s="353" t="s">
        <v>47</v>
      </c>
      <c r="D33" s="354">
        <v>0</v>
      </c>
      <c r="E33" s="355">
        <v>0</v>
      </c>
      <c r="F33" s="355">
        <v>0</v>
      </c>
      <c r="G33" s="355">
        <v>-9204702.5529085696</v>
      </c>
      <c r="H33" s="355">
        <v>-9204702.5529085696</v>
      </c>
      <c r="I33" s="355">
        <v>-4247453.0412445068</v>
      </c>
      <c r="J33" s="355">
        <v>-13452155.594153076</v>
      </c>
      <c r="K33" s="355">
        <v>-8769988.962394014</v>
      </c>
      <c r="L33" s="355">
        <v>-22222144.55654709</v>
      </c>
    </row>
    <row r="34" spans="1:12" x14ac:dyDescent="0.25">
      <c r="A34" s="341">
        <v>24</v>
      </c>
      <c r="B34" s="353" t="s">
        <v>79</v>
      </c>
      <c r="D34" s="354">
        <v>0</v>
      </c>
      <c r="E34" s="355">
        <v>0</v>
      </c>
      <c r="F34" s="355">
        <v>0</v>
      </c>
      <c r="G34" s="355">
        <v>-399107.57837995887</v>
      </c>
      <c r="H34" s="355">
        <v>-399107.57837995887</v>
      </c>
      <c r="I34" s="355">
        <v>-382424.82552969456</v>
      </c>
      <c r="J34" s="355">
        <v>-781532.40390965343</v>
      </c>
      <c r="K34" s="355">
        <v>-878515.61561004817</v>
      </c>
      <c r="L34" s="355">
        <v>-1660048.0195197016</v>
      </c>
    </row>
    <row r="35" spans="1:12" x14ac:dyDescent="0.25">
      <c r="A35" s="341">
        <v>25</v>
      </c>
      <c r="B35" s="353" t="s">
        <v>1197</v>
      </c>
      <c r="D35" s="357">
        <v>0</v>
      </c>
      <c r="E35" s="358">
        <v>0</v>
      </c>
      <c r="F35" s="358">
        <v>0</v>
      </c>
      <c r="G35" s="358">
        <v>-6629938.1728205271</v>
      </c>
      <c r="H35" s="358">
        <v>-6629938.1728205271</v>
      </c>
      <c r="I35" s="358">
        <v>-379016.81324420311</v>
      </c>
      <c r="J35" s="358">
        <v>-7008954.9860647302</v>
      </c>
      <c r="K35" s="358">
        <v>1882903.4999279398</v>
      </c>
      <c r="L35" s="358">
        <v>-5126051.4861367904</v>
      </c>
    </row>
    <row r="36" spans="1:12" x14ac:dyDescent="0.25">
      <c r="A36" s="341">
        <v>26</v>
      </c>
      <c r="D36" s="349"/>
      <c r="E36" s="349"/>
      <c r="F36" s="349"/>
      <c r="G36" s="349"/>
      <c r="H36" s="349"/>
      <c r="I36" s="349"/>
      <c r="J36" s="349"/>
      <c r="K36" s="349"/>
      <c r="L36" s="349"/>
    </row>
    <row r="37" spans="1:12" x14ac:dyDescent="0.25">
      <c r="A37" s="341">
        <v>27</v>
      </c>
      <c r="D37" s="349"/>
      <c r="E37" s="349"/>
      <c r="F37" s="349"/>
      <c r="G37" s="349"/>
      <c r="H37" s="349"/>
      <c r="I37" s="349"/>
      <c r="J37" s="349"/>
      <c r="K37" s="349"/>
      <c r="L37" s="349"/>
    </row>
    <row r="38" spans="1:12" x14ac:dyDescent="0.25">
      <c r="A38" s="341">
        <v>28</v>
      </c>
      <c r="B38" s="353" t="s">
        <v>33</v>
      </c>
      <c r="C38" s="362" t="s">
        <v>34</v>
      </c>
      <c r="D38" s="363"/>
      <c r="E38" s="364">
        <v>0.34060000000000001</v>
      </c>
      <c r="F38" s="365"/>
      <c r="G38" s="349"/>
      <c r="H38" s="349"/>
      <c r="I38" s="349"/>
      <c r="J38" s="349"/>
      <c r="K38" s="349"/>
      <c r="L38" s="349"/>
    </row>
    <row r="39" spans="1:12" x14ac:dyDescent="0.25">
      <c r="A39" s="341">
        <v>29</v>
      </c>
      <c r="C39" s="362" t="s">
        <v>35</v>
      </c>
      <c r="D39" s="363"/>
      <c r="E39" s="364">
        <v>0.65939999999999999</v>
      </c>
      <c r="F39" s="365"/>
      <c r="G39" s="349"/>
      <c r="H39" s="349"/>
      <c r="I39" s="349"/>
      <c r="J39" s="349"/>
      <c r="K39" s="349"/>
      <c r="L39" s="349"/>
    </row>
    <row r="40" spans="1:12" x14ac:dyDescent="0.25">
      <c r="D40" s="349"/>
      <c r="E40" s="349"/>
      <c r="F40" s="349"/>
      <c r="G40" s="349"/>
      <c r="H40" s="349"/>
      <c r="I40" s="349"/>
      <c r="J40" s="349"/>
      <c r="K40" s="349"/>
      <c r="L40" s="349"/>
    </row>
    <row r="41" spans="1:12" x14ac:dyDescent="0.25">
      <c r="D41" s="350"/>
      <c r="E41" s="350"/>
      <c r="F41" s="350"/>
      <c r="G41" s="350"/>
      <c r="H41" s="350"/>
      <c r="I41" s="350"/>
      <c r="J41" s="350"/>
      <c r="K41" s="350"/>
      <c r="L41" s="350"/>
    </row>
    <row r="43" spans="1:12" x14ac:dyDescent="0.25">
      <c r="E43" s="349"/>
      <c r="F43" s="349"/>
      <c r="G43" s="349"/>
      <c r="H43" s="349"/>
      <c r="I43" s="349"/>
      <c r="J43" s="349"/>
      <c r="K43" s="349"/>
      <c r="L43" s="349"/>
    </row>
    <row r="45" spans="1:12" x14ac:dyDescent="0.25">
      <c r="I45" s="349"/>
      <c r="K45" s="34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xSplit="2" ySplit="10" topLeftCell="C80" activePane="bottomRight" state="frozen"/>
      <selection pane="topRight" activeCell="C1" sqref="C1"/>
      <selection pane="bottomLeft" activeCell="A11" sqref="A11"/>
      <selection pane="bottomRight" activeCell="I88" sqref="I88"/>
    </sheetView>
  </sheetViews>
  <sheetFormatPr defaultRowHeight="15" x14ac:dyDescent="0.25"/>
  <cols>
    <col min="1" max="1" width="4.7109375" bestFit="1" customWidth="1"/>
    <col min="2" max="2" width="45.28515625" bestFit="1" customWidth="1"/>
    <col min="3" max="3" width="4.42578125" bestFit="1" customWidth="1"/>
    <col min="4" max="4" width="13.28515625" bestFit="1" customWidth="1"/>
    <col min="5" max="5" width="11.7109375" bestFit="1" customWidth="1"/>
    <col min="6" max="7" width="15.7109375" bestFit="1" customWidth="1"/>
    <col min="8" max="8" width="14.7109375" bestFit="1" customWidth="1"/>
    <col min="9" max="10" width="15.7109375" bestFit="1" customWidth="1"/>
    <col min="11" max="11" width="19.28515625" bestFit="1" customWidth="1"/>
  </cols>
  <sheetData>
    <row r="1" spans="1:11" x14ac:dyDescent="0.25">
      <c r="A1" s="317" t="s">
        <v>128</v>
      </c>
      <c r="B1" s="318"/>
      <c r="C1" s="318"/>
      <c r="D1" s="318"/>
      <c r="E1" s="318"/>
      <c r="F1" s="319"/>
      <c r="K1" s="320" t="s">
        <v>1150</v>
      </c>
    </row>
    <row r="2" spans="1:11" ht="15.75" thickBot="1" x14ac:dyDescent="0.3">
      <c r="A2" s="317" t="s">
        <v>130</v>
      </c>
      <c r="B2" s="318"/>
      <c r="C2" s="318"/>
      <c r="D2" s="318"/>
      <c r="E2" s="318"/>
      <c r="F2" s="319"/>
      <c r="K2" s="321" t="s">
        <v>1152</v>
      </c>
    </row>
    <row r="3" spans="1:11" x14ac:dyDescent="0.25">
      <c r="A3" s="317" t="s">
        <v>131</v>
      </c>
      <c r="B3" s="318"/>
      <c r="C3" s="318"/>
      <c r="D3" s="318"/>
      <c r="E3" s="318"/>
      <c r="F3" s="319"/>
      <c r="G3" s="322"/>
    </row>
    <row r="4" spans="1:11" x14ac:dyDescent="0.25">
      <c r="A4" s="317"/>
      <c r="B4" s="323" t="s">
        <v>1151</v>
      </c>
      <c r="C4" s="318"/>
      <c r="D4" s="318"/>
      <c r="E4" s="318"/>
      <c r="F4" s="319"/>
      <c r="G4" s="318"/>
    </row>
    <row r="5" spans="1:11" x14ac:dyDescent="0.25">
      <c r="A5" s="324" t="s">
        <v>144</v>
      </c>
      <c r="B5" s="325"/>
      <c r="C5" s="325"/>
      <c r="D5" s="326"/>
      <c r="E5" s="326" t="s">
        <v>1153</v>
      </c>
      <c r="F5" s="326"/>
      <c r="G5" s="326" t="s">
        <v>1153</v>
      </c>
      <c r="H5" s="326"/>
      <c r="I5" s="326" t="s">
        <v>1154</v>
      </c>
      <c r="J5" s="326"/>
      <c r="K5" s="326" t="s">
        <v>1154</v>
      </c>
    </row>
    <row r="6" spans="1:11" x14ac:dyDescent="0.25">
      <c r="A6" s="325"/>
      <c r="B6" s="325"/>
      <c r="C6" s="325"/>
      <c r="D6" s="326"/>
      <c r="E6" s="326"/>
      <c r="F6" s="326"/>
      <c r="G6" s="326"/>
      <c r="H6" s="326"/>
      <c r="I6" s="326"/>
      <c r="J6" s="326"/>
      <c r="K6" s="326"/>
    </row>
    <row r="7" spans="1:11" x14ac:dyDescent="0.25">
      <c r="A7" s="325"/>
      <c r="B7" s="325"/>
      <c r="C7" s="325"/>
      <c r="D7" s="326"/>
      <c r="E7" s="326" t="s">
        <v>1155</v>
      </c>
      <c r="F7" s="326">
        <v>2022</v>
      </c>
      <c r="G7" s="326" t="s">
        <v>1156</v>
      </c>
      <c r="H7" s="326">
        <v>2023</v>
      </c>
      <c r="I7" s="326" t="s">
        <v>1156</v>
      </c>
      <c r="J7" s="326">
        <v>2024</v>
      </c>
      <c r="K7" s="326" t="s">
        <v>1156</v>
      </c>
    </row>
    <row r="8" spans="1:11" x14ac:dyDescent="0.25">
      <c r="A8" s="325"/>
      <c r="B8" s="325"/>
      <c r="C8" s="327"/>
      <c r="D8" s="328" t="s">
        <v>1157</v>
      </c>
      <c r="E8" s="326" t="s">
        <v>1156</v>
      </c>
      <c r="F8" s="326" t="s">
        <v>1158</v>
      </c>
      <c r="G8" s="326" t="s">
        <v>1159</v>
      </c>
      <c r="H8" s="326" t="s">
        <v>1160</v>
      </c>
      <c r="I8" s="326" t="s">
        <v>1159</v>
      </c>
      <c r="J8" s="326" t="s">
        <v>1161</v>
      </c>
      <c r="K8" s="326" t="s">
        <v>1159</v>
      </c>
    </row>
    <row r="9" spans="1:11" x14ac:dyDescent="0.25">
      <c r="A9" s="326" t="s">
        <v>133</v>
      </c>
      <c r="B9" s="5"/>
      <c r="C9" s="329"/>
      <c r="D9" s="329" t="s">
        <v>1162</v>
      </c>
      <c r="E9" s="326" t="s">
        <v>1163</v>
      </c>
      <c r="F9" s="326" t="s">
        <v>1164</v>
      </c>
      <c r="G9" s="326" t="s">
        <v>1165</v>
      </c>
      <c r="H9" s="326" t="s">
        <v>1164</v>
      </c>
      <c r="I9" s="326" t="s">
        <v>1166</v>
      </c>
      <c r="J9" s="326" t="s">
        <v>1164</v>
      </c>
      <c r="K9" s="326" t="s">
        <v>1166</v>
      </c>
    </row>
    <row r="10" spans="1:11" x14ac:dyDescent="0.25">
      <c r="A10" s="330" t="s">
        <v>1167</v>
      </c>
      <c r="B10" s="330" t="s">
        <v>1168</v>
      </c>
      <c r="C10" s="330"/>
      <c r="D10" s="330" t="s">
        <v>1169</v>
      </c>
      <c r="E10" s="330" t="s">
        <v>1170</v>
      </c>
      <c r="F10" s="330" t="s">
        <v>1169</v>
      </c>
      <c r="G10" s="330" t="s">
        <v>1160</v>
      </c>
      <c r="H10" s="330" t="s">
        <v>1169</v>
      </c>
      <c r="I10" s="330" t="s">
        <v>1160</v>
      </c>
      <c r="J10" s="330" t="s">
        <v>1169</v>
      </c>
      <c r="K10" s="330" t="s">
        <v>1161</v>
      </c>
    </row>
    <row r="11" spans="1:11" ht="18.75" x14ac:dyDescent="0.3">
      <c r="A11" s="326">
        <v>1</v>
      </c>
      <c r="B11" s="331" t="s">
        <v>1171</v>
      </c>
      <c r="C11" s="329"/>
      <c r="D11" s="329"/>
      <c r="E11" s="325"/>
      <c r="F11" s="325"/>
      <c r="G11" s="325"/>
      <c r="H11" s="325"/>
      <c r="I11" s="325"/>
      <c r="J11" s="325"/>
      <c r="K11" s="325"/>
    </row>
    <row r="12" spans="1:11" x14ac:dyDescent="0.25">
      <c r="A12" s="326">
        <v>2</v>
      </c>
      <c r="B12" s="325" t="s">
        <v>1172</v>
      </c>
      <c r="C12" s="325"/>
      <c r="D12" s="332">
        <v>0</v>
      </c>
      <c r="E12" s="332">
        <v>0</v>
      </c>
      <c r="F12" s="332">
        <v>1447082.16</v>
      </c>
      <c r="G12" s="332">
        <v>1447082.16</v>
      </c>
      <c r="H12" s="333">
        <v>3938648.669999999</v>
      </c>
      <c r="I12" s="333">
        <v>5385730.8299999991</v>
      </c>
      <c r="J12" s="333">
        <v>8049741.3200000031</v>
      </c>
      <c r="K12" s="333">
        <v>13435472.150000002</v>
      </c>
    </row>
    <row r="13" spans="1:11" x14ac:dyDescent="0.25">
      <c r="A13" s="326">
        <v>3</v>
      </c>
      <c r="B13" s="325" t="s">
        <v>1173</v>
      </c>
      <c r="C13" s="325"/>
      <c r="D13" s="332">
        <v>0</v>
      </c>
      <c r="E13" s="332">
        <v>0</v>
      </c>
      <c r="F13" s="332">
        <v>838827.03353800008</v>
      </c>
      <c r="G13" s="332">
        <v>838827.03353800008</v>
      </c>
      <c r="H13" s="333">
        <v>298774.78321599995</v>
      </c>
      <c r="I13" s="333">
        <v>1137601.816754</v>
      </c>
      <c r="J13" s="333">
        <v>1286033.1509740001</v>
      </c>
      <c r="K13" s="333">
        <v>2423634.9677280001</v>
      </c>
    </row>
    <row r="14" spans="1:11" x14ac:dyDescent="0.25">
      <c r="A14" s="326">
        <v>4</v>
      </c>
      <c r="B14" s="325" t="s">
        <v>1174</v>
      </c>
      <c r="C14" s="325"/>
      <c r="D14" s="332">
        <v>0</v>
      </c>
      <c r="E14" s="332">
        <v>0</v>
      </c>
      <c r="F14" s="332">
        <v>1295.3399999999999</v>
      </c>
      <c r="G14" s="332">
        <v>1295.3399999999999</v>
      </c>
      <c r="H14" s="333">
        <v>2628.66</v>
      </c>
      <c r="I14" s="333">
        <v>3924</v>
      </c>
      <c r="J14" s="333">
        <v>2706.42</v>
      </c>
      <c r="K14" s="333">
        <v>6630.42</v>
      </c>
    </row>
    <row r="15" spans="1:11" x14ac:dyDescent="0.25">
      <c r="A15" s="326">
        <v>5</v>
      </c>
      <c r="B15" s="325" t="s">
        <v>1175</v>
      </c>
      <c r="C15" s="325"/>
      <c r="D15" s="334">
        <v>0</v>
      </c>
      <c r="E15" s="334">
        <v>0</v>
      </c>
      <c r="F15" s="334">
        <v>927719.52249600005</v>
      </c>
      <c r="G15" s="334">
        <v>927719.52249600005</v>
      </c>
      <c r="H15" s="335">
        <v>1982134.5440260004</v>
      </c>
      <c r="I15" s="335">
        <v>2909854.0665220004</v>
      </c>
      <c r="J15" s="335">
        <v>2242247.9711060002</v>
      </c>
      <c r="K15" s="335">
        <v>5152102.0376280006</v>
      </c>
    </row>
    <row r="16" spans="1:11" x14ac:dyDescent="0.25">
      <c r="A16" s="326">
        <v>6</v>
      </c>
      <c r="B16" s="325" t="s">
        <v>1176</v>
      </c>
      <c r="C16" s="325"/>
      <c r="D16" s="332">
        <v>0</v>
      </c>
      <c r="E16" s="332">
        <v>0</v>
      </c>
      <c r="F16" s="332">
        <v>3214924.0560339997</v>
      </c>
      <c r="G16" s="332">
        <v>3214924.0560339997</v>
      </c>
      <c r="H16" s="333">
        <v>6222186.6572419992</v>
      </c>
      <c r="I16" s="333">
        <v>9437110.7132759988</v>
      </c>
      <c r="J16" s="333">
        <v>11580728.862080004</v>
      </c>
      <c r="K16" s="333">
        <v>21017839.575356003</v>
      </c>
    </row>
    <row r="17" spans="1:11" x14ac:dyDescent="0.25">
      <c r="A17" s="326">
        <v>7</v>
      </c>
      <c r="B17" s="325"/>
      <c r="C17" s="325"/>
      <c r="D17" s="332"/>
      <c r="E17" s="332"/>
      <c r="F17" s="332"/>
      <c r="G17" s="332"/>
      <c r="H17" s="333"/>
      <c r="I17" s="333"/>
      <c r="J17" s="333"/>
      <c r="K17" s="333"/>
    </row>
    <row r="18" spans="1:11" x14ac:dyDescent="0.25">
      <c r="A18" s="326">
        <v>8</v>
      </c>
      <c r="B18" s="325" t="s">
        <v>1177</v>
      </c>
      <c r="C18" s="325"/>
      <c r="D18" s="332">
        <v>0</v>
      </c>
      <c r="E18" s="332">
        <v>0</v>
      </c>
      <c r="F18" s="332">
        <v>3214924.0560339997</v>
      </c>
      <c r="G18" s="332">
        <v>3214924.0560339997</v>
      </c>
      <c r="H18" s="333">
        <v>6222186.6572419992</v>
      </c>
      <c r="I18" s="333">
        <v>9437110.7132759988</v>
      </c>
      <c r="J18" s="333">
        <v>11580728.862080004</v>
      </c>
      <c r="K18" s="333">
        <v>21017839.575356003</v>
      </c>
    </row>
    <row r="19" spans="1:11" x14ac:dyDescent="0.25">
      <c r="A19" s="326">
        <v>9</v>
      </c>
      <c r="B19" s="325"/>
      <c r="C19" s="325"/>
      <c r="D19" s="332">
        <v>0</v>
      </c>
      <c r="E19" s="332">
        <v>0</v>
      </c>
      <c r="F19" s="332">
        <v>0</v>
      </c>
      <c r="G19" s="332">
        <v>0</v>
      </c>
      <c r="H19" s="333">
        <v>0</v>
      </c>
      <c r="I19" s="333">
        <v>0</v>
      </c>
      <c r="J19" s="333">
        <v>0</v>
      </c>
      <c r="K19" s="333">
        <v>0</v>
      </c>
    </row>
    <row r="20" spans="1:11" x14ac:dyDescent="0.25">
      <c r="A20" s="326">
        <v>10</v>
      </c>
      <c r="B20" s="325" t="s">
        <v>1178</v>
      </c>
      <c r="C20" s="336">
        <v>0.21</v>
      </c>
      <c r="D20" s="334">
        <v>0</v>
      </c>
      <c r="E20" s="334">
        <v>0</v>
      </c>
      <c r="F20" s="334">
        <v>-675134.05176713993</v>
      </c>
      <c r="G20" s="334">
        <v>-675134.05176713993</v>
      </c>
      <c r="H20" s="335">
        <v>-1306659.1980208198</v>
      </c>
      <c r="I20" s="335">
        <v>-1981793.2497879597</v>
      </c>
      <c r="J20" s="335">
        <v>-2431953.061036801</v>
      </c>
      <c r="K20" s="335">
        <v>-4413746.3108247602</v>
      </c>
    </row>
    <row r="21" spans="1:11" x14ac:dyDescent="0.25">
      <c r="A21" s="326">
        <v>11</v>
      </c>
      <c r="B21" s="325"/>
      <c r="C21" s="325"/>
      <c r="D21" s="332"/>
      <c r="E21" s="332"/>
      <c r="F21" s="332"/>
      <c r="G21" s="332"/>
      <c r="H21" s="333"/>
      <c r="I21" s="333"/>
      <c r="J21" s="333"/>
      <c r="K21" s="333"/>
    </row>
    <row r="22" spans="1:11" ht="15.75" thickBot="1" x14ac:dyDescent="0.3">
      <c r="A22" s="326">
        <v>12</v>
      </c>
      <c r="B22" s="230" t="s">
        <v>1179</v>
      </c>
      <c r="C22" s="325"/>
      <c r="D22" s="337">
        <v>0</v>
      </c>
      <c r="E22" s="337">
        <v>0</v>
      </c>
      <c r="F22" s="337">
        <v>-2539790.00426686</v>
      </c>
      <c r="G22" s="337">
        <v>-2539790.00426686</v>
      </c>
      <c r="H22" s="338">
        <v>-4915527.4592211796</v>
      </c>
      <c r="I22" s="338">
        <v>-7455317.4634880386</v>
      </c>
      <c r="J22" s="338">
        <v>-9148775.8010432031</v>
      </c>
      <c r="K22" s="338">
        <v>-16604093.264531244</v>
      </c>
    </row>
    <row r="23" spans="1:11" ht="15.75" thickTop="1" x14ac:dyDescent="0.25">
      <c r="A23" s="326">
        <v>13</v>
      </c>
      <c r="B23" s="325"/>
      <c r="C23" s="325"/>
      <c r="D23" s="332"/>
      <c r="E23" s="332"/>
      <c r="F23" s="332"/>
      <c r="G23" s="332"/>
      <c r="H23" s="333"/>
      <c r="I23" s="333"/>
      <c r="J23" s="333"/>
      <c r="K23" s="333"/>
    </row>
    <row r="24" spans="1:11" x14ac:dyDescent="0.25">
      <c r="A24" s="326">
        <v>14</v>
      </c>
      <c r="B24" s="325" t="s">
        <v>1180</v>
      </c>
      <c r="C24" s="325"/>
      <c r="D24" s="332">
        <v>0</v>
      </c>
      <c r="E24" s="332">
        <v>0</v>
      </c>
      <c r="F24" s="332">
        <v>123742113.26939401</v>
      </c>
      <c r="G24" s="332">
        <v>123742113.26939401</v>
      </c>
      <c r="H24" s="333">
        <v>58558976.493400007</v>
      </c>
      <c r="I24" s="333">
        <v>182301089.76279402</v>
      </c>
      <c r="J24" s="333">
        <v>213051242.67724001</v>
      </c>
      <c r="K24" s="333">
        <v>395352332.44003403</v>
      </c>
    </row>
    <row r="25" spans="1:11" x14ac:dyDescent="0.25">
      <c r="A25" s="326">
        <v>15</v>
      </c>
      <c r="B25" s="325" t="s">
        <v>1181</v>
      </c>
      <c r="C25" s="325"/>
      <c r="D25" s="332">
        <v>0</v>
      </c>
      <c r="E25" s="332">
        <v>0</v>
      </c>
      <c r="F25" s="332">
        <v>-3214924.0560340001</v>
      </c>
      <c r="G25" s="332">
        <v>-3214924.0560340001</v>
      </c>
      <c r="H25" s="333">
        <v>-4147223.9910600004</v>
      </c>
      <c r="I25" s="333">
        <v>-7362148.0470940005</v>
      </c>
      <c r="J25" s="333">
        <v>-15191827.695540005</v>
      </c>
      <c r="K25" s="333">
        <v>-22553975.742634006</v>
      </c>
    </row>
    <row r="26" spans="1:11" x14ac:dyDescent="0.25">
      <c r="A26" s="326">
        <v>16</v>
      </c>
      <c r="B26" s="325" t="s">
        <v>49</v>
      </c>
      <c r="C26" s="325"/>
      <c r="D26" s="334">
        <v>0</v>
      </c>
      <c r="E26" s="334">
        <v>0</v>
      </c>
      <c r="F26" s="335">
        <v>-1026111.84512</v>
      </c>
      <c r="G26" s="335">
        <v>-1026111.84512</v>
      </c>
      <c r="H26" s="335">
        <v>-2552947.7107720003</v>
      </c>
      <c r="I26" s="335">
        <v>-3579059.555892</v>
      </c>
      <c r="J26" s="335">
        <v>-5979722.9368460011</v>
      </c>
      <c r="K26" s="335">
        <v>-9558782.492738001</v>
      </c>
    </row>
    <row r="27" spans="1:11" x14ac:dyDescent="0.25">
      <c r="A27" s="326">
        <v>17</v>
      </c>
      <c r="B27" s="230" t="s">
        <v>1182</v>
      </c>
      <c r="C27" s="325"/>
      <c r="D27" s="332">
        <v>0</v>
      </c>
      <c r="E27" s="332">
        <v>0</v>
      </c>
      <c r="F27" s="333">
        <v>119501077.36824001</v>
      </c>
      <c r="G27" s="333">
        <v>119501077.36824001</v>
      </c>
      <c r="H27" s="333">
        <v>51858804.791568004</v>
      </c>
      <c r="I27" s="333">
        <v>171359882.15980804</v>
      </c>
      <c r="J27" s="333">
        <v>191879692.04485402</v>
      </c>
      <c r="K27" s="333">
        <v>363239574.20466202</v>
      </c>
    </row>
    <row r="28" spans="1:11" x14ac:dyDescent="0.25">
      <c r="A28" s="326">
        <v>18</v>
      </c>
      <c r="B28" s="325"/>
      <c r="C28" s="325"/>
      <c r="D28" s="332"/>
      <c r="E28" s="332"/>
      <c r="F28" s="332"/>
      <c r="G28" s="332"/>
      <c r="H28" s="339"/>
      <c r="I28" s="339"/>
      <c r="J28" s="339"/>
      <c r="K28" s="339"/>
    </row>
    <row r="29" spans="1:11" ht="18.75" x14ac:dyDescent="0.3">
      <c r="A29" s="326">
        <v>19</v>
      </c>
      <c r="B29" s="331" t="s">
        <v>1183</v>
      </c>
      <c r="C29" s="325"/>
      <c r="D29" s="332"/>
      <c r="E29" s="332"/>
      <c r="F29" s="332"/>
      <c r="G29" s="332"/>
      <c r="H29" s="339"/>
      <c r="I29" s="339"/>
      <c r="J29" s="339"/>
      <c r="K29" s="339"/>
    </row>
    <row r="30" spans="1:11" x14ac:dyDescent="0.25">
      <c r="A30" s="326">
        <v>20</v>
      </c>
      <c r="B30" s="325" t="s">
        <v>1172</v>
      </c>
      <c r="C30" s="325"/>
      <c r="D30" s="332">
        <v>0</v>
      </c>
      <c r="E30" s="332">
        <v>0</v>
      </c>
      <c r="F30" s="332">
        <v>1340113.0399999996</v>
      </c>
      <c r="G30" s="332">
        <v>1340113.0399999996</v>
      </c>
      <c r="H30" s="333">
        <v>2078844.5500000007</v>
      </c>
      <c r="I30" s="333">
        <v>3418957.5900000003</v>
      </c>
      <c r="J30" s="333">
        <v>2327081.959999992</v>
      </c>
      <c r="K30" s="333">
        <v>5746039.5499999924</v>
      </c>
    </row>
    <row r="31" spans="1:11" x14ac:dyDescent="0.25">
      <c r="A31" s="326">
        <v>21</v>
      </c>
      <c r="B31" s="325" t="s">
        <v>1173</v>
      </c>
      <c r="C31" s="325"/>
      <c r="D31" s="332">
        <v>0</v>
      </c>
      <c r="E31" s="332">
        <v>0</v>
      </c>
      <c r="F31" s="332">
        <v>0</v>
      </c>
      <c r="G31" s="332">
        <v>0</v>
      </c>
      <c r="H31" s="333">
        <v>0</v>
      </c>
      <c r="I31" s="333">
        <v>0</v>
      </c>
      <c r="J31" s="333">
        <v>0</v>
      </c>
      <c r="K31" s="333">
        <v>0</v>
      </c>
    </row>
    <row r="32" spans="1:11" x14ac:dyDescent="0.25">
      <c r="A32" s="326">
        <v>22</v>
      </c>
      <c r="B32" s="325" t="s">
        <v>1174</v>
      </c>
      <c r="C32" s="325"/>
      <c r="D32" s="332">
        <v>0</v>
      </c>
      <c r="E32" s="332">
        <v>0</v>
      </c>
      <c r="F32" s="332">
        <v>0</v>
      </c>
      <c r="G32" s="332">
        <v>0</v>
      </c>
      <c r="H32" s="333">
        <v>0</v>
      </c>
      <c r="I32" s="333">
        <v>0</v>
      </c>
      <c r="J32" s="333">
        <v>0</v>
      </c>
      <c r="K32" s="333">
        <v>0</v>
      </c>
    </row>
    <row r="33" spans="1:11" x14ac:dyDescent="0.25">
      <c r="A33" s="326">
        <v>23</v>
      </c>
      <c r="B33" s="325" t="s">
        <v>1175</v>
      </c>
      <c r="C33" s="325"/>
      <c r="D33" s="334">
        <v>0</v>
      </c>
      <c r="E33" s="334">
        <v>0</v>
      </c>
      <c r="F33" s="334">
        <v>0</v>
      </c>
      <c r="G33" s="334">
        <v>0</v>
      </c>
      <c r="H33" s="335">
        <v>0</v>
      </c>
      <c r="I33" s="335">
        <v>0</v>
      </c>
      <c r="J33" s="335">
        <v>0</v>
      </c>
      <c r="K33" s="335">
        <v>0</v>
      </c>
    </row>
    <row r="34" spans="1:11" x14ac:dyDescent="0.25">
      <c r="A34" s="326">
        <v>24</v>
      </c>
      <c r="B34" s="325" t="s">
        <v>1176</v>
      </c>
      <c r="C34" s="325"/>
      <c r="D34" s="332">
        <v>0</v>
      </c>
      <c r="E34" s="332">
        <v>0</v>
      </c>
      <c r="F34" s="332">
        <v>1340113.0399999996</v>
      </c>
      <c r="G34" s="332">
        <v>1340113.0399999996</v>
      </c>
      <c r="H34" s="333">
        <v>2078844.5500000007</v>
      </c>
      <c r="I34" s="333">
        <v>3418957.5900000003</v>
      </c>
      <c r="J34" s="333">
        <v>2327081.959999992</v>
      </c>
      <c r="K34" s="333">
        <v>5746039.5499999924</v>
      </c>
    </row>
    <row r="35" spans="1:11" x14ac:dyDescent="0.25">
      <c r="A35" s="326">
        <v>25</v>
      </c>
      <c r="B35" s="325"/>
      <c r="C35" s="325"/>
      <c r="D35" s="332"/>
      <c r="E35" s="332"/>
      <c r="F35" s="332"/>
      <c r="G35" s="332"/>
      <c r="H35" s="333"/>
      <c r="I35" s="333"/>
      <c r="J35" s="333"/>
      <c r="K35" s="333"/>
    </row>
    <row r="36" spans="1:11" x14ac:dyDescent="0.25">
      <c r="A36" s="326">
        <v>26</v>
      </c>
      <c r="B36" s="325" t="s">
        <v>1177</v>
      </c>
      <c r="C36" s="325"/>
      <c r="D36" s="332">
        <v>0</v>
      </c>
      <c r="E36" s="332">
        <v>0</v>
      </c>
      <c r="F36" s="332">
        <v>1340113.0399999996</v>
      </c>
      <c r="G36" s="332">
        <v>1340113.0399999996</v>
      </c>
      <c r="H36" s="333">
        <v>2078844.5500000007</v>
      </c>
      <c r="I36" s="333">
        <v>3418957.5900000003</v>
      </c>
      <c r="J36" s="333">
        <v>2327081.959999992</v>
      </c>
      <c r="K36" s="333">
        <v>5746039.5499999924</v>
      </c>
    </row>
    <row r="37" spans="1:11" x14ac:dyDescent="0.25">
      <c r="A37" s="326">
        <v>27</v>
      </c>
      <c r="B37" s="325"/>
      <c r="C37" s="325"/>
      <c r="D37" s="332"/>
      <c r="E37" s="332"/>
      <c r="F37" s="332"/>
      <c r="G37" s="332"/>
      <c r="H37" s="333"/>
      <c r="I37" s="333"/>
      <c r="J37" s="333"/>
      <c r="K37" s="333"/>
    </row>
    <row r="38" spans="1:11" x14ac:dyDescent="0.25">
      <c r="A38" s="326">
        <v>28</v>
      </c>
      <c r="B38" s="325" t="s">
        <v>1178</v>
      </c>
      <c r="C38" s="336">
        <v>0.21</v>
      </c>
      <c r="D38" s="334">
        <v>0</v>
      </c>
      <c r="E38" s="334">
        <v>0</v>
      </c>
      <c r="F38" s="334">
        <v>-281423.73839999991</v>
      </c>
      <c r="G38" s="334">
        <v>-281423.73839999991</v>
      </c>
      <c r="H38" s="335">
        <v>-436557.35550000012</v>
      </c>
      <c r="I38" s="335">
        <v>-717981.09390000009</v>
      </c>
      <c r="J38" s="335">
        <v>-488687.21159999829</v>
      </c>
      <c r="K38" s="335">
        <v>-1206668.3054999984</v>
      </c>
    </row>
    <row r="39" spans="1:11" x14ac:dyDescent="0.25">
      <c r="A39" s="326">
        <v>29</v>
      </c>
      <c r="B39" s="325"/>
      <c r="C39" s="325"/>
      <c r="D39" s="332"/>
      <c r="E39" s="332"/>
      <c r="F39" s="332"/>
      <c r="G39" s="332"/>
      <c r="H39" s="333"/>
      <c r="I39" s="333"/>
      <c r="J39" s="333"/>
      <c r="K39" s="333"/>
    </row>
    <row r="40" spans="1:11" ht="15.75" thickBot="1" x14ac:dyDescent="0.3">
      <c r="A40" s="326">
        <v>30</v>
      </c>
      <c r="B40" s="230" t="s">
        <v>1179</v>
      </c>
      <c r="C40" s="325"/>
      <c r="D40" s="337">
        <v>0</v>
      </c>
      <c r="E40" s="337">
        <v>0</v>
      </c>
      <c r="F40" s="337">
        <v>-1058689.3015999997</v>
      </c>
      <c r="G40" s="337">
        <v>-1058689.3015999997</v>
      </c>
      <c r="H40" s="338">
        <v>-1642287.1945000007</v>
      </c>
      <c r="I40" s="338">
        <v>-2700976.4961000001</v>
      </c>
      <c r="J40" s="338">
        <v>-1838394.7483999939</v>
      </c>
      <c r="K40" s="338">
        <v>-4539371.2444999944</v>
      </c>
    </row>
    <row r="41" spans="1:11" ht="15.75" thickTop="1" x14ac:dyDescent="0.25">
      <c r="A41" s="326">
        <v>31</v>
      </c>
      <c r="B41" s="325"/>
      <c r="C41" s="325"/>
      <c r="D41" s="332"/>
      <c r="E41" s="332"/>
      <c r="F41" s="332"/>
      <c r="G41" s="332"/>
      <c r="H41" s="333"/>
      <c r="I41" s="333"/>
      <c r="J41" s="333"/>
      <c r="K41" s="333"/>
    </row>
    <row r="42" spans="1:11" x14ac:dyDescent="0.25">
      <c r="A42" s="326">
        <v>32</v>
      </c>
      <c r="B42" s="325" t="s">
        <v>1180</v>
      </c>
      <c r="C42" s="325"/>
      <c r="D42" s="332">
        <v>0</v>
      </c>
      <c r="E42" s="332">
        <v>0</v>
      </c>
      <c r="F42" s="332">
        <v>120233571.84</v>
      </c>
      <c r="G42" s="332">
        <v>120233571.84</v>
      </c>
      <c r="H42" s="333">
        <v>6769603.1400000006</v>
      </c>
      <c r="I42" s="333">
        <v>127003174.98</v>
      </c>
      <c r="J42" s="333">
        <v>85663988.109999999</v>
      </c>
      <c r="K42" s="333">
        <v>212667163.09</v>
      </c>
    </row>
    <row r="43" spans="1:11" x14ac:dyDescent="0.25">
      <c r="A43" s="326">
        <v>33</v>
      </c>
      <c r="B43" s="325" t="s">
        <v>1181</v>
      </c>
      <c r="C43" s="325"/>
      <c r="D43" s="332">
        <v>0</v>
      </c>
      <c r="E43" s="332">
        <v>0</v>
      </c>
      <c r="F43" s="332">
        <v>-1340113.0399999998</v>
      </c>
      <c r="G43" s="332">
        <v>-1340113.0399999998</v>
      </c>
      <c r="H43" s="333">
        <v>-1679780.6700000016</v>
      </c>
      <c r="I43" s="333">
        <v>-3019893.7100000014</v>
      </c>
      <c r="J43" s="333">
        <v>-4258615.8499999996</v>
      </c>
      <c r="K43" s="333">
        <v>-7278509.5600000005</v>
      </c>
    </row>
    <row r="44" spans="1:11" x14ac:dyDescent="0.25">
      <c r="A44" s="326">
        <v>34</v>
      </c>
      <c r="B44" s="325" t="s">
        <v>49</v>
      </c>
      <c r="C44" s="325"/>
      <c r="D44" s="334">
        <v>0</v>
      </c>
      <c r="E44" s="334">
        <v>0</v>
      </c>
      <c r="F44" s="334">
        <v>-665426.30999999994</v>
      </c>
      <c r="G44" s="334">
        <v>-665426.30999999994</v>
      </c>
      <c r="H44" s="335">
        <v>-566950.43999999983</v>
      </c>
      <c r="I44" s="335">
        <v>-1232376.7499999998</v>
      </c>
      <c r="J44" s="335">
        <v>-1606280.4200000011</v>
      </c>
      <c r="K44" s="335">
        <v>-2838657.1700000009</v>
      </c>
    </row>
    <row r="45" spans="1:11" x14ac:dyDescent="0.25">
      <c r="A45" s="326">
        <v>35</v>
      </c>
      <c r="B45" s="230" t="s">
        <v>1182</v>
      </c>
      <c r="C45" s="325"/>
      <c r="D45" s="332">
        <v>0</v>
      </c>
      <c r="E45" s="332">
        <v>0</v>
      </c>
      <c r="F45" s="332">
        <v>118228032.48999999</v>
      </c>
      <c r="G45" s="332">
        <v>118228032.48999999</v>
      </c>
      <c r="H45" s="333">
        <v>4522872.0299999993</v>
      </c>
      <c r="I45" s="333">
        <v>122750904.52</v>
      </c>
      <c r="J45" s="333">
        <v>79799091.840000004</v>
      </c>
      <c r="K45" s="333">
        <v>202549996.36000001</v>
      </c>
    </row>
    <row r="46" spans="1:11" x14ac:dyDescent="0.25">
      <c r="A46" s="326">
        <v>36</v>
      </c>
      <c r="B46" s="325"/>
      <c r="C46" s="325"/>
      <c r="D46" s="332"/>
      <c r="E46" s="332"/>
      <c r="F46" s="332"/>
      <c r="G46" s="332"/>
      <c r="H46" s="339"/>
      <c r="I46" s="339"/>
      <c r="J46" s="339"/>
      <c r="K46" s="339"/>
    </row>
    <row r="47" spans="1:11" ht="18.75" x14ac:dyDescent="0.3">
      <c r="A47" s="326">
        <v>37</v>
      </c>
      <c r="B47" s="331" t="s">
        <v>1184</v>
      </c>
      <c r="C47" s="325"/>
      <c r="D47" s="332"/>
      <c r="E47" s="332"/>
      <c r="F47" s="332"/>
      <c r="G47" s="332"/>
      <c r="H47" s="339"/>
      <c r="I47" s="339"/>
      <c r="J47" s="339"/>
      <c r="K47" s="339"/>
    </row>
    <row r="48" spans="1:11" x14ac:dyDescent="0.25">
      <c r="A48" s="326">
        <v>38</v>
      </c>
      <c r="B48" s="325" t="s">
        <v>1172</v>
      </c>
      <c r="C48" s="325"/>
      <c r="D48" s="332">
        <v>0</v>
      </c>
      <c r="E48" s="332">
        <v>0</v>
      </c>
      <c r="F48" s="333">
        <v>16135.4</v>
      </c>
      <c r="G48" s="333">
        <v>16135.4</v>
      </c>
      <c r="H48" s="333">
        <v>16618.120000000003</v>
      </c>
      <c r="I48" s="333">
        <v>32753.52</v>
      </c>
      <c r="J48" s="333">
        <v>0</v>
      </c>
      <c r="K48" s="333">
        <v>32753.52</v>
      </c>
    </row>
    <row r="49" spans="1:11" x14ac:dyDescent="0.25">
      <c r="A49" s="326">
        <v>39</v>
      </c>
      <c r="B49" s="325" t="s">
        <v>1173</v>
      </c>
      <c r="C49" s="325"/>
      <c r="D49" s="332">
        <v>0</v>
      </c>
      <c r="E49" s="332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4269.8603739999999</v>
      </c>
      <c r="K49" s="333">
        <v>4269.8603739999999</v>
      </c>
    </row>
    <row r="50" spans="1:11" x14ac:dyDescent="0.25">
      <c r="A50" s="326">
        <v>40</v>
      </c>
      <c r="B50" s="325" t="s">
        <v>1174</v>
      </c>
      <c r="C50" s="325"/>
      <c r="D50" s="332">
        <v>0</v>
      </c>
      <c r="E50" s="332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</row>
    <row r="51" spans="1:11" x14ac:dyDescent="0.25">
      <c r="A51" s="326">
        <v>41</v>
      </c>
      <c r="B51" s="325" t="s">
        <v>1175</v>
      </c>
      <c r="C51" s="325"/>
      <c r="D51" s="334">
        <v>0</v>
      </c>
      <c r="E51" s="334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198827.93392800001</v>
      </c>
      <c r="K51" s="335">
        <v>198827.93392800001</v>
      </c>
    </row>
    <row r="52" spans="1:11" x14ac:dyDescent="0.25">
      <c r="A52" s="326">
        <v>42</v>
      </c>
      <c r="B52" s="325" t="s">
        <v>1176</v>
      </c>
      <c r="C52" s="325"/>
      <c r="D52" s="332">
        <v>0</v>
      </c>
      <c r="E52" s="332">
        <v>0</v>
      </c>
      <c r="F52" s="333">
        <v>16135.4</v>
      </c>
      <c r="G52" s="333">
        <v>16135.4</v>
      </c>
      <c r="H52" s="333">
        <v>16618.120000000003</v>
      </c>
      <c r="I52" s="333">
        <v>32753.52</v>
      </c>
      <c r="J52" s="333">
        <v>203097.79430200002</v>
      </c>
      <c r="K52" s="333">
        <v>235851.31430200001</v>
      </c>
    </row>
    <row r="53" spans="1:11" x14ac:dyDescent="0.25">
      <c r="A53" s="326">
        <v>43</v>
      </c>
      <c r="B53" s="325"/>
      <c r="C53" s="325"/>
      <c r="D53" s="332"/>
      <c r="E53" s="332"/>
      <c r="F53" s="333"/>
      <c r="G53" s="333"/>
      <c r="H53" s="333"/>
      <c r="I53" s="333"/>
      <c r="J53" s="333"/>
      <c r="K53" s="333"/>
    </row>
    <row r="54" spans="1:11" x14ac:dyDescent="0.25">
      <c r="A54" s="326">
        <v>44</v>
      </c>
      <c r="B54" s="325" t="s">
        <v>1177</v>
      </c>
      <c r="C54" s="325"/>
      <c r="D54" s="332">
        <v>0</v>
      </c>
      <c r="E54" s="332">
        <v>0</v>
      </c>
      <c r="F54" s="333">
        <v>16135.4</v>
      </c>
      <c r="G54" s="333">
        <v>16135.4</v>
      </c>
      <c r="H54" s="333">
        <v>16618.120000000003</v>
      </c>
      <c r="I54" s="333">
        <v>32753.52</v>
      </c>
      <c r="J54" s="333">
        <v>203097.79430200002</v>
      </c>
      <c r="K54" s="333">
        <v>235851.31430200001</v>
      </c>
    </row>
    <row r="55" spans="1:11" x14ac:dyDescent="0.25">
      <c r="A55" s="326">
        <v>45</v>
      </c>
      <c r="B55" s="325"/>
      <c r="C55" s="325"/>
      <c r="D55" s="332"/>
      <c r="E55" s="332"/>
      <c r="F55" s="333"/>
      <c r="G55" s="333"/>
      <c r="H55" s="333"/>
      <c r="I55" s="333"/>
      <c r="J55" s="333"/>
      <c r="K55" s="333"/>
    </row>
    <row r="56" spans="1:11" x14ac:dyDescent="0.25">
      <c r="A56" s="326">
        <v>46</v>
      </c>
      <c r="B56" s="325" t="s">
        <v>1178</v>
      </c>
      <c r="C56" s="336">
        <v>0.21</v>
      </c>
      <c r="D56" s="334">
        <v>0</v>
      </c>
      <c r="E56" s="334">
        <v>0</v>
      </c>
      <c r="F56" s="335">
        <v>-3388.4339999999997</v>
      </c>
      <c r="G56" s="335">
        <v>-3388.4339999999997</v>
      </c>
      <c r="H56" s="335">
        <v>-3489.8052000000002</v>
      </c>
      <c r="I56" s="335">
        <v>-6878.2392</v>
      </c>
      <c r="J56" s="335">
        <v>-42650.53680342</v>
      </c>
      <c r="K56" s="335">
        <v>-49528.776003420004</v>
      </c>
    </row>
    <row r="57" spans="1:11" x14ac:dyDescent="0.25">
      <c r="A57" s="326">
        <v>47</v>
      </c>
      <c r="B57" s="325"/>
      <c r="C57" s="325"/>
      <c r="D57" s="332"/>
      <c r="E57" s="332"/>
      <c r="F57" s="333"/>
      <c r="G57" s="333"/>
      <c r="H57" s="333"/>
      <c r="I57" s="333"/>
      <c r="J57" s="333"/>
      <c r="K57" s="333"/>
    </row>
    <row r="58" spans="1:11" ht="15.75" thickBot="1" x14ac:dyDescent="0.3">
      <c r="A58" s="326">
        <v>48</v>
      </c>
      <c r="B58" s="230" t="s">
        <v>1179</v>
      </c>
      <c r="C58" s="325"/>
      <c r="D58" s="337">
        <v>0</v>
      </c>
      <c r="E58" s="337">
        <v>0</v>
      </c>
      <c r="F58" s="338">
        <v>-12746.966</v>
      </c>
      <c r="G58" s="338">
        <v>-12746.966</v>
      </c>
      <c r="H58" s="338">
        <v>-13128.314800000002</v>
      </c>
      <c r="I58" s="338">
        <v>-25875.2808</v>
      </c>
      <c r="J58" s="338">
        <v>-160447.25749858003</v>
      </c>
      <c r="K58" s="338">
        <v>-186322.53829858001</v>
      </c>
    </row>
    <row r="59" spans="1:11" ht="15.75" thickTop="1" x14ac:dyDescent="0.25">
      <c r="A59" s="326">
        <v>49</v>
      </c>
      <c r="B59" s="325"/>
      <c r="C59" s="325"/>
      <c r="D59" s="332"/>
      <c r="E59" s="332"/>
      <c r="F59" s="333"/>
      <c r="G59" s="333"/>
      <c r="H59" s="333"/>
      <c r="I59" s="333"/>
      <c r="J59" s="333"/>
      <c r="K59" s="333"/>
    </row>
    <row r="60" spans="1:11" x14ac:dyDescent="0.25">
      <c r="A60" s="326">
        <v>50</v>
      </c>
      <c r="B60" s="325" t="s">
        <v>1180</v>
      </c>
      <c r="C60" s="325"/>
      <c r="D60" s="332">
        <v>0</v>
      </c>
      <c r="E60" s="332">
        <v>0</v>
      </c>
      <c r="F60" s="333">
        <v>1256366.2</v>
      </c>
      <c r="G60" s="333">
        <v>1256366.2</v>
      </c>
      <c r="H60" s="333">
        <v>0</v>
      </c>
      <c r="I60" s="333">
        <v>1256366.2</v>
      </c>
      <c r="J60" s="333">
        <v>2055930.3467039999</v>
      </c>
      <c r="K60" s="333">
        <v>3312296.5467039999</v>
      </c>
    </row>
    <row r="61" spans="1:11" x14ac:dyDescent="0.25">
      <c r="A61" s="326">
        <v>51</v>
      </c>
      <c r="B61" s="325" t="s">
        <v>1181</v>
      </c>
      <c r="C61" s="325"/>
      <c r="D61" s="332">
        <v>0</v>
      </c>
      <c r="E61" s="332">
        <v>0</v>
      </c>
      <c r="F61" s="333">
        <v>-16135.4</v>
      </c>
      <c r="G61" s="333">
        <v>-16135.4</v>
      </c>
      <c r="H61" s="333">
        <v>-16376.760000000004</v>
      </c>
      <c r="I61" s="333">
        <v>-32512.160000000003</v>
      </c>
      <c r="J61" s="333">
        <v>-91237.418288000001</v>
      </c>
      <c r="K61" s="333">
        <v>-123749.578288</v>
      </c>
    </row>
    <row r="62" spans="1:11" x14ac:dyDescent="0.25">
      <c r="A62" s="326">
        <v>52</v>
      </c>
      <c r="B62" s="325" t="s">
        <v>49</v>
      </c>
      <c r="C62" s="325"/>
      <c r="D62" s="334">
        <v>0</v>
      </c>
      <c r="E62" s="334">
        <v>0</v>
      </c>
      <c r="F62" s="335">
        <v>-6505.43</v>
      </c>
      <c r="G62" s="335">
        <v>-6505.43</v>
      </c>
      <c r="H62" s="335">
        <v>-5636.8000000000011</v>
      </c>
      <c r="I62" s="335">
        <v>-12142.230000000001</v>
      </c>
      <c r="J62" s="335">
        <v>-74473.43910399999</v>
      </c>
      <c r="K62" s="335">
        <v>-86615.669103999986</v>
      </c>
    </row>
    <row r="63" spans="1:11" x14ac:dyDescent="0.25">
      <c r="A63" s="326">
        <v>53</v>
      </c>
      <c r="B63" s="230" t="s">
        <v>1182</v>
      </c>
      <c r="C63" s="325"/>
      <c r="D63" s="332">
        <v>0</v>
      </c>
      <c r="E63" s="332">
        <v>0</v>
      </c>
      <c r="F63" s="333">
        <v>1233725.3700000001</v>
      </c>
      <c r="G63" s="333">
        <v>1233725.3700000001</v>
      </c>
      <c r="H63" s="333">
        <v>-22013.560000000005</v>
      </c>
      <c r="I63" s="333">
        <v>1211711.81</v>
      </c>
      <c r="J63" s="333">
        <v>1890219.4893120001</v>
      </c>
      <c r="K63" s="333">
        <v>3101931.2993119997</v>
      </c>
    </row>
    <row r="64" spans="1:11" x14ac:dyDescent="0.25">
      <c r="A64" s="326">
        <v>54</v>
      </c>
      <c r="B64" s="325"/>
      <c r="C64" s="325"/>
      <c r="D64" s="332"/>
      <c r="E64" s="332"/>
      <c r="F64" s="339"/>
      <c r="G64" s="339"/>
      <c r="H64" s="339"/>
      <c r="I64" s="332"/>
      <c r="J64" s="332"/>
      <c r="K64" s="332"/>
    </row>
    <row r="65" spans="1:11" ht="18.75" x14ac:dyDescent="0.3">
      <c r="A65" s="326">
        <v>55</v>
      </c>
      <c r="B65" s="331" t="s">
        <v>26</v>
      </c>
      <c r="C65" s="325"/>
      <c r="D65" s="332"/>
      <c r="E65" s="332"/>
      <c r="F65" s="332"/>
      <c r="G65" s="332"/>
      <c r="H65" s="332"/>
      <c r="I65" s="332"/>
      <c r="J65" s="332"/>
      <c r="K65" s="332"/>
    </row>
    <row r="66" spans="1:11" x14ac:dyDescent="0.25">
      <c r="A66" s="326">
        <v>56</v>
      </c>
      <c r="B66" s="325" t="s">
        <v>1172</v>
      </c>
      <c r="C66" s="325"/>
      <c r="D66" s="332">
        <v>0</v>
      </c>
      <c r="E66" s="332">
        <v>0</v>
      </c>
      <c r="F66" s="332">
        <v>152201.17000000004</v>
      </c>
      <c r="G66" s="332">
        <v>152201.17000000004</v>
      </c>
      <c r="H66" s="332">
        <v>651335.60000000009</v>
      </c>
      <c r="I66" s="332">
        <v>803536.77000000014</v>
      </c>
      <c r="J66" s="332">
        <v>547635.70999999985</v>
      </c>
      <c r="K66" s="332">
        <v>1351172.48</v>
      </c>
    </row>
    <row r="67" spans="1:11" x14ac:dyDescent="0.25">
      <c r="A67" s="326">
        <v>57</v>
      </c>
      <c r="B67" s="325" t="s">
        <v>1173</v>
      </c>
      <c r="C67" s="325"/>
      <c r="D67" s="332">
        <v>0</v>
      </c>
      <c r="E67" s="332">
        <v>0</v>
      </c>
      <c r="F67" s="332">
        <v>19132.660039999999</v>
      </c>
      <c r="G67" s="332">
        <v>19132.660039999999</v>
      </c>
      <c r="H67" s="332">
        <v>138530.814292</v>
      </c>
      <c r="I67" s="332">
        <v>157663.47433199998</v>
      </c>
      <c r="J67" s="332">
        <v>200843.38333800036</v>
      </c>
      <c r="K67" s="332">
        <v>358506.85767000035</v>
      </c>
    </row>
    <row r="68" spans="1:11" x14ac:dyDescent="0.25">
      <c r="A68" s="326">
        <v>58</v>
      </c>
      <c r="B68" s="325" t="s">
        <v>1174</v>
      </c>
      <c r="C68" s="325"/>
      <c r="D68" s="332">
        <v>0</v>
      </c>
      <c r="E68" s="332">
        <v>0</v>
      </c>
      <c r="F68" s="333">
        <v>15725.449999999999</v>
      </c>
      <c r="G68" s="333">
        <v>15725.449999999999</v>
      </c>
      <c r="H68" s="333">
        <v>661119.55000000005</v>
      </c>
      <c r="I68" s="333">
        <v>676845</v>
      </c>
      <c r="J68" s="333">
        <v>487562.7200000002</v>
      </c>
      <c r="K68" s="333">
        <v>1164407.7200000002</v>
      </c>
    </row>
    <row r="69" spans="1:11" x14ac:dyDescent="0.25">
      <c r="A69" s="326">
        <v>59</v>
      </c>
      <c r="B69" s="325" t="s">
        <v>1175</v>
      </c>
      <c r="C69" s="325"/>
      <c r="D69" s="334">
        <v>0</v>
      </c>
      <c r="E69" s="334">
        <v>0</v>
      </c>
      <c r="F69" s="335">
        <v>495765.32660200004</v>
      </c>
      <c r="G69" s="335">
        <v>495765.32660200004</v>
      </c>
      <c r="H69" s="335">
        <v>2858648.5043479996</v>
      </c>
      <c r="I69" s="335">
        <v>3354413.8309499999</v>
      </c>
      <c r="J69" s="335">
        <v>4532742.1740380004</v>
      </c>
      <c r="K69" s="335">
        <v>7887156.0049879998</v>
      </c>
    </row>
    <row r="70" spans="1:11" x14ac:dyDescent="0.25">
      <c r="A70" s="326">
        <v>60</v>
      </c>
      <c r="B70" s="325" t="s">
        <v>1176</v>
      </c>
      <c r="C70" s="325"/>
      <c r="D70" s="332">
        <v>0</v>
      </c>
      <c r="E70" s="332">
        <v>0</v>
      </c>
      <c r="F70" s="333">
        <v>682824.60664200014</v>
      </c>
      <c r="G70" s="333">
        <v>682824.60664200014</v>
      </c>
      <c r="H70" s="333">
        <v>4309634.4686399996</v>
      </c>
      <c r="I70" s="333">
        <v>4992459.075282</v>
      </c>
      <c r="J70" s="333">
        <v>5768783.9873760007</v>
      </c>
      <c r="K70" s="333">
        <v>10761243.062658001</v>
      </c>
    </row>
    <row r="71" spans="1:11" x14ac:dyDescent="0.25">
      <c r="A71" s="326">
        <v>61</v>
      </c>
      <c r="B71" s="325"/>
      <c r="C71" s="325"/>
      <c r="D71" s="332"/>
      <c r="E71" s="332"/>
      <c r="F71" s="332"/>
      <c r="G71" s="332"/>
      <c r="H71" s="332"/>
      <c r="I71" s="332"/>
      <c r="J71" s="332"/>
      <c r="K71" s="332"/>
    </row>
    <row r="72" spans="1:11" x14ac:dyDescent="0.25">
      <c r="A72" s="326">
        <v>62</v>
      </c>
      <c r="B72" s="325" t="s">
        <v>1177</v>
      </c>
      <c r="C72" s="325"/>
      <c r="D72" s="332">
        <v>0</v>
      </c>
      <c r="E72" s="332">
        <v>0</v>
      </c>
      <c r="F72" s="333">
        <v>682824.60664200014</v>
      </c>
      <c r="G72" s="333">
        <v>682824.60664200014</v>
      </c>
      <c r="H72" s="333">
        <v>4309634.4686399996</v>
      </c>
      <c r="I72" s="333">
        <v>4992459.075282</v>
      </c>
      <c r="J72" s="333">
        <v>5768783.9873760007</v>
      </c>
      <c r="K72" s="333">
        <v>10761243.062658001</v>
      </c>
    </row>
    <row r="73" spans="1:11" x14ac:dyDescent="0.25">
      <c r="A73" s="326">
        <v>63</v>
      </c>
      <c r="B73" s="325"/>
      <c r="C73" s="325"/>
      <c r="D73" s="332"/>
      <c r="E73" s="332"/>
      <c r="F73" s="333"/>
      <c r="G73" s="333"/>
      <c r="H73" s="333"/>
      <c r="I73" s="333"/>
      <c r="J73" s="333"/>
      <c r="K73" s="333"/>
    </row>
    <row r="74" spans="1:11" x14ac:dyDescent="0.25">
      <c r="A74" s="326">
        <v>64</v>
      </c>
      <c r="B74" s="325" t="s">
        <v>1178</v>
      </c>
      <c r="C74" s="336">
        <v>0.21</v>
      </c>
      <c r="D74" s="334">
        <v>0</v>
      </c>
      <c r="E74" s="334">
        <v>0</v>
      </c>
      <c r="F74" s="335">
        <v>-143393.16739482002</v>
      </c>
      <c r="G74" s="335">
        <v>-143393.16739482002</v>
      </c>
      <c r="H74" s="335">
        <v>-905023.23841439991</v>
      </c>
      <c r="I74" s="335">
        <v>-1048416.4058092199</v>
      </c>
      <c r="J74" s="335">
        <v>-1211444.6373489602</v>
      </c>
      <c r="K74" s="335">
        <v>-2259861.0431581801</v>
      </c>
    </row>
    <row r="75" spans="1:11" x14ac:dyDescent="0.25">
      <c r="A75" s="326">
        <v>65</v>
      </c>
      <c r="B75" s="325"/>
      <c r="C75" s="325"/>
      <c r="D75" s="332"/>
      <c r="E75" s="332"/>
      <c r="F75" s="333"/>
      <c r="G75" s="333"/>
      <c r="H75" s="333"/>
      <c r="I75" s="333"/>
      <c r="J75" s="333"/>
      <c r="K75" s="333"/>
    </row>
    <row r="76" spans="1:11" ht="15.75" thickBot="1" x14ac:dyDescent="0.3">
      <c r="A76" s="326">
        <v>66</v>
      </c>
      <c r="B76" s="230" t="s">
        <v>1179</v>
      </c>
      <c r="C76" s="325"/>
      <c r="D76" s="337">
        <v>0</v>
      </c>
      <c r="E76" s="337">
        <v>0</v>
      </c>
      <c r="F76" s="338">
        <v>-539431.43924718013</v>
      </c>
      <c r="G76" s="338">
        <v>-539431.43924718013</v>
      </c>
      <c r="H76" s="338">
        <v>-3404611.2302255998</v>
      </c>
      <c r="I76" s="338">
        <v>-3944042.6694727801</v>
      </c>
      <c r="J76" s="338">
        <v>-4557339.3500270406</v>
      </c>
      <c r="K76" s="338">
        <v>-8501382.0194998197</v>
      </c>
    </row>
    <row r="77" spans="1:11" ht="15.75" thickTop="1" x14ac:dyDescent="0.25">
      <c r="A77" s="326">
        <v>67</v>
      </c>
      <c r="B77" s="325"/>
      <c r="C77" s="325"/>
      <c r="D77" s="332"/>
      <c r="E77" s="332"/>
      <c r="F77" s="339"/>
      <c r="G77" s="339"/>
      <c r="H77" s="339"/>
      <c r="I77" s="339"/>
      <c r="J77" s="339"/>
      <c r="K77" s="339"/>
    </row>
    <row r="78" spans="1:11" x14ac:dyDescent="0.25">
      <c r="A78" s="326">
        <v>68</v>
      </c>
      <c r="B78" s="325" t="s">
        <v>1180</v>
      </c>
      <c r="C78" s="325"/>
      <c r="D78" s="332">
        <v>0</v>
      </c>
      <c r="E78" s="332">
        <v>0</v>
      </c>
      <c r="F78" s="333">
        <v>29948655.494736001</v>
      </c>
      <c r="G78" s="333">
        <v>29948655.494736001</v>
      </c>
      <c r="H78" s="333">
        <v>18365621.695232004</v>
      </c>
      <c r="I78" s="333">
        <v>48314277.189968005</v>
      </c>
      <c r="J78" s="333">
        <v>48559199.787118003</v>
      </c>
      <c r="K78" s="333">
        <v>96873476.977086008</v>
      </c>
    </row>
    <row r="79" spans="1:11" x14ac:dyDescent="0.25">
      <c r="A79" s="326">
        <v>69</v>
      </c>
      <c r="B79" s="325" t="s">
        <v>1181</v>
      </c>
      <c r="C79" s="325"/>
      <c r="D79" s="332">
        <v>0</v>
      </c>
      <c r="E79" s="332">
        <v>0</v>
      </c>
      <c r="F79" s="333">
        <v>-682824.60664199991</v>
      </c>
      <c r="G79" s="333">
        <v>-682824.60664199991</v>
      </c>
      <c r="H79" s="333">
        <v>-2131223.117730001</v>
      </c>
      <c r="I79" s="333">
        <v>-2814047.7243720009</v>
      </c>
      <c r="J79" s="333">
        <v>-7944094.2734619956</v>
      </c>
      <c r="K79" s="333">
        <v>-10758141.997833997</v>
      </c>
    </row>
    <row r="80" spans="1:11" x14ac:dyDescent="0.25">
      <c r="A80" s="326">
        <v>70</v>
      </c>
      <c r="B80" s="325" t="s">
        <v>49</v>
      </c>
      <c r="C80" s="325"/>
      <c r="D80" s="334">
        <v>0</v>
      </c>
      <c r="E80" s="334">
        <v>0</v>
      </c>
      <c r="F80" s="335">
        <v>-253046.63432400001</v>
      </c>
      <c r="G80" s="335">
        <v>-253046.63432400001</v>
      </c>
      <c r="H80" s="335">
        <v>-492947.63344800007</v>
      </c>
      <c r="I80" s="335">
        <v>-745994.26777200005</v>
      </c>
      <c r="J80" s="335">
        <v>-1323038.6732980001</v>
      </c>
      <c r="K80" s="335">
        <v>-2069032.9410700002</v>
      </c>
    </row>
    <row r="81" spans="1:11" x14ac:dyDescent="0.25">
      <c r="A81" s="326">
        <v>71</v>
      </c>
      <c r="B81" s="230" t="s">
        <v>1182</v>
      </c>
      <c r="C81" s="325"/>
      <c r="D81" s="332">
        <v>0</v>
      </c>
      <c r="E81" s="332">
        <v>0</v>
      </c>
      <c r="F81" s="333">
        <v>29012784.253770001</v>
      </c>
      <c r="G81" s="333">
        <v>29012784.253770001</v>
      </c>
      <c r="H81" s="333">
        <v>15741450.944054004</v>
      </c>
      <c r="I81" s="333">
        <v>44754235.197824009</v>
      </c>
      <c r="J81" s="333">
        <v>39292066.840358004</v>
      </c>
      <c r="K81" s="333">
        <v>84046302.038182005</v>
      </c>
    </row>
    <row r="82" spans="1:11" x14ac:dyDescent="0.25">
      <c r="A82" s="326">
        <v>72</v>
      </c>
      <c r="B82" s="325"/>
      <c r="C82" s="325"/>
      <c r="D82" s="332"/>
      <c r="E82" s="332"/>
      <c r="F82" s="339"/>
      <c r="G82" s="339"/>
      <c r="H82" s="339"/>
      <c r="I82" s="339"/>
      <c r="J82" s="339"/>
      <c r="K82" s="339"/>
    </row>
    <row r="83" spans="1:11" ht="18.75" x14ac:dyDescent="0.3">
      <c r="A83" s="326">
        <v>73</v>
      </c>
      <c r="B83" s="331" t="s">
        <v>1185</v>
      </c>
      <c r="C83" s="325"/>
      <c r="D83" s="332"/>
      <c r="E83" s="332"/>
      <c r="F83" s="339"/>
      <c r="G83" s="339"/>
      <c r="H83" s="339"/>
      <c r="I83" s="339"/>
      <c r="J83" s="339"/>
      <c r="K83" s="339"/>
    </row>
    <row r="84" spans="1:11" x14ac:dyDescent="0.25">
      <c r="A84" s="326">
        <v>74</v>
      </c>
      <c r="B84" s="325" t="s">
        <v>1172</v>
      </c>
      <c r="C84" s="325"/>
      <c r="D84" s="332">
        <v>0</v>
      </c>
      <c r="E84" s="332">
        <v>0</v>
      </c>
      <c r="F84" s="333">
        <v>2955531.7699999996</v>
      </c>
      <c r="G84" s="333">
        <v>2955531.7699999996</v>
      </c>
      <c r="H84" s="333">
        <v>6685446.9399999995</v>
      </c>
      <c r="I84" s="333">
        <v>9640978.709999999</v>
      </c>
      <c r="J84" s="333">
        <v>10924458.989999995</v>
      </c>
      <c r="K84" s="333">
        <v>20565437.699999996</v>
      </c>
    </row>
    <row r="85" spans="1:11" x14ac:dyDescent="0.25">
      <c r="A85" s="326">
        <v>75</v>
      </c>
      <c r="B85" s="325" t="s">
        <v>1173</v>
      </c>
      <c r="C85" s="325"/>
      <c r="D85" s="332">
        <v>0</v>
      </c>
      <c r="E85" s="332">
        <v>0</v>
      </c>
      <c r="F85" s="333">
        <v>857959.69357800006</v>
      </c>
      <c r="G85" s="333">
        <v>857959.69357800006</v>
      </c>
      <c r="H85" s="333">
        <v>437305.59750799998</v>
      </c>
      <c r="I85" s="333">
        <v>1295265.2910859999</v>
      </c>
      <c r="J85" s="333">
        <v>1491146.3946860004</v>
      </c>
      <c r="K85" s="333">
        <v>2786411.6857720003</v>
      </c>
    </row>
    <row r="86" spans="1:11" x14ac:dyDescent="0.25">
      <c r="A86" s="326">
        <v>76</v>
      </c>
      <c r="B86" s="325" t="s">
        <v>1174</v>
      </c>
      <c r="C86" s="325"/>
      <c r="D86" s="332">
        <v>0</v>
      </c>
      <c r="E86" s="332">
        <v>0</v>
      </c>
      <c r="F86" s="333">
        <v>17020.789999999997</v>
      </c>
      <c r="G86" s="333">
        <v>17020.789999999997</v>
      </c>
      <c r="H86" s="333">
        <v>663748.21000000008</v>
      </c>
      <c r="I86" s="333">
        <v>680769.00000000012</v>
      </c>
      <c r="J86" s="333">
        <v>490269.14000000019</v>
      </c>
      <c r="K86" s="333">
        <v>1171038.1400000004</v>
      </c>
    </row>
    <row r="87" spans="1:11" x14ac:dyDescent="0.25">
      <c r="A87" s="326">
        <v>77</v>
      </c>
      <c r="B87" s="325" t="s">
        <v>1175</v>
      </c>
      <c r="C87" s="325"/>
      <c r="D87" s="334">
        <v>0</v>
      </c>
      <c r="E87" s="334">
        <v>0</v>
      </c>
      <c r="F87" s="335">
        <v>1423484.8490980002</v>
      </c>
      <c r="G87" s="335">
        <v>1423484.8490980002</v>
      </c>
      <c r="H87" s="335">
        <v>4840783.048374</v>
      </c>
      <c r="I87" s="335">
        <v>6264267.8974719997</v>
      </c>
      <c r="J87" s="335">
        <v>6973818.0790720005</v>
      </c>
      <c r="K87" s="335">
        <v>13238085.976544</v>
      </c>
    </row>
    <row r="88" spans="1:11" x14ac:dyDescent="0.25">
      <c r="A88" s="326">
        <v>78</v>
      </c>
      <c r="B88" s="325" t="s">
        <v>1176</v>
      </c>
      <c r="C88" s="325"/>
      <c r="D88" s="332">
        <v>0</v>
      </c>
      <c r="E88" s="332">
        <v>0</v>
      </c>
      <c r="F88" s="333">
        <v>5253997.1026760004</v>
      </c>
      <c r="G88" s="333">
        <v>5253997.1026760004</v>
      </c>
      <c r="H88" s="333">
        <v>12627283.795882</v>
      </c>
      <c r="I88" s="333">
        <v>17881280.898557998</v>
      </c>
      <c r="J88" s="333">
        <v>19879692.603757996</v>
      </c>
      <c r="K88" s="333">
        <v>37760973.502315998</v>
      </c>
    </row>
    <row r="89" spans="1:11" x14ac:dyDescent="0.25">
      <c r="A89" s="326">
        <v>79</v>
      </c>
      <c r="B89" s="325"/>
      <c r="C89" s="325"/>
      <c r="D89" s="332"/>
      <c r="E89" s="332"/>
      <c r="F89" s="333"/>
      <c r="G89" s="333"/>
      <c r="H89" s="333"/>
      <c r="I89" s="333"/>
      <c r="J89" s="333"/>
      <c r="K89" s="333"/>
    </row>
    <row r="90" spans="1:11" x14ac:dyDescent="0.25">
      <c r="A90" s="326">
        <v>80</v>
      </c>
      <c r="B90" s="325" t="s">
        <v>1177</v>
      </c>
      <c r="C90" s="325"/>
      <c r="D90" s="332">
        <v>0</v>
      </c>
      <c r="E90" s="332">
        <v>0</v>
      </c>
      <c r="F90" s="333">
        <v>5253997.1026760004</v>
      </c>
      <c r="G90" s="333">
        <v>5253997.1026760004</v>
      </c>
      <c r="H90" s="333">
        <v>12627283.795882</v>
      </c>
      <c r="I90" s="333">
        <v>17881280.898557998</v>
      </c>
      <c r="J90" s="333">
        <v>19879692.603757996</v>
      </c>
      <c r="K90" s="333">
        <v>37760973.502315998</v>
      </c>
    </row>
    <row r="91" spans="1:11" x14ac:dyDescent="0.25">
      <c r="A91" s="326">
        <v>81</v>
      </c>
      <c r="B91" s="325"/>
      <c r="C91" s="325"/>
      <c r="D91" s="332"/>
      <c r="E91" s="332"/>
      <c r="F91" s="333"/>
      <c r="G91" s="333"/>
      <c r="H91" s="333"/>
      <c r="I91" s="333"/>
      <c r="J91" s="333"/>
      <c r="K91" s="333"/>
    </row>
    <row r="92" spans="1:11" x14ac:dyDescent="0.25">
      <c r="A92" s="326">
        <v>82</v>
      </c>
      <c r="B92" s="325" t="s">
        <v>1178</v>
      </c>
      <c r="C92" s="336">
        <v>0.21</v>
      </c>
      <c r="D92" s="334">
        <v>0</v>
      </c>
      <c r="E92" s="334">
        <v>0</v>
      </c>
      <c r="F92" s="335">
        <v>-1103339.3915619601</v>
      </c>
      <c r="G92" s="335">
        <v>-1103339.3915619601</v>
      </c>
      <c r="H92" s="335">
        <v>-2651729.5971352197</v>
      </c>
      <c r="I92" s="335">
        <v>-3755068.9886971796</v>
      </c>
      <c r="J92" s="335">
        <v>-4174735.446789179</v>
      </c>
      <c r="K92" s="335">
        <v>-7929804.4354863595</v>
      </c>
    </row>
    <row r="93" spans="1:11" x14ac:dyDescent="0.25">
      <c r="A93" s="326">
        <v>83</v>
      </c>
      <c r="B93" s="325"/>
      <c r="C93" s="325"/>
      <c r="D93" s="332"/>
      <c r="E93" s="332"/>
      <c r="F93" s="333"/>
      <c r="G93" s="333"/>
      <c r="H93" s="333"/>
      <c r="I93" s="333"/>
      <c r="J93" s="333"/>
      <c r="K93" s="333"/>
    </row>
    <row r="94" spans="1:11" ht="15.75" thickBot="1" x14ac:dyDescent="0.3">
      <c r="A94" s="326">
        <v>84</v>
      </c>
      <c r="B94" s="230" t="s">
        <v>1179</v>
      </c>
      <c r="C94" s="325"/>
      <c r="D94" s="337">
        <v>0</v>
      </c>
      <c r="E94" s="337">
        <v>0</v>
      </c>
      <c r="F94" s="338">
        <v>-4150657.7111140406</v>
      </c>
      <c r="G94" s="338">
        <v>-4150657.7111140406</v>
      </c>
      <c r="H94" s="338">
        <v>-9975554.1987467799</v>
      </c>
      <c r="I94" s="338">
        <v>-14126211.90986082</v>
      </c>
      <c r="J94" s="338">
        <v>-15704957.156968817</v>
      </c>
      <c r="K94" s="338">
        <v>-29831169.066829637</v>
      </c>
    </row>
    <row r="95" spans="1:11" ht="15.75" thickTop="1" x14ac:dyDescent="0.25">
      <c r="A95" s="326">
        <v>85</v>
      </c>
      <c r="B95" s="325"/>
      <c r="C95" s="325"/>
      <c r="D95" s="332"/>
      <c r="E95" s="332"/>
      <c r="F95" s="333"/>
      <c r="G95" s="333"/>
      <c r="H95" s="333"/>
      <c r="I95" s="333"/>
      <c r="J95" s="333"/>
      <c r="K95" s="333"/>
    </row>
    <row r="96" spans="1:11" x14ac:dyDescent="0.25">
      <c r="A96" s="326">
        <v>86</v>
      </c>
      <c r="B96" s="325" t="s">
        <v>1180</v>
      </c>
      <c r="C96" s="325"/>
      <c r="D96" s="332">
        <v>0</v>
      </c>
      <c r="E96" s="332">
        <v>0</v>
      </c>
      <c r="F96" s="333">
        <v>275180706.80413002</v>
      </c>
      <c r="G96" s="333">
        <v>275180706.80413002</v>
      </c>
      <c r="H96" s="333">
        <v>83694201.328631997</v>
      </c>
      <c r="I96" s="333">
        <v>358874908.13276201</v>
      </c>
      <c r="J96" s="333">
        <v>349330360.92106205</v>
      </c>
      <c r="K96" s="333">
        <v>708205269.05382407</v>
      </c>
    </row>
    <row r="97" spans="1:11" x14ac:dyDescent="0.25">
      <c r="A97" s="326">
        <v>87</v>
      </c>
      <c r="B97" s="325" t="s">
        <v>1181</v>
      </c>
      <c r="C97" s="325"/>
      <c r="D97" s="332">
        <v>0</v>
      </c>
      <c r="E97" s="332">
        <v>0</v>
      </c>
      <c r="F97" s="333">
        <v>-5253997.1026760004</v>
      </c>
      <c r="G97" s="333">
        <v>-5253997.1026760004</v>
      </c>
      <c r="H97" s="333">
        <v>-7974604.5387900025</v>
      </c>
      <c r="I97" s="333">
        <v>-13228601.641466003</v>
      </c>
      <c r="J97" s="333">
        <v>-27485775.237290002</v>
      </c>
      <c r="K97" s="333">
        <v>-40714376.878756002</v>
      </c>
    </row>
    <row r="98" spans="1:11" x14ac:dyDescent="0.25">
      <c r="A98" s="326">
        <v>88</v>
      </c>
      <c r="B98" s="325" t="s">
        <v>49</v>
      </c>
      <c r="C98" s="325"/>
      <c r="D98" s="334">
        <v>0</v>
      </c>
      <c r="E98" s="334">
        <v>0</v>
      </c>
      <c r="F98" s="335">
        <v>-1951090.2194439999</v>
      </c>
      <c r="G98" s="335">
        <v>-1951090.2194439999</v>
      </c>
      <c r="H98" s="335">
        <v>-3618482.5842199996</v>
      </c>
      <c r="I98" s="335">
        <v>-5569572.8036639998</v>
      </c>
      <c r="J98" s="335">
        <v>-8983515.4692480043</v>
      </c>
      <c r="K98" s="335">
        <v>-14553088.272912003</v>
      </c>
    </row>
    <row r="99" spans="1:11" x14ac:dyDescent="0.25">
      <c r="A99" s="326">
        <v>89</v>
      </c>
      <c r="B99" s="230" t="s">
        <v>1182</v>
      </c>
      <c r="C99" s="325"/>
      <c r="D99" s="332">
        <v>0</v>
      </c>
      <c r="E99" s="332">
        <v>0</v>
      </c>
      <c r="F99" s="333">
        <v>267975619.48201004</v>
      </c>
      <c r="G99" s="333">
        <v>267975619.48201004</v>
      </c>
      <c r="H99" s="333">
        <v>72101114.205621988</v>
      </c>
      <c r="I99" s="333">
        <v>340076733.68763196</v>
      </c>
      <c r="J99" s="333">
        <v>312861070.21452403</v>
      </c>
      <c r="K99" s="333">
        <v>652937803.902156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16" sqref="J16"/>
    </sheetView>
  </sheetViews>
  <sheetFormatPr defaultColWidth="8.85546875" defaultRowHeight="15" x14ac:dyDescent="0.25"/>
  <cols>
    <col min="1" max="1" width="8.85546875" style="340"/>
    <col min="2" max="2" width="55.5703125" style="340" bestFit="1" customWidth="1"/>
    <col min="3" max="3" width="4.7109375" style="340" customWidth="1"/>
    <col min="4" max="4" width="16.7109375" style="340" bestFit="1" customWidth="1"/>
    <col min="5" max="11" width="17.42578125" style="340" customWidth="1"/>
    <col min="12" max="12" width="19.28515625" style="340" bestFit="1" customWidth="1"/>
    <col min="13" max="14" width="17.42578125" customWidth="1"/>
    <col min="15" max="31" width="17.42578125" style="340" customWidth="1"/>
    <col min="32" max="16384" width="8.85546875" style="340"/>
  </cols>
  <sheetData>
    <row r="1" spans="1:12" x14ac:dyDescent="0.25">
      <c r="A1" s="317" t="s">
        <v>128</v>
      </c>
      <c r="B1" s="318"/>
      <c r="L1" s="320" t="s">
        <v>1150</v>
      </c>
    </row>
    <row r="2" spans="1:12" ht="15.75" thickBot="1" x14ac:dyDescent="0.3">
      <c r="A2" s="317" t="s">
        <v>130</v>
      </c>
      <c r="B2" s="318"/>
      <c r="L2" s="321" t="s">
        <v>1186</v>
      </c>
    </row>
    <row r="3" spans="1:12" x14ac:dyDescent="0.25">
      <c r="A3" s="317" t="s">
        <v>131</v>
      </c>
      <c r="B3" s="318"/>
    </row>
    <row r="4" spans="1:12" x14ac:dyDescent="0.25">
      <c r="A4" s="317"/>
      <c r="B4" s="323"/>
    </row>
    <row r="5" spans="1:12" x14ac:dyDescent="0.25">
      <c r="A5" s="324" t="s">
        <v>144</v>
      </c>
      <c r="E5" s="341"/>
      <c r="F5" s="341"/>
      <c r="G5" s="341"/>
      <c r="H5" s="341"/>
      <c r="I5" s="341"/>
      <c r="J5" s="341"/>
      <c r="K5" s="341"/>
      <c r="L5" s="341"/>
    </row>
    <row r="6" spans="1:12" x14ac:dyDescent="0.25">
      <c r="E6" s="342"/>
      <c r="F6" s="342"/>
      <c r="G6" s="342"/>
      <c r="H6" s="342"/>
      <c r="I6" s="342"/>
      <c r="J6" s="342"/>
      <c r="K6" s="342"/>
      <c r="L6" s="342"/>
    </row>
    <row r="7" spans="1:12" x14ac:dyDescent="0.25">
      <c r="E7" s="341" t="s">
        <v>1155</v>
      </c>
      <c r="F7" s="341" t="s">
        <v>1155</v>
      </c>
      <c r="G7" s="341">
        <v>2022</v>
      </c>
      <c r="H7" s="341" t="s">
        <v>1156</v>
      </c>
      <c r="I7" s="341">
        <v>2023</v>
      </c>
      <c r="J7" s="341" t="s">
        <v>1156</v>
      </c>
      <c r="K7" s="341">
        <v>2024</v>
      </c>
      <c r="L7" s="341" t="s">
        <v>1156</v>
      </c>
    </row>
    <row r="8" spans="1:12" x14ac:dyDescent="0.25">
      <c r="C8" s="343"/>
      <c r="D8" s="344"/>
      <c r="E8" s="341" t="s">
        <v>1157</v>
      </c>
      <c r="F8" s="341" t="s">
        <v>1156</v>
      </c>
      <c r="G8" s="341" t="s">
        <v>1158</v>
      </c>
      <c r="H8" s="341" t="s">
        <v>1159</v>
      </c>
      <c r="I8" s="341" t="s">
        <v>1160</v>
      </c>
      <c r="J8" s="341" t="s">
        <v>1159</v>
      </c>
      <c r="K8" s="341" t="s">
        <v>1161</v>
      </c>
      <c r="L8" s="341" t="s">
        <v>1159</v>
      </c>
    </row>
    <row r="9" spans="1:12" x14ac:dyDescent="0.25">
      <c r="A9" s="341" t="s">
        <v>133</v>
      </c>
      <c r="B9" s="345"/>
      <c r="C9" s="346"/>
      <c r="D9" s="346"/>
      <c r="E9" s="341" t="s">
        <v>1162</v>
      </c>
      <c r="F9" s="341" t="s">
        <v>1163</v>
      </c>
      <c r="G9" s="341" t="s">
        <v>1164</v>
      </c>
      <c r="H9" s="341" t="s">
        <v>1165</v>
      </c>
      <c r="I9" s="341" t="s">
        <v>1164</v>
      </c>
      <c r="J9" s="341" t="s">
        <v>1166</v>
      </c>
      <c r="K9" s="341" t="s">
        <v>1164</v>
      </c>
      <c r="L9" s="341" t="s">
        <v>1166</v>
      </c>
    </row>
    <row r="10" spans="1:12" x14ac:dyDescent="0.25">
      <c r="A10" s="347" t="s">
        <v>1167</v>
      </c>
      <c r="B10" s="347" t="s">
        <v>1168</v>
      </c>
      <c r="C10" s="347"/>
      <c r="D10" s="347"/>
      <c r="E10" s="347" t="s">
        <v>1169</v>
      </c>
      <c r="F10" s="347" t="s">
        <v>1170</v>
      </c>
      <c r="G10" s="347" t="s">
        <v>1169</v>
      </c>
      <c r="H10" s="347" t="s">
        <v>1160</v>
      </c>
      <c r="I10" s="347" t="s">
        <v>1169</v>
      </c>
      <c r="J10" s="347" t="s">
        <v>1160</v>
      </c>
      <c r="K10" s="347" t="s">
        <v>1169</v>
      </c>
      <c r="L10" s="347" t="s">
        <v>1161</v>
      </c>
    </row>
    <row r="11" spans="1:12" x14ac:dyDescent="0.25">
      <c r="A11" s="341">
        <v>1</v>
      </c>
      <c r="B11" s="348"/>
      <c r="C11" s="346"/>
      <c r="D11" s="346"/>
      <c r="E11" s="346"/>
      <c r="F11" s="346"/>
    </row>
    <row r="12" spans="1:12" x14ac:dyDescent="0.25">
      <c r="A12" s="341">
        <v>2</v>
      </c>
      <c r="B12" s="340" t="s">
        <v>1172</v>
      </c>
      <c r="D12" s="349">
        <v>0</v>
      </c>
      <c r="E12" s="350">
        <v>0</v>
      </c>
      <c r="F12" s="350">
        <v>0</v>
      </c>
      <c r="G12" s="350">
        <v>-675312.61000000092</v>
      </c>
      <c r="H12" s="350">
        <v>-675312.61000000092</v>
      </c>
      <c r="I12" s="350">
        <v>-1275355.6999999988</v>
      </c>
      <c r="J12" s="350">
        <v>-1950668.3099999996</v>
      </c>
      <c r="K12" s="350">
        <v>-517188.25</v>
      </c>
      <c r="L12" s="350">
        <v>-2467856.5599999996</v>
      </c>
    </row>
    <row r="13" spans="1:12" x14ac:dyDescent="0.25">
      <c r="A13" s="341">
        <v>3</v>
      </c>
      <c r="B13" s="340" t="s">
        <v>1173</v>
      </c>
      <c r="D13" s="349">
        <v>0</v>
      </c>
      <c r="E13" s="350">
        <v>0</v>
      </c>
      <c r="F13" s="350">
        <v>0</v>
      </c>
      <c r="G13" s="350">
        <v>-14204.103108000001</v>
      </c>
      <c r="H13" s="350">
        <v>-14204.103108000001</v>
      </c>
      <c r="I13" s="350">
        <v>-87702.548362000016</v>
      </c>
      <c r="J13" s="350">
        <v>-101906.65147000001</v>
      </c>
      <c r="K13" s="350">
        <v>-76031.238815999997</v>
      </c>
      <c r="L13" s="350">
        <v>-177937.89028600001</v>
      </c>
    </row>
    <row r="14" spans="1:12" x14ac:dyDescent="0.25">
      <c r="A14" s="341">
        <v>4</v>
      </c>
      <c r="B14" s="340" t="s">
        <v>1174</v>
      </c>
      <c r="D14" s="349">
        <v>0</v>
      </c>
      <c r="E14" s="350">
        <v>0</v>
      </c>
      <c r="F14" s="350">
        <v>0</v>
      </c>
      <c r="G14" s="350">
        <v>-1563.3</v>
      </c>
      <c r="H14" s="350">
        <v>-1563.3</v>
      </c>
      <c r="I14" s="350">
        <v>-1752.84</v>
      </c>
      <c r="J14" s="350">
        <v>-3316.14</v>
      </c>
      <c r="K14" s="350">
        <v>-1752.8399999999997</v>
      </c>
      <c r="L14" s="350">
        <v>-5068.9799999999996</v>
      </c>
    </row>
    <row r="15" spans="1:12" x14ac:dyDescent="0.25">
      <c r="A15" s="341">
        <v>5</v>
      </c>
      <c r="B15" s="340" t="s">
        <v>1175</v>
      </c>
      <c r="D15" s="351">
        <v>0</v>
      </c>
      <c r="E15" s="352">
        <v>0</v>
      </c>
      <c r="F15" s="352">
        <v>0</v>
      </c>
      <c r="G15" s="352">
        <v>-70.858423999999999</v>
      </c>
      <c r="H15" s="352">
        <v>-70.858423999999999</v>
      </c>
      <c r="I15" s="352">
        <v>-73.937448000000003</v>
      </c>
      <c r="J15" s="352">
        <v>-144.795872</v>
      </c>
      <c r="K15" s="352">
        <v>-73.937448000000018</v>
      </c>
      <c r="L15" s="352">
        <v>-218.73332000000002</v>
      </c>
    </row>
    <row r="16" spans="1:12" x14ac:dyDescent="0.25">
      <c r="A16" s="341">
        <v>6</v>
      </c>
      <c r="B16" s="353" t="s">
        <v>1187</v>
      </c>
      <c r="D16" s="354">
        <v>0</v>
      </c>
      <c r="E16" s="355">
        <v>0</v>
      </c>
      <c r="F16" s="355">
        <v>0</v>
      </c>
      <c r="G16" s="355">
        <v>-691150.87153200095</v>
      </c>
      <c r="H16" s="355">
        <v>-691150.87153200095</v>
      </c>
      <c r="I16" s="355">
        <v>-1364885.0258099989</v>
      </c>
      <c r="J16" s="355">
        <v>-2056035.8973419995</v>
      </c>
      <c r="K16" s="355">
        <v>-595046.26626399998</v>
      </c>
      <c r="L16" s="355">
        <v>-2651082.1636059997</v>
      </c>
    </row>
    <row r="17" spans="1:15" x14ac:dyDescent="0.25">
      <c r="A17" s="341">
        <v>7</v>
      </c>
      <c r="B17" s="353" t="s">
        <v>1188</v>
      </c>
      <c r="D17" s="354">
        <v>0</v>
      </c>
      <c r="E17" s="350">
        <v>0</v>
      </c>
      <c r="F17" s="355">
        <v>0</v>
      </c>
      <c r="G17" s="350">
        <v>0</v>
      </c>
      <c r="H17" s="355">
        <v>0</v>
      </c>
      <c r="I17" s="350">
        <v>0</v>
      </c>
      <c r="J17" s="355">
        <v>0</v>
      </c>
      <c r="K17" s="350">
        <v>0</v>
      </c>
      <c r="L17" s="355">
        <v>0</v>
      </c>
    </row>
    <row r="18" spans="1:15" x14ac:dyDescent="0.25">
      <c r="A18" s="341">
        <v>8</v>
      </c>
      <c r="B18" s="353" t="s">
        <v>1189</v>
      </c>
      <c r="D18" s="354">
        <v>0</v>
      </c>
      <c r="E18" s="350">
        <v>0</v>
      </c>
      <c r="F18" s="355">
        <v>0</v>
      </c>
      <c r="G18" s="350">
        <v>0</v>
      </c>
      <c r="H18" s="355">
        <v>0</v>
      </c>
      <c r="I18" s="350">
        <v>0</v>
      </c>
      <c r="J18" s="355">
        <v>0</v>
      </c>
      <c r="K18" s="350">
        <v>0</v>
      </c>
      <c r="L18" s="355">
        <v>0</v>
      </c>
    </row>
    <row r="19" spans="1:15" x14ac:dyDescent="0.25">
      <c r="A19" s="341">
        <v>9</v>
      </c>
      <c r="B19" s="353" t="s">
        <v>1190</v>
      </c>
      <c r="D19" s="351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</row>
    <row r="20" spans="1:15" x14ac:dyDescent="0.25">
      <c r="A20" s="341">
        <v>10</v>
      </c>
      <c r="B20" s="353" t="s">
        <v>1191</v>
      </c>
      <c r="D20" s="349">
        <v>0</v>
      </c>
      <c r="E20" s="350">
        <v>0</v>
      </c>
      <c r="F20" s="350">
        <v>0</v>
      </c>
      <c r="G20" s="350">
        <v>-691150.87153200095</v>
      </c>
      <c r="H20" s="350">
        <v>-691150.87153200095</v>
      </c>
      <c r="I20" s="350">
        <v>-1364885.0258099989</v>
      </c>
      <c r="J20" s="350">
        <v>-2056035.8973419995</v>
      </c>
      <c r="K20" s="350">
        <v>-595046.26626399998</v>
      </c>
      <c r="L20" s="350">
        <v>-2651082.1636059997</v>
      </c>
    </row>
    <row r="21" spans="1:15" x14ac:dyDescent="0.25">
      <c r="A21" s="341">
        <v>11</v>
      </c>
      <c r="D21" s="349"/>
      <c r="E21" s="350"/>
      <c r="F21" s="350"/>
      <c r="G21" s="350"/>
      <c r="H21" s="350"/>
      <c r="I21" s="350"/>
      <c r="J21" s="350"/>
      <c r="K21" s="350"/>
      <c r="L21" s="350"/>
    </row>
    <row r="22" spans="1:15" x14ac:dyDescent="0.25">
      <c r="A22" s="341">
        <v>12</v>
      </c>
      <c r="B22" s="340" t="s">
        <v>1177</v>
      </c>
      <c r="D22" s="349">
        <v>0</v>
      </c>
      <c r="E22" s="350">
        <v>0</v>
      </c>
      <c r="F22" s="350">
        <v>0</v>
      </c>
      <c r="G22" s="350">
        <v>-691150.87153200095</v>
      </c>
      <c r="H22" s="350">
        <v>-691150.87153200095</v>
      </c>
      <c r="I22" s="350">
        <v>-1364885.0258099989</v>
      </c>
      <c r="J22" s="350">
        <v>-2056035.8973419995</v>
      </c>
      <c r="K22" s="350">
        <v>-595046.26626399998</v>
      </c>
      <c r="L22" s="350">
        <v>-2651082.1636059997</v>
      </c>
    </row>
    <row r="23" spans="1:15" x14ac:dyDescent="0.25">
      <c r="A23" s="341">
        <v>13</v>
      </c>
      <c r="D23" s="349"/>
      <c r="E23" s="350"/>
      <c r="F23" s="350"/>
      <c r="G23" s="350"/>
      <c r="H23" s="350"/>
      <c r="I23" s="350"/>
      <c r="J23" s="350"/>
      <c r="K23" s="350"/>
      <c r="L23" s="350"/>
    </row>
    <row r="24" spans="1:15" x14ac:dyDescent="0.25">
      <c r="A24" s="341">
        <v>14</v>
      </c>
      <c r="B24" s="340" t="s">
        <v>1178</v>
      </c>
      <c r="C24" s="356">
        <v>0.21</v>
      </c>
      <c r="D24" s="354">
        <v>0</v>
      </c>
      <c r="E24" s="355">
        <v>0</v>
      </c>
      <c r="F24" s="355">
        <v>0</v>
      </c>
      <c r="G24" s="355">
        <v>145141.68302172021</v>
      </c>
      <c r="H24" s="355">
        <v>145141.68302172021</v>
      </c>
      <c r="I24" s="355">
        <v>286625.85542009975</v>
      </c>
      <c r="J24" s="355">
        <v>431767.5384418199</v>
      </c>
      <c r="K24" s="355">
        <v>124959.71591543999</v>
      </c>
      <c r="L24" s="355">
        <v>556727.25435725995</v>
      </c>
    </row>
    <row r="25" spans="1:15" x14ac:dyDescent="0.25">
      <c r="A25" s="341">
        <v>15</v>
      </c>
      <c r="B25" s="340" t="s">
        <v>1192</v>
      </c>
      <c r="C25" s="356"/>
      <c r="D25" s="354">
        <v>0</v>
      </c>
      <c r="E25" s="355">
        <v>0</v>
      </c>
      <c r="F25" s="355">
        <v>0</v>
      </c>
      <c r="G25" s="355">
        <v>-155774.18367996253</v>
      </c>
      <c r="H25" s="355">
        <v>-155774.18367996253</v>
      </c>
      <c r="I25" s="355">
        <v>157558.82161198184</v>
      </c>
      <c r="J25" s="355">
        <v>1784.6379320193082</v>
      </c>
      <c r="K25" s="355">
        <v>166216.85420513712</v>
      </c>
      <c r="L25" s="355">
        <v>168001.49213715643</v>
      </c>
    </row>
    <row r="26" spans="1:15" x14ac:dyDescent="0.25">
      <c r="A26" s="341">
        <v>16</v>
      </c>
      <c r="B26" s="340" t="s">
        <v>1193</v>
      </c>
      <c r="C26" s="356"/>
      <c r="D26" s="354">
        <v>0</v>
      </c>
      <c r="E26" s="355">
        <v>0</v>
      </c>
      <c r="F26" s="355">
        <v>0</v>
      </c>
      <c r="G26" s="355">
        <v>-182698.65458879992</v>
      </c>
      <c r="H26" s="355">
        <v>-182698.65458879992</v>
      </c>
      <c r="I26" s="355">
        <v>-140976.57204330008</v>
      </c>
      <c r="J26" s="355">
        <v>-323675.22663210001</v>
      </c>
      <c r="K26" s="355">
        <v>-237981.32201508008</v>
      </c>
      <c r="L26" s="355">
        <v>-561656.54864718008</v>
      </c>
    </row>
    <row r="27" spans="1:15" x14ac:dyDescent="0.25">
      <c r="A27" s="341">
        <v>17</v>
      </c>
      <c r="B27" s="340" t="s">
        <v>1194</v>
      </c>
      <c r="C27" s="356"/>
      <c r="D27" s="357">
        <v>0</v>
      </c>
      <c r="E27" s="357">
        <v>0</v>
      </c>
      <c r="F27" s="357">
        <v>0</v>
      </c>
      <c r="G27" s="358">
        <v>-193331.15524704225</v>
      </c>
      <c r="H27" s="358">
        <v>-193331.15524704225</v>
      </c>
      <c r="I27" s="358">
        <v>303208.1049887815</v>
      </c>
      <c r="J27" s="358">
        <v>109876.9497417392</v>
      </c>
      <c r="K27" s="358">
        <v>53195.248105497041</v>
      </c>
      <c r="L27" s="358">
        <v>163072.1978472363</v>
      </c>
    </row>
    <row r="28" spans="1:15" x14ac:dyDescent="0.25">
      <c r="A28" s="341">
        <v>18</v>
      </c>
      <c r="D28" s="349"/>
      <c r="E28" s="350"/>
      <c r="F28" s="350"/>
      <c r="G28" s="350"/>
      <c r="H28" s="350"/>
      <c r="I28" s="350"/>
      <c r="J28" s="350"/>
      <c r="K28" s="350"/>
      <c r="L28" s="350"/>
    </row>
    <row r="29" spans="1:15" ht="15.75" thickBot="1" x14ac:dyDescent="0.3">
      <c r="A29" s="341">
        <v>19</v>
      </c>
      <c r="B29" s="340" t="s">
        <v>1179</v>
      </c>
      <c r="D29" s="359">
        <v>0</v>
      </c>
      <c r="E29" s="360">
        <v>0</v>
      </c>
      <c r="F29" s="360">
        <v>0</v>
      </c>
      <c r="G29" s="360">
        <v>884482.02677904326</v>
      </c>
      <c r="H29" s="360">
        <v>884482.02677904326</v>
      </c>
      <c r="I29" s="360">
        <v>1061676.9208212174</v>
      </c>
      <c r="J29" s="360">
        <v>1946158.9476002604</v>
      </c>
      <c r="K29" s="360">
        <v>541851.01815850288</v>
      </c>
      <c r="L29" s="360">
        <v>2488009.9657587633</v>
      </c>
    </row>
    <row r="30" spans="1:15" ht="15.75" thickTop="1" x14ac:dyDescent="0.25">
      <c r="A30" s="341">
        <v>20</v>
      </c>
      <c r="D30" s="349"/>
      <c r="E30" s="350"/>
      <c r="F30" s="350"/>
      <c r="G30" s="350"/>
      <c r="H30" s="350"/>
      <c r="I30" s="350"/>
      <c r="J30" s="350"/>
      <c r="K30" s="350"/>
      <c r="L30" s="350"/>
    </row>
    <row r="31" spans="1:15" x14ac:dyDescent="0.25">
      <c r="A31" s="341">
        <v>21</v>
      </c>
      <c r="B31" s="353" t="s">
        <v>1195</v>
      </c>
      <c r="D31" s="349">
        <v>0</v>
      </c>
      <c r="E31" s="350">
        <v>0</v>
      </c>
      <c r="F31" s="350">
        <v>0</v>
      </c>
      <c r="G31" s="350">
        <v>0</v>
      </c>
      <c r="H31" s="350">
        <v>0</v>
      </c>
      <c r="I31" s="350">
        <v>0</v>
      </c>
      <c r="J31" s="350">
        <v>0</v>
      </c>
      <c r="K31" s="350">
        <v>0</v>
      </c>
      <c r="L31" s="350">
        <v>0</v>
      </c>
    </row>
    <row r="32" spans="1:15" x14ac:dyDescent="0.25">
      <c r="A32" s="341">
        <v>22</v>
      </c>
      <c r="B32" s="353" t="s">
        <v>1196</v>
      </c>
      <c r="D32" s="349">
        <v>0</v>
      </c>
      <c r="E32" s="350">
        <v>0</v>
      </c>
      <c r="F32" s="350">
        <v>0</v>
      </c>
      <c r="G32" s="350">
        <v>691150.87153200002</v>
      </c>
      <c r="H32" s="350">
        <v>691150.87153200002</v>
      </c>
      <c r="I32" s="350">
        <v>949598.30647000007</v>
      </c>
      <c r="J32" s="350">
        <v>1640749.1780020001</v>
      </c>
      <c r="K32" s="350">
        <v>2398429.3020679997</v>
      </c>
      <c r="L32" s="350">
        <v>4039178.48007</v>
      </c>
      <c r="O32" s="361"/>
    </row>
    <row r="33" spans="1:12" x14ac:dyDescent="0.25">
      <c r="A33" s="341">
        <v>23</v>
      </c>
      <c r="B33" s="353" t="s">
        <v>47</v>
      </c>
      <c r="D33" s="354">
        <v>0</v>
      </c>
      <c r="E33" s="355">
        <v>0</v>
      </c>
      <c r="F33" s="355">
        <v>0</v>
      </c>
      <c r="G33" s="355">
        <v>-4750426.2986774743</v>
      </c>
      <c r="H33" s="355">
        <v>-4750426.2986774743</v>
      </c>
      <c r="I33" s="355">
        <v>-2473653.2260077894</v>
      </c>
      <c r="J33" s="355">
        <v>-7224079.5246852636</v>
      </c>
      <c r="K33" s="355">
        <v>-4942310.3221434653</v>
      </c>
      <c r="L33" s="355">
        <v>-12166389.846828729</v>
      </c>
    </row>
    <row r="34" spans="1:12" x14ac:dyDescent="0.25">
      <c r="A34" s="341">
        <v>24</v>
      </c>
      <c r="B34" s="353" t="s">
        <v>79</v>
      </c>
      <c r="D34" s="354">
        <v>0</v>
      </c>
      <c r="E34" s="355">
        <v>0</v>
      </c>
      <c r="F34" s="355">
        <v>0</v>
      </c>
      <c r="G34" s="355">
        <v>155774.18367996812</v>
      </c>
      <c r="H34" s="355">
        <v>155774.18367996812</v>
      </c>
      <c r="I34" s="355">
        <v>-826.71926119923592</v>
      </c>
      <c r="J34" s="355">
        <v>154947.46441876888</v>
      </c>
      <c r="K34" s="355">
        <v>-78570.629860848188</v>
      </c>
      <c r="L34" s="355">
        <v>76376.834557920694</v>
      </c>
    </row>
    <row r="35" spans="1:12" x14ac:dyDescent="0.25">
      <c r="A35" s="341">
        <v>25</v>
      </c>
      <c r="B35" s="353" t="s">
        <v>1197</v>
      </c>
      <c r="D35" s="357">
        <v>0</v>
      </c>
      <c r="E35" s="358">
        <v>0</v>
      </c>
      <c r="F35" s="358">
        <v>0</v>
      </c>
      <c r="G35" s="358">
        <v>-4059275.4271454741</v>
      </c>
      <c r="H35" s="358">
        <v>-4059275.4271454741</v>
      </c>
      <c r="I35" s="358">
        <v>-1524054.9195377892</v>
      </c>
      <c r="J35" s="358">
        <v>-5583330.3466832638</v>
      </c>
      <c r="K35" s="358">
        <v>-2543881.0200754656</v>
      </c>
      <c r="L35" s="358">
        <v>-8127211.3667587284</v>
      </c>
    </row>
    <row r="36" spans="1:12" x14ac:dyDescent="0.25">
      <c r="A36" s="341">
        <v>26</v>
      </c>
      <c r="D36" s="349"/>
      <c r="E36" s="349"/>
      <c r="F36" s="349"/>
      <c r="G36" s="349"/>
      <c r="H36" s="349"/>
      <c r="I36" s="349"/>
      <c r="J36" s="349"/>
      <c r="K36" s="349"/>
      <c r="L36" s="349"/>
    </row>
    <row r="37" spans="1:12" x14ac:dyDescent="0.25">
      <c r="A37" s="341">
        <v>27</v>
      </c>
      <c r="D37" s="349"/>
      <c r="E37" s="349"/>
      <c r="F37" s="349"/>
      <c r="G37" s="349"/>
      <c r="H37" s="349"/>
      <c r="I37" s="349"/>
      <c r="J37" s="349"/>
      <c r="K37" s="349"/>
      <c r="L37" s="349"/>
    </row>
    <row r="38" spans="1:12" x14ac:dyDescent="0.25">
      <c r="A38" s="341">
        <v>28</v>
      </c>
      <c r="B38" s="353" t="s">
        <v>33</v>
      </c>
      <c r="C38" s="362" t="s">
        <v>34</v>
      </c>
      <c r="D38" s="363"/>
      <c r="E38" s="364">
        <v>0.34060000000000001</v>
      </c>
      <c r="F38" s="365"/>
      <c r="G38" s="349"/>
      <c r="H38" s="349"/>
      <c r="I38" s="349"/>
      <c r="J38" s="349"/>
      <c r="K38" s="349"/>
      <c r="L38" s="349"/>
    </row>
    <row r="39" spans="1:12" x14ac:dyDescent="0.25">
      <c r="A39" s="341">
        <v>29</v>
      </c>
      <c r="C39" s="362" t="s">
        <v>35</v>
      </c>
      <c r="D39" s="363"/>
      <c r="E39" s="364">
        <v>0.65939999999999999</v>
      </c>
      <c r="F39" s="365"/>
      <c r="G39" s="349"/>
      <c r="H39" s="349"/>
      <c r="I39" s="349"/>
      <c r="J39" s="349"/>
      <c r="K39" s="349"/>
      <c r="L39" s="349"/>
    </row>
    <row r="40" spans="1:12" x14ac:dyDescent="0.25">
      <c r="D40" s="349"/>
      <c r="E40" s="349"/>
      <c r="F40" s="349"/>
      <c r="G40" s="349"/>
      <c r="H40" s="349"/>
      <c r="I40" s="349"/>
      <c r="J40" s="349"/>
      <c r="K40" s="349"/>
      <c r="L40" s="349"/>
    </row>
    <row r="41" spans="1:12" x14ac:dyDescent="0.25">
      <c r="D41" s="350"/>
      <c r="E41" s="350"/>
      <c r="F41" s="350"/>
      <c r="G41" s="350"/>
      <c r="H41" s="350"/>
      <c r="I41" s="350"/>
      <c r="J41" s="350"/>
      <c r="K41" s="350"/>
      <c r="L41" s="350"/>
    </row>
    <row r="43" spans="1:12" x14ac:dyDescent="0.25">
      <c r="E43" s="349"/>
      <c r="F43" s="349"/>
      <c r="G43" s="349"/>
      <c r="H43" s="349"/>
      <c r="I43" s="349"/>
      <c r="J43" s="349"/>
      <c r="K43" s="349"/>
      <c r="L43" s="349"/>
    </row>
    <row r="45" spans="1:12" x14ac:dyDescent="0.25">
      <c r="I45" s="349"/>
      <c r="K45" s="34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1"/>
  <sheetViews>
    <sheetView showGridLines="0" topLeftCell="L4" workbookViewId="0">
      <selection activeCell="AV21" sqref="AV21"/>
    </sheetView>
  </sheetViews>
  <sheetFormatPr defaultRowHeight="15" outlineLevelCol="1" x14ac:dyDescent="0.25"/>
  <cols>
    <col min="2" max="2" width="77.28515625" customWidth="1"/>
    <col min="3" max="3" width="18.7109375" customWidth="1"/>
    <col min="4" max="5" width="17" bestFit="1" customWidth="1"/>
    <col min="10" max="10" width="14.28515625" bestFit="1" customWidth="1"/>
    <col min="11" max="11" width="22.140625" bestFit="1" customWidth="1"/>
    <col min="12" max="12" width="20.140625" bestFit="1" customWidth="1"/>
    <col min="13" max="13" width="19.5703125" bestFit="1" customWidth="1"/>
    <col min="15" max="15" width="14.28515625" hidden="1" customWidth="1" outlineLevel="1"/>
    <col min="16" max="17" width="20.140625" hidden="1" customWidth="1" outlineLevel="1"/>
    <col min="18" max="18" width="19.5703125" hidden="1" customWidth="1" outlineLevel="1"/>
    <col min="19" max="19" width="9.140625" hidden="1" customWidth="1" outlineLevel="1"/>
    <col min="20" max="20" width="14.28515625" hidden="1" customWidth="1" outlineLevel="1"/>
    <col min="21" max="22" width="20.140625" hidden="1" customWidth="1" outlineLevel="1"/>
    <col min="23" max="23" width="19.5703125" hidden="1" customWidth="1" outlineLevel="1"/>
    <col min="24" max="24" width="9.140625" hidden="1" customWidth="1" outlineLevel="1"/>
    <col min="25" max="25" width="14.28515625" hidden="1" customWidth="1" outlineLevel="1"/>
    <col min="26" max="27" width="20.140625" hidden="1" customWidth="1" outlineLevel="1"/>
    <col min="28" max="28" width="19.5703125" hidden="1" customWidth="1" outlineLevel="1"/>
    <col min="29" max="29" width="9.140625" hidden="1" customWidth="1" outlineLevel="1"/>
    <col min="30" max="30" width="14.28515625" hidden="1" customWidth="1" outlineLevel="1"/>
    <col min="31" max="32" width="20.140625" hidden="1" customWidth="1" outlineLevel="1"/>
    <col min="33" max="33" width="19.5703125" hidden="1" customWidth="1" outlineLevel="1"/>
    <col min="34" max="34" width="9.140625" hidden="1" customWidth="1" outlineLevel="1"/>
    <col min="35" max="35" width="14.28515625" hidden="1" customWidth="1" outlineLevel="1"/>
    <col min="36" max="37" width="20.140625" hidden="1" customWidth="1" outlineLevel="1"/>
    <col min="38" max="38" width="19.5703125" hidden="1" customWidth="1" outlineLevel="1"/>
    <col min="39" max="39" width="9.140625" hidden="1" customWidth="1" outlineLevel="1"/>
    <col min="40" max="40" width="14.28515625" bestFit="1" customWidth="1" collapsed="1"/>
    <col min="41" max="42" width="20.140625" bestFit="1" customWidth="1"/>
    <col min="43" max="43" width="19.5703125" bestFit="1" customWidth="1"/>
    <col min="45" max="45" width="14.28515625" bestFit="1" customWidth="1"/>
    <col min="46" max="47" width="20.140625" bestFit="1" customWidth="1"/>
    <col min="48" max="48" width="19.5703125" bestFit="1" customWidth="1"/>
    <col min="50" max="51" width="10.85546875" bestFit="1" customWidth="1"/>
    <col min="52" max="52" width="9.85546875" bestFit="1" customWidth="1"/>
  </cols>
  <sheetData>
    <row r="2" spans="1:52" x14ac:dyDescent="0.25">
      <c r="J2" s="251" t="s">
        <v>156</v>
      </c>
      <c r="K2" s="252"/>
      <c r="L2" s="252"/>
      <c r="M2" s="253"/>
      <c r="O2" s="251" t="s">
        <v>108</v>
      </c>
      <c r="P2" s="252"/>
      <c r="Q2" s="252"/>
      <c r="R2" s="253"/>
      <c r="T2" s="251" t="s">
        <v>159</v>
      </c>
      <c r="U2" s="252"/>
      <c r="V2" s="252"/>
      <c r="W2" s="253"/>
      <c r="Y2" s="251" t="s">
        <v>810</v>
      </c>
      <c r="Z2" s="252"/>
      <c r="AA2" s="252"/>
      <c r="AB2" s="253"/>
      <c r="AD2" s="251" t="s">
        <v>811</v>
      </c>
      <c r="AE2" s="252"/>
      <c r="AF2" s="252"/>
      <c r="AG2" s="253"/>
      <c r="AI2" s="251" t="s">
        <v>812</v>
      </c>
      <c r="AJ2" s="252"/>
      <c r="AK2" s="252"/>
      <c r="AL2" s="253"/>
      <c r="AN2" s="251" t="s">
        <v>108</v>
      </c>
      <c r="AO2" s="252"/>
      <c r="AP2" s="252"/>
      <c r="AQ2" s="253"/>
      <c r="AS2" s="251" t="s">
        <v>159</v>
      </c>
      <c r="AT2" s="252"/>
      <c r="AU2" s="252"/>
      <c r="AV2" s="253"/>
    </row>
    <row r="4" spans="1:52" x14ac:dyDescent="0.25">
      <c r="A4" s="213"/>
      <c r="B4" s="213"/>
      <c r="C4" s="213"/>
      <c r="D4" s="213"/>
      <c r="E4" s="213"/>
      <c r="F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T4" s="213"/>
      <c r="U4" s="213"/>
      <c r="V4" s="213"/>
      <c r="W4" s="213"/>
      <c r="Y4" s="213"/>
      <c r="Z4" s="213"/>
      <c r="AA4" s="213"/>
      <c r="AB4" s="213"/>
      <c r="AD4" s="213"/>
      <c r="AE4" s="213"/>
      <c r="AF4" s="213"/>
      <c r="AG4" s="213"/>
      <c r="AI4" s="213"/>
      <c r="AJ4" s="213"/>
      <c r="AK4" s="213"/>
      <c r="AL4" s="213"/>
      <c r="AN4" s="213"/>
      <c r="AO4" s="213"/>
      <c r="AP4" s="213"/>
      <c r="AQ4" s="213"/>
      <c r="AS4" s="213"/>
      <c r="AT4" s="213"/>
      <c r="AU4" s="213"/>
      <c r="AV4" s="213"/>
    </row>
    <row r="5" spans="1:52" ht="63" x14ac:dyDescent="0.25">
      <c r="A5" s="213"/>
      <c r="B5" s="231" t="s">
        <v>167</v>
      </c>
      <c r="C5" s="214" t="s">
        <v>168</v>
      </c>
      <c r="D5" s="214" t="s">
        <v>169</v>
      </c>
      <c r="E5" s="214" t="s">
        <v>170</v>
      </c>
      <c r="F5" s="213"/>
      <c r="H5" s="250"/>
      <c r="I5" s="213"/>
      <c r="J5" s="265" t="s">
        <v>816</v>
      </c>
      <c r="K5" s="233" t="str">
        <f>C5</f>
        <v>Actual CWIP Closings</v>
      </c>
      <c r="L5" s="233" t="str">
        <f>D5</f>
        <v>Forecast CWIP Closings</v>
      </c>
      <c r="M5" s="234" t="s">
        <v>171</v>
      </c>
      <c r="N5" s="213"/>
      <c r="O5" s="232" t="s">
        <v>167</v>
      </c>
      <c r="P5" s="233" t="s">
        <v>168</v>
      </c>
      <c r="Q5" s="233" t="s">
        <v>169</v>
      </c>
      <c r="R5" s="234" t="s">
        <v>171</v>
      </c>
      <c r="T5" s="232" t="s">
        <v>167</v>
      </c>
      <c r="U5" s="233" t="s">
        <v>168</v>
      </c>
      <c r="V5" s="233" t="s">
        <v>169</v>
      </c>
      <c r="W5" s="234" t="s">
        <v>171</v>
      </c>
      <c r="Y5" s="232" t="s">
        <v>167</v>
      </c>
      <c r="Z5" s="233" t="s">
        <v>168</v>
      </c>
      <c r="AA5" s="233" t="s">
        <v>169</v>
      </c>
      <c r="AB5" s="234" t="s">
        <v>171</v>
      </c>
      <c r="AD5" s="232" t="s">
        <v>167</v>
      </c>
      <c r="AE5" s="233" t="s">
        <v>168</v>
      </c>
      <c r="AF5" s="233" t="s">
        <v>169</v>
      </c>
      <c r="AG5" s="234" t="s">
        <v>171</v>
      </c>
      <c r="AI5" s="232" t="s">
        <v>167</v>
      </c>
      <c r="AJ5" s="233" t="s">
        <v>168</v>
      </c>
      <c r="AK5" s="233" t="s">
        <v>169</v>
      </c>
      <c r="AL5" s="234" t="s">
        <v>171</v>
      </c>
      <c r="AN5" s="265" t="s">
        <v>817</v>
      </c>
      <c r="AO5" s="233" t="s">
        <v>168</v>
      </c>
      <c r="AP5" s="233" t="s">
        <v>169</v>
      </c>
      <c r="AQ5" s="234" t="s">
        <v>171</v>
      </c>
      <c r="AS5" s="265" t="s">
        <v>818</v>
      </c>
      <c r="AT5" s="233" t="s">
        <v>168</v>
      </c>
      <c r="AU5" s="233" t="s">
        <v>169</v>
      </c>
      <c r="AV5" s="234" t="s">
        <v>171</v>
      </c>
      <c r="AX5" s="264" t="s">
        <v>813</v>
      </c>
      <c r="AY5" s="264" t="s">
        <v>814</v>
      </c>
      <c r="AZ5" s="264" t="s">
        <v>815</v>
      </c>
    </row>
    <row r="6" spans="1:52" ht="15.75" x14ac:dyDescent="0.25">
      <c r="A6" s="213"/>
      <c r="B6" s="2" t="s">
        <v>172</v>
      </c>
      <c r="C6" s="215">
        <v>-34462242.745508127</v>
      </c>
      <c r="D6" s="215">
        <v>-167082331.01708764</v>
      </c>
      <c r="E6" s="215">
        <v>132620088.2715795</v>
      </c>
      <c r="F6" s="213"/>
      <c r="I6" s="213"/>
      <c r="J6" s="235" t="s">
        <v>173</v>
      </c>
      <c r="K6" s="236">
        <f>-VLOOKUP($J6,$B:$E,2,FALSE)</f>
        <v>10286790.549999999</v>
      </c>
      <c r="L6" s="236">
        <f>-VLOOKUP($J6,$B:$E,3,FALSE)</f>
        <v>20478022.645732656</v>
      </c>
      <c r="M6" s="237">
        <f>-VLOOKUP($J6,$B:$E,4,FALSE)</f>
        <v>-10191232.095732655</v>
      </c>
      <c r="N6" s="292"/>
      <c r="O6" s="235" t="s">
        <v>173</v>
      </c>
      <c r="P6" s="236">
        <f>-SUMIFS('Source Data - Act v Plan by WBS'!H:H,'Source Data - Act v Plan by WBS'!$G:$G,$O6,'Source Data - Act v Plan by WBS'!$C:$C,"Electric")</f>
        <v>371205.52999999997</v>
      </c>
      <c r="Q6" s="236">
        <f>-SUMIFS('Source Data - Act v Plan by WBS'!I:I,'Source Data - Act v Plan by WBS'!$G:$G,$O6,'Source Data - Act v Plan by WBS'!$C:$C,"Electric")</f>
        <v>0</v>
      </c>
      <c r="R6" s="237">
        <f>P6-Q6</f>
        <v>371205.52999999997</v>
      </c>
      <c r="T6" s="235" t="s">
        <v>173</v>
      </c>
      <c r="U6" s="236">
        <f>-SUMIFS('Source Data - Act v Plan by WBS'!$H:$H,'Source Data - Act v Plan by WBS'!$G:$G,$O6,'Source Data - Act v Plan by WBS'!$C:$C,"Gas")</f>
        <v>0</v>
      </c>
      <c r="V6" s="236">
        <f>-SUMIFS('Source Data - Act v Plan by WBS'!$I:$I,'Source Data - Act v Plan by WBS'!$G:$G,$O6,'Source Data - Act v Plan by WBS'!$C:$C,"Gas")</f>
        <v>0</v>
      </c>
      <c r="W6" s="237">
        <f>U6-V6</f>
        <v>0</v>
      </c>
      <c r="Y6" s="235" t="s">
        <v>173</v>
      </c>
      <c r="Z6" s="236">
        <f>-SUMIFS('Source Data - Act v Plan by WBS'!$H:$H,'Source Data - Act v Plan by WBS'!$G:$G,$O6,'Source Data - Act v Plan by WBS'!$C:$C,"Common")</f>
        <v>9915585.0199999996</v>
      </c>
      <c r="AA6" s="236">
        <f>-SUMIFS('Source Data - Act v Plan by WBS'!$I:$I,'Source Data - Act v Plan by WBS'!$G:$G,$O6,'Source Data - Act v Plan by WBS'!$C:$C,"Common")</f>
        <v>20478022.645732656</v>
      </c>
      <c r="AB6" s="237">
        <f>Z6-AA6</f>
        <v>-10562437.625732657</v>
      </c>
      <c r="AD6" s="235" t="s">
        <v>173</v>
      </c>
      <c r="AE6" s="236">
        <f t="shared" ref="AE6:AF12" si="0">Z6*$AE$17</f>
        <v>6538336.7621879997</v>
      </c>
      <c r="AF6" s="236">
        <f t="shared" si="0"/>
        <v>13503208.132596113</v>
      </c>
      <c r="AG6" s="237">
        <f>AE6-AF6</f>
        <v>-6964871.3704081131</v>
      </c>
      <c r="AI6" s="235" t="s">
        <v>173</v>
      </c>
      <c r="AJ6" s="236">
        <f t="shared" ref="AJ6:AK12" si="1">Z6*$AJ$17</f>
        <v>3377248.2578119999</v>
      </c>
      <c r="AK6" s="236">
        <f t="shared" si="1"/>
        <v>6974814.5131365433</v>
      </c>
      <c r="AL6" s="237">
        <f>AJ6-AK6</f>
        <v>-3597566.2553245435</v>
      </c>
      <c r="AN6" s="235" t="s">
        <v>173</v>
      </c>
      <c r="AO6" s="236">
        <f>P6+AE6</f>
        <v>6909542.2921879999</v>
      </c>
      <c r="AP6" s="236">
        <f t="shared" ref="AP6:AP12" si="2">Q6+AF6</f>
        <v>13503208.132596113</v>
      </c>
      <c r="AQ6" s="237">
        <f>AO6-AP6</f>
        <v>-6593665.8404081129</v>
      </c>
      <c r="AR6" s="292"/>
      <c r="AS6" s="235" t="s">
        <v>173</v>
      </c>
      <c r="AT6" s="236">
        <f>U6+AJ6</f>
        <v>3377248.2578119999</v>
      </c>
      <c r="AU6" s="236">
        <f t="shared" ref="AU6:AU12" si="3">V6+AK6</f>
        <v>6974814.5131365433</v>
      </c>
      <c r="AV6" s="237">
        <f>AT6-AU6</f>
        <v>-3597566.2553245435</v>
      </c>
      <c r="AW6" s="292"/>
      <c r="AX6" s="247">
        <f>AT6+AO6-K6</f>
        <v>0</v>
      </c>
      <c r="AY6" s="247">
        <f t="shared" ref="AY6:AY13" si="4">AU6+AP6-L6</f>
        <v>0</v>
      </c>
      <c r="AZ6" s="247">
        <f t="shared" ref="AZ6:AZ13" si="5">AV6+AQ6-M6</f>
        <v>0</v>
      </c>
    </row>
    <row r="7" spans="1:52" ht="15.75" x14ac:dyDescent="0.25">
      <c r="A7" s="213"/>
      <c r="B7" s="216" t="s">
        <v>173</v>
      </c>
      <c r="C7" s="217">
        <v>-10286790.549999999</v>
      </c>
      <c r="D7" s="217">
        <v>-20478022.645732656</v>
      </c>
      <c r="E7" s="217">
        <v>10191232.095732655</v>
      </c>
      <c r="F7" s="213"/>
      <c r="I7" s="213"/>
      <c r="J7" s="235" t="s">
        <v>174</v>
      </c>
      <c r="K7" s="236">
        <f>-VLOOKUP($J7,$B:$E,2,FALSE)</f>
        <v>109499005.76424935</v>
      </c>
      <c r="L7" s="236">
        <f>-VLOOKUP($J7,$B:$E,3,FALSE)</f>
        <v>29739902.662724338</v>
      </c>
      <c r="M7" s="237">
        <f>-VLOOKUP($J7,$B:$E,4,FALSE)</f>
        <v>79759103.101524979</v>
      </c>
      <c r="N7" s="292"/>
      <c r="O7" s="235" t="s">
        <v>174</v>
      </c>
      <c r="P7" s="236">
        <f>-SUMIFS('Source Data - Act v Plan by WBS'!H:H,'Source Data - Act v Plan by WBS'!$G:$G,$O7,'Source Data - Act v Plan by WBS'!$C:$C,"Electric")</f>
        <v>107595170.29424934</v>
      </c>
      <c r="Q7" s="236">
        <f>-SUMIFS('Source Data - Act v Plan by WBS'!I:I,'Source Data - Act v Plan by WBS'!$G:$G,$O7,'Source Data - Act v Plan by WBS'!$C:$C,"Electric")</f>
        <v>27127013.113622956</v>
      </c>
      <c r="R7" s="237">
        <f t="shared" ref="R7:R12" si="6">P7-Q7</f>
        <v>80468157.180626392</v>
      </c>
      <c r="T7" s="235" t="s">
        <v>174</v>
      </c>
      <c r="U7" s="236">
        <f>-SUMIFS('Source Data - Act v Plan by WBS'!$H:$H,'Source Data - Act v Plan by WBS'!$G:$G,$O7,'Source Data - Act v Plan by WBS'!$C:$C,"Gas")</f>
        <v>1903835.47</v>
      </c>
      <c r="V7" s="236">
        <f>-SUMIFS('Source Data - Act v Plan by WBS'!$I:$I,'Source Data - Act v Plan by WBS'!$G:$G,$O7,'Source Data - Act v Plan by WBS'!$C:$C,"Gas")</f>
        <v>2612889.5491013769</v>
      </c>
      <c r="W7" s="237">
        <f t="shared" ref="W7:W12" si="7">U7-V7</f>
        <v>-709054.07910137693</v>
      </c>
      <c r="Y7" s="235" t="s">
        <v>174</v>
      </c>
      <c r="Z7" s="236">
        <f>-SUMIFS('Source Data - Act v Plan by WBS'!$H:$H,'Source Data - Act v Plan by WBS'!$G:$G,$O7,'Source Data - Act v Plan by WBS'!$C:$C,"Common")</f>
        <v>0</v>
      </c>
      <c r="AA7" s="236">
        <f>-SUMIFS('Source Data - Act v Plan by WBS'!$I:$I,'Source Data - Act v Plan by WBS'!$G:$G,$O7,'Source Data - Act v Plan by WBS'!$C:$C,"Common")</f>
        <v>0</v>
      </c>
      <c r="AB7" s="237">
        <f t="shared" ref="AB7:AB12" si="8">Z7-AA7</f>
        <v>0</v>
      </c>
      <c r="AD7" s="235" t="s">
        <v>174</v>
      </c>
      <c r="AE7" s="236">
        <f t="shared" si="0"/>
        <v>0</v>
      </c>
      <c r="AF7" s="236">
        <f t="shared" si="0"/>
        <v>0</v>
      </c>
      <c r="AG7" s="237">
        <f t="shared" ref="AG7:AG12" si="9">AE7-AF7</f>
        <v>0</v>
      </c>
      <c r="AI7" s="235" t="s">
        <v>174</v>
      </c>
      <c r="AJ7" s="236">
        <f t="shared" si="1"/>
        <v>0</v>
      </c>
      <c r="AK7" s="236">
        <f t="shared" si="1"/>
        <v>0</v>
      </c>
      <c r="AL7" s="237">
        <f t="shared" ref="AL7:AL12" si="10">AJ7-AK7</f>
        <v>0</v>
      </c>
      <c r="AN7" s="235" t="s">
        <v>174</v>
      </c>
      <c r="AO7" s="236">
        <f t="shared" ref="AO7:AO12" si="11">P7+AE7</f>
        <v>107595170.29424934</v>
      </c>
      <c r="AP7" s="236">
        <f t="shared" si="2"/>
        <v>27127013.113622956</v>
      </c>
      <c r="AQ7" s="237">
        <f t="shared" ref="AQ7:AQ12" si="12">AO7-AP7</f>
        <v>80468157.180626392</v>
      </c>
      <c r="AR7" s="292"/>
      <c r="AS7" s="235" t="s">
        <v>174</v>
      </c>
      <c r="AT7" s="236">
        <f t="shared" ref="AT7:AT12" si="13">U7+AJ7</f>
        <v>1903835.47</v>
      </c>
      <c r="AU7" s="236">
        <f t="shared" si="3"/>
        <v>2612889.5491013769</v>
      </c>
      <c r="AV7" s="237">
        <f t="shared" ref="AV7:AV12" si="14">AT7-AU7</f>
        <v>-709054.07910137693</v>
      </c>
      <c r="AW7" s="292"/>
      <c r="AX7" s="247">
        <f t="shared" ref="AX7:AX13" si="15">AT7+AO7-K7</f>
        <v>0</v>
      </c>
      <c r="AY7" s="247">
        <f t="shared" si="4"/>
        <v>0</v>
      </c>
      <c r="AZ7" s="247">
        <f t="shared" si="5"/>
        <v>0</v>
      </c>
    </row>
    <row r="8" spans="1:52" ht="15.75" x14ac:dyDescent="0.25">
      <c r="A8" s="213"/>
      <c r="B8" s="216" t="s">
        <v>174</v>
      </c>
      <c r="C8" s="217">
        <v>-109499005.76424935</v>
      </c>
      <c r="D8" s="217">
        <v>-29739902.662724338</v>
      </c>
      <c r="E8" s="217">
        <v>-79759103.101524979</v>
      </c>
      <c r="F8" s="213"/>
      <c r="I8" s="213"/>
      <c r="J8" s="235" t="s">
        <v>175</v>
      </c>
      <c r="K8" s="236">
        <f>-VLOOKUP($J8,$B:$E,2,FALSE)</f>
        <v>128978578.30000001</v>
      </c>
      <c r="L8" s="236">
        <f>-VLOOKUP($J8,$B:$E,3,FALSE)</f>
        <v>143681759.97698972</v>
      </c>
      <c r="M8" s="237">
        <f>-VLOOKUP($J8,$B:$E,4,FALSE)</f>
        <v>-14703181.676989704</v>
      </c>
      <c r="N8" s="292"/>
      <c r="O8" s="235" t="s">
        <v>175</v>
      </c>
      <c r="P8" s="236">
        <f>-SUMIFS('Source Data - Act v Plan by WBS'!H:H,'Source Data - Act v Plan by WBS'!$G:$G,$O8,'Source Data - Act v Plan by WBS'!$C:$C,"Electric")</f>
        <v>30728573.399999999</v>
      </c>
      <c r="Q8" s="236">
        <f>-SUMIFS('Source Data - Act v Plan by WBS'!I:I,'Source Data - Act v Plan by WBS'!$G:$G,$O8,'Source Data - Act v Plan by WBS'!$C:$C,"Electric")</f>
        <v>44122125.596248493</v>
      </c>
      <c r="R8" s="237">
        <f t="shared" si="6"/>
        <v>-13393552.196248494</v>
      </c>
      <c r="T8" s="235" t="s">
        <v>175</v>
      </c>
      <c r="U8" s="236">
        <f>-SUMIFS('Source Data - Act v Plan by WBS'!$H:$H,'Source Data - Act v Plan by WBS'!$G:$G,$O8,'Source Data - Act v Plan by WBS'!$C:$C,"Gas")</f>
        <v>8708474.0099999998</v>
      </c>
      <c r="V8" s="236">
        <f>-SUMIFS('Source Data - Act v Plan by WBS'!$I:$I,'Source Data - Act v Plan by WBS'!$G:$G,$O8,'Source Data - Act v Plan by WBS'!$C:$C,"Gas")</f>
        <v>5067415.5985517912</v>
      </c>
      <c r="W8" s="237">
        <f t="shared" si="7"/>
        <v>3641058.4114482086</v>
      </c>
      <c r="Y8" s="235" t="s">
        <v>175</v>
      </c>
      <c r="Z8" s="236">
        <f>-SUMIFS('Source Data - Act v Plan by WBS'!$H:$H,'Source Data - Act v Plan by WBS'!$G:$G,$O8,'Source Data - Act v Plan by WBS'!$C:$C,"Common")</f>
        <v>89541530.890000001</v>
      </c>
      <c r="AA8" s="236">
        <f>-SUMIFS('Source Data - Act v Plan by WBS'!$I:$I,'Source Data - Act v Plan by WBS'!$G:$G,$O8,'Source Data - Act v Plan by WBS'!$C:$C,"Common")</f>
        <v>94492218.782189429</v>
      </c>
      <c r="AB8" s="237">
        <f t="shared" si="8"/>
        <v>-4950687.8921894282</v>
      </c>
      <c r="AD8" s="235" t="s">
        <v>175</v>
      </c>
      <c r="AE8" s="236">
        <f t="shared" si="0"/>
        <v>59043685.468865998</v>
      </c>
      <c r="AF8" s="236">
        <f t="shared" si="0"/>
        <v>62308169.064975709</v>
      </c>
      <c r="AG8" s="237">
        <f t="shared" si="9"/>
        <v>-3264483.5961097106</v>
      </c>
      <c r="AI8" s="235" t="s">
        <v>175</v>
      </c>
      <c r="AJ8" s="236">
        <f t="shared" si="1"/>
        <v>30497845.421134003</v>
      </c>
      <c r="AK8" s="236">
        <f t="shared" si="1"/>
        <v>32184049.71721372</v>
      </c>
      <c r="AL8" s="237">
        <f t="shared" si="10"/>
        <v>-1686204.2960797176</v>
      </c>
      <c r="AN8" s="235" t="s">
        <v>175</v>
      </c>
      <c r="AO8" s="236">
        <f t="shared" si="11"/>
        <v>89772258.868865997</v>
      </c>
      <c r="AP8" s="236">
        <f t="shared" si="2"/>
        <v>106430294.6612242</v>
      </c>
      <c r="AQ8" s="237">
        <f t="shared" si="12"/>
        <v>-16658035.792358205</v>
      </c>
      <c r="AR8" s="292"/>
      <c r="AS8" s="235" t="s">
        <v>175</v>
      </c>
      <c r="AT8" s="236">
        <f t="shared" si="13"/>
        <v>39206319.431134</v>
      </c>
      <c r="AU8" s="236">
        <f t="shared" si="3"/>
        <v>37251465.315765515</v>
      </c>
      <c r="AV8" s="237">
        <f t="shared" si="14"/>
        <v>1954854.1153684855</v>
      </c>
      <c r="AW8" s="292"/>
      <c r="AX8" s="247">
        <f t="shared" si="15"/>
        <v>0</v>
      </c>
      <c r="AY8" s="247">
        <f t="shared" si="4"/>
        <v>0</v>
      </c>
      <c r="AZ8" s="247">
        <f t="shared" si="5"/>
        <v>-1.4901161193847656E-8</v>
      </c>
    </row>
    <row r="9" spans="1:52" ht="15.75" x14ac:dyDescent="0.25">
      <c r="A9" s="213"/>
      <c r="B9" s="216" t="s">
        <v>175</v>
      </c>
      <c r="C9" s="217">
        <v>-128978578.30000001</v>
      </c>
      <c r="D9" s="217">
        <v>-143681759.97698972</v>
      </c>
      <c r="E9" s="217">
        <v>14703181.676989704</v>
      </c>
      <c r="F9" s="213"/>
      <c r="I9" s="213"/>
      <c r="J9" s="235" t="s">
        <v>176</v>
      </c>
      <c r="K9" s="236">
        <f>-VLOOKUP($J9,$B:$E,2,FALSE)</f>
        <v>13737946.193422064</v>
      </c>
      <c r="L9" s="236">
        <f>-VLOOKUP($J9,$B:$E,3,FALSE)</f>
        <v>29717406.45814465</v>
      </c>
      <c r="M9" s="237">
        <f>-VLOOKUP($J9,$B:$E,4,FALSE)</f>
        <v>-15979460.264722582</v>
      </c>
      <c r="N9" s="292"/>
      <c r="O9" s="235" t="s">
        <v>176</v>
      </c>
      <c r="P9" s="236">
        <f>-SUMIFS('Source Data - Act v Plan by WBS'!H:H,'Source Data - Act v Plan by WBS'!$G:$G,$O9,'Source Data - Act v Plan by WBS'!$C:$C,"Electric")</f>
        <v>12993824.123422064</v>
      </c>
      <c r="Q9" s="236">
        <f>-SUMIFS('Source Data - Act v Plan by WBS'!I:I,'Source Data - Act v Plan by WBS'!$G:$G,$O9,'Source Data - Act v Plan by WBS'!$C:$C,"Electric")</f>
        <v>29717406.45814465</v>
      </c>
      <c r="R9" s="237">
        <f t="shared" si="6"/>
        <v>-16723582.334722586</v>
      </c>
      <c r="T9" s="235" t="s">
        <v>176</v>
      </c>
      <c r="U9" s="236">
        <f>-SUMIFS('Source Data - Act v Plan by WBS'!$H:$H,'Source Data - Act v Plan by WBS'!$G:$G,$O9,'Source Data - Act v Plan by WBS'!$C:$C,"Gas")</f>
        <v>0</v>
      </c>
      <c r="V9" s="236">
        <f>-SUMIFS('Source Data - Act v Plan by WBS'!$I:$I,'Source Data - Act v Plan by WBS'!$G:$G,$O9,'Source Data - Act v Plan by WBS'!$C:$C,"Gas")</f>
        <v>0</v>
      </c>
      <c r="W9" s="237">
        <f t="shared" si="7"/>
        <v>0</v>
      </c>
      <c r="Y9" s="235" t="s">
        <v>176</v>
      </c>
      <c r="Z9" s="236">
        <f>-SUMIFS('Source Data - Act v Plan by WBS'!$H:$H,'Source Data - Act v Plan by WBS'!$G:$G,$O9,'Source Data - Act v Plan by WBS'!$C:$C,"Common")</f>
        <v>744122.07000000007</v>
      </c>
      <c r="AA9" s="236">
        <f>-SUMIFS('Source Data - Act v Plan by WBS'!$I:$I,'Source Data - Act v Plan by WBS'!$G:$G,$O9,'Source Data - Act v Plan by WBS'!$C:$C,"Common")</f>
        <v>0</v>
      </c>
      <c r="AB9" s="237">
        <f t="shared" si="8"/>
        <v>744122.07000000007</v>
      </c>
      <c r="AD9" s="235" t="s">
        <v>176</v>
      </c>
      <c r="AE9" s="236">
        <f t="shared" si="0"/>
        <v>490674.09295800002</v>
      </c>
      <c r="AF9" s="236">
        <f t="shared" si="0"/>
        <v>0</v>
      </c>
      <c r="AG9" s="237">
        <f t="shared" si="9"/>
        <v>490674.09295800002</v>
      </c>
      <c r="AI9" s="235" t="s">
        <v>176</v>
      </c>
      <c r="AJ9" s="236">
        <f t="shared" si="1"/>
        <v>253447.97704200004</v>
      </c>
      <c r="AK9" s="236">
        <f t="shared" si="1"/>
        <v>0</v>
      </c>
      <c r="AL9" s="237">
        <f t="shared" si="10"/>
        <v>253447.97704200004</v>
      </c>
      <c r="AN9" s="235" t="s">
        <v>176</v>
      </c>
      <c r="AO9" s="236">
        <f t="shared" si="11"/>
        <v>13484498.216380063</v>
      </c>
      <c r="AP9" s="236">
        <f t="shared" si="2"/>
        <v>29717406.45814465</v>
      </c>
      <c r="AQ9" s="237">
        <f t="shared" si="12"/>
        <v>-16232908.241764586</v>
      </c>
      <c r="AR9" s="292"/>
      <c r="AS9" s="235" t="s">
        <v>176</v>
      </c>
      <c r="AT9" s="236">
        <f t="shared" si="13"/>
        <v>253447.97704200004</v>
      </c>
      <c r="AU9" s="236">
        <f t="shared" si="3"/>
        <v>0</v>
      </c>
      <c r="AV9" s="237">
        <f t="shared" si="14"/>
        <v>253447.97704200004</v>
      </c>
      <c r="AW9" s="292"/>
      <c r="AX9" s="247">
        <f t="shared" si="15"/>
        <v>0</v>
      </c>
      <c r="AY9" s="247">
        <f t="shared" si="4"/>
        <v>0</v>
      </c>
      <c r="AZ9" s="247">
        <f t="shared" si="5"/>
        <v>0</v>
      </c>
    </row>
    <row r="10" spans="1:52" ht="15.75" x14ac:dyDescent="0.25">
      <c r="A10" s="213"/>
      <c r="B10" s="216" t="s">
        <v>176</v>
      </c>
      <c r="C10" s="217">
        <v>-13737946.193422064</v>
      </c>
      <c r="D10" s="217">
        <v>-29717406.45814465</v>
      </c>
      <c r="E10" s="217">
        <v>15979460.264722582</v>
      </c>
      <c r="F10" s="213"/>
      <c r="I10" s="213"/>
      <c r="J10" s="235" t="s">
        <v>177</v>
      </c>
      <c r="K10" s="236">
        <f>-VLOOKUP($J10,$B:$E,2,FALSE)-VLOOKUP("AMI",$B:$E,2,FALSE)</f>
        <v>902698887.35631609</v>
      </c>
      <c r="L10" s="236">
        <f>-VLOOKUP($J10,$B:$E,3,FALSE)-VLOOKUP("AMI",$B:$E,3,FALSE)</f>
        <v>679521688.75147033</v>
      </c>
      <c r="M10" s="237">
        <f>-VLOOKUP($J10,$B:$E,4,FALSE)-VLOOKUP("AMI",$B:$E,4,FALSE)</f>
        <v>223177198.60484606</v>
      </c>
      <c r="N10" s="292"/>
      <c r="O10" s="235" t="s">
        <v>177</v>
      </c>
      <c r="P10" s="236">
        <f>-SUMIFS('Source Data - Act v Plan by WBS'!H:H,'Source Data - Act v Plan by WBS'!$G:$G,$O10,'Source Data - Act v Plan by WBS'!$C:$C,"Electric")+-SUMIFS('Source Data - Act v Plan by WBS'!H:H,'Source Data - Act v Plan by WBS'!$G:$G,"AMI",'Source Data - Act v Plan by WBS'!$C:$C,"Electric")</f>
        <v>659536234.60935748</v>
      </c>
      <c r="Q10" s="236">
        <f>-SUMIFS('Source Data - Act v Plan by WBS'!I:I,'Source Data - Act v Plan by WBS'!$G:$G,$O10,'Source Data - Act v Plan by WBS'!$C:$C,"Electric")+-SUMIFS('Source Data - Act v Plan by WBS'!I:I,'Source Data - Act v Plan by WBS'!$G:$G,"AMI",'Source Data - Act v Plan by WBS'!$C:$C,"Electric")</f>
        <v>474137285.62076765</v>
      </c>
      <c r="R10" s="237">
        <f t="shared" si="6"/>
        <v>185398948.98858982</v>
      </c>
      <c r="T10" s="235" t="s">
        <v>177</v>
      </c>
      <c r="U10" s="236">
        <f>-SUMIFS('Source Data - Act v Plan by WBS'!$H:$H,'Source Data - Act v Plan by WBS'!$G:$G,$O10,'Source Data - Act v Plan by WBS'!$C:$C,"Gas")+-SUMIFS('Source Data - Act v Plan by WBS'!$H:$H,'Source Data - Act v Plan by WBS'!$G:$G,"AMI",'Source Data - Act v Plan by WBS'!$C:$C,"Gas")</f>
        <v>242978733.28695911</v>
      </c>
      <c r="V10" s="236">
        <f>-SUMIFS('Source Data - Act v Plan by WBS'!$I:$I,'Source Data - Act v Plan by WBS'!$G:$G,$O10,'Source Data - Act v Plan by WBS'!$C:$C,"Gas")+-SUMIFS('Source Data - Act v Plan by WBS'!$I:$I,'Source Data - Act v Plan by WBS'!$G:$G,"AMI",'Source Data - Act v Plan by WBS'!$C:$C,"Gas")</f>
        <v>204137779.1307027</v>
      </c>
      <c r="W10" s="237">
        <f t="shared" si="7"/>
        <v>38840954.156256407</v>
      </c>
      <c r="Y10" s="235" t="s">
        <v>177</v>
      </c>
      <c r="Z10" s="236">
        <f>-SUMIFS('Source Data - Act v Plan by WBS'!$H:$H,'Source Data - Act v Plan by WBS'!$G:$G,$O10,'Source Data - Act v Plan by WBS'!$C:$C,"Common")+-SUMIFS('Source Data - Act v Plan by WBS'!$H:$H,'Source Data - Act v Plan by WBS'!$G:$G,"AMI",'Source Data - Act v Plan by WBS'!$C:$C,"Common")</f>
        <v>183919.46000000002</v>
      </c>
      <c r="AA10" s="236">
        <f>-SUMIFS('Source Data - Act v Plan by WBS'!$I:$I,'Source Data - Act v Plan by WBS'!$G:$G,$O10,'Source Data - Act v Plan by WBS'!$C:$C,"Common")+-SUMIFS('Source Data - Act v Plan by WBS'!$I:$I,'Source Data - Act v Plan by WBS'!$G:$G,"AMI",'Source Data - Act v Plan by WBS'!$C:$C,"Common")</f>
        <v>1246624.0000000009</v>
      </c>
      <c r="AB10" s="237">
        <f t="shared" si="8"/>
        <v>-1062704.540000001</v>
      </c>
      <c r="AD10" s="235" t="s">
        <v>177</v>
      </c>
      <c r="AE10" s="236">
        <f t="shared" si="0"/>
        <v>121276.49192400002</v>
      </c>
      <c r="AF10" s="236">
        <f t="shared" si="0"/>
        <v>822023.8656000006</v>
      </c>
      <c r="AG10" s="237">
        <f t="shared" si="9"/>
        <v>-700747.37367600063</v>
      </c>
      <c r="AI10" s="235" t="s">
        <v>177</v>
      </c>
      <c r="AJ10" s="236">
        <f t="shared" si="1"/>
        <v>62642.968076000012</v>
      </c>
      <c r="AK10" s="236">
        <f t="shared" si="1"/>
        <v>424600.13440000033</v>
      </c>
      <c r="AL10" s="237">
        <f t="shared" si="10"/>
        <v>-361957.16632400034</v>
      </c>
      <c r="AN10" s="235" t="s">
        <v>177</v>
      </c>
      <c r="AO10" s="236">
        <f t="shared" si="11"/>
        <v>659657511.10128152</v>
      </c>
      <c r="AP10" s="236">
        <f t="shared" si="2"/>
        <v>474959309.48636764</v>
      </c>
      <c r="AQ10" s="237">
        <f t="shared" si="12"/>
        <v>184698201.61491388</v>
      </c>
      <c r="AR10" s="292"/>
      <c r="AS10" s="235" t="s">
        <v>177</v>
      </c>
      <c r="AT10" s="236">
        <f t="shared" si="13"/>
        <v>243041376.2550351</v>
      </c>
      <c r="AU10" s="236">
        <f t="shared" si="3"/>
        <v>204562379.26510271</v>
      </c>
      <c r="AV10" s="237">
        <f t="shared" si="14"/>
        <v>38478996.989932388</v>
      </c>
      <c r="AW10" s="292"/>
      <c r="AX10" s="247">
        <f t="shared" si="15"/>
        <v>0</v>
      </c>
      <c r="AY10" s="247">
        <f t="shared" si="4"/>
        <v>0</v>
      </c>
      <c r="AZ10" s="247">
        <f t="shared" si="5"/>
        <v>0</v>
      </c>
    </row>
    <row r="11" spans="1:52" ht="15.75" x14ac:dyDescent="0.25">
      <c r="A11" s="213"/>
      <c r="B11" s="245" t="s">
        <v>1586</v>
      </c>
      <c r="C11" s="3"/>
      <c r="D11" s="3">
        <v>-1039999.9999999983</v>
      </c>
      <c r="E11" s="3">
        <v>1039999.9999999983</v>
      </c>
      <c r="F11" s="213"/>
      <c r="I11" s="213"/>
      <c r="J11" s="235" t="s">
        <v>806</v>
      </c>
      <c r="K11" s="236">
        <f>-VLOOKUP($J11,$B:$E,2,FALSE)</f>
        <v>4377633.9812695784</v>
      </c>
      <c r="L11" s="236">
        <f>-VLOOKUP($J11,$B:$E,3,FALSE)</f>
        <v>3769399.5102887694</v>
      </c>
      <c r="M11" s="237">
        <f>-VLOOKUP($J11,$B:$E,4,FALSE)</f>
        <v>608234.47098080895</v>
      </c>
      <c r="N11" s="292"/>
      <c r="O11" s="235" t="s">
        <v>806</v>
      </c>
      <c r="P11" s="236">
        <f>-SUMIFS('Source Data - Act v Plan by WBS'!H:H,'Source Data - Act v Plan by WBS'!$G:$G,$O11,'Source Data - Act v Plan by WBS'!$C:$C,"Electric")</f>
        <v>4377633.9812695784</v>
      </c>
      <c r="Q11" s="236">
        <f>-SUMIFS('Source Data - Act v Plan by WBS'!I:I,'Source Data - Act v Plan by WBS'!$G:$G,$O11,'Source Data - Act v Plan by WBS'!$C:$C,"Electric")</f>
        <v>3769399.5102887694</v>
      </c>
      <c r="R11" s="237">
        <f t="shared" si="6"/>
        <v>608234.47098080907</v>
      </c>
      <c r="T11" s="235" t="s">
        <v>806</v>
      </c>
      <c r="U11" s="236">
        <f>-SUMIFS('Source Data - Act v Plan by WBS'!$H:$H,'Source Data - Act v Plan by WBS'!$G:$G,$O11,'Source Data - Act v Plan by WBS'!$C:$C,"Gas")</f>
        <v>0</v>
      </c>
      <c r="V11" s="236">
        <f>-SUMIFS('Source Data - Act v Plan by WBS'!$I:$I,'Source Data - Act v Plan by WBS'!$G:$G,$O11,'Source Data - Act v Plan by WBS'!$C:$C,"Gas")</f>
        <v>0</v>
      </c>
      <c r="W11" s="237">
        <f t="shared" si="7"/>
        <v>0</v>
      </c>
      <c r="Y11" s="235" t="s">
        <v>806</v>
      </c>
      <c r="Z11" s="236">
        <f>-SUMIFS('Source Data - Act v Plan by WBS'!$H:$H,'Source Data - Act v Plan by WBS'!$G:$G,$O11,'Source Data - Act v Plan by WBS'!$C:$C,"Common")</f>
        <v>0</v>
      </c>
      <c r="AA11" s="236">
        <f>-SUMIFS('Source Data - Act v Plan by WBS'!$I:$I,'Source Data - Act v Plan by WBS'!$G:$G,$O11,'Source Data - Act v Plan by WBS'!$C:$C,"Common")</f>
        <v>0</v>
      </c>
      <c r="AB11" s="237">
        <f t="shared" si="8"/>
        <v>0</v>
      </c>
      <c r="AD11" s="235" t="s">
        <v>806</v>
      </c>
      <c r="AE11" s="236">
        <f t="shared" si="0"/>
        <v>0</v>
      </c>
      <c r="AF11" s="236">
        <f t="shared" si="0"/>
        <v>0</v>
      </c>
      <c r="AG11" s="237">
        <f t="shared" si="9"/>
        <v>0</v>
      </c>
      <c r="AI11" s="235" t="s">
        <v>806</v>
      </c>
      <c r="AJ11" s="236">
        <f t="shared" si="1"/>
        <v>0</v>
      </c>
      <c r="AK11" s="236">
        <f t="shared" si="1"/>
        <v>0</v>
      </c>
      <c r="AL11" s="237">
        <f t="shared" si="10"/>
        <v>0</v>
      </c>
      <c r="AN11" s="235" t="s">
        <v>806</v>
      </c>
      <c r="AO11" s="236">
        <f t="shared" si="11"/>
        <v>4377633.9812695784</v>
      </c>
      <c r="AP11" s="236">
        <f t="shared" si="2"/>
        <v>3769399.5102887694</v>
      </c>
      <c r="AQ11" s="237">
        <f t="shared" si="12"/>
        <v>608234.47098080907</v>
      </c>
      <c r="AR11" s="292"/>
      <c r="AS11" s="235" t="s">
        <v>806</v>
      </c>
      <c r="AT11" s="236">
        <f t="shared" si="13"/>
        <v>0</v>
      </c>
      <c r="AU11" s="236">
        <f t="shared" si="3"/>
        <v>0</v>
      </c>
      <c r="AV11" s="237">
        <f t="shared" si="14"/>
        <v>0</v>
      </c>
      <c r="AW11" s="292"/>
      <c r="AX11" s="247">
        <f t="shared" si="15"/>
        <v>0</v>
      </c>
      <c r="AY11" s="247">
        <f t="shared" si="4"/>
        <v>0</v>
      </c>
      <c r="AZ11" s="247">
        <f t="shared" si="5"/>
        <v>0</v>
      </c>
    </row>
    <row r="12" spans="1:52" ht="15.75" x14ac:dyDescent="0.25">
      <c r="A12" s="213"/>
      <c r="B12" s="245" t="s">
        <v>531</v>
      </c>
      <c r="C12" s="3">
        <v>0</v>
      </c>
      <c r="D12" s="3">
        <v>-1548118.7639594919</v>
      </c>
      <c r="E12" s="3">
        <v>1548118.7639594919</v>
      </c>
      <c r="F12" s="213"/>
      <c r="I12" s="213"/>
      <c r="J12" s="235" t="s">
        <v>178</v>
      </c>
      <c r="K12" s="236">
        <f>-VLOOKUP($J12,$B:$E,2,FALSE)</f>
        <v>4811877.2074173642</v>
      </c>
      <c r="L12" s="236">
        <f>-VLOOKUP($J12,$B:$E,3,FALSE)</f>
        <v>3976922.0599999977</v>
      </c>
      <c r="M12" s="237">
        <f>-VLOOKUP($J12,$B:$E,4,FALSE)</f>
        <v>834955.14741736581</v>
      </c>
      <c r="N12" s="292"/>
      <c r="O12" s="235" t="s">
        <v>178</v>
      </c>
      <c r="P12" s="236">
        <f>-SUMIFS('Source Data - Act v Plan by WBS'!H:H,'Source Data - Act v Plan by WBS'!$G:$G,$O12,'Source Data - Act v Plan by WBS'!$C:$C,"Electric")</f>
        <v>4474724.8174173646</v>
      </c>
      <c r="Q12" s="236">
        <f>-SUMIFS('Source Data - Act v Plan by WBS'!I:I,'Source Data - Act v Plan by WBS'!$G:$G,$O12,'Source Data - Act v Plan by WBS'!$C:$C,"Electric")</f>
        <v>3547182.8599999975</v>
      </c>
      <c r="R12" s="237">
        <f t="shared" si="6"/>
        <v>927541.95741736703</v>
      </c>
      <c r="T12" s="235" t="s">
        <v>178</v>
      </c>
      <c r="U12" s="236">
        <f>-SUMIFS('Source Data - Act v Plan by WBS'!$H:$H,'Source Data - Act v Plan by WBS'!$G:$G,$O12,'Source Data - Act v Plan by WBS'!$C:$C,"Gas")</f>
        <v>123834.78999999998</v>
      </c>
      <c r="V12" s="236">
        <f>-SUMIFS('Source Data - Act v Plan by WBS'!$I:$I,'Source Data - Act v Plan by WBS'!$G:$G,$O12,'Source Data - Act v Plan by WBS'!$C:$C,"Gas")</f>
        <v>129739.20000000042</v>
      </c>
      <c r="W12" s="237">
        <f t="shared" si="7"/>
        <v>-5904.41000000044</v>
      </c>
      <c r="Y12" s="235" t="s">
        <v>178</v>
      </c>
      <c r="Z12" s="236">
        <f>-SUMIFS('Source Data - Act v Plan by WBS'!$H:$H,'Source Data - Act v Plan by WBS'!$G:$G,$O12,'Source Data - Act v Plan by WBS'!$C:$C,"Common")</f>
        <v>213317.6</v>
      </c>
      <c r="AA12" s="236">
        <f>-SUMIFS('Source Data - Act v Plan by WBS'!$I:$I,'Source Data - Act v Plan by WBS'!$G:$G,$O12,'Source Data - Act v Plan by WBS'!$C:$C,"Common")</f>
        <v>299999.99999999994</v>
      </c>
      <c r="AB12" s="237">
        <f t="shared" si="8"/>
        <v>-86682.399999999936</v>
      </c>
      <c r="AD12" s="235" t="s">
        <v>178</v>
      </c>
      <c r="AE12" s="236">
        <f t="shared" si="0"/>
        <v>140661.62544</v>
      </c>
      <c r="AF12" s="236">
        <f t="shared" si="0"/>
        <v>197819.99999999997</v>
      </c>
      <c r="AG12" s="237">
        <f t="shared" si="9"/>
        <v>-57158.374559999967</v>
      </c>
      <c r="AI12" s="235" t="s">
        <v>178</v>
      </c>
      <c r="AJ12" s="236">
        <f t="shared" si="1"/>
        <v>72655.974560000002</v>
      </c>
      <c r="AK12" s="236">
        <f t="shared" si="1"/>
        <v>102179.99999999999</v>
      </c>
      <c r="AL12" s="237">
        <f t="shared" si="10"/>
        <v>-29524.025439999983</v>
      </c>
      <c r="AN12" s="235" t="s">
        <v>178</v>
      </c>
      <c r="AO12" s="236">
        <f t="shared" si="11"/>
        <v>4615386.4428573642</v>
      </c>
      <c r="AP12" s="236">
        <f t="shared" si="2"/>
        <v>3745002.8599999975</v>
      </c>
      <c r="AQ12" s="237">
        <f t="shared" si="12"/>
        <v>870383.58285736665</v>
      </c>
      <c r="AR12" s="292"/>
      <c r="AS12" s="235" t="s">
        <v>178</v>
      </c>
      <c r="AT12" s="236">
        <f t="shared" si="13"/>
        <v>196490.76455999998</v>
      </c>
      <c r="AU12" s="236">
        <f t="shared" si="3"/>
        <v>231919.20000000042</v>
      </c>
      <c r="AV12" s="237">
        <f t="shared" si="14"/>
        <v>-35428.435440000438</v>
      </c>
      <c r="AW12" s="292"/>
      <c r="AX12" s="247">
        <f t="shared" si="15"/>
        <v>0</v>
      </c>
      <c r="AY12" s="247">
        <f t="shared" si="4"/>
        <v>0</v>
      </c>
      <c r="AZ12" s="247">
        <f t="shared" si="5"/>
        <v>0</v>
      </c>
    </row>
    <row r="13" spans="1:52" ht="15.75" x14ac:dyDescent="0.25">
      <c r="A13" s="213"/>
      <c r="B13" s="245" t="s">
        <v>773</v>
      </c>
      <c r="C13" s="3">
        <v>-2774952.2051824466</v>
      </c>
      <c r="D13" s="3">
        <v>-4757737.4334327346</v>
      </c>
      <c r="E13" s="3">
        <v>1982785.2282502879</v>
      </c>
      <c r="F13" s="213"/>
      <c r="I13" s="213"/>
      <c r="J13" s="238" t="s">
        <v>32</v>
      </c>
      <c r="K13" s="239">
        <f>-VLOOKUP($J13,$B:$E,2,FALSE)</f>
        <v>1174390719.3526745</v>
      </c>
      <c r="L13" s="239">
        <f>-VLOOKUP($J13,$B:$E,3,FALSE)</f>
        <v>910885102.06535041</v>
      </c>
      <c r="M13" s="240">
        <f>-VLOOKUP($J13,$B:$E,4,FALSE)</f>
        <v>263505617.28732425</v>
      </c>
      <c r="N13" s="292"/>
      <c r="O13" s="238" t="s">
        <v>32</v>
      </c>
      <c r="P13" s="239">
        <f>SUM(P6:P12)</f>
        <v>820077366.75571585</v>
      </c>
      <c r="Q13" s="239">
        <f>SUM(Q6:Q12)</f>
        <v>582420413.15907252</v>
      </c>
      <c r="R13" s="240">
        <f>SUM(R6:R12)</f>
        <v>237656953.59664333</v>
      </c>
      <c r="T13" s="238" t="s">
        <v>32</v>
      </c>
      <c r="U13" s="239">
        <f>SUM(U6:U12)</f>
        <v>253714877.55695909</v>
      </c>
      <c r="V13" s="239">
        <f>SUM(V6:V12)</f>
        <v>211947823.47835585</v>
      </c>
      <c r="W13" s="240">
        <f>SUM(W6:W12)</f>
        <v>41767054.078603238</v>
      </c>
      <c r="Y13" s="238" t="s">
        <v>32</v>
      </c>
      <c r="Z13" s="239">
        <f>SUM(Z6:Z12)</f>
        <v>100598475.03999998</v>
      </c>
      <c r="AA13" s="239">
        <f>SUM(AA6:AA12)</f>
        <v>116516865.42792208</v>
      </c>
      <c r="AB13" s="240">
        <f>SUM(AB6:AB12)</f>
        <v>-15918390.387922086</v>
      </c>
      <c r="AD13" s="238" t="s">
        <v>32</v>
      </c>
      <c r="AE13" s="239">
        <f>SUM(AE6:AE12)</f>
        <v>66334634.441376008</v>
      </c>
      <c r="AF13" s="239">
        <f>SUM(AF6:AF12)</f>
        <v>76831221.063171819</v>
      </c>
      <c r="AG13" s="240">
        <f>SUM(AG6:AG12)</f>
        <v>-10496586.621795826</v>
      </c>
      <c r="AI13" s="238" t="s">
        <v>32</v>
      </c>
      <c r="AJ13" s="239">
        <f>SUM(AJ6:AJ12)</f>
        <v>34263840.598623998</v>
      </c>
      <c r="AK13" s="239">
        <f>SUM(AK6:AK12)</f>
        <v>39685644.364750266</v>
      </c>
      <c r="AL13" s="240">
        <f>SUM(AL6:AL12)</f>
        <v>-5421803.766126262</v>
      </c>
      <c r="AN13" s="238" t="s">
        <v>32</v>
      </c>
      <c r="AO13" s="239">
        <f>SUM(AO6:AO12)</f>
        <v>886412001.19709194</v>
      </c>
      <c r="AP13" s="239">
        <f>SUM(AP6:AP12)</f>
        <v>659251634.22224438</v>
      </c>
      <c r="AQ13" s="240">
        <f>SUM(AQ6:AQ12)</f>
        <v>227160366.97484756</v>
      </c>
      <c r="AR13" s="292"/>
      <c r="AS13" s="238" t="s">
        <v>32</v>
      </c>
      <c r="AT13" s="239">
        <f>SUM(AT6:AT12)</f>
        <v>287978718.15558308</v>
      </c>
      <c r="AU13" s="239">
        <f>SUM(AU6:AU12)</f>
        <v>251633467.84310615</v>
      </c>
      <c r="AV13" s="240">
        <f>SUM(AV6:AV12)</f>
        <v>36345250.312476948</v>
      </c>
      <c r="AW13" s="292"/>
      <c r="AX13" s="247">
        <f t="shared" si="15"/>
        <v>0</v>
      </c>
      <c r="AY13" s="247">
        <f t="shared" si="4"/>
        <v>0</v>
      </c>
      <c r="AZ13" s="247">
        <f t="shared" si="5"/>
        <v>2.384185791015625E-7</v>
      </c>
    </row>
    <row r="14" spans="1:52" x14ac:dyDescent="0.25">
      <c r="A14" s="213"/>
      <c r="B14" s="245" t="s">
        <v>775</v>
      </c>
      <c r="C14" s="3">
        <v>-1813298.1</v>
      </c>
      <c r="D14" s="3">
        <v>-1610902.4702044392</v>
      </c>
      <c r="E14" s="3">
        <v>-202395.62979556085</v>
      </c>
      <c r="F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T14" s="213"/>
      <c r="U14" s="213"/>
      <c r="V14" s="213"/>
      <c r="W14" s="213"/>
      <c r="Y14" s="213"/>
      <c r="Z14" s="213"/>
      <c r="AA14" s="213"/>
      <c r="AB14" s="213"/>
      <c r="AD14" s="213"/>
      <c r="AE14" s="213"/>
      <c r="AF14" s="213"/>
      <c r="AG14" s="213"/>
      <c r="AI14" s="213"/>
      <c r="AJ14" s="213"/>
      <c r="AK14" s="213"/>
      <c r="AL14" s="213"/>
      <c r="AN14" s="213"/>
      <c r="AO14" s="213"/>
      <c r="AP14" s="213"/>
      <c r="AQ14" s="213"/>
      <c r="AS14" s="213"/>
      <c r="AT14" s="213"/>
      <c r="AU14" s="213"/>
      <c r="AV14" s="213"/>
    </row>
    <row r="15" spans="1:52" x14ac:dyDescent="0.25">
      <c r="B15" s="245" t="s">
        <v>777</v>
      </c>
      <c r="C15" s="3">
        <v>-2995082.71</v>
      </c>
      <c r="D15" s="3">
        <v>-229013.27651958822</v>
      </c>
      <c r="E15" s="3">
        <v>-2766069.4334804118</v>
      </c>
    </row>
    <row r="16" spans="1:52" x14ac:dyDescent="0.25">
      <c r="B16" s="245" t="s">
        <v>779</v>
      </c>
      <c r="C16" s="3">
        <v>-1026939.6350094073</v>
      </c>
      <c r="D16" s="3">
        <v>-945078.68989740359</v>
      </c>
      <c r="E16" s="3">
        <v>-81860.945112003712</v>
      </c>
      <c r="K16" s="247">
        <f>SUM(K6:K12)-K13</f>
        <v>0</v>
      </c>
      <c r="L16" s="247">
        <f>SUM(L6:L12)-L13</f>
        <v>0</v>
      </c>
      <c r="M16" s="247">
        <f>SUM(M6:M12)-M13</f>
        <v>0</v>
      </c>
      <c r="Q16" s="247"/>
      <c r="R16" s="247"/>
      <c r="U16" s="247"/>
      <c r="V16" s="247"/>
      <c r="W16" s="247"/>
      <c r="Z16" s="247"/>
      <c r="AA16" s="247"/>
      <c r="AB16" s="247"/>
      <c r="AF16" s="247"/>
      <c r="AG16" s="247"/>
      <c r="AJ16" s="247"/>
      <c r="AK16" s="247"/>
      <c r="AL16" s="247"/>
      <c r="AO16" s="247"/>
      <c r="AP16" s="247"/>
      <c r="AQ16" s="247"/>
      <c r="AT16" s="247"/>
      <c r="AU16" s="247"/>
      <c r="AV16" s="247"/>
    </row>
    <row r="17" spans="2:36" x14ac:dyDescent="0.25">
      <c r="B17" s="245" t="s">
        <v>781</v>
      </c>
      <c r="C17" s="3">
        <v>140154.20000000001</v>
      </c>
      <c r="D17" s="3">
        <v>0</v>
      </c>
      <c r="E17" s="3">
        <v>140154.20000000001</v>
      </c>
      <c r="K17" s="247">
        <f>'Source Data - Act v Plan by WBS'!H454+K13</f>
        <v>0</v>
      </c>
      <c r="L17" s="247">
        <f>'Source Data - Act v Plan by WBS'!I454+L13</f>
        <v>0</v>
      </c>
      <c r="M17" s="247">
        <f>'Source Data - Act v Plan by WBS'!J454+M13</f>
        <v>-3.5762786865234375E-7</v>
      </c>
      <c r="AD17" s="262" t="s">
        <v>108</v>
      </c>
      <c r="AE17" s="263">
        <v>0.65939999999999999</v>
      </c>
      <c r="AI17" s="262" t="s">
        <v>159</v>
      </c>
      <c r="AJ17" s="263">
        <v>0.34060000000000001</v>
      </c>
    </row>
    <row r="18" spans="2:36" x14ac:dyDescent="0.25">
      <c r="B18" s="245" t="s">
        <v>783</v>
      </c>
      <c r="C18" s="3">
        <v>-2297632.6732302085</v>
      </c>
      <c r="D18" s="3">
        <v>-6022703.3382038157</v>
      </c>
      <c r="E18" s="3">
        <v>3725070.6649736073</v>
      </c>
    </row>
    <row r="19" spans="2:36" x14ac:dyDescent="0.25">
      <c r="B19" s="245" t="s">
        <v>785</v>
      </c>
      <c r="C19" s="3">
        <v>0</v>
      </c>
      <c r="D19" s="3">
        <v>-9453083.7009711824</v>
      </c>
      <c r="E19" s="3">
        <v>9453083.7009711824</v>
      </c>
    </row>
    <row r="20" spans="2:36" x14ac:dyDescent="0.25">
      <c r="B20" s="245" t="s">
        <v>787</v>
      </c>
      <c r="C20" s="3">
        <v>-1829357.0899999996</v>
      </c>
      <c r="D20" s="3">
        <v>0</v>
      </c>
      <c r="E20" s="3">
        <v>-1829357.0899999996</v>
      </c>
    </row>
    <row r="21" spans="2:36" x14ac:dyDescent="0.25">
      <c r="B21" s="245" t="s">
        <v>965</v>
      </c>
      <c r="C21" s="3">
        <v>-744122.07000000007</v>
      </c>
      <c r="D21" s="3">
        <v>0</v>
      </c>
      <c r="E21" s="3">
        <v>-744122.07000000007</v>
      </c>
    </row>
    <row r="22" spans="2:36" x14ac:dyDescent="0.25">
      <c r="B22" s="245" t="s">
        <v>1071</v>
      </c>
      <c r="C22" s="3">
        <v>-396715.91</v>
      </c>
      <c r="D22" s="3">
        <v>0</v>
      </c>
      <c r="E22" s="3">
        <v>-396715.91</v>
      </c>
    </row>
    <row r="23" spans="2:36" x14ac:dyDescent="0.25">
      <c r="B23" s="245" t="s">
        <v>1576</v>
      </c>
      <c r="C23" s="3"/>
      <c r="D23" s="3">
        <v>-3379999.9999999907</v>
      </c>
      <c r="E23" s="3">
        <v>3379999.9999999907</v>
      </c>
    </row>
    <row r="24" spans="2:36" x14ac:dyDescent="0.25">
      <c r="B24" s="245" t="s">
        <v>1582</v>
      </c>
      <c r="C24" s="3"/>
      <c r="D24" s="3">
        <v>-321149.78495599958</v>
      </c>
      <c r="E24" s="3">
        <v>321149.78495599958</v>
      </c>
    </row>
    <row r="25" spans="2:36" x14ac:dyDescent="0.25">
      <c r="B25" s="245" t="s">
        <v>1584</v>
      </c>
      <c r="C25" s="3"/>
      <c r="D25" s="3">
        <v>-409618.9999999993</v>
      </c>
      <c r="E25" s="3">
        <v>409618.9999999993</v>
      </c>
    </row>
    <row r="26" spans="2:36" x14ac:dyDescent="0.25">
      <c r="B26" s="216" t="s">
        <v>177</v>
      </c>
      <c r="C26" s="217">
        <v>-868236644.61080801</v>
      </c>
      <c r="D26" s="217">
        <v>-512439357.73438275</v>
      </c>
      <c r="E26" s="217">
        <v>-355797286.87642556</v>
      </c>
    </row>
    <row r="27" spans="2:36" x14ac:dyDescent="0.25">
      <c r="B27" s="216" t="s">
        <v>178</v>
      </c>
      <c r="C27" s="217">
        <v>-4811877.2074173642</v>
      </c>
      <c r="D27" s="217">
        <v>-3976922.0599999977</v>
      </c>
      <c r="E27" s="217">
        <v>-834955.14741736581</v>
      </c>
    </row>
    <row r="28" spans="2:36" x14ac:dyDescent="0.25">
      <c r="B28" s="2" t="s">
        <v>806</v>
      </c>
      <c r="C28" s="3">
        <v>-4377633.9812695784</v>
      </c>
      <c r="D28" s="3">
        <v>-3769399.5102887694</v>
      </c>
      <c r="E28" s="3">
        <v>-608234.47098080895</v>
      </c>
    </row>
    <row r="29" spans="2:36" x14ac:dyDescent="0.25">
      <c r="B29" s="245" t="s">
        <v>209</v>
      </c>
      <c r="C29" s="3">
        <v>-3338732.2712695785</v>
      </c>
      <c r="D29" s="3">
        <v>-2712513.0791971558</v>
      </c>
      <c r="E29" s="3">
        <v>-626219.19207242271</v>
      </c>
    </row>
    <row r="30" spans="2:36" x14ac:dyDescent="0.25">
      <c r="B30" s="245" t="s">
        <v>211</v>
      </c>
      <c r="C30" s="3">
        <v>-1038901.7100000001</v>
      </c>
      <c r="D30" s="3">
        <v>-1056886.4310916138</v>
      </c>
      <c r="E30" s="3">
        <v>17984.721091613756</v>
      </c>
    </row>
    <row r="31" spans="2:36" x14ac:dyDescent="0.25">
      <c r="B31" s="2" t="s">
        <v>32</v>
      </c>
      <c r="C31" s="215">
        <v>-1174390719.3526745</v>
      </c>
      <c r="D31" s="215">
        <v>-910885102.06535041</v>
      </c>
      <c r="E31" s="215">
        <v>-263505617.28732425</v>
      </c>
    </row>
  </sheetData>
  <pageMargins left="0.7" right="0.7" top="0.75" bottom="0.75" header="0.3" footer="0.3"/>
  <pageSetup orientation="portrait" horizontalDpi="1200" verticalDpi="1200" r:id="rId2"/>
  <customProperties>
    <customPr name="_pios_id" r:id="rId3"/>
  </customProperties>
  <ignoredErrors>
    <ignoredError sqref="K10:M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3"/>
  <sheetViews>
    <sheetView zoomScale="85" zoomScaleNormal="85" workbookViewId="0">
      <selection activeCell="C7" sqref="C7"/>
    </sheetView>
  </sheetViews>
  <sheetFormatPr defaultRowHeight="15" x14ac:dyDescent="0.25"/>
  <cols>
    <col min="1" max="1" width="5" customWidth="1"/>
    <col min="2" max="2" width="55.7109375" bestFit="1" customWidth="1"/>
    <col min="3" max="3" width="16.28515625" bestFit="1" customWidth="1"/>
    <col min="22" max="22" width="16.28515625" bestFit="1" customWidth="1"/>
  </cols>
  <sheetData>
    <row r="2" spans="2:23" x14ac:dyDescent="0.25">
      <c r="E2" s="374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6"/>
    </row>
    <row r="3" spans="2:23" x14ac:dyDescent="0.25">
      <c r="E3" s="377"/>
      <c r="F3" s="383" t="s">
        <v>1567</v>
      </c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9"/>
    </row>
    <row r="4" spans="2:23" x14ac:dyDescent="0.25">
      <c r="E4" s="377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</row>
    <row r="5" spans="2:23" x14ac:dyDescent="0.25">
      <c r="B5" t="s">
        <v>1570</v>
      </c>
      <c r="C5" s="215">
        <f>V12</f>
        <v>915044782</v>
      </c>
      <c r="E5" s="377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9"/>
    </row>
    <row r="6" spans="2:23" x14ac:dyDescent="0.25">
      <c r="B6" t="s">
        <v>1571</v>
      </c>
      <c r="C6" s="215">
        <f>-V11</f>
        <v>-4159680</v>
      </c>
      <c r="E6" s="377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9"/>
    </row>
    <row r="7" spans="2:23" ht="15.75" thickBot="1" x14ac:dyDescent="0.3">
      <c r="B7" t="s">
        <v>1572</v>
      </c>
      <c r="C7" s="302">
        <f>SUM(C5:C6)</f>
        <v>910885102</v>
      </c>
      <c r="E7" s="377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9"/>
    </row>
    <row r="8" spans="2:23" ht="15.75" thickTop="1" x14ac:dyDescent="0.25">
      <c r="E8" s="377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9"/>
    </row>
    <row r="9" spans="2:23" x14ac:dyDescent="0.25">
      <c r="E9" s="377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9"/>
    </row>
    <row r="10" spans="2:23" x14ac:dyDescent="0.25">
      <c r="E10" s="377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9"/>
    </row>
    <row r="11" spans="2:23" x14ac:dyDescent="0.25">
      <c r="E11" s="377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9"/>
      <c r="V11" s="259">
        <v>4159680</v>
      </c>
      <c r="W11" t="s">
        <v>1568</v>
      </c>
    </row>
    <row r="12" spans="2:23" x14ac:dyDescent="0.25">
      <c r="E12" s="377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9"/>
      <c r="V12" s="259">
        <v>915044782</v>
      </c>
      <c r="W12" t="s">
        <v>1569</v>
      </c>
    </row>
    <row r="13" spans="2:23" x14ac:dyDescent="0.25">
      <c r="E13" s="377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9"/>
    </row>
    <row r="14" spans="2:23" x14ac:dyDescent="0.25">
      <c r="E14" s="377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9"/>
    </row>
    <row r="15" spans="2:23" x14ac:dyDescent="0.25">
      <c r="E15" s="377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9"/>
    </row>
    <row r="16" spans="2:23" x14ac:dyDescent="0.25">
      <c r="E16" s="377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9"/>
    </row>
    <row r="17" spans="5:21" x14ac:dyDescent="0.25">
      <c r="E17" s="377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9"/>
    </row>
    <row r="18" spans="5:21" x14ac:dyDescent="0.25">
      <c r="E18" s="377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9"/>
    </row>
    <row r="19" spans="5:21" x14ac:dyDescent="0.25">
      <c r="E19" s="377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9"/>
    </row>
    <row r="20" spans="5:21" x14ac:dyDescent="0.25">
      <c r="E20" s="377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9"/>
    </row>
    <row r="21" spans="5:21" x14ac:dyDescent="0.25">
      <c r="E21" s="377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9"/>
    </row>
    <row r="22" spans="5:21" x14ac:dyDescent="0.25">
      <c r="E22" s="377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9"/>
    </row>
    <row r="23" spans="5:21" x14ac:dyDescent="0.25">
      <c r="E23" s="380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3"/>
  <sheetViews>
    <sheetView workbookViewId="0">
      <pane xSplit="5" ySplit="5" topLeftCell="N728" activePane="bottomRight" state="frozen"/>
      <selection pane="topRight" activeCell="F1" sqref="F1"/>
      <selection pane="bottomLeft" activeCell="A6" sqref="A6"/>
      <selection pane="bottomRight" activeCell="Q749" sqref="Q749"/>
    </sheetView>
  </sheetViews>
  <sheetFormatPr defaultRowHeight="15" x14ac:dyDescent="0.25"/>
  <cols>
    <col min="1" max="1" width="3.5703125" customWidth="1"/>
    <col min="2" max="2" width="18" bestFit="1" customWidth="1"/>
    <col min="3" max="3" width="15.85546875" bestFit="1" customWidth="1"/>
    <col min="4" max="4" width="77.7109375" customWidth="1"/>
    <col min="5" max="5" width="26.85546875" bestFit="1" customWidth="1"/>
    <col min="6" max="7" width="16.28515625" bestFit="1" customWidth="1"/>
    <col min="8" max="10" width="16.28515625" customWidth="1"/>
    <col min="11" max="18" width="18" bestFit="1" customWidth="1"/>
  </cols>
  <sheetData>
    <row r="1" spans="2:17" x14ac:dyDescent="0.25">
      <c r="D1" t="s">
        <v>1214</v>
      </c>
      <c r="E1" t="s">
        <v>1215</v>
      </c>
    </row>
    <row r="2" spans="2:17" x14ac:dyDescent="0.25">
      <c r="B2" s="367" t="s">
        <v>1216</v>
      </c>
      <c r="D2" t="s">
        <v>1217</v>
      </c>
      <c r="E2" t="s">
        <v>36</v>
      </c>
    </row>
    <row r="3" spans="2:17" x14ac:dyDescent="0.25">
      <c r="B3" s="367" t="s">
        <v>1218</v>
      </c>
      <c r="D3" t="s">
        <v>1219</v>
      </c>
      <c r="E3" t="s">
        <v>1220</v>
      </c>
    </row>
    <row r="5" spans="2:17" x14ac:dyDescent="0.25">
      <c r="B5" s="5" t="s">
        <v>1221</v>
      </c>
      <c r="D5" t="s">
        <v>167</v>
      </c>
      <c r="E5" t="s">
        <v>1222</v>
      </c>
      <c r="F5" t="s">
        <v>1223</v>
      </c>
      <c r="G5" t="s">
        <v>1224</v>
      </c>
      <c r="H5" t="s">
        <v>1225</v>
      </c>
      <c r="I5" t="s">
        <v>1226</v>
      </c>
      <c r="J5" t="s">
        <v>1227</v>
      </c>
      <c r="K5" t="s">
        <v>1228</v>
      </c>
      <c r="L5" t="s">
        <v>1229</v>
      </c>
      <c r="M5" t="s">
        <v>1230</v>
      </c>
      <c r="N5" t="s">
        <v>1231</v>
      </c>
      <c r="O5" t="s">
        <v>1232</v>
      </c>
      <c r="P5" t="s">
        <v>1233</v>
      </c>
      <c r="Q5" t="s">
        <v>1234</v>
      </c>
    </row>
    <row r="6" spans="2:17" x14ac:dyDescent="0.25">
      <c r="B6" s="259">
        <f>(E6+Q6+SUM(F6:P6)*2)/24</f>
        <v>0</v>
      </c>
      <c r="D6" s="2" t="s">
        <v>1235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</row>
    <row r="7" spans="2:17" x14ac:dyDescent="0.25">
      <c r="B7" s="259">
        <f t="shared" ref="B7:B70" si="0">(E7+Q7+SUM(F7:P7)*2)/24</f>
        <v>4226582.1599999992</v>
      </c>
      <c r="D7" s="2" t="s">
        <v>1072</v>
      </c>
      <c r="E7" s="215">
        <v>4226582.16</v>
      </c>
      <c r="F7" s="215">
        <v>4226582.16</v>
      </c>
      <c r="G7" s="215">
        <v>4226582.16</v>
      </c>
      <c r="H7" s="215">
        <v>4226582.16</v>
      </c>
      <c r="I7" s="215">
        <v>4226582.16</v>
      </c>
      <c r="J7" s="215">
        <v>4226582.16</v>
      </c>
      <c r="K7" s="215">
        <v>4226582.16</v>
      </c>
      <c r="L7" s="215">
        <v>4226582.16</v>
      </c>
      <c r="M7" s="215">
        <v>4226582.16</v>
      </c>
      <c r="N7" s="215">
        <v>4226582.16</v>
      </c>
      <c r="O7" s="215">
        <v>4226582.16</v>
      </c>
      <c r="P7" s="215">
        <v>4226582.16</v>
      </c>
      <c r="Q7" s="215">
        <v>4226582.16</v>
      </c>
    </row>
    <row r="8" spans="2:17" x14ac:dyDescent="0.25">
      <c r="B8" s="259">
        <f t="shared" si="0"/>
        <v>3013238.194583334</v>
      </c>
      <c r="D8" s="2" t="s">
        <v>877</v>
      </c>
      <c r="E8" s="215">
        <v>3012717.12</v>
      </c>
      <c r="F8" s="215">
        <v>3012717.12</v>
      </c>
      <c r="G8" s="215">
        <v>3012717.12</v>
      </c>
      <c r="H8" s="215">
        <v>3012717.12</v>
      </c>
      <c r="I8" s="215">
        <v>3012717.12</v>
      </c>
      <c r="J8" s="215">
        <v>3012717.12</v>
      </c>
      <c r="K8" s="215">
        <v>3012717.12</v>
      </c>
      <c r="L8" s="215">
        <v>3013854.0100000002</v>
      </c>
      <c r="M8" s="215">
        <v>3013854.0100000002</v>
      </c>
      <c r="N8" s="215">
        <v>3013854.0100000002</v>
      </c>
      <c r="O8" s="215">
        <v>3013854.0100000002</v>
      </c>
      <c r="P8" s="215">
        <v>3013854.0100000002</v>
      </c>
      <c r="Q8" s="215">
        <v>3013854.0100000002</v>
      </c>
    </row>
    <row r="9" spans="2:17" x14ac:dyDescent="0.25">
      <c r="B9" s="259">
        <f t="shared" si="0"/>
        <v>2491616.1395833334</v>
      </c>
      <c r="D9" s="2" t="s">
        <v>879</v>
      </c>
      <c r="E9" s="215">
        <v>0</v>
      </c>
      <c r="F9" s="215">
        <v>0</v>
      </c>
      <c r="G9" s="215">
        <v>166889.99</v>
      </c>
      <c r="H9" s="215">
        <v>3088398.75</v>
      </c>
      <c r="I9" s="215">
        <v>3115242.02</v>
      </c>
      <c r="J9" s="215">
        <v>3136764.02</v>
      </c>
      <c r="K9" s="215">
        <v>3136764.02</v>
      </c>
      <c r="L9" s="215">
        <v>3136764.02</v>
      </c>
      <c r="M9" s="215">
        <v>3137460.19</v>
      </c>
      <c r="N9" s="215">
        <v>3137460.19</v>
      </c>
      <c r="O9" s="215">
        <v>3137460.19</v>
      </c>
      <c r="P9" s="215">
        <v>3137460.19</v>
      </c>
      <c r="Q9" s="215">
        <v>3137460.19</v>
      </c>
    </row>
    <row r="10" spans="2:17" x14ac:dyDescent="0.25">
      <c r="B10" s="259">
        <f t="shared" si="0"/>
        <v>0</v>
      </c>
      <c r="D10" s="2" t="s">
        <v>1236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</row>
    <row r="11" spans="2:17" x14ac:dyDescent="0.25">
      <c r="B11" s="259">
        <f t="shared" si="0"/>
        <v>996568.27916666667</v>
      </c>
      <c r="D11" s="2" t="s">
        <v>881</v>
      </c>
      <c r="E11" s="215">
        <v>0</v>
      </c>
      <c r="F11" s="215">
        <v>0</v>
      </c>
      <c r="G11" s="215">
        <v>0</v>
      </c>
      <c r="H11" s="215">
        <v>827951.90000000014</v>
      </c>
      <c r="I11" s="215">
        <v>854393.31000000017</v>
      </c>
      <c r="J11" s="215">
        <v>854393.31000000017</v>
      </c>
      <c r="K11" s="215">
        <v>1442959.5100000002</v>
      </c>
      <c r="L11" s="215">
        <v>1443037.52</v>
      </c>
      <c r="M11" s="215">
        <v>1449734</v>
      </c>
      <c r="N11" s="215">
        <v>1449734</v>
      </c>
      <c r="O11" s="215">
        <v>1454382.77</v>
      </c>
      <c r="P11" s="215">
        <v>1454822.02</v>
      </c>
      <c r="Q11" s="215">
        <v>1454822.02</v>
      </c>
    </row>
    <row r="12" spans="2:17" x14ac:dyDescent="0.25">
      <c r="B12" s="259">
        <f t="shared" si="0"/>
        <v>1885.7400000000005</v>
      </c>
      <c r="D12" s="2" t="s">
        <v>1237</v>
      </c>
      <c r="E12" s="215">
        <v>1885.74</v>
      </c>
      <c r="F12" s="215">
        <v>1885.74</v>
      </c>
      <c r="G12" s="215">
        <v>1885.74</v>
      </c>
      <c r="H12" s="215">
        <v>1885.74</v>
      </c>
      <c r="I12" s="215">
        <v>1885.74</v>
      </c>
      <c r="J12" s="215">
        <v>1885.74</v>
      </c>
      <c r="K12" s="215">
        <v>1885.74</v>
      </c>
      <c r="L12" s="215">
        <v>1885.74</v>
      </c>
      <c r="M12" s="215">
        <v>1885.74</v>
      </c>
      <c r="N12" s="215">
        <v>1885.74</v>
      </c>
      <c r="O12" s="215">
        <v>1885.74</v>
      </c>
      <c r="P12" s="215">
        <v>1885.74</v>
      </c>
      <c r="Q12" s="215">
        <v>1885.74</v>
      </c>
    </row>
    <row r="13" spans="2:17" x14ac:dyDescent="0.25">
      <c r="B13" s="259">
        <f t="shared" si="0"/>
        <v>25402.97</v>
      </c>
      <c r="D13" s="2" t="s">
        <v>1073</v>
      </c>
      <c r="E13" s="215">
        <v>25402.97</v>
      </c>
      <c r="F13" s="215">
        <v>25402.97</v>
      </c>
      <c r="G13" s="215">
        <v>25402.97</v>
      </c>
      <c r="H13" s="215">
        <v>25402.97</v>
      </c>
      <c r="I13" s="215">
        <v>25402.97</v>
      </c>
      <c r="J13" s="215">
        <v>25402.97</v>
      </c>
      <c r="K13" s="215">
        <v>25402.97</v>
      </c>
      <c r="L13" s="215">
        <v>25402.97</v>
      </c>
      <c r="M13" s="215">
        <v>25402.97</v>
      </c>
      <c r="N13" s="215">
        <v>25402.97</v>
      </c>
      <c r="O13" s="215">
        <v>25402.97</v>
      </c>
      <c r="P13" s="215">
        <v>25402.97</v>
      </c>
      <c r="Q13" s="215">
        <v>25402.97</v>
      </c>
    </row>
    <row r="14" spans="2:17" x14ac:dyDescent="0.25">
      <c r="B14" s="259">
        <f t="shared" si="0"/>
        <v>138.86999999999998</v>
      </c>
      <c r="D14" s="2" t="s">
        <v>1238</v>
      </c>
      <c r="E14" s="215">
        <v>138.87</v>
      </c>
      <c r="F14" s="215">
        <v>138.87</v>
      </c>
      <c r="G14" s="215">
        <v>138.87</v>
      </c>
      <c r="H14" s="215">
        <v>138.87</v>
      </c>
      <c r="I14" s="215">
        <v>138.87</v>
      </c>
      <c r="J14" s="215">
        <v>138.87</v>
      </c>
      <c r="K14" s="215">
        <v>138.87</v>
      </c>
      <c r="L14" s="215">
        <v>138.87</v>
      </c>
      <c r="M14" s="215">
        <v>138.87</v>
      </c>
      <c r="N14" s="215">
        <v>138.87</v>
      </c>
      <c r="O14" s="215">
        <v>138.87</v>
      </c>
      <c r="P14" s="215">
        <v>138.87</v>
      </c>
      <c r="Q14" s="215">
        <v>138.87</v>
      </c>
    </row>
    <row r="15" spans="2:17" x14ac:dyDescent="0.25">
      <c r="B15" s="259">
        <f t="shared" si="0"/>
        <v>753075.53250000009</v>
      </c>
      <c r="D15" s="2" t="s">
        <v>882</v>
      </c>
      <c r="E15" s="215">
        <v>750044.19</v>
      </c>
      <c r="F15" s="215">
        <v>753207.33000000007</v>
      </c>
      <c r="G15" s="215">
        <v>753207.33000000007</v>
      </c>
      <c r="H15" s="215">
        <v>753207.33000000007</v>
      </c>
      <c r="I15" s="215">
        <v>753207.33000000007</v>
      </c>
      <c r="J15" s="215">
        <v>753207.33000000007</v>
      </c>
      <c r="K15" s="215">
        <v>753207.33000000007</v>
      </c>
      <c r="L15" s="215">
        <v>753207.33000000007</v>
      </c>
      <c r="M15" s="215">
        <v>753207.33000000007</v>
      </c>
      <c r="N15" s="215">
        <v>753207.33000000007</v>
      </c>
      <c r="O15" s="215">
        <v>753207.33000000007</v>
      </c>
      <c r="P15" s="215">
        <v>753207.33000000007</v>
      </c>
      <c r="Q15" s="215">
        <v>753207.33000000007</v>
      </c>
    </row>
    <row r="16" spans="2:17" x14ac:dyDescent="0.25">
      <c r="B16" s="259">
        <f t="shared" si="0"/>
        <v>909683.24041666649</v>
      </c>
      <c r="D16" s="2" t="s">
        <v>883</v>
      </c>
      <c r="E16" s="215">
        <v>0</v>
      </c>
      <c r="F16" s="215">
        <v>932523.6</v>
      </c>
      <c r="G16" s="215">
        <v>937574.58</v>
      </c>
      <c r="H16" s="215">
        <v>948452.92999999993</v>
      </c>
      <c r="I16" s="215">
        <v>942776.33</v>
      </c>
      <c r="J16" s="215">
        <v>942776.33</v>
      </c>
      <c r="K16" s="215">
        <v>949428.38</v>
      </c>
      <c r="L16" s="215">
        <v>955733.8</v>
      </c>
      <c r="M16" s="215">
        <v>955733.8</v>
      </c>
      <c r="N16" s="215">
        <v>956825.46000000008</v>
      </c>
      <c r="O16" s="215">
        <v>957379.51000000013</v>
      </c>
      <c r="P16" s="215">
        <v>957996.1100000001</v>
      </c>
      <c r="Q16" s="215">
        <v>957996.1100000001</v>
      </c>
    </row>
    <row r="17" spans="2:17" x14ac:dyDescent="0.25">
      <c r="B17" s="259">
        <f t="shared" si="0"/>
        <v>0</v>
      </c>
      <c r="D17" s="2" t="s">
        <v>1239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</row>
    <row r="18" spans="2:17" x14ac:dyDescent="0.25">
      <c r="B18" s="259">
        <f t="shared" si="0"/>
        <v>5081733.1000000006</v>
      </c>
      <c r="D18" s="2" t="s">
        <v>1074</v>
      </c>
      <c r="E18" s="215">
        <v>5081733.0999999996</v>
      </c>
      <c r="F18" s="215">
        <v>5081733.0999999996</v>
      </c>
      <c r="G18" s="215">
        <v>5081733.0999999996</v>
      </c>
      <c r="H18" s="215">
        <v>5081733.0999999996</v>
      </c>
      <c r="I18" s="215">
        <v>5081733.0999999996</v>
      </c>
      <c r="J18" s="215">
        <v>5081733.0999999996</v>
      </c>
      <c r="K18" s="215">
        <v>5081733.0999999996</v>
      </c>
      <c r="L18" s="215">
        <v>5081733.0999999996</v>
      </c>
      <c r="M18" s="215">
        <v>5081733.0999999996</v>
      </c>
      <c r="N18" s="215">
        <v>5081733.0999999996</v>
      </c>
      <c r="O18" s="215">
        <v>5081733.0999999996</v>
      </c>
      <c r="P18" s="215">
        <v>5081733.0999999996</v>
      </c>
      <c r="Q18" s="215">
        <v>5081733.0999999996</v>
      </c>
    </row>
    <row r="19" spans="2:17" x14ac:dyDescent="0.25">
      <c r="B19" s="259">
        <f t="shared" si="0"/>
        <v>77736.899999999994</v>
      </c>
      <c r="D19" s="2" t="s">
        <v>1240</v>
      </c>
      <c r="E19" s="215">
        <v>77736.89999999998</v>
      </c>
      <c r="F19" s="215">
        <v>77736.89999999998</v>
      </c>
      <c r="G19" s="215">
        <v>77736.89999999998</v>
      </c>
      <c r="H19" s="215">
        <v>77736.89999999998</v>
      </c>
      <c r="I19" s="215">
        <v>77736.89999999998</v>
      </c>
      <c r="J19" s="215">
        <v>77736.89999999998</v>
      </c>
      <c r="K19" s="215">
        <v>77736.89999999998</v>
      </c>
      <c r="L19" s="215">
        <v>77736.89999999998</v>
      </c>
      <c r="M19" s="215">
        <v>77736.89999999998</v>
      </c>
      <c r="N19" s="215">
        <v>77736.89999999998</v>
      </c>
      <c r="O19" s="215">
        <v>77736.89999999998</v>
      </c>
      <c r="P19" s="215">
        <v>77736.89999999998</v>
      </c>
      <c r="Q19" s="215">
        <v>77736.89999999998</v>
      </c>
    </row>
    <row r="20" spans="2:17" x14ac:dyDescent="0.25">
      <c r="B20" s="259">
        <f t="shared" si="0"/>
        <v>0</v>
      </c>
      <c r="D20" s="2" t="s">
        <v>1241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</row>
    <row r="21" spans="2:17" x14ac:dyDescent="0.25">
      <c r="B21" s="259">
        <f t="shared" si="0"/>
        <v>43576.065833333334</v>
      </c>
      <c r="D21" s="2" t="s">
        <v>967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1045825.5800000001</v>
      </c>
    </row>
    <row r="22" spans="2:17" x14ac:dyDescent="0.25">
      <c r="B22" s="259">
        <f t="shared" si="0"/>
        <v>0</v>
      </c>
      <c r="D22" s="2" t="s">
        <v>1242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</row>
    <row r="23" spans="2:17" x14ac:dyDescent="0.25">
      <c r="B23" s="259">
        <f t="shared" si="0"/>
        <v>0</v>
      </c>
      <c r="D23" s="2" t="s">
        <v>1243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</row>
    <row r="24" spans="2:17" x14ac:dyDescent="0.25">
      <c r="B24" s="259">
        <f t="shared" si="0"/>
        <v>0</v>
      </c>
      <c r="D24" s="2" t="s">
        <v>1244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</row>
    <row r="25" spans="2:17" x14ac:dyDescent="0.25">
      <c r="B25" s="259">
        <f t="shared" si="0"/>
        <v>1028176.6887500002</v>
      </c>
      <c r="D25" s="2" t="s">
        <v>884</v>
      </c>
      <c r="E25" s="215">
        <v>931984.88000000012</v>
      </c>
      <c r="F25" s="215">
        <v>931984.88000000012</v>
      </c>
      <c r="G25" s="215">
        <v>1010308.8200000002</v>
      </c>
      <c r="H25" s="215">
        <v>1010308.8200000002</v>
      </c>
      <c r="I25" s="215">
        <v>1010308.8200000002</v>
      </c>
      <c r="J25" s="215">
        <v>1010308.8200000002</v>
      </c>
      <c r="K25" s="215">
        <v>1010308.8200000002</v>
      </c>
      <c r="L25" s="215">
        <v>1010308.8200000002</v>
      </c>
      <c r="M25" s="215">
        <v>1010308.8200000002</v>
      </c>
      <c r="N25" s="215">
        <v>1010308.8200000002</v>
      </c>
      <c r="O25" s="215">
        <v>1010437.1600000001</v>
      </c>
      <c r="P25" s="215">
        <v>1231490.1500000001</v>
      </c>
      <c r="Q25" s="215">
        <v>1231490.1500000001</v>
      </c>
    </row>
    <row r="26" spans="2:17" x14ac:dyDescent="0.25">
      <c r="B26" s="259">
        <f t="shared" si="0"/>
        <v>125622.73583333334</v>
      </c>
      <c r="D26" s="2" t="s">
        <v>969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3014945.66</v>
      </c>
    </row>
    <row r="27" spans="2:17" x14ac:dyDescent="0.25">
      <c r="B27" s="259">
        <f t="shared" si="0"/>
        <v>2500672.7316666665</v>
      </c>
      <c r="D27" s="2" t="s">
        <v>197</v>
      </c>
      <c r="E27" s="215">
        <v>2482679.0099999998</v>
      </c>
      <c r="F27" s="215">
        <v>2482679.0099999998</v>
      </c>
      <c r="G27" s="215">
        <v>2497351.29</v>
      </c>
      <c r="H27" s="215">
        <v>2499125.4900000002</v>
      </c>
      <c r="I27" s="215">
        <v>2500509.2599999998</v>
      </c>
      <c r="J27" s="215">
        <v>2504942.4299999997</v>
      </c>
      <c r="K27" s="215">
        <v>2504942.4299999997</v>
      </c>
      <c r="L27" s="215">
        <v>2504942.4299999997</v>
      </c>
      <c r="M27" s="215">
        <v>2504942.4299999997</v>
      </c>
      <c r="N27" s="215">
        <v>2504942.4299999997</v>
      </c>
      <c r="O27" s="215">
        <v>2504942.4299999997</v>
      </c>
      <c r="P27" s="215">
        <v>2504942.4299999997</v>
      </c>
      <c r="Q27" s="215">
        <v>2504942.4299999997</v>
      </c>
    </row>
    <row r="28" spans="2:17" x14ac:dyDescent="0.25">
      <c r="B28" s="259">
        <f t="shared" si="0"/>
        <v>-319620.76999999996</v>
      </c>
      <c r="D28" s="2" t="s">
        <v>199</v>
      </c>
      <c r="E28" s="215">
        <v>-319620.76999999996</v>
      </c>
      <c r="F28" s="215">
        <v>-319620.76999999996</v>
      </c>
      <c r="G28" s="215">
        <v>-319620.76999999996</v>
      </c>
      <c r="H28" s="215">
        <v>-319620.76999999996</v>
      </c>
      <c r="I28" s="215">
        <v>-319620.76999999996</v>
      </c>
      <c r="J28" s="215">
        <v>-319620.76999999996</v>
      </c>
      <c r="K28" s="215">
        <v>-319620.76999999996</v>
      </c>
      <c r="L28" s="215">
        <v>-319620.76999999996</v>
      </c>
      <c r="M28" s="215">
        <v>-319620.76999999996</v>
      </c>
      <c r="N28" s="215">
        <v>-319620.76999999996</v>
      </c>
      <c r="O28" s="215">
        <v>-319620.76999999996</v>
      </c>
      <c r="P28" s="215">
        <v>-319620.76999999996</v>
      </c>
      <c r="Q28" s="215">
        <v>-319620.76999999996</v>
      </c>
    </row>
    <row r="29" spans="2:17" x14ac:dyDescent="0.25">
      <c r="B29" s="259">
        <f t="shared" si="0"/>
        <v>2798621.3708333336</v>
      </c>
      <c r="D29" s="2" t="s">
        <v>201</v>
      </c>
      <c r="E29" s="215">
        <v>2777267.29</v>
      </c>
      <c r="F29" s="215">
        <v>2777267.29</v>
      </c>
      <c r="G29" s="215">
        <v>2777267.29</v>
      </c>
      <c r="H29" s="215">
        <v>2785594.14</v>
      </c>
      <c r="I29" s="215">
        <v>2785594.14</v>
      </c>
      <c r="J29" s="215">
        <v>2829330.67</v>
      </c>
      <c r="K29" s="215">
        <v>2806118.35</v>
      </c>
      <c r="L29" s="215">
        <v>2806118.35</v>
      </c>
      <c r="M29" s="215">
        <v>2806118.35</v>
      </c>
      <c r="N29" s="215">
        <v>2806118.35</v>
      </c>
      <c r="O29" s="215">
        <v>2806118.35</v>
      </c>
      <c r="P29" s="215">
        <v>2806118.35</v>
      </c>
      <c r="Q29" s="215">
        <v>2806118.35</v>
      </c>
    </row>
    <row r="30" spans="2:17" x14ac:dyDescent="0.25">
      <c r="B30" s="259">
        <f t="shared" si="0"/>
        <v>3583504.0129166669</v>
      </c>
      <c r="D30" s="2" t="s">
        <v>203</v>
      </c>
      <c r="E30" s="215">
        <v>2360340.17</v>
      </c>
      <c r="F30" s="215">
        <v>2297848</v>
      </c>
      <c r="G30" s="215">
        <v>2297928.9700000002</v>
      </c>
      <c r="H30" s="215">
        <v>2297928.9700000002</v>
      </c>
      <c r="I30" s="215">
        <v>2297928.9700000002</v>
      </c>
      <c r="J30" s="215">
        <v>2297928.9700000002</v>
      </c>
      <c r="K30" s="215">
        <v>2297928.9700000002</v>
      </c>
      <c r="L30" s="215">
        <v>2297928.9700000002</v>
      </c>
      <c r="M30" s="215">
        <v>2297928.9700000002</v>
      </c>
      <c r="N30" s="215">
        <v>2297928.9700000002</v>
      </c>
      <c r="O30" s="215">
        <v>2297928.9700000002</v>
      </c>
      <c r="P30" s="215">
        <v>10648086.100000001</v>
      </c>
      <c r="Q30" s="215">
        <v>16389166.48</v>
      </c>
    </row>
    <row r="31" spans="2:17" x14ac:dyDescent="0.25">
      <c r="B31" s="259">
        <f t="shared" si="0"/>
        <v>3157402.34375</v>
      </c>
      <c r="D31" s="2" t="s">
        <v>205</v>
      </c>
      <c r="E31" s="215">
        <v>3087362.1500000004</v>
      </c>
      <c r="F31" s="215">
        <v>3087362.1500000004</v>
      </c>
      <c r="G31" s="215">
        <v>3087362.1500000004</v>
      </c>
      <c r="H31" s="215">
        <v>3087362.1500000004</v>
      </c>
      <c r="I31" s="215">
        <v>3087362.1500000004</v>
      </c>
      <c r="J31" s="215">
        <v>3087362.1500000004</v>
      </c>
      <c r="K31" s="215">
        <v>3087458.22</v>
      </c>
      <c r="L31" s="215">
        <v>3087458.22</v>
      </c>
      <c r="M31" s="215">
        <v>3087458.22</v>
      </c>
      <c r="N31" s="215">
        <v>3087458.22</v>
      </c>
      <c r="O31" s="215">
        <v>3087458.22</v>
      </c>
      <c r="P31" s="215">
        <v>3087458.22</v>
      </c>
      <c r="Q31" s="215">
        <v>4767173.96</v>
      </c>
    </row>
    <row r="32" spans="2:17" x14ac:dyDescent="0.25">
      <c r="B32" s="259">
        <f t="shared" si="0"/>
        <v>390454.19416666665</v>
      </c>
      <c r="D32" s="2" t="s">
        <v>207</v>
      </c>
      <c r="E32" s="215">
        <v>187123.93999999997</v>
      </c>
      <c r="F32" s="215">
        <v>388024.72</v>
      </c>
      <c r="G32" s="215">
        <v>399669.00999999995</v>
      </c>
      <c r="H32" s="215">
        <v>400441.54</v>
      </c>
      <c r="I32" s="215">
        <v>400441.54</v>
      </c>
      <c r="J32" s="215">
        <v>400441.54</v>
      </c>
      <c r="K32" s="215">
        <v>400441.54</v>
      </c>
      <c r="L32" s="215">
        <v>400441.54</v>
      </c>
      <c r="M32" s="215">
        <v>400441.54</v>
      </c>
      <c r="N32" s="215">
        <v>400441.54</v>
      </c>
      <c r="O32" s="215">
        <v>400441.54</v>
      </c>
      <c r="P32" s="215">
        <v>400441.54</v>
      </c>
      <c r="Q32" s="215">
        <v>400441.54</v>
      </c>
    </row>
    <row r="33" spans="2:17" x14ac:dyDescent="0.25">
      <c r="B33" s="259">
        <f t="shared" si="0"/>
        <v>14539.254583333333</v>
      </c>
      <c r="D33" s="2" t="s">
        <v>971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348942.11</v>
      </c>
    </row>
    <row r="34" spans="2:17" x14ac:dyDescent="0.25">
      <c r="B34" s="259">
        <f t="shared" si="0"/>
        <v>9739131.8074999992</v>
      </c>
      <c r="D34" s="2" t="s">
        <v>209</v>
      </c>
      <c r="E34" s="215">
        <v>7446610.8100000005</v>
      </c>
      <c r="F34" s="215">
        <v>8225115.6799999997</v>
      </c>
      <c r="G34" s="215">
        <v>9047978.5099999998</v>
      </c>
      <c r="H34" s="215">
        <v>10011785.189999999</v>
      </c>
      <c r="I34" s="215">
        <v>10036150.85</v>
      </c>
      <c r="J34" s="215">
        <v>10059982.559999999</v>
      </c>
      <c r="K34" s="215">
        <v>10074207.129999997</v>
      </c>
      <c r="L34" s="215">
        <v>10072490.17</v>
      </c>
      <c r="M34" s="215">
        <v>10073826.15</v>
      </c>
      <c r="N34" s="215">
        <v>10074882.199999999</v>
      </c>
      <c r="O34" s="215">
        <v>10075277.209999999</v>
      </c>
      <c r="P34" s="215">
        <v>10075458.26</v>
      </c>
      <c r="Q34" s="215">
        <v>10638244.749999998</v>
      </c>
    </row>
    <row r="35" spans="2:17" x14ac:dyDescent="0.25">
      <c r="B35" s="259">
        <f t="shared" si="0"/>
        <v>1135708.9337500001</v>
      </c>
      <c r="D35" s="2" t="s">
        <v>211</v>
      </c>
      <c r="E35" s="215">
        <v>324036.53000000003</v>
      </c>
      <c r="F35" s="215">
        <v>684692.27</v>
      </c>
      <c r="G35" s="215">
        <v>683803.21</v>
      </c>
      <c r="H35" s="215">
        <v>1267969.9600000002</v>
      </c>
      <c r="I35" s="215">
        <v>1268188.3400000001</v>
      </c>
      <c r="J35" s="215">
        <v>1268188.3400000001</v>
      </c>
      <c r="K35" s="215">
        <v>1268244.8700000001</v>
      </c>
      <c r="L35" s="215">
        <v>1268244.8700000001</v>
      </c>
      <c r="M35" s="215">
        <v>1268691.57</v>
      </c>
      <c r="N35" s="215">
        <v>1268691.57</v>
      </c>
      <c r="O35" s="215">
        <v>1269152.4099999999</v>
      </c>
      <c r="P35" s="215">
        <v>1269152.4099999999</v>
      </c>
      <c r="Q35" s="215">
        <v>1362938.2399999998</v>
      </c>
    </row>
    <row r="36" spans="2:17" x14ac:dyDescent="0.25">
      <c r="B36" s="259">
        <f t="shared" si="0"/>
        <v>85626.810000000041</v>
      </c>
      <c r="D36" s="2" t="s">
        <v>213</v>
      </c>
      <c r="E36" s="215">
        <v>84987.920000000013</v>
      </c>
      <c r="F36" s="215">
        <v>84987.920000000013</v>
      </c>
      <c r="G36" s="215">
        <v>85718.080000000016</v>
      </c>
      <c r="H36" s="215">
        <v>85718.080000000016</v>
      </c>
      <c r="I36" s="215">
        <v>85718.080000000016</v>
      </c>
      <c r="J36" s="215">
        <v>85718.080000000016</v>
      </c>
      <c r="K36" s="215">
        <v>85718.080000000016</v>
      </c>
      <c r="L36" s="215">
        <v>85718.080000000016</v>
      </c>
      <c r="M36" s="215">
        <v>85718.080000000016</v>
      </c>
      <c r="N36" s="215">
        <v>85718.080000000016</v>
      </c>
      <c r="O36" s="215">
        <v>85718.080000000016</v>
      </c>
      <c r="P36" s="215">
        <v>85718.080000000016</v>
      </c>
      <c r="Q36" s="215">
        <v>85718.080000000016</v>
      </c>
    </row>
    <row r="37" spans="2:17" x14ac:dyDescent="0.25">
      <c r="B37" s="259">
        <f t="shared" si="0"/>
        <v>0</v>
      </c>
      <c r="D37" s="2" t="s">
        <v>1245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</row>
    <row r="38" spans="2:17" x14ac:dyDescent="0.25">
      <c r="B38" s="259">
        <f t="shared" si="0"/>
        <v>40637.299999999996</v>
      </c>
      <c r="D38" s="2" t="s">
        <v>1246</v>
      </c>
      <c r="E38" s="215">
        <v>40637.300000000003</v>
      </c>
      <c r="F38" s="215">
        <v>40637.300000000003</v>
      </c>
      <c r="G38" s="215">
        <v>40637.300000000003</v>
      </c>
      <c r="H38" s="215">
        <v>40637.300000000003</v>
      </c>
      <c r="I38" s="215">
        <v>40637.300000000003</v>
      </c>
      <c r="J38" s="215">
        <v>40637.300000000003</v>
      </c>
      <c r="K38" s="215">
        <v>40637.300000000003</v>
      </c>
      <c r="L38" s="215">
        <v>40637.300000000003</v>
      </c>
      <c r="M38" s="215">
        <v>40637.300000000003</v>
      </c>
      <c r="N38" s="215">
        <v>40637.300000000003</v>
      </c>
      <c r="O38" s="215">
        <v>40637.300000000003</v>
      </c>
      <c r="P38" s="215">
        <v>40637.300000000003</v>
      </c>
      <c r="Q38" s="215">
        <v>40637.300000000003</v>
      </c>
    </row>
    <row r="39" spans="2:17" x14ac:dyDescent="0.25">
      <c r="B39" s="259">
        <f t="shared" si="0"/>
        <v>73775.262500000012</v>
      </c>
      <c r="D39" s="2" t="s">
        <v>217</v>
      </c>
      <c r="E39" s="215">
        <v>49085.19</v>
      </c>
      <c r="F39" s="215">
        <v>49085.19</v>
      </c>
      <c r="G39" s="215">
        <v>49085.19</v>
      </c>
      <c r="H39" s="215">
        <v>80272.649999999994</v>
      </c>
      <c r="I39" s="215">
        <v>80272.649999999994</v>
      </c>
      <c r="J39" s="215">
        <v>80272.649999999994</v>
      </c>
      <c r="K39" s="215">
        <v>80272.649999999994</v>
      </c>
      <c r="L39" s="215">
        <v>80272.649999999994</v>
      </c>
      <c r="M39" s="215">
        <v>80272.649999999994</v>
      </c>
      <c r="N39" s="215">
        <v>80272.649999999994</v>
      </c>
      <c r="O39" s="215">
        <v>80272.649999999994</v>
      </c>
      <c r="P39" s="215">
        <v>80272.649999999994</v>
      </c>
      <c r="Q39" s="215">
        <v>80272.649999999994</v>
      </c>
    </row>
    <row r="40" spans="2:17" x14ac:dyDescent="0.25">
      <c r="B40" s="259">
        <f t="shared" si="0"/>
        <v>0</v>
      </c>
      <c r="D40" s="2" t="s">
        <v>1247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</row>
    <row r="41" spans="2:17" x14ac:dyDescent="0.25">
      <c r="B41" s="259">
        <f t="shared" si="0"/>
        <v>71143812.659166664</v>
      </c>
      <c r="D41" s="2" t="s">
        <v>1248</v>
      </c>
      <c r="E41" s="215">
        <v>43525431.600000001</v>
      </c>
      <c r="F41" s="215">
        <v>47541154.690000005</v>
      </c>
      <c r="G41" s="215">
        <v>50004644.159999996</v>
      </c>
      <c r="H41" s="215">
        <v>56970612.369999997</v>
      </c>
      <c r="I41" s="215">
        <v>63637292.600000001</v>
      </c>
      <c r="J41" s="215">
        <v>68749859.079999998</v>
      </c>
      <c r="K41" s="215">
        <v>76852929.719999999</v>
      </c>
      <c r="L41" s="215">
        <v>79470263.840000004</v>
      </c>
      <c r="M41" s="215">
        <v>81869319.850000009</v>
      </c>
      <c r="N41" s="215">
        <v>84773576.729999989</v>
      </c>
      <c r="O41" s="215">
        <v>88518710.449999988</v>
      </c>
      <c r="P41" s="215">
        <v>88021438.819999993</v>
      </c>
      <c r="Q41" s="215">
        <v>91106467.599999994</v>
      </c>
    </row>
    <row r="42" spans="2:17" x14ac:dyDescent="0.25">
      <c r="B42" s="259">
        <f t="shared" si="0"/>
        <v>174136.85000000003</v>
      </c>
      <c r="D42" s="2" t="s">
        <v>1249</v>
      </c>
      <c r="E42" s="215">
        <v>174136.85</v>
      </c>
      <c r="F42" s="215">
        <v>174136.85</v>
      </c>
      <c r="G42" s="215">
        <v>174136.85</v>
      </c>
      <c r="H42" s="215">
        <v>174136.85</v>
      </c>
      <c r="I42" s="215">
        <v>174136.85</v>
      </c>
      <c r="J42" s="215">
        <v>174136.85</v>
      </c>
      <c r="K42" s="215">
        <v>174136.85</v>
      </c>
      <c r="L42" s="215">
        <v>174136.85</v>
      </c>
      <c r="M42" s="215">
        <v>174136.85</v>
      </c>
      <c r="N42" s="215">
        <v>174136.85</v>
      </c>
      <c r="O42" s="215">
        <v>174136.85</v>
      </c>
      <c r="P42" s="215">
        <v>174136.85</v>
      </c>
      <c r="Q42" s="215">
        <v>174136.85</v>
      </c>
    </row>
    <row r="43" spans="2:17" x14ac:dyDescent="0.25">
      <c r="B43" s="259">
        <f t="shared" si="0"/>
        <v>0</v>
      </c>
      <c r="D43" s="2" t="s">
        <v>1250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</row>
    <row r="44" spans="2:17" x14ac:dyDescent="0.25">
      <c r="B44" s="259">
        <f t="shared" si="0"/>
        <v>0</v>
      </c>
      <c r="D44" s="2" t="s">
        <v>1251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</row>
    <row r="45" spans="2:17" x14ac:dyDescent="0.25">
      <c r="B45" s="259">
        <f t="shared" si="0"/>
        <v>0</v>
      </c>
      <c r="D45" s="2" t="s">
        <v>1252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</row>
    <row r="46" spans="2:17" x14ac:dyDescent="0.25">
      <c r="B46" s="259">
        <f t="shared" si="0"/>
        <v>0</v>
      </c>
      <c r="D46" s="2" t="s">
        <v>1253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</row>
    <row r="47" spans="2:17" x14ac:dyDescent="0.25">
      <c r="B47" s="259">
        <f t="shared" si="0"/>
        <v>0</v>
      </c>
      <c r="D47" s="2" t="s">
        <v>1254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</row>
    <row r="48" spans="2:17" x14ac:dyDescent="0.25">
      <c r="B48" s="259">
        <f t="shared" si="0"/>
        <v>3810257.0520833335</v>
      </c>
      <c r="D48" s="2" t="s">
        <v>219</v>
      </c>
      <c r="E48" s="215">
        <v>3234899.8899999992</v>
      </c>
      <c r="F48" s="215">
        <v>3241912.6</v>
      </c>
      <c r="G48" s="215">
        <v>3305803.73</v>
      </c>
      <c r="H48" s="215">
        <v>3493998.41</v>
      </c>
      <c r="I48" s="215">
        <v>3559147.46</v>
      </c>
      <c r="J48" s="215">
        <v>3654209.4600000004</v>
      </c>
      <c r="K48" s="215">
        <v>3663011.81</v>
      </c>
      <c r="L48" s="215">
        <v>3675312.0300000003</v>
      </c>
      <c r="M48" s="215">
        <v>3976435.94</v>
      </c>
      <c r="N48" s="215">
        <v>4025402.06</v>
      </c>
      <c r="O48" s="215">
        <v>4032233.67</v>
      </c>
      <c r="P48" s="215">
        <v>4454058.3900000006</v>
      </c>
      <c r="Q48" s="215">
        <v>6048218.2400000002</v>
      </c>
    </row>
    <row r="49" spans="2:17" x14ac:dyDescent="0.25">
      <c r="B49" s="259">
        <f t="shared" si="0"/>
        <v>0</v>
      </c>
      <c r="D49" s="2" t="s">
        <v>1255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  <c r="J49" s="215">
        <v>0</v>
      </c>
      <c r="K49" s="215">
        <v>0</v>
      </c>
      <c r="L49" s="215">
        <v>0</v>
      </c>
      <c r="M49" s="215">
        <v>0</v>
      </c>
      <c r="N49" s="215">
        <v>0</v>
      </c>
      <c r="O49" s="215">
        <v>0</v>
      </c>
      <c r="P49" s="215">
        <v>0</v>
      </c>
      <c r="Q49" s="215">
        <v>0</v>
      </c>
    </row>
    <row r="50" spans="2:17" x14ac:dyDescent="0.25">
      <c r="B50" s="259">
        <f t="shared" si="0"/>
        <v>734527.8583333334</v>
      </c>
      <c r="D50" s="2" t="s">
        <v>221</v>
      </c>
      <c r="E50" s="215">
        <v>736615.76</v>
      </c>
      <c r="F50" s="215">
        <v>734437.08</v>
      </c>
      <c r="G50" s="215">
        <v>734437.08</v>
      </c>
      <c r="H50" s="215">
        <v>734437.08</v>
      </c>
      <c r="I50" s="215">
        <v>734437.08</v>
      </c>
      <c r="J50" s="215">
        <v>734437.08</v>
      </c>
      <c r="K50" s="215">
        <v>734437.08</v>
      </c>
      <c r="L50" s="215">
        <v>734437.08</v>
      </c>
      <c r="M50" s="215">
        <v>734437.08</v>
      </c>
      <c r="N50" s="215">
        <v>734437.08</v>
      </c>
      <c r="O50" s="215">
        <v>734437.08</v>
      </c>
      <c r="P50" s="215">
        <v>734437.08</v>
      </c>
      <c r="Q50" s="215">
        <v>734437.08</v>
      </c>
    </row>
    <row r="51" spans="2:17" x14ac:dyDescent="0.25">
      <c r="B51" s="259">
        <f t="shared" si="0"/>
        <v>672098.57041666668</v>
      </c>
      <c r="D51" s="2" t="s">
        <v>886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3137728.33</v>
      </c>
      <c r="P51" s="215">
        <v>3296171.55</v>
      </c>
      <c r="Q51" s="215">
        <v>3262565.93</v>
      </c>
    </row>
    <row r="52" spans="2:17" x14ac:dyDescent="0.25">
      <c r="B52" s="259">
        <f t="shared" si="0"/>
        <v>0</v>
      </c>
      <c r="D52" s="2" t="s">
        <v>1256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  <c r="O52" s="215">
        <v>0</v>
      </c>
      <c r="P52" s="215">
        <v>0</v>
      </c>
      <c r="Q52" s="215">
        <v>0</v>
      </c>
    </row>
    <row r="53" spans="2:17" x14ac:dyDescent="0.25">
      <c r="B53" s="259">
        <f t="shared" si="0"/>
        <v>0</v>
      </c>
      <c r="D53" s="2" t="s">
        <v>1257</v>
      </c>
      <c r="E53" s="215">
        <v>0</v>
      </c>
      <c r="F53" s="215">
        <v>0</v>
      </c>
      <c r="G53" s="215">
        <v>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0</v>
      </c>
      <c r="O53" s="215">
        <v>0</v>
      </c>
      <c r="P53" s="215">
        <v>0</v>
      </c>
      <c r="Q53" s="215">
        <v>0</v>
      </c>
    </row>
    <row r="54" spans="2:17" x14ac:dyDescent="0.25">
      <c r="B54" s="259">
        <f t="shared" si="0"/>
        <v>218120.66041666665</v>
      </c>
      <c r="D54" s="2" t="s">
        <v>973</v>
      </c>
      <c r="E54" s="215">
        <v>0</v>
      </c>
      <c r="F54" s="215">
        <v>0</v>
      </c>
      <c r="G54" s="215">
        <v>0</v>
      </c>
      <c r="H54" s="215">
        <v>0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215">
        <v>0</v>
      </c>
      <c r="P54" s="215">
        <v>1509331.14</v>
      </c>
      <c r="Q54" s="215">
        <v>2216233.5700000003</v>
      </c>
    </row>
    <row r="55" spans="2:17" x14ac:dyDescent="0.25">
      <c r="B55" s="259">
        <f t="shared" si="0"/>
        <v>0</v>
      </c>
      <c r="D55" s="2" t="s">
        <v>1258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215">
        <v>0</v>
      </c>
      <c r="M55" s="215">
        <v>0</v>
      </c>
      <c r="N55" s="215">
        <v>0</v>
      </c>
      <c r="O55" s="215">
        <v>0</v>
      </c>
      <c r="P55" s="215">
        <v>0</v>
      </c>
      <c r="Q55" s="215">
        <v>0</v>
      </c>
    </row>
    <row r="56" spans="2:17" x14ac:dyDescent="0.25">
      <c r="B56" s="259">
        <f t="shared" si="0"/>
        <v>0</v>
      </c>
      <c r="D56" s="2" t="s">
        <v>1100</v>
      </c>
      <c r="E56" s="215">
        <v>0</v>
      </c>
      <c r="F56" s="215">
        <v>0</v>
      </c>
      <c r="G56" s="215">
        <v>0</v>
      </c>
      <c r="H56" s="215">
        <v>0</v>
      </c>
      <c r="I56" s="215">
        <v>0</v>
      </c>
      <c r="J56" s="215">
        <v>0</v>
      </c>
      <c r="K56" s="215">
        <v>0</v>
      </c>
      <c r="L56" s="215">
        <v>0</v>
      </c>
      <c r="M56" s="215">
        <v>0</v>
      </c>
      <c r="N56" s="215">
        <v>0</v>
      </c>
      <c r="O56" s="215">
        <v>0</v>
      </c>
      <c r="P56" s="215">
        <v>0</v>
      </c>
      <c r="Q56" s="215">
        <v>0</v>
      </c>
    </row>
    <row r="57" spans="2:17" x14ac:dyDescent="0.25">
      <c r="B57" s="259">
        <f t="shared" si="0"/>
        <v>79437.521666666667</v>
      </c>
      <c r="D57" s="2" t="s">
        <v>888</v>
      </c>
      <c r="E57" s="215">
        <v>0</v>
      </c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15">
        <v>0</v>
      </c>
      <c r="L57" s="215">
        <v>0</v>
      </c>
      <c r="M57" s="215">
        <v>0</v>
      </c>
      <c r="N57" s="215">
        <v>0</v>
      </c>
      <c r="O57" s="215">
        <v>0</v>
      </c>
      <c r="P57" s="215">
        <v>0</v>
      </c>
      <c r="Q57" s="215">
        <v>1906500.52</v>
      </c>
    </row>
    <row r="58" spans="2:17" x14ac:dyDescent="0.25">
      <c r="B58" s="259">
        <f t="shared" si="0"/>
        <v>0</v>
      </c>
      <c r="D58" s="2" t="s">
        <v>1259</v>
      </c>
      <c r="E58" s="215">
        <v>0</v>
      </c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5">
        <v>0</v>
      </c>
      <c r="O58" s="215">
        <v>0</v>
      </c>
      <c r="P58" s="215">
        <v>0</v>
      </c>
      <c r="Q58" s="215">
        <v>0</v>
      </c>
    </row>
    <row r="59" spans="2:17" x14ac:dyDescent="0.25">
      <c r="B59" s="259">
        <f t="shared" si="0"/>
        <v>0</v>
      </c>
      <c r="D59" s="2" t="s">
        <v>1260</v>
      </c>
      <c r="E59" s="215">
        <v>0</v>
      </c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  <c r="O59" s="215">
        <v>0</v>
      </c>
      <c r="P59" s="215">
        <v>0</v>
      </c>
      <c r="Q59" s="215">
        <v>0</v>
      </c>
    </row>
    <row r="60" spans="2:17" x14ac:dyDescent="0.25">
      <c r="B60" s="259">
        <f t="shared" si="0"/>
        <v>0</v>
      </c>
      <c r="D60" s="2" t="s">
        <v>1102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  <c r="K60" s="215">
        <v>0</v>
      </c>
      <c r="L60" s="215">
        <v>0</v>
      </c>
      <c r="M60" s="215">
        <v>0</v>
      </c>
      <c r="N60" s="215">
        <v>0</v>
      </c>
      <c r="O60" s="215">
        <v>0</v>
      </c>
      <c r="P60" s="215">
        <v>0</v>
      </c>
      <c r="Q60" s="215">
        <v>0</v>
      </c>
    </row>
    <row r="61" spans="2:17" x14ac:dyDescent="0.25">
      <c r="B61" s="259">
        <f t="shared" si="0"/>
        <v>30022.076666666664</v>
      </c>
      <c r="D61" s="2" t="s">
        <v>975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  <c r="O61" s="215">
        <v>0</v>
      </c>
      <c r="P61" s="215">
        <v>230376.11</v>
      </c>
      <c r="Q61" s="215">
        <v>259777.62</v>
      </c>
    </row>
    <row r="62" spans="2:17" x14ac:dyDescent="0.25">
      <c r="B62" s="259">
        <f t="shared" si="0"/>
        <v>0</v>
      </c>
      <c r="D62" s="2" t="s">
        <v>1129</v>
      </c>
      <c r="E62" s="215">
        <v>0</v>
      </c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215">
        <v>0</v>
      </c>
      <c r="P62" s="215">
        <v>0</v>
      </c>
      <c r="Q62" s="215">
        <v>0</v>
      </c>
    </row>
    <row r="63" spans="2:17" x14ac:dyDescent="0.25">
      <c r="B63" s="259">
        <f t="shared" si="0"/>
        <v>0</v>
      </c>
      <c r="D63" s="2" t="s">
        <v>1261</v>
      </c>
      <c r="E63" s="215">
        <v>0</v>
      </c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215">
        <v>0</v>
      </c>
      <c r="Q63" s="215">
        <v>0</v>
      </c>
    </row>
    <row r="64" spans="2:17" x14ac:dyDescent="0.25">
      <c r="B64" s="259">
        <f t="shared" si="0"/>
        <v>0</v>
      </c>
      <c r="D64" s="2" t="s">
        <v>1262</v>
      </c>
      <c r="E64" s="215">
        <v>0</v>
      </c>
      <c r="F64" s="215">
        <v>0</v>
      </c>
      <c r="G64" s="215">
        <v>0</v>
      </c>
      <c r="H64" s="215"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</row>
    <row r="65" spans="2:17" x14ac:dyDescent="0.25">
      <c r="B65" s="259">
        <f t="shared" si="0"/>
        <v>0</v>
      </c>
      <c r="D65" s="2" t="s">
        <v>1263</v>
      </c>
      <c r="E65" s="215">
        <v>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5">
        <v>0</v>
      </c>
      <c r="Q65" s="215">
        <v>0</v>
      </c>
    </row>
    <row r="66" spans="2:17" x14ac:dyDescent="0.25">
      <c r="B66" s="259">
        <f t="shared" si="0"/>
        <v>8794.3408333333336</v>
      </c>
      <c r="D66" s="2" t="s">
        <v>977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0</v>
      </c>
      <c r="P66" s="215">
        <v>0</v>
      </c>
      <c r="Q66" s="215">
        <v>211064.18</v>
      </c>
    </row>
    <row r="67" spans="2:17" x14ac:dyDescent="0.25">
      <c r="B67" s="259">
        <f t="shared" si="0"/>
        <v>0</v>
      </c>
      <c r="D67" s="2" t="s">
        <v>1264</v>
      </c>
      <c r="E67" s="215">
        <v>0</v>
      </c>
      <c r="F67" s="215">
        <v>0</v>
      </c>
      <c r="G67" s="215">
        <v>0</v>
      </c>
      <c r="H67" s="215">
        <v>0</v>
      </c>
      <c r="I67" s="215">
        <v>0</v>
      </c>
      <c r="J67" s="215">
        <v>0</v>
      </c>
      <c r="K67" s="215">
        <v>0</v>
      </c>
      <c r="L67" s="215">
        <v>0</v>
      </c>
      <c r="M67" s="215">
        <v>0</v>
      </c>
      <c r="N67" s="215">
        <v>0</v>
      </c>
      <c r="O67" s="215">
        <v>0</v>
      </c>
      <c r="P67" s="215">
        <v>0</v>
      </c>
      <c r="Q67" s="215">
        <v>0</v>
      </c>
    </row>
    <row r="68" spans="2:17" x14ac:dyDescent="0.25">
      <c r="B68" s="259">
        <f t="shared" si="0"/>
        <v>0</v>
      </c>
      <c r="D68" s="2" t="s">
        <v>1265</v>
      </c>
      <c r="E68" s="215">
        <v>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5">
        <v>0</v>
      </c>
      <c r="Q68" s="215">
        <v>0</v>
      </c>
    </row>
    <row r="69" spans="2:17" x14ac:dyDescent="0.25">
      <c r="B69" s="259">
        <f t="shared" si="0"/>
        <v>0</v>
      </c>
      <c r="D69" s="2" t="s">
        <v>1266</v>
      </c>
      <c r="E69" s="215">
        <v>0</v>
      </c>
      <c r="F69" s="215">
        <v>0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5">
        <v>0</v>
      </c>
    </row>
    <row r="70" spans="2:17" x14ac:dyDescent="0.25">
      <c r="B70" s="259">
        <f t="shared" si="0"/>
        <v>0</v>
      </c>
      <c r="D70" s="2" t="s">
        <v>1267</v>
      </c>
      <c r="E70" s="215">
        <v>0</v>
      </c>
      <c r="F70" s="215">
        <v>0</v>
      </c>
      <c r="G70" s="215">
        <v>0</v>
      </c>
      <c r="H70" s="215"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215">
        <v>0</v>
      </c>
      <c r="O70" s="215">
        <v>0</v>
      </c>
      <c r="P70" s="215">
        <v>0</v>
      </c>
      <c r="Q70" s="215">
        <v>0</v>
      </c>
    </row>
    <row r="71" spans="2:17" x14ac:dyDescent="0.25">
      <c r="B71" s="259">
        <f t="shared" ref="B71:B134" si="1">(E71+Q71+SUM(F71:P71)*2)/24</f>
        <v>0</v>
      </c>
      <c r="D71" s="2" t="s">
        <v>1268</v>
      </c>
      <c r="E71" s="215">
        <v>0</v>
      </c>
      <c r="F71" s="215">
        <v>0</v>
      </c>
      <c r="G71" s="215">
        <v>0</v>
      </c>
      <c r="H71" s="215">
        <v>0</v>
      </c>
      <c r="I71" s="215">
        <v>0</v>
      </c>
      <c r="J71" s="215">
        <v>0</v>
      </c>
      <c r="K71" s="215">
        <v>0</v>
      </c>
      <c r="L71" s="215">
        <v>0</v>
      </c>
      <c r="M71" s="215">
        <v>0</v>
      </c>
      <c r="N71" s="215">
        <v>0</v>
      </c>
      <c r="O71" s="215">
        <v>0</v>
      </c>
      <c r="P71" s="215">
        <v>0</v>
      </c>
      <c r="Q71" s="215">
        <v>0</v>
      </c>
    </row>
    <row r="72" spans="2:17" x14ac:dyDescent="0.25">
      <c r="B72" s="259">
        <f t="shared" si="1"/>
        <v>2675060.2458333331</v>
      </c>
      <c r="D72" s="2" t="s">
        <v>223</v>
      </c>
      <c r="E72" s="215">
        <v>2682734.14</v>
      </c>
      <c r="F72" s="215">
        <v>2672875.9300000002</v>
      </c>
      <c r="G72" s="215">
        <v>2673105.67</v>
      </c>
      <c r="H72" s="215">
        <v>2672736.56</v>
      </c>
      <c r="I72" s="215">
        <v>2667716.08</v>
      </c>
      <c r="J72" s="215">
        <v>2694126.85</v>
      </c>
      <c r="K72" s="215">
        <v>2673143.63</v>
      </c>
      <c r="L72" s="215">
        <v>2673214.54</v>
      </c>
      <c r="M72" s="215">
        <v>2673171.67</v>
      </c>
      <c r="N72" s="215">
        <v>2673781.77</v>
      </c>
      <c r="O72" s="215">
        <v>2674278.1</v>
      </c>
      <c r="P72" s="215">
        <v>2674136.7200000002</v>
      </c>
      <c r="Q72" s="215">
        <v>2674136.7200000002</v>
      </c>
    </row>
    <row r="73" spans="2:17" x14ac:dyDescent="0.25">
      <c r="B73" s="259">
        <f t="shared" si="1"/>
        <v>52906.339166666665</v>
      </c>
      <c r="D73" s="2" t="s">
        <v>890</v>
      </c>
      <c r="E73" s="215">
        <v>0</v>
      </c>
      <c r="F73" s="215">
        <v>0</v>
      </c>
      <c r="G73" s="215">
        <v>0</v>
      </c>
      <c r="H73" s="215">
        <v>0</v>
      </c>
      <c r="I73" s="215">
        <v>0</v>
      </c>
      <c r="J73" s="215">
        <v>0</v>
      </c>
      <c r="K73" s="215">
        <v>0</v>
      </c>
      <c r="L73" s="215">
        <v>0</v>
      </c>
      <c r="M73" s="215">
        <v>0</v>
      </c>
      <c r="N73" s="215">
        <v>0</v>
      </c>
      <c r="O73" s="215">
        <v>0</v>
      </c>
      <c r="P73" s="215">
        <v>0</v>
      </c>
      <c r="Q73" s="215">
        <v>1269752.1399999999</v>
      </c>
    </row>
    <row r="74" spans="2:17" x14ac:dyDescent="0.25">
      <c r="B74" s="259">
        <f t="shared" si="1"/>
        <v>71229.444583333345</v>
      </c>
      <c r="D74" s="2" t="s">
        <v>225</v>
      </c>
      <c r="E74" s="215">
        <v>70001.81</v>
      </c>
      <c r="F74" s="215">
        <v>71282.820000000007</v>
      </c>
      <c r="G74" s="215">
        <v>71282.820000000007</v>
      </c>
      <c r="H74" s="215">
        <v>71282.820000000007</v>
      </c>
      <c r="I74" s="215">
        <v>71282.820000000007</v>
      </c>
      <c r="J74" s="215">
        <v>71282.820000000007</v>
      </c>
      <c r="K74" s="215">
        <v>71282.820000000007</v>
      </c>
      <c r="L74" s="215">
        <v>71282.820000000007</v>
      </c>
      <c r="M74" s="215">
        <v>71282.820000000007</v>
      </c>
      <c r="N74" s="215">
        <v>71282.820000000007</v>
      </c>
      <c r="O74" s="215">
        <v>71282.820000000007</v>
      </c>
      <c r="P74" s="215">
        <v>71282.820000000007</v>
      </c>
      <c r="Q74" s="215">
        <v>71282.820000000007</v>
      </c>
    </row>
    <row r="75" spans="2:17" x14ac:dyDescent="0.25">
      <c r="B75" s="259">
        <f t="shared" si="1"/>
        <v>362316.26833333331</v>
      </c>
      <c r="D75" s="2" t="s">
        <v>227</v>
      </c>
      <c r="E75" s="215">
        <v>361022.92000000004</v>
      </c>
      <c r="F75" s="215">
        <v>362951.06000000006</v>
      </c>
      <c r="G75" s="215">
        <v>362317.4</v>
      </c>
      <c r="H75" s="215">
        <v>362317.4</v>
      </c>
      <c r="I75" s="215">
        <v>362317.4</v>
      </c>
      <c r="J75" s="215">
        <v>362317.4</v>
      </c>
      <c r="K75" s="215">
        <v>362317.4</v>
      </c>
      <c r="L75" s="215">
        <v>362317.4</v>
      </c>
      <c r="M75" s="215">
        <v>362317.4</v>
      </c>
      <c r="N75" s="215">
        <v>362317.4</v>
      </c>
      <c r="O75" s="215">
        <v>362317.4</v>
      </c>
      <c r="P75" s="215">
        <v>362317.4</v>
      </c>
      <c r="Q75" s="215">
        <v>362317.4</v>
      </c>
    </row>
    <row r="76" spans="2:17" x14ac:dyDescent="0.25">
      <c r="B76" s="259">
        <f t="shared" si="1"/>
        <v>0</v>
      </c>
      <c r="D76" s="2" t="s">
        <v>1131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  <c r="K76" s="215">
        <v>0</v>
      </c>
      <c r="L76" s="215">
        <v>0</v>
      </c>
      <c r="M76" s="215">
        <v>0</v>
      </c>
      <c r="N76" s="215">
        <v>0</v>
      </c>
      <c r="O76" s="215">
        <v>0</v>
      </c>
      <c r="P76" s="215">
        <v>0</v>
      </c>
      <c r="Q76" s="215">
        <v>0</v>
      </c>
    </row>
    <row r="77" spans="2:17" x14ac:dyDescent="0.25">
      <c r="B77" s="259">
        <f t="shared" si="1"/>
        <v>0</v>
      </c>
      <c r="D77" s="2" t="s">
        <v>1269</v>
      </c>
      <c r="E77" s="215">
        <v>0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  <c r="K77" s="215">
        <v>0</v>
      </c>
      <c r="L77" s="215">
        <v>0</v>
      </c>
      <c r="M77" s="215">
        <v>0</v>
      </c>
      <c r="N77" s="215">
        <v>0</v>
      </c>
      <c r="O77" s="215">
        <v>0</v>
      </c>
      <c r="P77" s="215">
        <v>0</v>
      </c>
      <c r="Q77" s="215">
        <v>0</v>
      </c>
    </row>
    <row r="78" spans="2:17" x14ac:dyDescent="0.25">
      <c r="B78" s="259">
        <f t="shared" si="1"/>
        <v>0</v>
      </c>
      <c r="D78" s="2" t="s">
        <v>1270</v>
      </c>
      <c r="E78" s="215">
        <v>0</v>
      </c>
      <c r="F78" s="215">
        <v>0</v>
      </c>
      <c r="G78" s="215">
        <v>0</v>
      </c>
      <c r="H78" s="215">
        <v>0</v>
      </c>
      <c r="I78" s="215">
        <v>0</v>
      </c>
      <c r="J78" s="215">
        <v>0</v>
      </c>
      <c r="K78" s="215">
        <v>0</v>
      </c>
      <c r="L78" s="215">
        <v>0</v>
      </c>
      <c r="M78" s="215">
        <v>0</v>
      </c>
      <c r="N78" s="215">
        <v>0</v>
      </c>
      <c r="O78" s="215">
        <v>0</v>
      </c>
      <c r="P78" s="215">
        <v>0</v>
      </c>
      <c r="Q78" s="215">
        <v>0</v>
      </c>
    </row>
    <row r="79" spans="2:17" x14ac:dyDescent="0.25">
      <c r="B79" s="259">
        <f t="shared" si="1"/>
        <v>0</v>
      </c>
      <c r="D79" s="2" t="s">
        <v>1271</v>
      </c>
      <c r="E79" s="215">
        <v>0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  <c r="K79" s="215">
        <v>0</v>
      </c>
      <c r="L79" s="215">
        <v>0</v>
      </c>
      <c r="M79" s="215">
        <v>0</v>
      </c>
      <c r="N79" s="215">
        <v>0</v>
      </c>
      <c r="O79" s="215">
        <v>0</v>
      </c>
      <c r="P79" s="215">
        <v>0</v>
      </c>
      <c r="Q79" s="215">
        <v>0</v>
      </c>
    </row>
    <row r="80" spans="2:17" x14ac:dyDescent="0.25">
      <c r="B80" s="259">
        <f t="shared" si="1"/>
        <v>5151276.1262500007</v>
      </c>
      <c r="D80" s="2" t="s">
        <v>229</v>
      </c>
      <c r="E80" s="215">
        <v>5151685.43</v>
      </c>
      <c r="F80" s="215">
        <v>5151685.43</v>
      </c>
      <c r="G80" s="215">
        <v>5151317.92</v>
      </c>
      <c r="H80" s="215">
        <v>5151207.0999999996</v>
      </c>
      <c r="I80" s="215">
        <v>5151207.0999999996</v>
      </c>
      <c r="J80" s="215">
        <v>5151207.0999999996</v>
      </c>
      <c r="K80" s="215">
        <v>5151207.0999999996</v>
      </c>
      <c r="L80" s="215">
        <v>5151207.0999999996</v>
      </c>
      <c r="M80" s="215">
        <v>5151207.0999999996</v>
      </c>
      <c r="N80" s="215">
        <v>5151207.0999999996</v>
      </c>
      <c r="O80" s="215">
        <v>5151207.0999999996</v>
      </c>
      <c r="P80" s="215">
        <v>5151207.0999999996</v>
      </c>
      <c r="Q80" s="215">
        <v>5151207.0999999996</v>
      </c>
    </row>
    <row r="81" spans="2:17" x14ac:dyDescent="0.25">
      <c r="B81" s="259">
        <f t="shared" si="1"/>
        <v>2962704.6841666666</v>
      </c>
      <c r="D81" s="2" t="s">
        <v>231</v>
      </c>
      <c r="E81" s="215">
        <v>1802364.33</v>
      </c>
      <c r="F81" s="215">
        <v>1802364.33</v>
      </c>
      <c r="G81" s="215">
        <v>1802364.33</v>
      </c>
      <c r="H81" s="215">
        <v>1802364.33</v>
      </c>
      <c r="I81" s="215">
        <v>1802364.33</v>
      </c>
      <c r="J81" s="215">
        <v>1802364.33</v>
      </c>
      <c r="K81" s="215">
        <v>3933620.86</v>
      </c>
      <c r="L81" s="215">
        <v>3938626.29</v>
      </c>
      <c r="M81" s="215">
        <v>3939110.2</v>
      </c>
      <c r="N81" s="215">
        <v>3947426.5300000003</v>
      </c>
      <c r="O81" s="215">
        <v>3952481.53</v>
      </c>
      <c r="P81" s="215">
        <v>3952008.41</v>
      </c>
      <c r="Q81" s="215">
        <v>3952357.15</v>
      </c>
    </row>
    <row r="82" spans="2:17" x14ac:dyDescent="0.25">
      <c r="B82" s="259">
        <f t="shared" si="1"/>
        <v>0</v>
      </c>
      <c r="D82" s="2" t="s">
        <v>1134</v>
      </c>
      <c r="E82" s="215">
        <v>0</v>
      </c>
      <c r="F82" s="215">
        <v>0</v>
      </c>
      <c r="G82" s="215">
        <v>0</v>
      </c>
      <c r="H82" s="215">
        <v>0</v>
      </c>
      <c r="I82" s="215">
        <v>0</v>
      </c>
      <c r="J82" s="215">
        <v>0</v>
      </c>
      <c r="K82" s="215">
        <v>0</v>
      </c>
      <c r="L82" s="215">
        <v>0</v>
      </c>
      <c r="M82" s="215">
        <v>0</v>
      </c>
      <c r="N82" s="215">
        <v>0</v>
      </c>
      <c r="O82" s="215">
        <v>0</v>
      </c>
      <c r="P82" s="215">
        <v>0</v>
      </c>
      <c r="Q82" s="215">
        <v>0</v>
      </c>
    </row>
    <row r="83" spans="2:17" x14ac:dyDescent="0.25">
      <c r="B83" s="259">
        <f t="shared" si="1"/>
        <v>11615.397916666667</v>
      </c>
      <c r="D83" s="2" t="s">
        <v>1272</v>
      </c>
      <c r="E83" s="215">
        <v>0</v>
      </c>
      <c r="F83" s="215">
        <v>0</v>
      </c>
      <c r="G83" s="215">
        <v>0</v>
      </c>
      <c r="H83" s="215">
        <v>0</v>
      </c>
      <c r="I83" s="215">
        <v>0</v>
      </c>
      <c r="J83" s="215">
        <v>0</v>
      </c>
      <c r="K83" s="215">
        <v>0</v>
      </c>
      <c r="L83" s="215">
        <v>0</v>
      </c>
      <c r="M83" s="215">
        <v>0</v>
      </c>
      <c r="N83" s="215">
        <v>0</v>
      </c>
      <c r="O83" s="215">
        <v>0</v>
      </c>
      <c r="P83" s="215">
        <v>0</v>
      </c>
      <c r="Q83" s="215">
        <v>278769.55</v>
      </c>
    </row>
    <row r="84" spans="2:17" x14ac:dyDescent="0.25">
      <c r="B84" s="259">
        <f t="shared" si="1"/>
        <v>113109.25</v>
      </c>
      <c r="D84" s="2" t="s">
        <v>892</v>
      </c>
      <c r="E84" s="215">
        <v>0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215">
        <v>0</v>
      </c>
      <c r="M84" s="215">
        <v>0</v>
      </c>
      <c r="N84" s="215">
        <v>0</v>
      </c>
      <c r="O84" s="215">
        <v>0</v>
      </c>
      <c r="P84" s="215">
        <v>0</v>
      </c>
      <c r="Q84" s="215">
        <v>2714622</v>
      </c>
    </row>
    <row r="85" spans="2:17" x14ac:dyDescent="0.25">
      <c r="B85" s="259">
        <f t="shared" si="1"/>
        <v>0</v>
      </c>
      <c r="D85" s="2" t="s">
        <v>1136</v>
      </c>
      <c r="E85" s="215">
        <v>0</v>
      </c>
      <c r="F85" s="215">
        <v>0</v>
      </c>
      <c r="G85" s="215">
        <v>0</v>
      </c>
      <c r="H85" s="215">
        <v>0</v>
      </c>
      <c r="I85" s="215">
        <v>0</v>
      </c>
      <c r="J85" s="215">
        <v>0</v>
      </c>
      <c r="K85" s="215">
        <v>0</v>
      </c>
      <c r="L85" s="215">
        <v>0</v>
      </c>
      <c r="M85" s="215">
        <v>0</v>
      </c>
      <c r="N85" s="215">
        <v>0</v>
      </c>
      <c r="O85" s="215">
        <v>0</v>
      </c>
      <c r="P85" s="215">
        <v>0</v>
      </c>
      <c r="Q85" s="215">
        <v>0</v>
      </c>
    </row>
    <row r="86" spans="2:17" x14ac:dyDescent="0.25">
      <c r="B86" s="259">
        <f t="shared" si="1"/>
        <v>0</v>
      </c>
      <c r="D86" s="2" t="s">
        <v>1273</v>
      </c>
      <c r="E86" s="215">
        <v>0</v>
      </c>
      <c r="F86" s="215">
        <v>0</v>
      </c>
      <c r="G86" s="215">
        <v>0</v>
      </c>
      <c r="H86" s="215">
        <v>0</v>
      </c>
      <c r="I86" s="215">
        <v>0</v>
      </c>
      <c r="J86" s="215">
        <v>0</v>
      </c>
      <c r="K86" s="215">
        <v>0</v>
      </c>
      <c r="L86" s="215">
        <v>0</v>
      </c>
      <c r="M86" s="215">
        <v>0</v>
      </c>
      <c r="N86" s="215">
        <v>0</v>
      </c>
      <c r="O86" s="215">
        <v>0</v>
      </c>
      <c r="P86" s="215">
        <v>0</v>
      </c>
      <c r="Q86" s="215">
        <v>0</v>
      </c>
    </row>
    <row r="87" spans="2:17" x14ac:dyDescent="0.25">
      <c r="B87" s="259">
        <f t="shared" si="1"/>
        <v>0</v>
      </c>
      <c r="D87" s="2" t="s">
        <v>1274</v>
      </c>
      <c r="E87" s="215">
        <v>0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0</v>
      </c>
      <c r="M87" s="215">
        <v>0</v>
      </c>
      <c r="N87" s="215">
        <v>0</v>
      </c>
      <c r="O87" s="215">
        <v>0</v>
      </c>
      <c r="P87" s="215">
        <v>0</v>
      </c>
      <c r="Q87" s="215">
        <v>0</v>
      </c>
    </row>
    <row r="88" spans="2:17" x14ac:dyDescent="0.25">
      <c r="B88" s="259">
        <f t="shared" si="1"/>
        <v>0</v>
      </c>
      <c r="D88" s="2" t="s">
        <v>1275</v>
      </c>
      <c r="E88" s="215">
        <v>0</v>
      </c>
      <c r="F88" s="215">
        <v>0</v>
      </c>
      <c r="G88" s="215">
        <v>0</v>
      </c>
      <c r="H88" s="215">
        <v>0</v>
      </c>
      <c r="I88" s="215">
        <v>0</v>
      </c>
      <c r="J88" s="215">
        <v>0</v>
      </c>
      <c r="K88" s="215">
        <v>0</v>
      </c>
      <c r="L88" s="215">
        <v>0</v>
      </c>
      <c r="M88" s="215">
        <v>0</v>
      </c>
      <c r="N88" s="215">
        <v>0</v>
      </c>
      <c r="O88" s="215">
        <v>0</v>
      </c>
      <c r="P88" s="215">
        <v>0</v>
      </c>
      <c r="Q88" s="215">
        <v>0</v>
      </c>
    </row>
    <row r="89" spans="2:17" x14ac:dyDescent="0.25">
      <c r="B89" s="259">
        <f t="shared" si="1"/>
        <v>134559.59</v>
      </c>
      <c r="D89" s="2" t="s">
        <v>981</v>
      </c>
      <c r="E89" s="215">
        <v>0</v>
      </c>
      <c r="F89" s="215">
        <v>0</v>
      </c>
      <c r="G89" s="215">
        <v>0</v>
      </c>
      <c r="H89" s="215">
        <v>0</v>
      </c>
      <c r="I89" s="215">
        <v>0</v>
      </c>
      <c r="J89" s="215">
        <v>0</v>
      </c>
      <c r="K89" s="215">
        <v>0</v>
      </c>
      <c r="L89" s="215">
        <v>0</v>
      </c>
      <c r="M89" s="215">
        <v>0</v>
      </c>
      <c r="N89" s="215">
        <v>0</v>
      </c>
      <c r="O89" s="215">
        <v>0</v>
      </c>
      <c r="P89" s="215">
        <v>0</v>
      </c>
      <c r="Q89" s="215">
        <v>3229430.16</v>
      </c>
    </row>
    <row r="90" spans="2:17" x14ac:dyDescent="0.25">
      <c r="B90" s="259">
        <f t="shared" si="1"/>
        <v>539823.54</v>
      </c>
      <c r="D90" s="2" t="s">
        <v>1276</v>
      </c>
      <c r="E90" s="215">
        <v>539823.54</v>
      </c>
      <c r="F90" s="215">
        <v>539823.54</v>
      </c>
      <c r="G90" s="215">
        <v>539823.54</v>
      </c>
      <c r="H90" s="215">
        <v>539823.54</v>
      </c>
      <c r="I90" s="215">
        <v>539823.54</v>
      </c>
      <c r="J90" s="215">
        <v>539823.54</v>
      </c>
      <c r="K90" s="215">
        <v>539823.54</v>
      </c>
      <c r="L90" s="215">
        <v>539823.54</v>
      </c>
      <c r="M90" s="215">
        <v>539823.54</v>
      </c>
      <c r="N90" s="215">
        <v>539823.54</v>
      </c>
      <c r="O90" s="215">
        <v>539823.54</v>
      </c>
      <c r="P90" s="215">
        <v>539823.54</v>
      </c>
      <c r="Q90" s="215">
        <v>539823.54</v>
      </c>
    </row>
    <row r="91" spans="2:17" x14ac:dyDescent="0.25">
      <c r="B91" s="259">
        <f t="shared" si="1"/>
        <v>0</v>
      </c>
      <c r="D91" s="2" t="s">
        <v>1277</v>
      </c>
      <c r="E91" s="215">
        <v>0</v>
      </c>
      <c r="F91" s="215">
        <v>0</v>
      </c>
      <c r="G91" s="215">
        <v>0</v>
      </c>
      <c r="H91" s="215">
        <v>0</v>
      </c>
      <c r="I91" s="215">
        <v>0</v>
      </c>
      <c r="J91" s="215">
        <v>0</v>
      </c>
      <c r="K91" s="215">
        <v>0</v>
      </c>
      <c r="L91" s="215">
        <v>0</v>
      </c>
      <c r="M91" s="215">
        <v>0</v>
      </c>
      <c r="N91" s="215">
        <v>0</v>
      </c>
      <c r="O91" s="215">
        <v>0</v>
      </c>
      <c r="P91" s="215">
        <v>0</v>
      </c>
      <c r="Q91" s="215">
        <v>0</v>
      </c>
    </row>
    <row r="92" spans="2:17" x14ac:dyDescent="0.25">
      <c r="B92" s="259">
        <f t="shared" si="1"/>
        <v>63922.993333333339</v>
      </c>
      <c r="D92" s="2" t="s">
        <v>983</v>
      </c>
      <c r="E92" s="215">
        <v>0</v>
      </c>
      <c r="F92" s="215">
        <v>0</v>
      </c>
      <c r="G92" s="215">
        <v>0</v>
      </c>
      <c r="H92" s="215">
        <v>0</v>
      </c>
      <c r="I92" s="215">
        <v>0</v>
      </c>
      <c r="J92" s="215">
        <v>0</v>
      </c>
      <c r="K92" s="215">
        <v>0</v>
      </c>
      <c r="L92" s="215">
        <v>0</v>
      </c>
      <c r="M92" s="215">
        <v>0</v>
      </c>
      <c r="N92" s="215">
        <v>0</v>
      </c>
      <c r="O92" s="215">
        <v>0</v>
      </c>
      <c r="P92" s="215">
        <v>0</v>
      </c>
      <c r="Q92" s="215">
        <v>1534151.84</v>
      </c>
    </row>
    <row r="93" spans="2:17" x14ac:dyDescent="0.25">
      <c r="B93" s="259">
        <f t="shared" si="1"/>
        <v>17850.450416666667</v>
      </c>
      <c r="D93" s="2" t="s">
        <v>985</v>
      </c>
      <c r="E93" s="215">
        <v>0</v>
      </c>
      <c r="F93" s="215">
        <v>0</v>
      </c>
      <c r="G93" s="215">
        <v>0</v>
      </c>
      <c r="H93" s="215">
        <v>0</v>
      </c>
      <c r="I93" s="215">
        <v>0</v>
      </c>
      <c r="J93" s="215">
        <v>0</v>
      </c>
      <c r="K93" s="215">
        <v>0</v>
      </c>
      <c r="L93" s="215">
        <v>0</v>
      </c>
      <c r="M93" s="215">
        <v>0</v>
      </c>
      <c r="N93" s="215">
        <v>0</v>
      </c>
      <c r="O93" s="215">
        <v>0</v>
      </c>
      <c r="P93" s="215">
        <v>142257.35</v>
      </c>
      <c r="Q93" s="215">
        <v>143896.10999999999</v>
      </c>
    </row>
    <row r="94" spans="2:17" x14ac:dyDescent="0.25">
      <c r="B94" s="259">
        <f t="shared" si="1"/>
        <v>0</v>
      </c>
      <c r="D94" s="2" t="s">
        <v>1138</v>
      </c>
      <c r="E94" s="215">
        <v>0</v>
      </c>
      <c r="F94" s="215">
        <v>0</v>
      </c>
      <c r="G94" s="215">
        <v>0</v>
      </c>
      <c r="H94" s="215">
        <v>0</v>
      </c>
      <c r="I94" s="215">
        <v>0</v>
      </c>
      <c r="J94" s="215">
        <v>0</v>
      </c>
      <c r="K94" s="215">
        <v>0</v>
      </c>
      <c r="L94" s="215">
        <v>0</v>
      </c>
      <c r="M94" s="215">
        <v>0</v>
      </c>
      <c r="N94" s="215">
        <v>0</v>
      </c>
      <c r="O94" s="215">
        <v>0</v>
      </c>
      <c r="P94" s="215">
        <v>0</v>
      </c>
      <c r="Q94" s="215">
        <v>0</v>
      </c>
    </row>
    <row r="95" spans="2:17" x14ac:dyDescent="0.25">
      <c r="B95" s="259">
        <f t="shared" si="1"/>
        <v>178947.58666666667</v>
      </c>
      <c r="D95" s="2" t="s">
        <v>894</v>
      </c>
      <c r="E95" s="215">
        <v>0</v>
      </c>
      <c r="F95" s="215">
        <v>0</v>
      </c>
      <c r="G95" s="215">
        <v>0</v>
      </c>
      <c r="H95" s="215">
        <v>0</v>
      </c>
      <c r="I95" s="215">
        <v>0</v>
      </c>
      <c r="J95" s="215">
        <v>0</v>
      </c>
      <c r="K95" s="215">
        <v>0</v>
      </c>
      <c r="L95" s="215">
        <v>0</v>
      </c>
      <c r="M95" s="215">
        <v>0</v>
      </c>
      <c r="N95" s="215">
        <v>0</v>
      </c>
      <c r="O95" s="215">
        <v>0</v>
      </c>
      <c r="P95" s="215">
        <v>0</v>
      </c>
      <c r="Q95" s="215">
        <v>4294742.08</v>
      </c>
    </row>
    <row r="96" spans="2:17" x14ac:dyDescent="0.25">
      <c r="B96" s="259">
        <f t="shared" si="1"/>
        <v>0</v>
      </c>
      <c r="D96" s="2" t="s">
        <v>1140</v>
      </c>
      <c r="E96" s="215">
        <v>0</v>
      </c>
      <c r="F96" s="215">
        <v>0</v>
      </c>
      <c r="G96" s="215">
        <v>0</v>
      </c>
      <c r="H96" s="215">
        <v>0</v>
      </c>
      <c r="I96" s="215">
        <v>0</v>
      </c>
      <c r="J96" s="215">
        <v>0</v>
      </c>
      <c r="K96" s="215">
        <v>0</v>
      </c>
      <c r="L96" s="215">
        <v>0</v>
      </c>
      <c r="M96" s="215">
        <v>0</v>
      </c>
      <c r="N96" s="215">
        <v>0</v>
      </c>
      <c r="O96" s="215">
        <v>0</v>
      </c>
      <c r="P96" s="215">
        <v>0</v>
      </c>
      <c r="Q96" s="215">
        <v>0</v>
      </c>
    </row>
    <row r="97" spans="2:17" x14ac:dyDescent="0.25">
      <c r="B97" s="259">
        <f t="shared" si="1"/>
        <v>39369.952499999999</v>
      </c>
      <c r="D97" s="2" t="s">
        <v>987</v>
      </c>
      <c r="E97" s="215">
        <v>0</v>
      </c>
      <c r="F97" s="215">
        <v>0</v>
      </c>
      <c r="G97" s="215">
        <v>0</v>
      </c>
      <c r="H97" s="215">
        <v>0</v>
      </c>
      <c r="I97" s="215">
        <v>0</v>
      </c>
      <c r="J97" s="215">
        <v>0</v>
      </c>
      <c r="K97" s="215">
        <v>0</v>
      </c>
      <c r="L97" s="215">
        <v>0</v>
      </c>
      <c r="M97" s="215">
        <v>0</v>
      </c>
      <c r="N97" s="215">
        <v>0</v>
      </c>
      <c r="O97" s="215">
        <v>0</v>
      </c>
      <c r="P97" s="215">
        <v>0</v>
      </c>
      <c r="Q97" s="215">
        <v>944878.86</v>
      </c>
    </row>
    <row r="98" spans="2:17" x14ac:dyDescent="0.25">
      <c r="B98" s="259">
        <f t="shared" si="1"/>
        <v>0</v>
      </c>
      <c r="D98" s="2" t="s">
        <v>1142</v>
      </c>
      <c r="E98" s="215">
        <v>0</v>
      </c>
      <c r="F98" s="215">
        <v>0</v>
      </c>
      <c r="G98" s="215">
        <v>0</v>
      </c>
      <c r="H98" s="215">
        <v>0</v>
      </c>
      <c r="I98" s="215">
        <v>0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0</v>
      </c>
      <c r="P98" s="215">
        <v>0</v>
      </c>
      <c r="Q98" s="215">
        <v>0</v>
      </c>
    </row>
    <row r="99" spans="2:17" x14ac:dyDescent="0.25">
      <c r="B99" s="259">
        <f t="shared" si="1"/>
        <v>0</v>
      </c>
      <c r="D99" s="2" t="s">
        <v>1278</v>
      </c>
      <c r="E99" s="215">
        <v>0</v>
      </c>
      <c r="F99" s="215">
        <v>0</v>
      </c>
      <c r="G99" s="215">
        <v>0</v>
      </c>
      <c r="H99" s="215">
        <v>0</v>
      </c>
      <c r="I99" s="215">
        <v>0</v>
      </c>
      <c r="J99" s="215">
        <v>0</v>
      </c>
      <c r="K99" s="215">
        <v>0</v>
      </c>
      <c r="L99" s="215">
        <v>0</v>
      </c>
      <c r="M99" s="215">
        <v>0</v>
      </c>
      <c r="N99" s="215">
        <v>0</v>
      </c>
      <c r="O99" s="215">
        <v>0</v>
      </c>
      <c r="P99" s="215">
        <v>0</v>
      </c>
      <c r="Q99" s="215">
        <v>0</v>
      </c>
    </row>
    <row r="100" spans="2:17" x14ac:dyDescent="0.25">
      <c r="B100" s="259">
        <f t="shared" si="1"/>
        <v>0</v>
      </c>
      <c r="D100" s="2" t="s">
        <v>1279</v>
      </c>
      <c r="E100" s="215">
        <v>0</v>
      </c>
      <c r="F100" s="215">
        <v>0</v>
      </c>
      <c r="G100" s="215">
        <v>0</v>
      </c>
      <c r="H100" s="215">
        <v>0</v>
      </c>
      <c r="I100" s="215">
        <v>0</v>
      </c>
      <c r="J100" s="215">
        <v>0</v>
      </c>
      <c r="K100" s="215">
        <v>0</v>
      </c>
      <c r="L100" s="215">
        <v>0</v>
      </c>
      <c r="M100" s="215">
        <v>0</v>
      </c>
      <c r="N100" s="215">
        <v>0</v>
      </c>
      <c r="O100" s="215">
        <v>0</v>
      </c>
      <c r="P100" s="215">
        <v>0</v>
      </c>
      <c r="Q100" s="215">
        <v>0</v>
      </c>
    </row>
    <row r="101" spans="2:17" x14ac:dyDescent="0.25">
      <c r="B101" s="259">
        <f t="shared" si="1"/>
        <v>0</v>
      </c>
      <c r="D101" s="2" t="s">
        <v>1280</v>
      </c>
      <c r="E101" s="215">
        <v>0</v>
      </c>
      <c r="F101" s="215">
        <v>0</v>
      </c>
      <c r="G101" s="215">
        <v>0</v>
      </c>
      <c r="H101" s="215">
        <v>0</v>
      </c>
      <c r="I101" s="215">
        <v>0</v>
      </c>
      <c r="J101" s="215">
        <v>0</v>
      </c>
      <c r="K101" s="215">
        <v>0</v>
      </c>
      <c r="L101" s="215">
        <v>0</v>
      </c>
      <c r="M101" s="215">
        <v>0</v>
      </c>
      <c r="N101" s="215">
        <v>0</v>
      </c>
      <c r="O101" s="215">
        <v>0</v>
      </c>
      <c r="P101" s="215">
        <v>0</v>
      </c>
      <c r="Q101" s="215">
        <v>0</v>
      </c>
    </row>
    <row r="102" spans="2:17" x14ac:dyDescent="0.25">
      <c r="B102" s="259">
        <f t="shared" si="1"/>
        <v>0</v>
      </c>
      <c r="D102" s="2" t="s">
        <v>1281</v>
      </c>
      <c r="E102" s="215">
        <v>0</v>
      </c>
      <c r="F102" s="215">
        <v>0</v>
      </c>
      <c r="G102" s="215">
        <v>0</v>
      </c>
      <c r="H102" s="215">
        <v>0</v>
      </c>
      <c r="I102" s="215">
        <v>0</v>
      </c>
      <c r="J102" s="215">
        <v>0</v>
      </c>
      <c r="K102" s="215">
        <v>0</v>
      </c>
      <c r="L102" s="215">
        <v>0</v>
      </c>
      <c r="M102" s="215">
        <v>0</v>
      </c>
      <c r="N102" s="215">
        <v>0</v>
      </c>
      <c r="O102" s="215">
        <v>0</v>
      </c>
      <c r="P102" s="215">
        <v>0</v>
      </c>
      <c r="Q102" s="215">
        <v>0</v>
      </c>
    </row>
    <row r="103" spans="2:17" x14ac:dyDescent="0.25">
      <c r="B103" s="259">
        <f t="shared" si="1"/>
        <v>0</v>
      </c>
      <c r="D103" s="2" t="s">
        <v>1282</v>
      </c>
      <c r="E103" s="215">
        <v>0</v>
      </c>
      <c r="F103" s="215">
        <v>0</v>
      </c>
      <c r="G103" s="215">
        <v>0</v>
      </c>
      <c r="H103" s="215">
        <v>0</v>
      </c>
      <c r="I103" s="215">
        <v>0</v>
      </c>
      <c r="J103" s="215">
        <v>0</v>
      </c>
      <c r="K103" s="215">
        <v>0</v>
      </c>
      <c r="L103" s="215">
        <v>0</v>
      </c>
      <c r="M103" s="215">
        <v>0</v>
      </c>
      <c r="N103" s="215">
        <v>0</v>
      </c>
      <c r="O103" s="215">
        <v>0</v>
      </c>
      <c r="P103" s="215">
        <v>0</v>
      </c>
      <c r="Q103" s="215">
        <v>0</v>
      </c>
    </row>
    <row r="104" spans="2:17" x14ac:dyDescent="0.25">
      <c r="B104" s="259">
        <f t="shared" si="1"/>
        <v>0</v>
      </c>
      <c r="D104" s="2" t="s">
        <v>1283</v>
      </c>
      <c r="E104" s="215">
        <v>0</v>
      </c>
      <c r="F104" s="215">
        <v>0</v>
      </c>
      <c r="G104" s="215">
        <v>0</v>
      </c>
      <c r="H104" s="215">
        <v>0</v>
      </c>
      <c r="I104" s="215">
        <v>0</v>
      </c>
      <c r="J104" s="215">
        <v>0</v>
      </c>
      <c r="K104" s="215">
        <v>0</v>
      </c>
      <c r="L104" s="215">
        <v>0</v>
      </c>
      <c r="M104" s="215">
        <v>0</v>
      </c>
      <c r="N104" s="215">
        <v>0</v>
      </c>
      <c r="O104" s="215">
        <v>0</v>
      </c>
      <c r="P104" s="215">
        <v>0</v>
      </c>
      <c r="Q104" s="215">
        <v>0</v>
      </c>
    </row>
    <row r="105" spans="2:17" x14ac:dyDescent="0.25">
      <c r="B105" s="259">
        <f t="shared" si="1"/>
        <v>2283675.2599999993</v>
      </c>
      <c r="D105" s="2" t="s">
        <v>1284</v>
      </c>
      <c r="E105" s="215">
        <v>2283675.2599999998</v>
      </c>
      <c r="F105" s="215">
        <v>2283675.2599999998</v>
      </c>
      <c r="G105" s="215">
        <v>2283675.2599999998</v>
      </c>
      <c r="H105" s="215">
        <v>2283675.2599999998</v>
      </c>
      <c r="I105" s="215">
        <v>2283675.2599999998</v>
      </c>
      <c r="J105" s="215">
        <v>2283675.2599999998</v>
      </c>
      <c r="K105" s="215">
        <v>2283675.2599999998</v>
      </c>
      <c r="L105" s="215">
        <v>2283675.2599999998</v>
      </c>
      <c r="M105" s="215">
        <v>2283675.2599999998</v>
      </c>
      <c r="N105" s="215">
        <v>2283675.2599999998</v>
      </c>
      <c r="O105" s="215">
        <v>2283675.2599999998</v>
      </c>
      <c r="P105" s="215">
        <v>2283675.2599999998</v>
      </c>
      <c r="Q105" s="215">
        <v>2283675.2599999998</v>
      </c>
    </row>
    <row r="106" spans="2:17" x14ac:dyDescent="0.25">
      <c r="B106" s="259">
        <f t="shared" si="1"/>
        <v>2582576.865416667</v>
      </c>
      <c r="D106" s="2" t="s">
        <v>896</v>
      </c>
      <c r="E106" s="215">
        <v>0</v>
      </c>
      <c r="F106" s="215">
        <v>0</v>
      </c>
      <c r="G106" s="215">
        <v>2994637.14</v>
      </c>
      <c r="H106" s="215">
        <v>3771664.57</v>
      </c>
      <c r="I106" s="215">
        <v>2832653.61</v>
      </c>
      <c r="J106" s="215">
        <v>2848020.03</v>
      </c>
      <c r="K106" s="215">
        <v>2863058.52</v>
      </c>
      <c r="L106" s="215">
        <v>2835858.91</v>
      </c>
      <c r="M106" s="215">
        <v>2829258.91</v>
      </c>
      <c r="N106" s="215">
        <v>2835858.91</v>
      </c>
      <c r="O106" s="215">
        <v>2835858.91</v>
      </c>
      <c r="P106" s="215">
        <v>2835858.91</v>
      </c>
      <c r="Q106" s="215">
        <v>3016387.93</v>
      </c>
    </row>
    <row r="107" spans="2:17" x14ac:dyDescent="0.25">
      <c r="B107" s="259">
        <f t="shared" si="1"/>
        <v>0</v>
      </c>
      <c r="D107" s="2" t="s">
        <v>1285</v>
      </c>
      <c r="E107" s="215">
        <v>0</v>
      </c>
      <c r="F107" s="215">
        <v>0</v>
      </c>
      <c r="G107" s="215">
        <v>0</v>
      </c>
      <c r="H107" s="215">
        <v>0</v>
      </c>
      <c r="I107" s="215">
        <v>0</v>
      </c>
      <c r="J107" s="215">
        <v>0</v>
      </c>
      <c r="K107" s="215">
        <v>0</v>
      </c>
      <c r="L107" s="215">
        <v>0</v>
      </c>
      <c r="M107" s="215">
        <v>0</v>
      </c>
      <c r="N107" s="215">
        <v>0</v>
      </c>
      <c r="O107" s="215">
        <v>0</v>
      </c>
      <c r="P107" s="215">
        <v>0</v>
      </c>
      <c r="Q107" s="215">
        <v>0</v>
      </c>
    </row>
    <row r="108" spans="2:17" x14ac:dyDescent="0.25">
      <c r="B108" s="259">
        <f t="shared" si="1"/>
        <v>0</v>
      </c>
      <c r="D108" s="2" t="s">
        <v>1286</v>
      </c>
      <c r="E108" s="215">
        <v>0</v>
      </c>
      <c r="F108" s="215">
        <v>0</v>
      </c>
      <c r="G108" s="215">
        <v>0</v>
      </c>
      <c r="H108" s="215">
        <v>0</v>
      </c>
      <c r="I108" s="215">
        <v>0</v>
      </c>
      <c r="J108" s="215">
        <v>0</v>
      </c>
      <c r="K108" s="215">
        <v>0</v>
      </c>
      <c r="L108" s="215">
        <v>0</v>
      </c>
      <c r="M108" s="215">
        <v>0</v>
      </c>
      <c r="N108" s="215">
        <v>0</v>
      </c>
      <c r="O108" s="215">
        <v>0</v>
      </c>
      <c r="P108" s="215">
        <v>0</v>
      </c>
      <c r="Q108" s="215">
        <v>0</v>
      </c>
    </row>
    <row r="109" spans="2:17" x14ac:dyDescent="0.25">
      <c r="B109" s="259">
        <f t="shared" si="1"/>
        <v>0</v>
      </c>
      <c r="D109" s="2" t="s">
        <v>1287</v>
      </c>
      <c r="E109" s="215">
        <v>0</v>
      </c>
      <c r="F109" s="215">
        <v>0</v>
      </c>
      <c r="G109" s="215">
        <v>0</v>
      </c>
      <c r="H109" s="215">
        <v>0</v>
      </c>
      <c r="I109" s="215">
        <v>0</v>
      </c>
      <c r="J109" s="215">
        <v>0</v>
      </c>
      <c r="K109" s="215">
        <v>0</v>
      </c>
      <c r="L109" s="215">
        <v>0</v>
      </c>
      <c r="M109" s="215">
        <v>0</v>
      </c>
      <c r="N109" s="215">
        <v>0</v>
      </c>
      <c r="O109" s="215">
        <v>0</v>
      </c>
      <c r="P109" s="215">
        <v>0</v>
      </c>
      <c r="Q109" s="215">
        <v>0</v>
      </c>
    </row>
    <row r="110" spans="2:17" x14ac:dyDescent="0.25">
      <c r="B110" s="259">
        <f t="shared" si="1"/>
        <v>7855356.2358333329</v>
      </c>
      <c r="D110" s="2" t="s">
        <v>233</v>
      </c>
      <c r="E110" s="215">
        <v>7470171.5599999996</v>
      </c>
      <c r="F110" s="215">
        <v>7852452.1899999995</v>
      </c>
      <c r="G110" s="215">
        <v>7341274.3800000008</v>
      </c>
      <c r="H110" s="215">
        <v>7351497.9000000004</v>
      </c>
      <c r="I110" s="215">
        <v>7351497.9000000004</v>
      </c>
      <c r="J110" s="215">
        <v>7351497.9000000004</v>
      </c>
      <c r="K110" s="215">
        <v>7280985.4000000004</v>
      </c>
      <c r="L110" s="215">
        <v>7280985.4000000004</v>
      </c>
      <c r="M110" s="215">
        <v>7280985.4000000004</v>
      </c>
      <c r="N110" s="215">
        <v>7280985.4000000004</v>
      </c>
      <c r="O110" s="215">
        <v>7280985.4000000004</v>
      </c>
      <c r="P110" s="215">
        <v>7280985.4000000004</v>
      </c>
      <c r="Q110" s="215">
        <v>19190112.760000002</v>
      </c>
    </row>
    <row r="111" spans="2:17" x14ac:dyDescent="0.25">
      <c r="B111" s="259">
        <f t="shared" si="1"/>
        <v>0</v>
      </c>
      <c r="D111" s="2" t="s">
        <v>1288</v>
      </c>
      <c r="E111" s="215">
        <v>0</v>
      </c>
      <c r="F111" s="215">
        <v>0</v>
      </c>
      <c r="G111" s="215">
        <v>0</v>
      </c>
      <c r="H111" s="215">
        <v>0</v>
      </c>
      <c r="I111" s="215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0</v>
      </c>
      <c r="P111" s="215">
        <v>0</v>
      </c>
      <c r="Q111" s="215">
        <v>0</v>
      </c>
    </row>
    <row r="112" spans="2:17" x14ac:dyDescent="0.25">
      <c r="B112" s="259">
        <f t="shared" si="1"/>
        <v>1756578.6187500004</v>
      </c>
      <c r="D112" s="2" t="s">
        <v>235</v>
      </c>
      <c r="E112" s="215">
        <v>1583401.5100000002</v>
      </c>
      <c r="F112" s="215">
        <v>1596068.1600000001</v>
      </c>
      <c r="G112" s="215">
        <v>1591351.9900000002</v>
      </c>
      <c r="H112" s="215">
        <v>1719449.2000000002</v>
      </c>
      <c r="I112" s="215">
        <v>1737227.6</v>
      </c>
      <c r="J112" s="215">
        <v>1739595.57</v>
      </c>
      <c r="K112" s="215">
        <v>1741424.27</v>
      </c>
      <c r="L112" s="215">
        <v>1796547.22</v>
      </c>
      <c r="M112" s="215">
        <v>1797388.53</v>
      </c>
      <c r="N112" s="215">
        <v>1797388.53</v>
      </c>
      <c r="O112" s="215">
        <v>1797388.53</v>
      </c>
      <c r="P112" s="215">
        <v>1797388.53</v>
      </c>
      <c r="Q112" s="215">
        <v>2352049.08</v>
      </c>
    </row>
    <row r="113" spans="2:17" x14ac:dyDescent="0.25">
      <c r="B113" s="259">
        <f t="shared" si="1"/>
        <v>39889.893749999996</v>
      </c>
      <c r="D113" s="2" t="s">
        <v>989</v>
      </c>
      <c r="E113" s="215">
        <v>0</v>
      </c>
      <c r="F113" s="215">
        <v>0</v>
      </c>
      <c r="G113" s="215">
        <v>0</v>
      </c>
      <c r="H113" s="215">
        <v>0</v>
      </c>
      <c r="I113" s="215">
        <v>0</v>
      </c>
      <c r="J113" s="215">
        <v>0</v>
      </c>
      <c r="K113" s="215">
        <v>0</v>
      </c>
      <c r="L113" s="215">
        <v>0</v>
      </c>
      <c r="M113" s="215">
        <v>0</v>
      </c>
      <c r="N113" s="215">
        <v>0</v>
      </c>
      <c r="O113" s="215">
        <v>0</v>
      </c>
      <c r="P113" s="215">
        <v>0</v>
      </c>
      <c r="Q113" s="215">
        <v>957357.45</v>
      </c>
    </row>
    <row r="114" spans="2:17" x14ac:dyDescent="0.25">
      <c r="B114" s="259">
        <f t="shared" si="1"/>
        <v>0</v>
      </c>
      <c r="D114" s="2" t="s">
        <v>1289</v>
      </c>
      <c r="E114" s="215">
        <v>0</v>
      </c>
      <c r="F114" s="215">
        <v>0</v>
      </c>
      <c r="G114" s="215">
        <v>0</v>
      </c>
      <c r="H114" s="215">
        <v>0</v>
      </c>
      <c r="I114" s="215">
        <v>0</v>
      </c>
      <c r="J114" s="215">
        <v>0</v>
      </c>
      <c r="K114" s="215">
        <v>0</v>
      </c>
      <c r="L114" s="215">
        <v>0</v>
      </c>
      <c r="M114" s="215">
        <v>0</v>
      </c>
      <c r="N114" s="215">
        <v>0</v>
      </c>
      <c r="O114" s="215">
        <v>0</v>
      </c>
      <c r="P114" s="215">
        <v>0</v>
      </c>
      <c r="Q114" s="215">
        <v>0</v>
      </c>
    </row>
    <row r="115" spans="2:17" x14ac:dyDescent="0.25">
      <c r="B115" s="259">
        <f t="shared" si="1"/>
        <v>0</v>
      </c>
      <c r="D115" s="2" t="s">
        <v>1290</v>
      </c>
      <c r="E115" s="215">
        <v>0</v>
      </c>
      <c r="F115" s="215">
        <v>0</v>
      </c>
      <c r="G115" s="215">
        <v>0</v>
      </c>
      <c r="H115" s="215">
        <v>0</v>
      </c>
      <c r="I115" s="215">
        <v>0</v>
      </c>
      <c r="J115" s="215">
        <v>0</v>
      </c>
      <c r="K115" s="215">
        <v>0</v>
      </c>
      <c r="L115" s="215">
        <v>0</v>
      </c>
      <c r="M115" s="215">
        <v>0</v>
      </c>
      <c r="N115" s="215">
        <v>0</v>
      </c>
      <c r="O115" s="215">
        <v>0</v>
      </c>
      <c r="P115" s="215">
        <v>0</v>
      </c>
      <c r="Q115" s="215">
        <v>0</v>
      </c>
    </row>
    <row r="116" spans="2:17" x14ac:dyDescent="0.25">
      <c r="B116" s="259">
        <f t="shared" si="1"/>
        <v>0</v>
      </c>
      <c r="D116" s="2" t="s">
        <v>1291</v>
      </c>
      <c r="E116" s="215">
        <v>0</v>
      </c>
      <c r="F116" s="215">
        <v>0</v>
      </c>
      <c r="G116" s="215">
        <v>0</v>
      </c>
      <c r="H116" s="215">
        <v>0</v>
      </c>
      <c r="I116" s="215">
        <v>0</v>
      </c>
      <c r="J116" s="215">
        <v>0</v>
      </c>
      <c r="K116" s="215">
        <v>0</v>
      </c>
      <c r="L116" s="215">
        <v>0</v>
      </c>
      <c r="M116" s="215">
        <v>0</v>
      </c>
      <c r="N116" s="215">
        <v>0</v>
      </c>
      <c r="O116" s="215">
        <v>0</v>
      </c>
      <c r="P116" s="215">
        <v>0</v>
      </c>
      <c r="Q116" s="215">
        <v>0</v>
      </c>
    </row>
    <row r="117" spans="2:17" x14ac:dyDescent="0.25">
      <c r="B117" s="259">
        <f t="shared" si="1"/>
        <v>0</v>
      </c>
      <c r="D117" s="2" t="s">
        <v>1292</v>
      </c>
      <c r="E117" s="215">
        <v>0</v>
      </c>
      <c r="F117" s="215">
        <v>0</v>
      </c>
      <c r="G117" s="215">
        <v>0</v>
      </c>
      <c r="H117" s="215">
        <v>0</v>
      </c>
      <c r="I117" s="215">
        <v>0</v>
      </c>
      <c r="J117" s="215">
        <v>0</v>
      </c>
      <c r="K117" s="215">
        <v>0</v>
      </c>
      <c r="L117" s="215">
        <v>0</v>
      </c>
      <c r="M117" s="215">
        <v>0</v>
      </c>
      <c r="N117" s="215">
        <v>0</v>
      </c>
      <c r="O117" s="215">
        <v>0</v>
      </c>
      <c r="P117" s="215">
        <v>0</v>
      </c>
      <c r="Q117" s="215">
        <v>0</v>
      </c>
    </row>
    <row r="118" spans="2:17" x14ac:dyDescent="0.25">
      <c r="B118" s="259">
        <f t="shared" si="1"/>
        <v>0</v>
      </c>
      <c r="D118" s="2" t="s">
        <v>1293</v>
      </c>
      <c r="E118" s="215">
        <v>0</v>
      </c>
      <c r="F118" s="215">
        <v>0</v>
      </c>
      <c r="G118" s="215">
        <v>0</v>
      </c>
      <c r="H118" s="215">
        <v>0</v>
      </c>
      <c r="I118" s="215">
        <v>0</v>
      </c>
      <c r="J118" s="215">
        <v>0</v>
      </c>
      <c r="K118" s="215">
        <v>0</v>
      </c>
      <c r="L118" s="215">
        <v>0</v>
      </c>
      <c r="M118" s="215">
        <v>0</v>
      </c>
      <c r="N118" s="215">
        <v>0</v>
      </c>
      <c r="O118" s="215">
        <v>0</v>
      </c>
      <c r="P118" s="215">
        <v>0</v>
      </c>
      <c r="Q118" s="215">
        <v>0</v>
      </c>
    </row>
    <row r="119" spans="2:17" x14ac:dyDescent="0.25">
      <c r="B119" s="259">
        <f t="shared" si="1"/>
        <v>0</v>
      </c>
      <c r="D119" s="2" t="s">
        <v>1294</v>
      </c>
      <c r="E119" s="215">
        <v>0</v>
      </c>
      <c r="F119" s="215">
        <v>0</v>
      </c>
      <c r="G119" s="215">
        <v>0</v>
      </c>
      <c r="H119" s="215">
        <v>0</v>
      </c>
      <c r="I119" s="215">
        <v>0</v>
      </c>
      <c r="J119" s="215">
        <v>0</v>
      </c>
      <c r="K119" s="215">
        <v>0</v>
      </c>
      <c r="L119" s="215">
        <v>0</v>
      </c>
      <c r="M119" s="215">
        <v>0</v>
      </c>
      <c r="N119" s="215">
        <v>0</v>
      </c>
      <c r="O119" s="215">
        <v>0</v>
      </c>
      <c r="P119" s="215">
        <v>0</v>
      </c>
      <c r="Q119" s="215">
        <v>0</v>
      </c>
    </row>
    <row r="120" spans="2:17" x14ac:dyDescent="0.25">
      <c r="B120" s="259">
        <f t="shared" si="1"/>
        <v>1019768.6079166665</v>
      </c>
      <c r="D120" s="2" t="s">
        <v>238</v>
      </c>
      <c r="E120" s="215">
        <v>626303.57000000007</v>
      </c>
      <c r="F120" s="215">
        <v>660389.21999999986</v>
      </c>
      <c r="G120" s="215">
        <v>658171.41999999993</v>
      </c>
      <c r="H120" s="215">
        <v>685401.79999999993</v>
      </c>
      <c r="I120" s="215">
        <v>848332</v>
      </c>
      <c r="J120" s="215">
        <v>837751.99000000011</v>
      </c>
      <c r="K120" s="215">
        <v>928910.94000000006</v>
      </c>
      <c r="L120" s="215">
        <v>1084653.1499999999</v>
      </c>
      <c r="M120" s="215">
        <v>1166061.43</v>
      </c>
      <c r="N120" s="215">
        <v>1181440.6100000001</v>
      </c>
      <c r="O120" s="215">
        <v>1257361.49</v>
      </c>
      <c r="P120" s="215">
        <v>1471053.84</v>
      </c>
      <c r="Q120" s="215">
        <v>2289087.2400000002</v>
      </c>
    </row>
    <row r="121" spans="2:17" x14ac:dyDescent="0.25">
      <c r="B121" s="259">
        <f t="shared" si="1"/>
        <v>2236.0579166666666</v>
      </c>
      <c r="D121" s="2" t="s">
        <v>991</v>
      </c>
      <c r="E121" s="215">
        <v>0</v>
      </c>
      <c r="F121" s="215">
        <v>0</v>
      </c>
      <c r="G121" s="215">
        <v>0</v>
      </c>
      <c r="H121" s="215">
        <v>0</v>
      </c>
      <c r="I121" s="215">
        <v>0</v>
      </c>
      <c r="J121" s="215">
        <v>0</v>
      </c>
      <c r="K121" s="215">
        <v>0</v>
      </c>
      <c r="L121" s="215">
        <v>0</v>
      </c>
      <c r="M121" s="215">
        <v>0</v>
      </c>
      <c r="N121" s="215">
        <v>0</v>
      </c>
      <c r="O121" s="215">
        <v>0</v>
      </c>
      <c r="P121" s="215">
        <v>0</v>
      </c>
      <c r="Q121" s="215">
        <v>53665.39</v>
      </c>
    </row>
    <row r="122" spans="2:17" x14ac:dyDescent="0.25">
      <c r="B122" s="259">
        <f t="shared" si="1"/>
        <v>0</v>
      </c>
      <c r="D122" s="2" t="s">
        <v>1295</v>
      </c>
      <c r="E122" s="215">
        <v>0</v>
      </c>
      <c r="F122" s="215">
        <v>0</v>
      </c>
      <c r="G122" s="215">
        <v>0</v>
      </c>
      <c r="H122" s="215">
        <v>0</v>
      </c>
      <c r="I122" s="215">
        <v>0</v>
      </c>
      <c r="J122" s="215">
        <v>0</v>
      </c>
      <c r="K122" s="215">
        <v>0</v>
      </c>
      <c r="L122" s="215">
        <v>0</v>
      </c>
      <c r="M122" s="215">
        <v>0</v>
      </c>
      <c r="N122" s="215">
        <v>0</v>
      </c>
      <c r="O122" s="215">
        <v>0</v>
      </c>
      <c r="P122" s="215">
        <v>0</v>
      </c>
      <c r="Q122" s="215">
        <v>0</v>
      </c>
    </row>
    <row r="123" spans="2:17" x14ac:dyDescent="0.25">
      <c r="B123" s="259">
        <f t="shared" si="1"/>
        <v>0</v>
      </c>
      <c r="D123" s="2" t="s">
        <v>1296</v>
      </c>
      <c r="E123" s="215">
        <v>0</v>
      </c>
      <c r="F123" s="215">
        <v>0</v>
      </c>
      <c r="G123" s="215">
        <v>0</v>
      </c>
      <c r="H123" s="215">
        <v>0</v>
      </c>
      <c r="I123" s="215">
        <v>0</v>
      </c>
      <c r="J123" s="215">
        <v>0</v>
      </c>
      <c r="K123" s="215">
        <v>0</v>
      </c>
      <c r="L123" s="215">
        <v>0</v>
      </c>
      <c r="M123" s="215">
        <v>0</v>
      </c>
      <c r="N123" s="215">
        <v>0</v>
      </c>
      <c r="O123" s="215">
        <v>0</v>
      </c>
      <c r="P123" s="215">
        <v>0</v>
      </c>
      <c r="Q123" s="215">
        <v>0</v>
      </c>
    </row>
    <row r="124" spans="2:17" x14ac:dyDescent="0.25">
      <c r="B124" s="259">
        <f t="shared" si="1"/>
        <v>0</v>
      </c>
      <c r="D124" s="2" t="s">
        <v>1297</v>
      </c>
      <c r="E124" s="215">
        <v>0</v>
      </c>
      <c r="F124" s="215">
        <v>0</v>
      </c>
      <c r="G124" s="215">
        <v>0</v>
      </c>
      <c r="H124" s="215">
        <v>0</v>
      </c>
      <c r="I124" s="215">
        <v>0</v>
      </c>
      <c r="J124" s="215">
        <v>0</v>
      </c>
      <c r="K124" s="215">
        <v>0</v>
      </c>
      <c r="L124" s="215">
        <v>0</v>
      </c>
      <c r="M124" s="215">
        <v>0</v>
      </c>
      <c r="N124" s="215">
        <v>0</v>
      </c>
      <c r="O124" s="215">
        <v>0</v>
      </c>
      <c r="P124" s="215">
        <v>0</v>
      </c>
      <c r="Q124" s="215">
        <v>0</v>
      </c>
    </row>
    <row r="125" spans="2:17" x14ac:dyDescent="0.25">
      <c r="B125" s="259">
        <f t="shared" si="1"/>
        <v>277160.20833333331</v>
      </c>
      <c r="D125" s="2" t="s">
        <v>240</v>
      </c>
      <c r="E125" s="215">
        <v>0</v>
      </c>
      <c r="F125" s="215">
        <v>0</v>
      </c>
      <c r="G125" s="215">
        <v>0</v>
      </c>
      <c r="H125" s="215">
        <v>0</v>
      </c>
      <c r="I125" s="215">
        <v>0</v>
      </c>
      <c r="J125" s="215">
        <v>0</v>
      </c>
      <c r="K125" s="215">
        <v>0</v>
      </c>
      <c r="L125" s="215">
        <v>0</v>
      </c>
      <c r="M125" s="215">
        <v>0</v>
      </c>
      <c r="N125" s="215">
        <v>0</v>
      </c>
      <c r="O125" s="215">
        <v>0</v>
      </c>
      <c r="P125" s="215">
        <v>0</v>
      </c>
      <c r="Q125" s="215">
        <v>6651845</v>
      </c>
    </row>
    <row r="126" spans="2:17" x14ac:dyDescent="0.25">
      <c r="B126" s="259">
        <f t="shared" si="1"/>
        <v>0</v>
      </c>
      <c r="D126" s="2" t="s">
        <v>1298</v>
      </c>
      <c r="E126" s="215">
        <v>0</v>
      </c>
      <c r="F126" s="215">
        <v>0</v>
      </c>
      <c r="G126" s="215">
        <v>0</v>
      </c>
      <c r="H126" s="215">
        <v>0</v>
      </c>
      <c r="I126" s="215">
        <v>0</v>
      </c>
      <c r="J126" s="215">
        <v>0</v>
      </c>
      <c r="K126" s="215">
        <v>0</v>
      </c>
      <c r="L126" s="215">
        <v>0</v>
      </c>
      <c r="M126" s="215">
        <v>0</v>
      </c>
      <c r="N126" s="215">
        <v>0</v>
      </c>
      <c r="O126" s="215">
        <v>0</v>
      </c>
      <c r="P126" s="215">
        <v>0</v>
      </c>
      <c r="Q126" s="215">
        <v>0</v>
      </c>
    </row>
    <row r="127" spans="2:17" x14ac:dyDescent="0.25">
      <c r="B127" s="259">
        <f t="shared" si="1"/>
        <v>1191666.6012500001</v>
      </c>
      <c r="D127" s="2" t="s">
        <v>242</v>
      </c>
      <c r="E127" s="215">
        <v>1191411.69</v>
      </c>
      <c r="F127" s="215">
        <v>1192976.79</v>
      </c>
      <c r="G127" s="215">
        <v>1191553.96</v>
      </c>
      <c r="H127" s="215">
        <v>1191553.96</v>
      </c>
      <c r="I127" s="215">
        <v>1191553.96</v>
      </c>
      <c r="J127" s="215">
        <v>1191553.96</v>
      </c>
      <c r="K127" s="215">
        <v>1191553.96</v>
      </c>
      <c r="L127" s="215">
        <v>1191553.96</v>
      </c>
      <c r="M127" s="215">
        <v>1191553.96</v>
      </c>
      <c r="N127" s="215">
        <v>1191553.96</v>
      </c>
      <c r="O127" s="215">
        <v>1191553.96</v>
      </c>
      <c r="P127" s="215">
        <v>1191553.96</v>
      </c>
      <c r="Q127" s="215">
        <v>1191553.96</v>
      </c>
    </row>
    <row r="128" spans="2:17" x14ac:dyDescent="0.25">
      <c r="B128" s="259">
        <f t="shared" si="1"/>
        <v>157967.89000000004</v>
      </c>
      <c r="D128" s="2" t="s">
        <v>1299</v>
      </c>
      <c r="E128" s="215">
        <v>157967.89000000001</v>
      </c>
      <c r="F128" s="215">
        <v>157967.89000000001</v>
      </c>
      <c r="G128" s="215">
        <v>157967.89000000001</v>
      </c>
      <c r="H128" s="215">
        <v>157967.89000000001</v>
      </c>
      <c r="I128" s="215">
        <v>157967.89000000001</v>
      </c>
      <c r="J128" s="215">
        <v>157967.89000000001</v>
      </c>
      <c r="K128" s="215">
        <v>157967.89000000001</v>
      </c>
      <c r="L128" s="215">
        <v>157967.89000000001</v>
      </c>
      <c r="M128" s="215">
        <v>157967.89000000001</v>
      </c>
      <c r="N128" s="215">
        <v>157967.89000000001</v>
      </c>
      <c r="O128" s="215">
        <v>157967.89000000001</v>
      </c>
      <c r="P128" s="215">
        <v>157967.89000000001</v>
      </c>
      <c r="Q128" s="215">
        <v>157967.89000000001</v>
      </c>
    </row>
    <row r="129" spans="2:17" x14ac:dyDescent="0.25">
      <c r="B129" s="259">
        <f t="shared" si="1"/>
        <v>0</v>
      </c>
      <c r="D129" s="2" t="s">
        <v>1300</v>
      </c>
      <c r="E129" s="215">
        <v>0</v>
      </c>
      <c r="F129" s="215">
        <v>0</v>
      </c>
      <c r="G129" s="215">
        <v>0</v>
      </c>
      <c r="H129" s="215">
        <v>0</v>
      </c>
      <c r="I129" s="215">
        <v>0</v>
      </c>
      <c r="J129" s="215">
        <v>0</v>
      </c>
      <c r="K129" s="215">
        <v>0</v>
      </c>
      <c r="L129" s="215">
        <v>0</v>
      </c>
      <c r="M129" s="215">
        <v>0</v>
      </c>
      <c r="N129" s="215">
        <v>0</v>
      </c>
      <c r="O129" s="215">
        <v>0</v>
      </c>
      <c r="P129" s="215">
        <v>0</v>
      </c>
      <c r="Q129" s="215">
        <v>0</v>
      </c>
    </row>
    <row r="130" spans="2:17" x14ac:dyDescent="0.25">
      <c r="B130" s="259">
        <f t="shared" si="1"/>
        <v>-2845922.9699999993</v>
      </c>
      <c r="D130" s="2" t="s">
        <v>1104</v>
      </c>
      <c r="E130" s="215">
        <v>-2845922.9699999997</v>
      </c>
      <c r="F130" s="215">
        <v>-2845922.9699999997</v>
      </c>
      <c r="G130" s="215">
        <v>-2845922.9699999997</v>
      </c>
      <c r="H130" s="215">
        <v>-2845922.9699999997</v>
      </c>
      <c r="I130" s="215">
        <v>-2845922.9699999997</v>
      </c>
      <c r="J130" s="215">
        <v>-2845922.9699999997</v>
      </c>
      <c r="K130" s="215">
        <v>-2845922.9699999997</v>
      </c>
      <c r="L130" s="215">
        <v>-2845922.9699999997</v>
      </c>
      <c r="M130" s="215">
        <v>-2845922.9699999997</v>
      </c>
      <c r="N130" s="215">
        <v>-2845922.9699999997</v>
      </c>
      <c r="O130" s="215">
        <v>-2845922.9699999997</v>
      </c>
      <c r="P130" s="215">
        <v>-2845922.9699999997</v>
      </c>
      <c r="Q130" s="215">
        <v>-2845922.9699999997</v>
      </c>
    </row>
    <row r="131" spans="2:17" x14ac:dyDescent="0.25">
      <c r="B131" s="259">
        <f t="shared" si="1"/>
        <v>2845922.9699999993</v>
      </c>
      <c r="D131" s="2" t="s">
        <v>1301</v>
      </c>
      <c r="E131" s="215">
        <v>2845922.9699999997</v>
      </c>
      <c r="F131" s="215">
        <v>2845922.9699999997</v>
      </c>
      <c r="G131" s="215">
        <v>2845922.9699999997</v>
      </c>
      <c r="H131" s="215">
        <v>2845922.9699999997</v>
      </c>
      <c r="I131" s="215">
        <v>2845922.9699999997</v>
      </c>
      <c r="J131" s="215">
        <v>2845922.9699999997</v>
      </c>
      <c r="K131" s="215">
        <v>2845922.9699999997</v>
      </c>
      <c r="L131" s="215">
        <v>2845922.9699999997</v>
      </c>
      <c r="M131" s="215">
        <v>2845922.9699999997</v>
      </c>
      <c r="N131" s="215">
        <v>2845922.9699999997</v>
      </c>
      <c r="O131" s="215">
        <v>2845922.9699999997</v>
      </c>
      <c r="P131" s="215">
        <v>2845922.9699999997</v>
      </c>
      <c r="Q131" s="215">
        <v>2845922.9699999997</v>
      </c>
    </row>
    <row r="132" spans="2:17" x14ac:dyDescent="0.25">
      <c r="B132" s="259">
        <f t="shared" si="1"/>
        <v>23094.053750000003</v>
      </c>
      <c r="D132" s="2" t="s">
        <v>898</v>
      </c>
      <c r="E132" s="215">
        <v>0</v>
      </c>
      <c r="F132" s="215">
        <v>0</v>
      </c>
      <c r="G132" s="215">
        <v>0</v>
      </c>
      <c r="H132" s="215">
        <v>0</v>
      </c>
      <c r="I132" s="215">
        <v>32603.37</v>
      </c>
      <c r="J132" s="215">
        <v>32603.37</v>
      </c>
      <c r="K132" s="215">
        <v>32603.37</v>
      </c>
      <c r="L132" s="215">
        <v>32603.37</v>
      </c>
      <c r="M132" s="215">
        <v>32603.37</v>
      </c>
      <c r="N132" s="215">
        <v>32603.37</v>
      </c>
      <c r="O132" s="215">
        <v>32603.37</v>
      </c>
      <c r="P132" s="215">
        <v>32603.37</v>
      </c>
      <c r="Q132" s="215">
        <v>32603.37</v>
      </c>
    </row>
    <row r="133" spans="2:17" x14ac:dyDescent="0.25">
      <c r="B133" s="259">
        <f t="shared" si="1"/>
        <v>1956354.6900000002</v>
      </c>
      <c r="D133" s="2" t="s">
        <v>1302</v>
      </c>
      <c r="E133" s="215">
        <v>1956354.69</v>
      </c>
      <c r="F133" s="215">
        <v>1956354.69</v>
      </c>
      <c r="G133" s="215">
        <v>1956354.69</v>
      </c>
      <c r="H133" s="215">
        <v>1956354.69</v>
      </c>
      <c r="I133" s="215">
        <v>1956354.69</v>
      </c>
      <c r="J133" s="215">
        <v>1956354.69</v>
      </c>
      <c r="K133" s="215">
        <v>1956354.69</v>
      </c>
      <c r="L133" s="215">
        <v>1956354.69</v>
      </c>
      <c r="M133" s="215">
        <v>1956354.69</v>
      </c>
      <c r="N133" s="215">
        <v>1956354.69</v>
      </c>
      <c r="O133" s="215">
        <v>1956354.69</v>
      </c>
      <c r="P133" s="215">
        <v>1956354.69</v>
      </c>
      <c r="Q133" s="215">
        <v>1956354.69</v>
      </c>
    </row>
    <row r="134" spans="2:17" x14ac:dyDescent="0.25">
      <c r="B134" s="259">
        <f t="shared" si="1"/>
        <v>0</v>
      </c>
      <c r="D134" s="2" t="s">
        <v>1303</v>
      </c>
      <c r="E134" s="215">
        <v>0</v>
      </c>
      <c r="F134" s="215">
        <v>0</v>
      </c>
      <c r="G134" s="215">
        <v>0</v>
      </c>
      <c r="H134" s="215">
        <v>0</v>
      </c>
      <c r="I134" s="215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v>0</v>
      </c>
      <c r="O134" s="215">
        <v>0</v>
      </c>
      <c r="P134" s="215">
        <v>0</v>
      </c>
      <c r="Q134" s="215">
        <v>0</v>
      </c>
    </row>
    <row r="135" spans="2:17" x14ac:dyDescent="0.25">
      <c r="B135" s="259">
        <f t="shared" ref="B135:B198" si="2">(E135+Q135+SUM(F135:P135)*2)/24</f>
        <v>131274.26874999999</v>
      </c>
      <c r="D135" s="2" t="s">
        <v>244</v>
      </c>
      <c r="E135" s="215">
        <v>118095.04999999999</v>
      </c>
      <c r="F135" s="215">
        <v>118163.32</v>
      </c>
      <c r="G135" s="215">
        <v>117730.91</v>
      </c>
      <c r="H135" s="215">
        <v>117730.91</v>
      </c>
      <c r="I135" s="215">
        <v>117730.91</v>
      </c>
      <c r="J135" s="215">
        <v>135222.91</v>
      </c>
      <c r="K135" s="215">
        <v>135222.91</v>
      </c>
      <c r="L135" s="215">
        <v>135222.91</v>
      </c>
      <c r="M135" s="215">
        <v>135222.91</v>
      </c>
      <c r="N135" s="215">
        <v>135222.91</v>
      </c>
      <c r="O135" s="215">
        <v>135222.91</v>
      </c>
      <c r="P135" s="215">
        <v>135222.91</v>
      </c>
      <c r="Q135" s="215">
        <v>196654.56</v>
      </c>
    </row>
    <row r="136" spans="2:17" x14ac:dyDescent="0.25">
      <c r="B136" s="259">
        <f t="shared" si="2"/>
        <v>386246.23</v>
      </c>
      <c r="D136" s="2" t="s">
        <v>1304</v>
      </c>
      <c r="E136" s="215">
        <v>386246.23</v>
      </c>
      <c r="F136" s="215">
        <v>386246.23</v>
      </c>
      <c r="G136" s="215">
        <v>386246.23</v>
      </c>
      <c r="H136" s="215">
        <v>386246.23</v>
      </c>
      <c r="I136" s="215">
        <v>386246.23</v>
      </c>
      <c r="J136" s="215">
        <v>386246.23</v>
      </c>
      <c r="K136" s="215">
        <v>386246.23</v>
      </c>
      <c r="L136" s="215">
        <v>386246.23</v>
      </c>
      <c r="M136" s="215">
        <v>386246.23</v>
      </c>
      <c r="N136" s="215">
        <v>386246.23</v>
      </c>
      <c r="O136" s="215">
        <v>386246.23</v>
      </c>
      <c r="P136" s="215">
        <v>386246.23</v>
      </c>
      <c r="Q136" s="215">
        <v>386246.23</v>
      </c>
    </row>
    <row r="137" spans="2:17" x14ac:dyDescent="0.25">
      <c r="B137" s="259">
        <f t="shared" si="2"/>
        <v>81555.355833333349</v>
      </c>
      <c r="D137" s="2" t="s">
        <v>900</v>
      </c>
      <c r="E137" s="215">
        <v>0</v>
      </c>
      <c r="F137" s="215">
        <v>79400.600000000006</v>
      </c>
      <c r="G137" s="215">
        <v>82392.160000000003</v>
      </c>
      <c r="H137" s="215">
        <v>84357.97</v>
      </c>
      <c r="I137" s="215">
        <v>85725.54</v>
      </c>
      <c r="J137" s="215">
        <v>86238.399999999994</v>
      </c>
      <c r="K137" s="215">
        <v>86238.399999999994</v>
      </c>
      <c r="L137" s="215">
        <v>86238.399999999994</v>
      </c>
      <c r="M137" s="215">
        <v>86238.399999999994</v>
      </c>
      <c r="N137" s="215">
        <v>86238.399999999994</v>
      </c>
      <c r="O137" s="215">
        <v>86238.399999999994</v>
      </c>
      <c r="P137" s="215">
        <v>86238.399999999994</v>
      </c>
      <c r="Q137" s="215">
        <v>86238.399999999994</v>
      </c>
    </row>
    <row r="138" spans="2:17" x14ac:dyDescent="0.25">
      <c r="B138" s="259">
        <f t="shared" si="2"/>
        <v>26993.569166666668</v>
      </c>
      <c r="D138" s="2" t="s">
        <v>993</v>
      </c>
      <c r="E138" s="215">
        <v>0</v>
      </c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15">
        <v>0</v>
      </c>
      <c r="L138" s="215">
        <v>0</v>
      </c>
      <c r="M138" s="215">
        <v>0</v>
      </c>
      <c r="N138" s="215">
        <v>0</v>
      </c>
      <c r="O138" s="215">
        <v>0</v>
      </c>
      <c r="P138" s="215">
        <v>0</v>
      </c>
      <c r="Q138" s="215">
        <v>647845.66</v>
      </c>
    </row>
    <row r="139" spans="2:17" x14ac:dyDescent="0.25">
      <c r="B139" s="259">
        <f t="shared" si="2"/>
        <v>0</v>
      </c>
      <c r="D139" s="2" t="s">
        <v>1305</v>
      </c>
      <c r="E139" s="215">
        <v>0</v>
      </c>
      <c r="F139" s="215">
        <v>0</v>
      </c>
      <c r="G139" s="215">
        <v>0</v>
      </c>
      <c r="H139" s="215">
        <v>0</v>
      </c>
      <c r="I139" s="215">
        <v>0</v>
      </c>
      <c r="J139" s="215">
        <v>0</v>
      </c>
      <c r="K139" s="215">
        <v>0</v>
      </c>
      <c r="L139" s="215">
        <v>0</v>
      </c>
      <c r="M139" s="215">
        <v>0</v>
      </c>
      <c r="N139" s="215">
        <v>0</v>
      </c>
      <c r="O139" s="215">
        <v>0</v>
      </c>
      <c r="P139" s="215">
        <v>0</v>
      </c>
      <c r="Q139" s="215">
        <v>0</v>
      </c>
    </row>
    <row r="140" spans="2:17" x14ac:dyDescent="0.25">
      <c r="B140" s="259">
        <f t="shared" si="2"/>
        <v>0</v>
      </c>
      <c r="D140" s="2" t="s">
        <v>1306</v>
      </c>
      <c r="E140" s="215">
        <v>0</v>
      </c>
      <c r="F140" s="215">
        <v>0</v>
      </c>
      <c r="G140" s="215">
        <v>0</v>
      </c>
      <c r="H140" s="215">
        <v>0</v>
      </c>
      <c r="I140" s="215">
        <v>0</v>
      </c>
      <c r="J140" s="215">
        <v>0</v>
      </c>
      <c r="K140" s="215">
        <v>0</v>
      </c>
      <c r="L140" s="215">
        <v>0</v>
      </c>
      <c r="M140" s="215">
        <v>0</v>
      </c>
      <c r="N140" s="215">
        <v>0</v>
      </c>
      <c r="O140" s="215">
        <v>0</v>
      </c>
      <c r="P140" s="215">
        <v>0</v>
      </c>
      <c r="Q140" s="215">
        <v>0</v>
      </c>
    </row>
    <row r="141" spans="2:17" x14ac:dyDescent="0.25">
      <c r="B141" s="259">
        <f t="shared" si="2"/>
        <v>100132.16000000002</v>
      </c>
      <c r="D141" s="2" t="s">
        <v>1307</v>
      </c>
      <c r="E141" s="215">
        <v>100132.16</v>
      </c>
      <c r="F141" s="215">
        <v>100132.16</v>
      </c>
      <c r="G141" s="215">
        <v>100132.16</v>
      </c>
      <c r="H141" s="215">
        <v>100132.16</v>
      </c>
      <c r="I141" s="215">
        <v>100132.16</v>
      </c>
      <c r="J141" s="215">
        <v>100132.16</v>
      </c>
      <c r="K141" s="215">
        <v>100132.16</v>
      </c>
      <c r="L141" s="215">
        <v>100132.16</v>
      </c>
      <c r="M141" s="215">
        <v>100132.16</v>
      </c>
      <c r="N141" s="215">
        <v>100132.16</v>
      </c>
      <c r="O141" s="215">
        <v>100132.16</v>
      </c>
      <c r="P141" s="215">
        <v>100132.16</v>
      </c>
      <c r="Q141" s="215">
        <v>100132.16</v>
      </c>
    </row>
    <row r="142" spans="2:17" x14ac:dyDescent="0.25">
      <c r="B142" s="259">
        <f t="shared" si="2"/>
        <v>43678.60125</v>
      </c>
      <c r="D142" s="2" t="s">
        <v>902</v>
      </c>
      <c r="E142" s="215">
        <v>0</v>
      </c>
      <c r="F142" s="215">
        <v>37832.629999999997</v>
      </c>
      <c r="G142" s="215">
        <v>37832.629999999997</v>
      </c>
      <c r="H142" s="215">
        <v>37832.629999999997</v>
      </c>
      <c r="I142" s="215">
        <v>37832.629999999997</v>
      </c>
      <c r="J142" s="215">
        <v>37832.629999999997</v>
      </c>
      <c r="K142" s="215">
        <v>37832.629999999997</v>
      </c>
      <c r="L142" s="215">
        <v>37832.629999999997</v>
      </c>
      <c r="M142" s="215">
        <v>37832.629999999997</v>
      </c>
      <c r="N142" s="215">
        <v>37832.629999999997</v>
      </c>
      <c r="O142" s="215">
        <v>37832.629999999997</v>
      </c>
      <c r="P142" s="215">
        <v>37832.629999999997</v>
      </c>
      <c r="Q142" s="215">
        <v>215968.57</v>
      </c>
    </row>
    <row r="143" spans="2:17" x14ac:dyDescent="0.25">
      <c r="B143" s="259">
        <f t="shared" si="2"/>
        <v>256985.73</v>
      </c>
      <c r="D143" s="2" t="s">
        <v>1308</v>
      </c>
      <c r="E143" s="215">
        <v>256985.73</v>
      </c>
      <c r="F143" s="215">
        <v>256985.73</v>
      </c>
      <c r="G143" s="215">
        <v>256985.73</v>
      </c>
      <c r="H143" s="215">
        <v>256985.73</v>
      </c>
      <c r="I143" s="215">
        <v>256985.73</v>
      </c>
      <c r="J143" s="215">
        <v>256985.73</v>
      </c>
      <c r="K143" s="215">
        <v>256985.73</v>
      </c>
      <c r="L143" s="215">
        <v>256985.73</v>
      </c>
      <c r="M143" s="215">
        <v>256985.73</v>
      </c>
      <c r="N143" s="215">
        <v>256985.73</v>
      </c>
      <c r="O143" s="215">
        <v>256985.73</v>
      </c>
      <c r="P143" s="215">
        <v>256985.73</v>
      </c>
      <c r="Q143" s="215">
        <v>256985.73</v>
      </c>
    </row>
    <row r="144" spans="2:17" x14ac:dyDescent="0.25">
      <c r="B144" s="259">
        <f t="shared" si="2"/>
        <v>0</v>
      </c>
      <c r="D144" s="2" t="s">
        <v>1309</v>
      </c>
      <c r="E144" s="215">
        <v>0</v>
      </c>
      <c r="F144" s="215">
        <v>0</v>
      </c>
      <c r="G144" s="215">
        <v>0</v>
      </c>
      <c r="H144" s="215">
        <v>0</v>
      </c>
      <c r="I144" s="215">
        <v>0</v>
      </c>
      <c r="J144" s="215">
        <v>0</v>
      </c>
      <c r="K144" s="215">
        <v>0</v>
      </c>
      <c r="L144" s="215">
        <v>0</v>
      </c>
      <c r="M144" s="215">
        <v>0</v>
      </c>
      <c r="N144" s="215">
        <v>0</v>
      </c>
      <c r="O144" s="215">
        <v>0</v>
      </c>
      <c r="P144" s="215">
        <v>0</v>
      </c>
      <c r="Q144" s="215">
        <v>0</v>
      </c>
    </row>
    <row r="145" spans="2:17" x14ac:dyDescent="0.25">
      <c r="B145" s="259">
        <f t="shared" si="2"/>
        <v>7325.9616666666661</v>
      </c>
      <c r="D145" s="2" t="s">
        <v>995</v>
      </c>
      <c r="E145" s="215">
        <v>0</v>
      </c>
      <c r="F145" s="215">
        <v>0</v>
      </c>
      <c r="G145" s="215">
        <v>0</v>
      </c>
      <c r="H145" s="215">
        <v>0</v>
      </c>
      <c r="I145" s="215">
        <v>0</v>
      </c>
      <c r="J145" s="215">
        <v>0</v>
      </c>
      <c r="K145" s="215">
        <v>0</v>
      </c>
      <c r="L145" s="215">
        <v>0</v>
      </c>
      <c r="M145" s="215">
        <v>0</v>
      </c>
      <c r="N145" s="215">
        <v>0</v>
      </c>
      <c r="O145" s="215">
        <v>0</v>
      </c>
      <c r="P145" s="215">
        <v>0</v>
      </c>
      <c r="Q145" s="215">
        <v>175823.08</v>
      </c>
    </row>
    <row r="146" spans="2:17" x14ac:dyDescent="0.25">
      <c r="B146" s="259">
        <f t="shared" si="2"/>
        <v>0</v>
      </c>
      <c r="D146" s="2" t="s">
        <v>1310</v>
      </c>
      <c r="E146" s="215">
        <v>0</v>
      </c>
      <c r="F146" s="215">
        <v>0</v>
      </c>
      <c r="G146" s="215">
        <v>0</v>
      </c>
      <c r="H146" s="215">
        <v>0</v>
      </c>
      <c r="I146" s="215">
        <v>0</v>
      </c>
      <c r="J146" s="215">
        <v>0</v>
      </c>
      <c r="K146" s="215">
        <v>0</v>
      </c>
      <c r="L146" s="215">
        <v>0</v>
      </c>
      <c r="M146" s="215">
        <v>0</v>
      </c>
      <c r="N146" s="215">
        <v>0</v>
      </c>
      <c r="O146" s="215">
        <v>0</v>
      </c>
      <c r="P146" s="215">
        <v>0</v>
      </c>
      <c r="Q146" s="215">
        <v>0</v>
      </c>
    </row>
    <row r="147" spans="2:17" x14ac:dyDescent="0.25">
      <c r="B147" s="259">
        <f t="shared" si="2"/>
        <v>0</v>
      </c>
      <c r="D147" s="2" t="s">
        <v>1311</v>
      </c>
      <c r="E147" s="215">
        <v>0</v>
      </c>
      <c r="F147" s="215">
        <v>0</v>
      </c>
      <c r="G147" s="215">
        <v>0</v>
      </c>
      <c r="H147" s="215">
        <v>0</v>
      </c>
      <c r="I147" s="215">
        <v>0</v>
      </c>
      <c r="J147" s="215">
        <v>0</v>
      </c>
      <c r="K147" s="215">
        <v>0</v>
      </c>
      <c r="L147" s="215">
        <v>0</v>
      </c>
      <c r="M147" s="215">
        <v>0</v>
      </c>
      <c r="N147" s="215">
        <v>0</v>
      </c>
      <c r="O147" s="215">
        <v>0</v>
      </c>
      <c r="P147" s="215">
        <v>0</v>
      </c>
      <c r="Q147" s="215">
        <v>0</v>
      </c>
    </row>
    <row r="148" spans="2:17" x14ac:dyDescent="0.25">
      <c r="B148" s="259">
        <f t="shared" si="2"/>
        <v>0</v>
      </c>
      <c r="D148" s="2" t="s">
        <v>1312</v>
      </c>
      <c r="E148" s="215">
        <v>0</v>
      </c>
      <c r="F148" s="215">
        <v>0</v>
      </c>
      <c r="G148" s="215">
        <v>0</v>
      </c>
      <c r="H148" s="215">
        <v>0</v>
      </c>
      <c r="I148" s="215">
        <v>0</v>
      </c>
      <c r="J148" s="215">
        <v>0</v>
      </c>
      <c r="K148" s="215">
        <v>0</v>
      </c>
      <c r="L148" s="215">
        <v>0</v>
      </c>
      <c r="M148" s="215">
        <v>0</v>
      </c>
      <c r="N148" s="215">
        <v>0</v>
      </c>
      <c r="O148" s="215">
        <v>0</v>
      </c>
      <c r="P148" s="215">
        <v>0</v>
      </c>
      <c r="Q148" s="215">
        <v>0</v>
      </c>
    </row>
    <row r="149" spans="2:17" x14ac:dyDescent="0.25">
      <c r="B149" s="259">
        <f t="shared" si="2"/>
        <v>614491.21000000008</v>
      </c>
      <c r="D149" s="2" t="s">
        <v>246</v>
      </c>
      <c r="E149" s="215">
        <v>590208.93000000005</v>
      </c>
      <c r="F149" s="215">
        <v>602436.70000000007</v>
      </c>
      <c r="G149" s="215">
        <v>615926.03</v>
      </c>
      <c r="H149" s="215">
        <v>615704.37</v>
      </c>
      <c r="I149" s="215">
        <v>617026.23</v>
      </c>
      <c r="J149" s="215">
        <v>617026.23</v>
      </c>
      <c r="K149" s="215">
        <v>617026.23</v>
      </c>
      <c r="L149" s="215">
        <v>617026.23</v>
      </c>
      <c r="M149" s="215">
        <v>617026.23</v>
      </c>
      <c r="N149" s="215">
        <v>617026.23</v>
      </c>
      <c r="O149" s="215">
        <v>617026.23</v>
      </c>
      <c r="P149" s="215">
        <v>617026.23</v>
      </c>
      <c r="Q149" s="215">
        <v>617026.23</v>
      </c>
    </row>
    <row r="150" spans="2:17" x14ac:dyDescent="0.25">
      <c r="B150" s="259">
        <f t="shared" si="2"/>
        <v>7321.5124999999998</v>
      </c>
      <c r="D150" s="2" t="s">
        <v>997</v>
      </c>
      <c r="E150" s="215">
        <v>0</v>
      </c>
      <c r="F150" s="215">
        <v>0</v>
      </c>
      <c r="G150" s="215">
        <v>0</v>
      </c>
      <c r="H150" s="215">
        <v>0</v>
      </c>
      <c r="I150" s="215">
        <v>0</v>
      </c>
      <c r="J150" s="215">
        <v>0</v>
      </c>
      <c r="K150" s="215">
        <v>0</v>
      </c>
      <c r="L150" s="215">
        <v>0</v>
      </c>
      <c r="M150" s="215">
        <v>0</v>
      </c>
      <c r="N150" s="215">
        <v>0</v>
      </c>
      <c r="O150" s="215">
        <v>0</v>
      </c>
      <c r="P150" s="215">
        <v>0</v>
      </c>
      <c r="Q150" s="215">
        <v>175716.3</v>
      </c>
    </row>
    <row r="151" spans="2:17" x14ac:dyDescent="0.25">
      <c r="B151" s="259">
        <f t="shared" si="2"/>
        <v>0</v>
      </c>
      <c r="D151" s="2" t="s">
        <v>1313</v>
      </c>
      <c r="E151" s="215">
        <v>0</v>
      </c>
      <c r="F151" s="215">
        <v>0</v>
      </c>
      <c r="G151" s="215">
        <v>0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15">
        <v>0</v>
      </c>
      <c r="N151" s="215">
        <v>0</v>
      </c>
      <c r="O151" s="215">
        <v>0</v>
      </c>
      <c r="P151" s="215">
        <v>0</v>
      </c>
      <c r="Q151" s="215">
        <v>0</v>
      </c>
    </row>
    <row r="152" spans="2:17" x14ac:dyDescent="0.25">
      <c r="B152" s="259">
        <f t="shared" si="2"/>
        <v>11260.177083333334</v>
      </c>
      <c r="D152" s="2" t="s">
        <v>999</v>
      </c>
      <c r="E152" s="215">
        <v>0</v>
      </c>
      <c r="F152" s="215">
        <v>0</v>
      </c>
      <c r="G152" s="215">
        <v>0</v>
      </c>
      <c r="H152" s="215">
        <v>0</v>
      </c>
      <c r="I152" s="215">
        <v>0</v>
      </c>
      <c r="J152" s="215">
        <v>0</v>
      </c>
      <c r="K152" s="215">
        <v>0</v>
      </c>
      <c r="L152" s="215">
        <v>0</v>
      </c>
      <c r="M152" s="215">
        <v>0</v>
      </c>
      <c r="N152" s="215">
        <v>0</v>
      </c>
      <c r="O152" s="215">
        <v>0</v>
      </c>
      <c r="P152" s="215">
        <v>0</v>
      </c>
      <c r="Q152" s="215">
        <v>270244.25</v>
      </c>
    </row>
    <row r="153" spans="2:17" x14ac:dyDescent="0.25">
      <c r="B153" s="259">
        <f t="shared" si="2"/>
        <v>447725.04</v>
      </c>
      <c r="D153" s="2" t="s">
        <v>1314</v>
      </c>
      <c r="E153" s="215">
        <v>447725.04</v>
      </c>
      <c r="F153" s="215">
        <v>447725.04</v>
      </c>
      <c r="G153" s="215">
        <v>447725.04</v>
      </c>
      <c r="H153" s="215">
        <v>447725.04</v>
      </c>
      <c r="I153" s="215">
        <v>447725.04</v>
      </c>
      <c r="J153" s="215">
        <v>447725.04</v>
      </c>
      <c r="K153" s="215">
        <v>447725.04</v>
      </c>
      <c r="L153" s="215">
        <v>447725.04</v>
      </c>
      <c r="M153" s="215">
        <v>447725.04</v>
      </c>
      <c r="N153" s="215">
        <v>447725.04</v>
      </c>
      <c r="O153" s="215">
        <v>447725.04</v>
      </c>
      <c r="P153" s="215">
        <v>447725.04</v>
      </c>
      <c r="Q153" s="215">
        <v>447725.04</v>
      </c>
    </row>
    <row r="154" spans="2:17" x14ac:dyDescent="0.25">
      <c r="B154" s="259">
        <f t="shared" si="2"/>
        <v>371131.95083333337</v>
      </c>
      <c r="D154" s="2" t="s">
        <v>248</v>
      </c>
      <c r="E154" s="215">
        <v>253010.78</v>
      </c>
      <c r="F154" s="215">
        <v>239947.22</v>
      </c>
      <c r="G154" s="215">
        <v>249046.14</v>
      </c>
      <c r="H154" s="215">
        <v>251033.53</v>
      </c>
      <c r="I154" s="215">
        <v>256071.15</v>
      </c>
      <c r="J154" s="215">
        <v>256071.15</v>
      </c>
      <c r="K154" s="215">
        <v>256071.15</v>
      </c>
      <c r="L154" s="215">
        <v>256071.15</v>
      </c>
      <c r="M154" s="215">
        <v>544976.5</v>
      </c>
      <c r="N154" s="215">
        <v>572285.42000000004</v>
      </c>
      <c r="O154" s="215">
        <v>576308.02</v>
      </c>
      <c r="P154" s="215">
        <v>578392.87</v>
      </c>
      <c r="Q154" s="215">
        <v>581607.43999999994</v>
      </c>
    </row>
    <row r="155" spans="2:17" x14ac:dyDescent="0.25">
      <c r="B155" s="259">
        <f t="shared" si="2"/>
        <v>14710.543749999997</v>
      </c>
      <c r="D155" s="2" t="s">
        <v>904</v>
      </c>
      <c r="E155" s="215">
        <v>0</v>
      </c>
      <c r="F155" s="215">
        <v>0</v>
      </c>
      <c r="G155" s="215">
        <v>16812.05</v>
      </c>
      <c r="H155" s="215">
        <v>16812.05</v>
      </c>
      <c r="I155" s="215">
        <v>16812.05</v>
      </c>
      <c r="J155" s="215">
        <v>16812.05</v>
      </c>
      <c r="K155" s="215">
        <v>16812.05</v>
      </c>
      <c r="L155" s="215">
        <v>16812.05</v>
      </c>
      <c r="M155" s="215">
        <v>16812.05</v>
      </c>
      <c r="N155" s="215">
        <v>16812.05</v>
      </c>
      <c r="O155" s="215">
        <v>16812.05</v>
      </c>
      <c r="P155" s="215">
        <v>16812.05</v>
      </c>
      <c r="Q155" s="215">
        <v>16812.05</v>
      </c>
    </row>
    <row r="156" spans="2:17" x14ac:dyDescent="0.25">
      <c r="B156" s="259">
        <f t="shared" si="2"/>
        <v>0</v>
      </c>
      <c r="D156" s="2" t="s">
        <v>1315</v>
      </c>
      <c r="E156" s="215">
        <v>0</v>
      </c>
      <c r="F156" s="215">
        <v>0</v>
      </c>
      <c r="G156" s="215">
        <v>0</v>
      </c>
      <c r="H156" s="215">
        <v>0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0</v>
      </c>
      <c r="O156" s="215">
        <v>0</v>
      </c>
      <c r="P156" s="215">
        <v>0</v>
      </c>
      <c r="Q156" s="215">
        <v>0</v>
      </c>
    </row>
    <row r="157" spans="2:17" x14ac:dyDescent="0.25">
      <c r="B157" s="259">
        <f t="shared" si="2"/>
        <v>6516.6904166666673</v>
      </c>
      <c r="D157" s="2" t="s">
        <v>1001</v>
      </c>
      <c r="E157" s="215">
        <v>0</v>
      </c>
      <c r="F157" s="215">
        <v>0</v>
      </c>
      <c r="G157" s="215">
        <v>0</v>
      </c>
      <c r="H157" s="215">
        <v>0</v>
      </c>
      <c r="I157" s="215">
        <v>0</v>
      </c>
      <c r="J157" s="215">
        <v>0</v>
      </c>
      <c r="K157" s="215">
        <v>0</v>
      </c>
      <c r="L157" s="215">
        <v>0</v>
      </c>
      <c r="M157" s="215">
        <v>0</v>
      </c>
      <c r="N157" s="215">
        <v>0</v>
      </c>
      <c r="O157" s="215">
        <v>0</v>
      </c>
      <c r="P157" s="215">
        <v>0</v>
      </c>
      <c r="Q157" s="215">
        <v>156400.57</v>
      </c>
    </row>
    <row r="158" spans="2:17" x14ac:dyDescent="0.25">
      <c r="B158" s="259">
        <f t="shared" si="2"/>
        <v>1802093.5895833333</v>
      </c>
      <c r="D158" s="2" t="s">
        <v>250</v>
      </c>
      <c r="E158" s="215">
        <v>1776208.42</v>
      </c>
      <c r="F158" s="215">
        <v>1817768.1</v>
      </c>
      <c r="G158" s="215">
        <v>1777968.84</v>
      </c>
      <c r="H158" s="215">
        <v>1777968.84</v>
      </c>
      <c r="I158" s="215">
        <v>1777968.84</v>
      </c>
      <c r="J158" s="215">
        <v>1777968.84</v>
      </c>
      <c r="K158" s="215">
        <v>1777968.84</v>
      </c>
      <c r="L158" s="215">
        <v>1777968.84</v>
      </c>
      <c r="M158" s="215">
        <v>1777968.84</v>
      </c>
      <c r="N158" s="215">
        <v>1777968.84</v>
      </c>
      <c r="O158" s="215">
        <v>1777968.84</v>
      </c>
      <c r="P158" s="215">
        <v>1778547.96</v>
      </c>
      <c r="Q158" s="215">
        <v>2277966.4899999998</v>
      </c>
    </row>
    <row r="159" spans="2:17" x14ac:dyDescent="0.25">
      <c r="B159" s="259">
        <f t="shared" si="2"/>
        <v>589455.70083333354</v>
      </c>
      <c r="D159" s="2" t="s">
        <v>252</v>
      </c>
      <c r="E159" s="215">
        <v>588672.32999999996</v>
      </c>
      <c r="F159" s="215">
        <v>590171.74</v>
      </c>
      <c r="G159" s="215">
        <v>589424.81000000006</v>
      </c>
      <c r="H159" s="215">
        <v>589424.81000000006</v>
      </c>
      <c r="I159" s="215">
        <v>589424.81000000006</v>
      </c>
      <c r="J159" s="215">
        <v>589424.81000000006</v>
      </c>
      <c r="K159" s="215">
        <v>589424.81000000006</v>
      </c>
      <c r="L159" s="215">
        <v>589424.81000000006</v>
      </c>
      <c r="M159" s="215">
        <v>589424.81000000006</v>
      </c>
      <c r="N159" s="215">
        <v>589424.81000000006</v>
      </c>
      <c r="O159" s="215">
        <v>589424.81000000006</v>
      </c>
      <c r="P159" s="215">
        <v>589424.81000000006</v>
      </c>
      <c r="Q159" s="215">
        <v>589424.81000000006</v>
      </c>
    </row>
    <row r="160" spans="2:17" x14ac:dyDescent="0.25">
      <c r="B160" s="259">
        <f t="shared" si="2"/>
        <v>2053.65</v>
      </c>
      <c r="D160" s="2" t="s">
        <v>1003</v>
      </c>
      <c r="E160" s="215">
        <v>0</v>
      </c>
      <c r="F160" s="215">
        <v>0</v>
      </c>
      <c r="G160" s="215">
        <v>0</v>
      </c>
      <c r="H160" s="215">
        <v>0</v>
      </c>
      <c r="I160" s="215">
        <v>0</v>
      </c>
      <c r="J160" s="215">
        <v>0</v>
      </c>
      <c r="K160" s="215">
        <v>0</v>
      </c>
      <c r="L160" s="215">
        <v>0</v>
      </c>
      <c r="M160" s="215">
        <v>0</v>
      </c>
      <c r="N160" s="215">
        <v>0</v>
      </c>
      <c r="O160" s="215">
        <v>0</v>
      </c>
      <c r="P160" s="215">
        <v>0</v>
      </c>
      <c r="Q160" s="215">
        <v>49287.6</v>
      </c>
    </row>
    <row r="161" spans="2:17" x14ac:dyDescent="0.25">
      <c r="B161" s="259">
        <f t="shared" si="2"/>
        <v>203586.60833333337</v>
      </c>
      <c r="D161" s="2" t="s">
        <v>906</v>
      </c>
      <c r="E161" s="215">
        <v>0</v>
      </c>
      <c r="F161" s="215">
        <v>212438.2</v>
      </c>
      <c r="G161" s="215">
        <v>212438.2</v>
      </c>
      <c r="H161" s="215">
        <v>212438.2</v>
      </c>
      <c r="I161" s="215">
        <v>212438.2</v>
      </c>
      <c r="J161" s="215">
        <v>212438.2</v>
      </c>
      <c r="K161" s="215">
        <v>212438.2</v>
      </c>
      <c r="L161" s="215">
        <v>212438.2</v>
      </c>
      <c r="M161" s="215">
        <v>212438.2</v>
      </c>
      <c r="N161" s="215">
        <v>212438.2</v>
      </c>
      <c r="O161" s="215">
        <v>212438.2</v>
      </c>
      <c r="P161" s="215">
        <v>212438.2</v>
      </c>
      <c r="Q161" s="215">
        <v>212438.2</v>
      </c>
    </row>
    <row r="162" spans="2:17" x14ac:dyDescent="0.25">
      <c r="B162" s="259">
        <f t="shared" si="2"/>
        <v>5719.2533333333331</v>
      </c>
      <c r="D162" s="2" t="s">
        <v>1005</v>
      </c>
      <c r="E162" s="215">
        <v>0</v>
      </c>
      <c r="F162" s="215">
        <v>0</v>
      </c>
      <c r="G162" s="215">
        <v>0</v>
      </c>
      <c r="H162" s="215">
        <v>0</v>
      </c>
      <c r="I162" s="215">
        <v>0</v>
      </c>
      <c r="J162" s="215">
        <v>0</v>
      </c>
      <c r="K162" s="215">
        <v>0</v>
      </c>
      <c r="L162" s="215">
        <v>0</v>
      </c>
      <c r="M162" s="215">
        <v>0</v>
      </c>
      <c r="N162" s="215">
        <v>0</v>
      </c>
      <c r="O162" s="215">
        <v>0</v>
      </c>
      <c r="P162" s="215">
        <v>0</v>
      </c>
      <c r="Q162" s="215">
        <v>137262.07999999999</v>
      </c>
    </row>
    <row r="163" spans="2:17" x14ac:dyDescent="0.25">
      <c r="B163" s="259">
        <f t="shared" si="2"/>
        <v>0</v>
      </c>
      <c r="D163" s="2" t="s">
        <v>1316</v>
      </c>
      <c r="E163" s="215">
        <v>0</v>
      </c>
      <c r="F163" s="215">
        <v>0</v>
      </c>
      <c r="G163" s="215">
        <v>0</v>
      </c>
      <c r="H163" s="215">
        <v>0</v>
      </c>
      <c r="I163" s="215">
        <v>0</v>
      </c>
      <c r="J163" s="215">
        <v>0</v>
      </c>
      <c r="K163" s="215">
        <v>0</v>
      </c>
      <c r="L163" s="215">
        <v>0</v>
      </c>
      <c r="M163" s="215">
        <v>0</v>
      </c>
      <c r="N163" s="215">
        <v>0</v>
      </c>
      <c r="O163" s="215">
        <v>0</v>
      </c>
      <c r="P163" s="215">
        <v>0</v>
      </c>
      <c r="Q163" s="215">
        <v>0</v>
      </c>
    </row>
    <row r="164" spans="2:17" x14ac:dyDescent="0.25">
      <c r="B164" s="259">
        <f t="shared" si="2"/>
        <v>2029399.1999999995</v>
      </c>
      <c r="D164" s="2" t="s">
        <v>1317</v>
      </c>
      <c r="E164" s="215">
        <v>2029399.2</v>
      </c>
      <c r="F164" s="215">
        <v>2029399.2</v>
      </c>
      <c r="G164" s="215">
        <v>2029399.2</v>
      </c>
      <c r="H164" s="215">
        <v>2029399.2</v>
      </c>
      <c r="I164" s="215">
        <v>2029399.2</v>
      </c>
      <c r="J164" s="215">
        <v>2029399.2</v>
      </c>
      <c r="K164" s="215">
        <v>2029399.2</v>
      </c>
      <c r="L164" s="215">
        <v>2029399.2</v>
      </c>
      <c r="M164" s="215">
        <v>2029399.2</v>
      </c>
      <c r="N164" s="215">
        <v>2029399.2</v>
      </c>
      <c r="O164" s="215">
        <v>2029399.2</v>
      </c>
      <c r="P164" s="215">
        <v>2029399.2</v>
      </c>
      <c r="Q164" s="215">
        <v>2029399.2</v>
      </c>
    </row>
    <row r="165" spans="2:17" x14ac:dyDescent="0.25">
      <c r="B165" s="259">
        <f t="shared" si="2"/>
        <v>0</v>
      </c>
      <c r="D165" s="2" t="s">
        <v>1318</v>
      </c>
      <c r="E165" s="215">
        <v>0</v>
      </c>
      <c r="F165" s="215">
        <v>0</v>
      </c>
      <c r="G165" s="215">
        <v>0</v>
      </c>
      <c r="H165" s="215">
        <v>0</v>
      </c>
      <c r="I165" s="215">
        <v>0</v>
      </c>
      <c r="J165" s="215">
        <v>0</v>
      </c>
      <c r="K165" s="215">
        <v>0</v>
      </c>
      <c r="L165" s="215">
        <v>0</v>
      </c>
      <c r="M165" s="215">
        <v>0</v>
      </c>
      <c r="N165" s="215">
        <v>0</v>
      </c>
      <c r="O165" s="215">
        <v>0</v>
      </c>
      <c r="P165" s="215">
        <v>0</v>
      </c>
      <c r="Q165" s="215">
        <v>0</v>
      </c>
    </row>
    <row r="166" spans="2:17" x14ac:dyDescent="0.25">
      <c r="B166" s="259">
        <f t="shared" si="2"/>
        <v>877485.02208333334</v>
      </c>
      <c r="D166" s="2" t="s">
        <v>254</v>
      </c>
      <c r="E166" s="215">
        <v>240888.25</v>
      </c>
      <c r="F166" s="215">
        <v>240888.25</v>
      </c>
      <c r="G166" s="215">
        <v>240888.25</v>
      </c>
      <c r="H166" s="215">
        <v>240888.25</v>
      </c>
      <c r="I166" s="215">
        <v>1115326.67</v>
      </c>
      <c r="J166" s="215">
        <v>1091521.8399999999</v>
      </c>
      <c r="K166" s="215">
        <v>1092660.0699999998</v>
      </c>
      <c r="L166" s="215">
        <v>1093627.5699999998</v>
      </c>
      <c r="M166" s="215">
        <v>1048627.5699999998</v>
      </c>
      <c r="N166" s="215">
        <v>1093627.5699999998</v>
      </c>
      <c r="O166" s="215">
        <v>1093627.5699999998</v>
      </c>
      <c r="P166" s="215">
        <v>1093627.5699999998</v>
      </c>
      <c r="Q166" s="215">
        <v>1928129.92</v>
      </c>
    </row>
    <row r="167" spans="2:17" x14ac:dyDescent="0.25">
      <c r="B167" s="259">
        <f t="shared" si="2"/>
        <v>16232.887916666667</v>
      </c>
      <c r="D167" s="2" t="s">
        <v>1007</v>
      </c>
      <c r="E167" s="215">
        <v>0</v>
      </c>
      <c r="F167" s="215">
        <v>0</v>
      </c>
      <c r="G167" s="215">
        <v>0</v>
      </c>
      <c r="H167" s="215">
        <v>0</v>
      </c>
      <c r="I167" s="215">
        <v>0</v>
      </c>
      <c r="J167" s="215">
        <v>0</v>
      </c>
      <c r="K167" s="215">
        <v>0</v>
      </c>
      <c r="L167" s="215">
        <v>35417.21</v>
      </c>
      <c r="M167" s="215">
        <v>35417.21</v>
      </c>
      <c r="N167" s="215">
        <v>35417.21</v>
      </c>
      <c r="O167" s="215">
        <v>35417.21</v>
      </c>
      <c r="P167" s="215">
        <v>35417.21</v>
      </c>
      <c r="Q167" s="215">
        <v>35417.21</v>
      </c>
    </row>
    <row r="168" spans="2:17" x14ac:dyDescent="0.25">
      <c r="B168" s="259">
        <f t="shared" si="2"/>
        <v>0</v>
      </c>
      <c r="D168" s="2" t="s">
        <v>1319</v>
      </c>
      <c r="E168" s="215">
        <v>0</v>
      </c>
      <c r="F168" s="215">
        <v>0</v>
      </c>
      <c r="G168" s="215">
        <v>0</v>
      </c>
      <c r="H168" s="215">
        <v>0</v>
      </c>
      <c r="I168" s="215">
        <v>0</v>
      </c>
      <c r="J168" s="215">
        <v>0</v>
      </c>
      <c r="K168" s="215">
        <v>0</v>
      </c>
      <c r="L168" s="215">
        <v>0</v>
      </c>
      <c r="M168" s="215">
        <v>0</v>
      </c>
      <c r="N168" s="215">
        <v>0</v>
      </c>
      <c r="O168" s="215">
        <v>0</v>
      </c>
      <c r="P168" s="215">
        <v>0</v>
      </c>
      <c r="Q168" s="215">
        <v>0</v>
      </c>
    </row>
    <row r="169" spans="2:17" x14ac:dyDescent="0.25">
      <c r="B169" s="259">
        <f t="shared" si="2"/>
        <v>3614400.6199999996</v>
      </c>
      <c r="D169" s="2" t="s">
        <v>256</v>
      </c>
      <c r="E169" s="215">
        <v>3614400.62</v>
      </c>
      <c r="F169" s="215">
        <v>3614400.62</v>
      </c>
      <c r="G169" s="215">
        <v>3614400.62</v>
      </c>
      <c r="H169" s="215">
        <v>3614400.62</v>
      </c>
      <c r="I169" s="215">
        <v>3614400.62</v>
      </c>
      <c r="J169" s="215">
        <v>3614400.62</v>
      </c>
      <c r="K169" s="215">
        <v>3614400.62</v>
      </c>
      <c r="L169" s="215">
        <v>3614400.62</v>
      </c>
      <c r="M169" s="215">
        <v>3614400.62</v>
      </c>
      <c r="N169" s="215">
        <v>3614400.62</v>
      </c>
      <c r="O169" s="215">
        <v>3614400.62</v>
      </c>
      <c r="P169" s="215">
        <v>3614400.62</v>
      </c>
      <c r="Q169" s="215">
        <v>3614400.62</v>
      </c>
    </row>
    <row r="170" spans="2:17" x14ac:dyDescent="0.25">
      <c r="B170" s="259">
        <f t="shared" si="2"/>
        <v>0</v>
      </c>
      <c r="D170" s="2" t="s">
        <v>1320</v>
      </c>
      <c r="E170" s="215">
        <v>0</v>
      </c>
      <c r="F170" s="215">
        <v>0</v>
      </c>
      <c r="G170" s="215">
        <v>0</v>
      </c>
      <c r="H170" s="215">
        <v>0</v>
      </c>
      <c r="I170" s="215">
        <v>0</v>
      </c>
      <c r="J170" s="215">
        <v>0</v>
      </c>
      <c r="K170" s="215">
        <v>0</v>
      </c>
      <c r="L170" s="215">
        <v>0</v>
      </c>
      <c r="M170" s="215">
        <v>0</v>
      </c>
      <c r="N170" s="215">
        <v>0</v>
      </c>
      <c r="O170" s="215">
        <v>0</v>
      </c>
      <c r="P170" s="215">
        <v>0</v>
      </c>
      <c r="Q170" s="215">
        <v>0</v>
      </c>
    </row>
    <row r="171" spans="2:17" x14ac:dyDescent="0.25">
      <c r="B171" s="259">
        <f t="shared" si="2"/>
        <v>842222.63999999978</v>
      </c>
      <c r="D171" s="2" t="s">
        <v>908</v>
      </c>
      <c r="E171" s="215">
        <v>0</v>
      </c>
      <c r="F171" s="215">
        <v>0</v>
      </c>
      <c r="G171" s="215">
        <v>0</v>
      </c>
      <c r="H171" s="215">
        <v>0</v>
      </c>
      <c r="I171" s="215">
        <v>0</v>
      </c>
      <c r="J171" s="215">
        <v>1284042.3899999999</v>
      </c>
      <c r="K171" s="215">
        <v>1375828.38</v>
      </c>
      <c r="L171" s="215">
        <v>1349976.41</v>
      </c>
      <c r="M171" s="215">
        <v>1352712.85</v>
      </c>
      <c r="N171" s="215">
        <v>1354705.84</v>
      </c>
      <c r="O171" s="215">
        <v>1355317.49</v>
      </c>
      <c r="P171" s="215">
        <v>1355873.54</v>
      </c>
      <c r="Q171" s="215">
        <v>1356429.56</v>
      </c>
    </row>
    <row r="172" spans="2:17" x14ac:dyDescent="0.25">
      <c r="B172" s="259">
        <f t="shared" si="2"/>
        <v>20240.536666666667</v>
      </c>
      <c r="D172" s="2" t="s">
        <v>1009</v>
      </c>
      <c r="E172" s="215">
        <v>0</v>
      </c>
      <c r="F172" s="215">
        <v>0</v>
      </c>
      <c r="G172" s="215">
        <v>0</v>
      </c>
      <c r="H172" s="215">
        <v>0</v>
      </c>
      <c r="I172" s="215">
        <v>0</v>
      </c>
      <c r="J172" s="215">
        <v>0</v>
      </c>
      <c r="K172" s="215">
        <v>0</v>
      </c>
      <c r="L172" s="215">
        <v>0</v>
      </c>
      <c r="M172" s="215">
        <v>0</v>
      </c>
      <c r="N172" s="215">
        <v>0</v>
      </c>
      <c r="O172" s="215">
        <v>0</v>
      </c>
      <c r="P172" s="215">
        <v>0</v>
      </c>
      <c r="Q172" s="215">
        <v>485772.88</v>
      </c>
    </row>
    <row r="173" spans="2:17" x14ac:dyDescent="0.25">
      <c r="B173" s="259">
        <f t="shared" si="2"/>
        <v>20110.281666666666</v>
      </c>
      <c r="D173" s="2" t="s">
        <v>1011</v>
      </c>
      <c r="E173" s="215">
        <v>0</v>
      </c>
      <c r="F173" s="215">
        <v>0</v>
      </c>
      <c r="G173" s="215">
        <v>0</v>
      </c>
      <c r="H173" s="215">
        <v>0</v>
      </c>
      <c r="I173" s="215">
        <v>0</v>
      </c>
      <c r="J173" s="215">
        <v>0</v>
      </c>
      <c r="K173" s="215">
        <v>0</v>
      </c>
      <c r="L173" s="215">
        <v>0</v>
      </c>
      <c r="M173" s="215">
        <v>0</v>
      </c>
      <c r="N173" s="215">
        <v>0</v>
      </c>
      <c r="O173" s="215">
        <v>0</v>
      </c>
      <c r="P173" s="215">
        <v>0</v>
      </c>
      <c r="Q173" s="215">
        <v>482646.76</v>
      </c>
    </row>
    <row r="174" spans="2:17" x14ac:dyDescent="0.25">
      <c r="B174" s="259">
        <f t="shared" si="2"/>
        <v>0</v>
      </c>
      <c r="D174" s="2" t="s">
        <v>1321</v>
      </c>
      <c r="E174" s="215">
        <v>0</v>
      </c>
      <c r="F174" s="215">
        <v>0</v>
      </c>
      <c r="G174" s="215">
        <v>0</v>
      </c>
      <c r="H174" s="215">
        <v>0</v>
      </c>
      <c r="I174" s="215">
        <v>0</v>
      </c>
      <c r="J174" s="215">
        <v>0</v>
      </c>
      <c r="K174" s="215">
        <v>0</v>
      </c>
      <c r="L174" s="215">
        <v>0</v>
      </c>
      <c r="M174" s="215">
        <v>0</v>
      </c>
      <c r="N174" s="215">
        <v>0</v>
      </c>
      <c r="O174" s="215">
        <v>0</v>
      </c>
      <c r="P174" s="215">
        <v>0</v>
      </c>
      <c r="Q174" s="215">
        <v>0</v>
      </c>
    </row>
    <row r="175" spans="2:17" x14ac:dyDescent="0.25">
      <c r="B175" s="259">
        <f t="shared" si="2"/>
        <v>0</v>
      </c>
      <c r="D175" s="2" t="s">
        <v>1322</v>
      </c>
      <c r="E175" s="215">
        <v>0</v>
      </c>
      <c r="F175" s="215">
        <v>0</v>
      </c>
      <c r="G175" s="215">
        <v>0</v>
      </c>
      <c r="H175" s="215">
        <v>0</v>
      </c>
      <c r="I175" s="215">
        <v>0</v>
      </c>
      <c r="J175" s="215">
        <v>0</v>
      </c>
      <c r="K175" s="215">
        <v>0</v>
      </c>
      <c r="L175" s="215">
        <v>0</v>
      </c>
      <c r="M175" s="215">
        <v>0</v>
      </c>
      <c r="N175" s="215">
        <v>0</v>
      </c>
      <c r="O175" s="215">
        <v>0</v>
      </c>
      <c r="P175" s="215">
        <v>0</v>
      </c>
      <c r="Q175" s="215">
        <v>0</v>
      </c>
    </row>
    <row r="176" spans="2:17" x14ac:dyDescent="0.25">
      <c r="B176" s="259">
        <f t="shared" si="2"/>
        <v>102832.70083333332</v>
      </c>
      <c r="D176" s="2" t="s">
        <v>258</v>
      </c>
      <c r="E176" s="215">
        <v>102980.74</v>
      </c>
      <c r="F176" s="215">
        <v>102857.01</v>
      </c>
      <c r="G176" s="215">
        <v>102949.67</v>
      </c>
      <c r="H176" s="215">
        <v>102857.28</v>
      </c>
      <c r="I176" s="215">
        <v>102804.48</v>
      </c>
      <c r="J176" s="215">
        <v>102804.48</v>
      </c>
      <c r="K176" s="215">
        <v>102804.48</v>
      </c>
      <c r="L176" s="215">
        <v>102804.48</v>
      </c>
      <c r="M176" s="215">
        <v>102804.48</v>
      </c>
      <c r="N176" s="215">
        <v>102804.48</v>
      </c>
      <c r="O176" s="215">
        <v>102804.48</v>
      </c>
      <c r="P176" s="215">
        <v>102804.48</v>
      </c>
      <c r="Q176" s="215">
        <v>102804.48</v>
      </c>
    </row>
    <row r="177" spans="2:17" x14ac:dyDescent="0.25">
      <c r="B177" s="259">
        <f t="shared" si="2"/>
        <v>16279.519999999999</v>
      </c>
      <c r="D177" s="2" t="s">
        <v>1013</v>
      </c>
      <c r="E177" s="215">
        <v>0</v>
      </c>
      <c r="F177" s="215">
        <v>0</v>
      </c>
      <c r="G177" s="215">
        <v>0</v>
      </c>
      <c r="H177" s="215">
        <v>0</v>
      </c>
      <c r="I177" s="215">
        <v>0</v>
      </c>
      <c r="J177" s="215">
        <v>0</v>
      </c>
      <c r="K177" s="215">
        <v>0</v>
      </c>
      <c r="L177" s="215">
        <v>0</v>
      </c>
      <c r="M177" s="215">
        <v>0</v>
      </c>
      <c r="N177" s="215">
        <v>0</v>
      </c>
      <c r="O177" s="215">
        <v>0</v>
      </c>
      <c r="P177" s="215">
        <v>0</v>
      </c>
      <c r="Q177" s="215">
        <v>390708.47999999998</v>
      </c>
    </row>
    <row r="178" spans="2:17" x14ac:dyDescent="0.25">
      <c r="B178" s="259">
        <f t="shared" si="2"/>
        <v>0</v>
      </c>
      <c r="D178" s="2" t="s">
        <v>1323</v>
      </c>
      <c r="E178" s="215">
        <v>0</v>
      </c>
      <c r="F178" s="215">
        <v>0</v>
      </c>
      <c r="G178" s="215">
        <v>0</v>
      </c>
      <c r="H178" s="215">
        <v>0</v>
      </c>
      <c r="I178" s="215">
        <v>0</v>
      </c>
      <c r="J178" s="215">
        <v>0</v>
      </c>
      <c r="K178" s="215">
        <v>0</v>
      </c>
      <c r="L178" s="215">
        <v>0</v>
      </c>
      <c r="M178" s="215">
        <v>0</v>
      </c>
      <c r="N178" s="215">
        <v>0</v>
      </c>
      <c r="O178" s="215">
        <v>0</v>
      </c>
      <c r="P178" s="215">
        <v>0</v>
      </c>
      <c r="Q178" s="215">
        <v>0</v>
      </c>
    </row>
    <row r="179" spans="2:17" x14ac:dyDescent="0.25">
      <c r="B179" s="259">
        <f t="shared" si="2"/>
        <v>0</v>
      </c>
      <c r="D179" s="2" t="s">
        <v>1324</v>
      </c>
      <c r="E179" s="215">
        <v>0</v>
      </c>
      <c r="F179" s="215">
        <v>0</v>
      </c>
      <c r="G179" s="215">
        <v>0</v>
      </c>
      <c r="H179" s="215">
        <v>0</v>
      </c>
      <c r="I179" s="215">
        <v>0</v>
      </c>
      <c r="J179" s="215">
        <v>0</v>
      </c>
      <c r="K179" s="215">
        <v>0</v>
      </c>
      <c r="L179" s="215">
        <v>0</v>
      </c>
      <c r="M179" s="215">
        <v>0</v>
      </c>
      <c r="N179" s="215">
        <v>0</v>
      </c>
      <c r="O179" s="215">
        <v>0</v>
      </c>
      <c r="P179" s="215">
        <v>0</v>
      </c>
      <c r="Q179" s="215">
        <v>0</v>
      </c>
    </row>
    <row r="180" spans="2:17" x14ac:dyDescent="0.25">
      <c r="B180" s="259">
        <f t="shared" si="2"/>
        <v>45624.786250000005</v>
      </c>
      <c r="D180" s="2" t="s">
        <v>260</v>
      </c>
      <c r="E180" s="215">
        <v>52869.98</v>
      </c>
      <c r="F180" s="215">
        <v>45557.919999999998</v>
      </c>
      <c r="G180" s="215">
        <v>45280.78</v>
      </c>
      <c r="H180" s="215">
        <v>45286.71</v>
      </c>
      <c r="I180" s="215">
        <v>45286.71</v>
      </c>
      <c r="J180" s="215">
        <v>45286.71</v>
      </c>
      <c r="K180" s="215">
        <v>45286.71</v>
      </c>
      <c r="L180" s="215">
        <v>45286.71</v>
      </c>
      <c r="M180" s="215">
        <v>45286.71</v>
      </c>
      <c r="N180" s="215">
        <v>45286.71</v>
      </c>
      <c r="O180" s="215">
        <v>45286.71</v>
      </c>
      <c r="P180" s="215">
        <v>45286.71</v>
      </c>
      <c r="Q180" s="215">
        <v>45286.71</v>
      </c>
    </row>
    <row r="181" spans="2:17" x14ac:dyDescent="0.25">
      <c r="B181" s="259">
        <f t="shared" si="2"/>
        <v>0</v>
      </c>
      <c r="D181" s="2" t="s">
        <v>1325</v>
      </c>
      <c r="E181" s="215">
        <v>0</v>
      </c>
      <c r="F181" s="215">
        <v>0</v>
      </c>
      <c r="G181" s="215">
        <v>0</v>
      </c>
      <c r="H181" s="215">
        <v>0</v>
      </c>
      <c r="I181" s="215">
        <v>0</v>
      </c>
      <c r="J181" s="215">
        <v>0</v>
      </c>
      <c r="K181" s="215">
        <v>0</v>
      </c>
      <c r="L181" s="215">
        <v>0</v>
      </c>
      <c r="M181" s="215">
        <v>0</v>
      </c>
      <c r="N181" s="215">
        <v>0</v>
      </c>
      <c r="O181" s="215">
        <v>0</v>
      </c>
      <c r="P181" s="215">
        <v>0</v>
      </c>
      <c r="Q181" s="215">
        <v>0</v>
      </c>
    </row>
    <row r="182" spans="2:17" x14ac:dyDescent="0.25">
      <c r="B182" s="259">
        <f t="shared" si="2"/>
        <v>3501.5941666666663</v>
      </c>
      <c r="D182" s="2" t="s">
        <v>1015</v>
      </c>
      <c r="E182" s="215">
        <v>0</v>
      </c>
      <c r="F182" s="215">
        <v>0</v>
      </c>
      <c r="G182" s="215">
        <v>0</v>
      </c>
      <c r="H182" s="215">
        <v>0</v>
      </c>
      <c r="I182" s="215">
        <v>0</v>
      </c>
      <c r="J182" s="215">
        <v>0</v>
      </c>
      <c r="K182" s="215">
        <v>0</v>
      </c>
      <c r="L182" s="215">
        <v>0</v>
      </c>
      <c r="M182" s="215">
        <v>0</v>
      </c>
      <c r="N182" s="215">
        <v>0</v>
      </c>
      <c r="O182" s="215">
        <v>0</v>
      </c>
      <c r="P182" s="215">
        <v>0</v>
      </c>
      <c r="Q182" s="215">
        <v>84038.26</v>
      </c>
    </row>
    <row r="183" spans="2:17" x14ac:dyDescent="0.25">
      <c r="B183" s="259">
        <f t="shared" si="2"/>
        <v>7308.53125</v>
      </c>
      <c r="D183" s="2" t="s">
        <v>1017</v>
      </c>
      <c r="E183" s="215">
        <v>0</v>
      </c>
      <c r="F183" s="215">
        <v>0</v>
      </c>
      <c r="G183" s="215">
        <v>0</v>
      </c>
      <c r="H183" s="215">
        <v>0</v>
      </c>
      <c r="I183" s="215">
        <v>0</v>
      </c>
      <c r="J183" s="215">
        <v>0</v>
      </c>
      <c r="K183" s="215">
        <v>0</v>
      </c>
      <c r="L183" s="215">
        <v>0</v>
      </c>
      <c r="M183" s="215">
        <v>0</v>
      </c>
      <c r="N183" s="215">
        <v>0</v>
      </c>
      <c r="O183" s="215">
        <v>0</v>
      </c>
      <c r="P183" s="215">
        <v>0</v>
      </c>
      <c r="Q183" s="215">
        <v>175404.75</v>
      </c>
    </row>
    <row r="184" spans="2:17" x14ac:dyDescent="0.25">
      <c r="B184" s="259">
        <f t="shared" si="2"/>
        <v>2873.49</v>
      </c>
      <c r="D184" s="2" t="s">
        <v>1019</v>
      </c>
      <c r="E184" s="215">
        <v>0</v>
      </c>
      <c r="F184" s="215">
        <v>0</v>
      </c>
      <c r="G184" s="215">
        <v>0</v>
      </c>
      <c r="H184" s="215">
        <v>0</v>
      </c>
      <c r="I184" s="215">
        <v>0</v>
      </c>
      <c r="J184" s="215">
        <v>0</v>
      </c>
      <c r="K184" s="215">
        <v>0</v>
      </c>
      <c r="L184" s="215">
        <v>0</v>
      </c>
      <c r="M184" s="215">
        <v>0</v>
      </c>
      <c r="N184" s="215">
        <v>0</v>
      </c>
      <c r="O184" s="215">
        <v>0</v>
      </c>
      <c r="P184" s="215">
        <v>0</v>
      </c>
      <c r="Q184" s="215">
        <v>68963.759999999995</v>
      </c>
    </row>
    <row r="185" spans="2:17" x14ac:dyDescent="0.25">
      <c r="B185" s="259">
        <f t="shared" si="2"/>
        <v>19650.208333333332</v>
      </c>
      <c r="D185" s="2" t="s">
        <v>1021</v>
      </c>
      <c r="E185" s="215">
        <v>0</v>
      </c>
      <c r="F185" s="215">
        <v>0</v>
      </c>
      <c r="G185" s="215">
        <v>0</v>
      </c>
      <c r="H185" s="215">
        <v>0</v>
      </c>
      <c r="I185" s="215">
        <v>0</v>
      </c>
      <c r="J185" s="215">
        <v>0</v>
      </c>
      <c r="K185" s="215">
        <v>0</v>
      </c>
      <c r="L185" s="215">
        <v>0</v>
      </c>
      <c r="M185" s="215">
        <v>0</v>
      </c>
      <c r="N185" s="215">
        <v>0</v>
      </c>
      <c r="O185" s="215">
        <v>0</v>
      </c>
      <c r="P185" s="215">
        <v>0</v>
      </c>
      <c r="Q185" s="215">
        <v>471605</v>
      </c>
    </row>
    <row r="186" spans="2:17" x14ac:dyDescent="0.25">
      <c r="B186" s="259">
        <f t="shared" si="2"/>
        <v>31186.064166666667</v>
      </c>
      <c r="D186" s="2" t="s">
        <v>910</v>
      </c>
      <c r="E186" s="215">
        <v>0</v>
      </c>
      <c r="F186" s="215">
        <v>0</v>
      </c>
      <c r="G186" s="215">
        <v>0</v>
      </c>
      <c r="H186" s="215">
        <v>0</v>
      </c>
      <c r="I186" s="215">
        <v>0</v>
      </c>
      <c r="J186" s="215">
        <v>0</v>
      </c>
      <c r="K186" s="215">
        <v>0</v>
      </c>
      <c r="L186" s="215">
        <v>0</v>
      </c>
      <c r="M186" s="215">
        <v>0</v>
      </c>
      <c r="N186" s="215">
        <v>0</v>
      </c>
      <c r="O186" s="215">
        <v>0</v>
      </c>
      <c r="P186" s="215">
        <v>0</v>
      </c>
      <c r="Q186" s="215">
        <v>748465.54</v>
      </c>
    </row>
    <row r="187" spans="2:17" x14ac:dyDescent="0.25">
      <c r="B187" s="259">
        <f t="shared" si="2"/>
        <v>289311.64541666664</v>
      </c>
      <c r="D187" s="2" t="s">
        <v>1023</v>
      </c>
      <c r="E187" s="215">
        <v>0</v>
      </c>
      <c r="F187" s="215">
        <v>0</v>
      </c>
      <c r="G187" s="215">
        <v>0</v>
      </c>
      <c r="H187" s="215">
        <v>0</v>
      </c>
      <c r="I187" s="215">
        <v>0</v>
      </c>
      <c r="J187" s="215">
        <v>0</v>
      </c>
      <c r="K187" s="215">
        <v>0</v>
      </c>
      <c r="L187" s="215">
        <v>0</v>
      </c>
      <c r="M187" s="215">
        <v>767132.93</v>
      </c>
      <c r="N187" s="215">
        <v>773597.86</v>
      </c>
      <c r="O187" s="215">
        <v>772322.51</v>
      </c>
      <c r="P187" s="215">
        <v>772438.32</v>
      </c>
      <c r="Q187" s="215">
        <v>772496.25</v>
      </c>
    </row>
    <row r="188" spans="2:17" x14ac:dyDescent="0.25">
      <c r="B188" s="259">
        <f t="shared" si="2"/>
        <v>0</v>
      </c>
      <c r="D188" s="2" t="s">
        <v>1326</v>
      </c>
      <c r="E188" s="215">
        <v>0</v>
      </c>
      <c r="F188" s="215">
        <v>0</v>
      </c>
      <c r="G188" s="215">
        <v>0</v>
      </c>
      <c r="H188" s="215">
        <v>0</v>
      </c>
      <c r="I188" s="215">
        <v>0</v>
      </c>
      <c r="J188" s="215">
        <v>0</v>
      </c>
      <c r="K188" s="215">
        <v>0</v>
      </c>
      <c r="L188" s="215">
        <v>0</v>
      </c>
      <c r="M188" s="215">
        <v>0</v>
      </c>
      <c r="N188" s="215">
        <v>0</v>
      </c>
      <c r="O188" s="215">
        <v>0</v>
      </c>
      <c r="P188" s="215">
        <v>0</v>
      </c>
      <c r="Q188" s="215">
        <v>0</v>
      </c>
    </row>
    <row r="189" spans="2:17" x14ac:dyDescent="0.25">
      <c r="B189" s="259">
        <f t="shared" si="2"/>
        <v>0</v>
      </c>
      <c r="D189" s="2" t="s">
        <v>1327</v>
      </c>
      <c r="E189" s="215">
        <v>0</v>
      </c>
      <c r="F189" s="215">
        <v>0</v>
      </c>
      <c r="G189" s="215">
        <v>0</v>
      </c>
      <c r="H189" s="215">
        <v>0</v>
      </c>
      <c r="I189" s="215">
        <v>0</v>
      </c>
      <c r="J189" s="215">
        <v>0</v>
      </c>
      <c r="K189" s="215">
        <v>0</v>
      </c>
      <c r="L189" s="215">
        <v>0</v>
      </c>
      <c r="M189" s="215">
        <v>0</v>
      </c>
      <c r="N189" s="215">
        <v>0</v>
      </c>
      <c r="O189" s="215">
        <v>0</v>
      </c>
      <c r="P189" s="215">
        <v>0</v>
      </c>
      <c r="Q189" s="215">
        <v>0</v>
      </c>
    </row>
    <row r="190" spans="2:17" x14ac:dyDescent="0.25">
      <c r="B190" s="259">
        <f t="shared" si="2"/>
        <v>0</v>
      </c>
      <c r="D190" s="2" t="s">
        <v>1328</v>
      </c>
      <c r="E190" s="215">
        <v>0</v>
      </c>
      <c r="F190" s="215">
        <v>0</v>
      </c>
      <c r="G190" s="215">
        <v>0</v>
      </c>
      <c r="H190" s="215">
        <v>0</v>
      </c>
      <c r="I190" s="215">
        <v>0</v>
      </c>
      <c r="J190" s="215">
        <v>0</v>
      </c>
      <c r="K190" s="215">
        <v>0</v>
      </c>
      <c r="L190" s="215">
        <v>0</v>
      </c>
      <c r="M190" s="215">
        <v>0</v>
      </c>
      <c r="N190" s="215">
        <v>0</v>
      </c>
      <c r="O190" s="215">
        <v>0</v>
      </c>
      <c r="P190" s="215">
        <v>0</v>
      </c>
      <c r="Q190" s="215">
        <v>0</v>
      </c>
    </row>
    <row r="191" spans="2:17" x14ac:dyDescent="0.25">
      <c r="B191" s="259">
        <f t="shared" si="2"/>
        <v>0</v>
      </c>
      <c r="D191" s="2" t="s">
        <v>1329</v>
      </c>
      <c r="E191" s="215">
        <v>0</v>
      </c>
      <c r="F191" s="215">
        <v>0</v>
      </c>
      <c r="G191" s="215">
        <v>0</v>
      </c>
      <c r="H191" s="215">
        <v>0</v>
      </c>
      <c r="I191" s="215">
        <v>0</v>
      </c>
      <c r="J191" s="215">
        <v>0</v>
      </c>
      <c r="K191" s="215">
        <v>0</v>
      </c>
      <c r="L191" s="215">
        <v>0</v>
      </c>
      <c r="M191" s="215">
        <v>0</v>
      </c>
      <c r="N191" s="215">
        <v>0</v>
      </c>
      <c r="O191" s="215">
        <v>0</v>
      </c>
      <c r="P191" s="215">
        <v>0</v>
      </c>
      <c r="Q191" s="215">
        <v>0</v>
      </c>
    </row>
    <row r="192" spans="2:17" x14ac:dyDescent="0.25">
      <c r="B192" s="259">
        <f t="shared" si="2"/>
        <v>139490.19999999998</v>
      </c>
      <c r="D192" s="2" t="s">
        <v>1330</v>
      </c>
      <c r="E192" s="215">
        <v>139490.20000000001</v>
      </c>
      <c r="F192" s="215">
        <v>139490.20000000001</v>
      </c>
      <c r="G192" s="215">
        <v>139490.20000000001</v>
      </c>
      <c r="H192" s="215">
        <v>139490.20000000001</v>
      </c>
      <c r="I192" s="215">
        <v>139490.20000000001</v>
      </c>
      <c r="J192" s="215">
        <v>139490.20000000001</v>
      </c>
      <c r="K192" s="215">
        <v>139490.20000000001</v>
      </c>
      <c r="L192" s="215">
        <v>139490.20000000001</v>
      </c>
      <c r="M192" s="215">
        <v>139490.20000000001</v>
      </c>
      <c r="N192" s="215">
        <v>139490.20000000001</v>
      </c>
      <c r="O192" s="215">
        <v>139490.20000000001</v>
      </c>
      <c r="P192" s="215">
        <v>139490.20000000001</v>
      </c>
      <c r="Q192" s="215">
        <v>139490.20000000001</v>
      </c>
    </row>
    <row r="193" spans="2:17" x14ac:dyDescent="0.25">
      <c r="B193" s="259">
        <f t="shared" si="2"/>
        <v>154464.01</v>
      </c>
      <c r="D193" s="2" t="s">
        <v>1331</v>
      </c>
      <c r="E193" s="215">
        <v>154464.01</v>
      </c>
      <c r="F193" s="215">
        <v>154464.01</v>
      </c>
      <c r="G193" s="215">
        <v>154464.01</v>
      </c>
      <c r="H193" s="215">
        <v>154464.01</v>
      </c>
      <c r="I193" s="215">
        <v>154464.01</v>
      </c>
      <c r="J193" s="215">
        <v>154464.01</v>
      </c>
      <c r="K193" s="215">
        <v>154464.01</v>
      </c>
      <c r="L193" s="215">
        <v>154464.01</v>
      </c>
      <c r="M193" s="215">
        <v>154464.01</v>
      </c>
      <c r="N193" s="215">
        <v>154464.01</v>
      </c>
      <c r="O193" s="215">
        <v>154464.01</v>
      </c>
      <c r="P193" s="215">
        <v>154464.01</v>
      </c>
      <c r="Q193" s="215">
        <v>154464.01</v>
      </c>
    </row>
    <row r="194" spans="2:17" x14ac:dyDescent="0.25">
      <c r="B194" s="259">
        <f t="shared" si="2"/>
        <v>149150.58166666667</v>
      </c>
      <c r="D194" s="2" t="s">
        <v>912</v>
      </c>
      <c r="E194" s="215">
        <v>0</v>
      </c>
      <c r="F194" s="215">
        <v>0</v>
      </c>
      <c r="G194" s="215">
        <v>0</v>
      </c>
      <c r="H194" s="215">
        <v>0</v>
      </c>
      <c r="I194" s="215">
        <v>0</v>
      </c>
      <c r="J194" s="215">
        <v>0</v>
      </c>
      <c r="K194" s="215">
        <v>0</v>
      </c>
      <c r="L194" s="215">
        <v>0</v>
      </c>
      <c r="M194" s="215">
        <v>0</v>
      </c>
      <c r="N194" s="215">
        <v>0</v>
      </c>
      <c r="O194" s="215">
        <v>0</v>
      </c>
      <c r="P194" s="215">
        <v>0</v>
      </c>
      <c r="Q194" s="215">
        <v>3579613.96</v>
      </c>
    </row>
    <row r="195" spans="2:17" x14ac:dyDescent="0.25">
      <c r="B195" s="259">
        <f t="shared" si="2"/>
        <v>66577.054583333331</v>
      </c>
      <c r="D195" s="2" t="s">
        <v>262</v>
      </c>
      <c r="E195" s="215">
        <v>63848.45</v>
      </c>
      <c r="F195" s="215">
        <v>66595.13</v>
      </c>
      <c r="G195" s="215">
        <v>66595.13</v>
      </c>
      <c r="H195" s="215">
        <v>66716.86</v>
      </c>
      <c r="I195" s="215">
        <v>66716.86</v>
      </c>
      <c r="J195" s="215">
        <v>66716.86</v>
      </c>
      <c r="K195" s="215">
        <v>66716.86</v>
      </c>
      <c r="L195" s="215">
        <v>66716.86</v>
      </c>
      <c r="M195" s="215">
        <v>66716.86</v>
      </c>
      <c r="N195" s="215">
        <v>66716.86</v>
      </c>
      <c r="O195" s="215">
        <v>66716.86</v>
      </c>
      <c r="P195" s="215">
        <v>66716.86</v>
      </c>
      <c r="Q195" s="215">
        <v>66716.86</v>
      </c>
    </row>
    <row r="196" spans="2:17" x14ac:dyDescent="0.25">
      <c r="B196" s="259">
        <f t="shared" si="2"/>
        <v>0</v>
      </c>
      <c r="D196" s="2" t="s">
        <v>1332</v>
      </c>
      <c r="E196" s="215">
        <v>0</v>
      </c>
      <c r="F196" s="215">
        <v>0</v>
      </c>
      <c r="G196" s="215">
        <v>0</v>
      </c>
      <c r="H196" s="215">
        <v>0</v>
      </c>
      <c r="I196" s="215">
        <v>0</v>
      </c>
      <c r="J196" s="215">
        <v>0</v>
      </c>
      <c r="K196" s="215">
        <v>0</v>
      </c>
      <c r="L196" s="215">
        <v>0</v>
      </c>
      <c r="M196" s="215">
        <v>0</v>
      </c>
      <c r="N196" s="215">
        <v>0</v>
      </c>
      <c r="O196" s="215">
        <v>0</v>
      </c>
      <c r="P196" s="215">
        <v>0</v>
      </c>
      <c r="Q196" s="215">
        <v>0</v>
      </c>
    </row>
    <row r="197" spans="2:17" x14ac:dyDescent="0.25">
      <c r="B197" s="259">
        <f t="shared" si="2"/>
        <v>0</v>
      </c>
      <c r="D197" s="2" t="s">
        <v>1333</v>
      </c>
      <c r="E197" s="215">
        <v>0</v>
      </c>
      <c r="F197" s="215">
        <v>0</v>
      </c>
      <c r="G197" s="215">
        <v>0</v>
      </c>
      <c r="H197" s="215">
        <v>0</v>
      </c>
      <c r="I197" s="215">
        <v>0</v>
      </c>
      <c r="J197" s="215">
        <v>0</v>
      </c>
      <c r="K197" s="215">
        <v>0</v>
      </c>
      <c r="L197" s="215">
        <v>0</v>
      </c>
      <c r="M197" s="215">
        <v>0</v>
      </c>
      <c r="N197" s="215">
        <v>0</v>
      </c>
      <c r="O197" s="215">
        <v>0</v>
      </c>
      <c r="P197" s="215">
        <v>0</v>
      </c>
      <c r="Q197" s="215">
        <v>0</v>
      </c>
    </row>
    <row r="198" spans="2:17" x14ac:dyDescent="0.25">
      <c r="B198" s="259">
        <f t="shared" si="2"/>
        <v>312301.53000000009</v>
      </c>
      <c r="D198" s="2" t="s">
        <v>1334</v>
      </c>
      <c r="E198" s="215">
        <v>312301.53000000003</v>
      </c>
      <c r="F198" s="215">
        <v>312301.53000000003</v>
      </c>
      <c r="G198" s="215">
        <v>312301.53000000003</v>
      </c>
      <c r="H198" s="215">
        <v>312301.53000000003</v>
      </c>
      <c r="I198" s="215">
        <v>312301.53000000003</v>
      </c>
      <c r="J198" s="215">
        <v>312301.53000000003</v>
      </c>
      <c r="K198" s="215">
        <v>312301.53000000003</v>
      </c>
      <c r="L198" s="215">
        <v>312301.53000000003</v>
      </c>
      <c r="M198" s="215">
        <v>312301.53000000003</v>
      </c>
      <c r="N198" s="215">
        <v>312301.53000000003</v>
      </c>
      <c r="O198" s="215">
        <v>312301.53000000003</v>
      </c>
      <c r="P198" s="215">
        <v>312301.53000000003</v>
      </c>
      <c r="Q198" s="215">
        <v>312301.53000000003</v>
      </c>
    </row>
    <row r="199" spans="2:17" x14ac:dyDescent="0.25">
      <c r="B199" s="259">
        <f t="shared" ref="B199:B262" si="3">(E199+Q199+SUM(F199:P199)*2)/24</f>
        <v>0</v>
      </c>
      <c r="D199" s="2" t="s">
        <v>1335</v>
      </c>
      <c r="E199" s="215">
        <v>0</v>
      </c>
      <c r="F199" s="215">
        <v>0</v>
      </c>
      <c r="G199" s="215">
        <v>0</v>
      </c>
      <c r="H199" s="215">
        <v>0</v>
      </c>
      <c r="I199" s="215">
        <v>0</v>
      </c>
      <c r="J199" s="215">
        <v>0</v>
      </c>
      <c r="K199" s="215">
        <v>0</v>
      </c>
      <c r="L199" s="215">
        <v>0</v>
      </c>
      <c r="M199" s="215">
        <v>0</v>
      </c>
      <c r="N199" s="215">
        <v>0</v>
      </c>
      <c r="O199" s="215">
        <v>0</v>
      </c>
      <c r="P199" s="215">
        <v>0</v>
      </c>
      <c r="Q199" s="215">
        <v>0</v>
      </c>
    </row>
    <row r="200" spans="2:17" x14ac:dyDescent="0.25">
      <c r="B200" s="259">
        <f t="shared" si="3"/>
        <v>0</v>
      </c>
      <c r="D200" s="2" t="s">
        <v>1336</v>
      </c>
      <c r="E200" s="215">
        <v>0</v>
      </c>
      <c r="F200" s="215">
        <v>0</v>
      </c>
      <c r="G200" s="215">
        <v>0</v>
      </c>
      <c r="H200" s="215">
        <v>0</v>
      </c>
      <c r="I200" s="215">
        <v>0</v>
      </c>
      <c r="J200" s="215">
        <v>0</v>
      </c>
      <c r="K200" s="215">
        <v>0</v>
      </c>
      <c r="L200" s="215">
        <v>0</v>
      </c>
      <c r="M200" s="215">
        <v>0</v>
      </c>
      <c r="N200" s="215">
        <v>0</v>
      </c>
      <c r="O200" s="215">
        <v>0</v>
      </c>
      <c r="P200" s="215">
        <v>0</v>
      </c>
      <c r="Q200" s="215">
        <v>0</v>
      </c>
    </row>
    <row r="201" spans="2:17" x14ac:dyDescent="0.25">
      <c r="B201" s="259">
        <f t="shared" si="3"/>
        <v>0</v>
      </c>
      <c r="D201" s="2" t="s">
        <v>1337</v>
      </c>
      <c r="E201" s="215">
        <v>0</v>
      </c>
      <c r="F201" s="215">
        <v>0</v>
      </c>
      <c r="G201" s="215">
        <v>0</v>
      </c>
      <c r="H201" s="215">
        <v>0</v>
      </c>
      <c r="I201" s="215">
        <v>0</v>
      </c>
      <c r="J201" s="215">
        <v>0</v>
      </c>
      <c r="K201" s="215">
        <v>0</v>
      </c>
      <c r="L201" s="215">
        <v>0</v>
      </c>
      <c r="M201" s="215">
        <v>0</v>
      </c>
      <c r="N201" s="215">
        <v>0</v>
      </c>
      <c r="O201" s="215">
        <v>0</v>
      </c>
      <c r="P201" s="215">
        <v>0</v>
      </c>
      <c r="Q201" s="215">
        <v>0</v>
      </c>
    </row>
    <row r="202" spans="2:17" x14ac:dyDescent="0.25">
      <c r="B202" s="259">
        <f t="shared" si="3"/>
        <v>305888.91000000003</v>
      </c>
      <c r="D202" s="2" t="s">
        <v>1338</v>
      </c>
      <c r="E202" s="215">
        <v>305888.90999999997</v>
      </c>
      <c r="F202" s="215">
        <v>305888.90999999997</v>
      </c>
      <c r="G202" s="215">
        <v>305888.90999999997</v>
      </c>
      <c r="H202" s="215">
        <v>305888.90999999997</v>
      </c>
      <c r="I202" s="215">
        <v>305888.90999999997</v>
      </c>
      <c r="J202" s="215">
        <v>305888.90999999997</v>
      </c>
      <c r="K202" s="215">
        <v>305888.90999999997</v>
      </c>
      <c r="L202" s="215">
        <v>305888.90999999997</v>
      </c>
      <c r="M202" s="215">
        <v>305888.90999999997</v>
      </c>
      <c r="N202" s="215">
        <v>305888.90999999997</v>
      </c>
      <c r="O202" s="215">
        <v>305888.90999999997</v>
      </c>
      <c r="P202" s="215">
        <v>305888.90999999997</v>
      </c>
      <c r="Q202" s="215">
        <v>305888.90999999997</v>
      </c>
    </row>
    <row r="203" spans="2:17" x14ac:dyDescent="0.25">
      <c r="B203" s="259">
        <f t="shared" si="3"/>
        <v>42946.466666666667</v>
      </c>
      <c r="D203" s="2" t="s">
        <v>914</v>
      </c>
      <c r="E203" s="215">
        <v>0</v>
      </c>
      <c r="F203" s="215">
        <v>0</v>
      </c>
      <c r="G203" s="215">
        <v>0</v>
      </c>
      <c r="H203" s="215">
        <v>0</v>
      </c>
      <c r="I203" s="215">
        <v>0</v>
      </c>
      <c r="J203" s="215">
        <v>0</v>
      </c>
      <c r="K203" s="215">
        <v>0</v>
      </c>
      <c r="L203" s="215">
        <v>0</v>
      </c>
      <c r="M203" s="215">
        <v>0</v>
      </c>
      <c r="N203" s="215">
        <v>143900.20000000001</v>
      </c>
      <c r="O203" s="215">
        <v>145038.43</v>
      </c>
      <c r="P203" s="215">
        <v>145209.17000000001</v>
      </c>
      <c r="Q203" s="215">
        <v>162419.6</v>
      </c>
    </row>
    <row r="204" spans="2:17" x14ac:dyDescent="0.25">
      <c r="B204" s="259">
        <f t="shared" si="3"/>
        <v>50745.998749999999</v>
      </c>
      <c r="D204" s="2" t="s">
        <v>1025</v>
      </c>
      <c r="E204" s="215">
        <v>0</v>
      </c>
      <c r="F204" s="215">
        <v>0</v>
      </c>
      <c r="G204" s="215">
        <v>0</v>
      </c>
      <c r="H204" s="215">
        <v>0</v>
      </c>
      <c r="I204" s="215">
        <v>0</v>
      </c>
      <c r="J204" s="215">
        <v>0</v>
      </c>
      <c r="K204" s="215">
        <v>0</v>
      </c>
      <c r="L204" s="215">
        <v>0</v>
      </c>
      <c r="M204" s="215">
        <v>0</v>
      </c>
      <c r="N204" s="215">
        <v>163835.6</v>
      </c>
      <c r="O204" s="215">
        <v>172694.93</v>
      </c>
      <c r="P204" s="215">
        <v>180349.55</v>
      </c>
      <c r="Q204" s="215">
        <v>184143.81</v>
      </c>
    </row>
    <row r="205" spans="2:17" x14ac:dyDescent="0.25">
      <c r="B205" s="259">
        <f t="shared" si="3"/>
        <v>27004.170000000002</v>
      </c>
      <c r="D205" s="2" t="s">
        <v>1339</v>
      </c>
      <c r="E205" s="215">
        <v>27004.170000000006</v>
      </c>
      <c r="F205" s="215">
        <v>27004.170000000006</v>
      </c>
      <c r="G205" s="215">
        <v>27004.170000000006</v>
      </c>
      <c r="H205" s="215">
        <v>27004.170000000006</v>
      </c>
      <c r="I205" s="215">
        <v>27004.170000000006</v>
      </c>
      <c r="J205" s="215">
        <v>27004.170000000006</v>
      </c>
      <c r="K205" s="215">
        <v>27004.170000000006</v>
      </c>
      <c r="L205" s="215">
        <v>27004.170000000006</v>
      </c>
      <c r="M205" s="215">
        <v>27004.170000000006</v>
      </c>
      <c r="N205" s="215">
        <v>27004.170000000006</v>
      </c>
      <c r="O205" s="215">
        <v>27004.170000000006</v>
      </c>
      <c r="P205" s="215">
        <v>27004.170000000006</v>
      </c>
      <c r="Q205" s="215">
        <v>27004.170000000006</v>
      </c>
    </row>
    <row r="206" spans="2:17" x14ac:dyDescent="0.25">
      <c r="B206" s="259">
        <f t="shared" si="3"/>
        <v>249640.01916666675</v>
      </c>
      <c r="D206" s="2" t="s">
        <v>915</v>
      </c>
      <c r="E206" s="215">
        <v>250954.45</v>
      </c>
      <c r="F206" s="215">
        <v>249582.87000000002</v>
      </c>
      <c r="G206" s="215">
        <v>249582.87000000002</v>
      </c>
      <c r="H206" s="215">
        <v>249582.87000000002</v>
      </c>
      <c r="I206" s="215">
        <v>249582.87000000002</v>
      </c>
      <c r="J206" s="215">
        <v>249582.87000000002</v>
      </c>
      <c r="K206" s="215">
        <v>249582.87000000002</v>
      </c>
      <c r="L206" s="215">
        <v>249582.87000000002</v>
      </c>
      <c r="M206" s="215">
        <v>249582.87000000002</v>
      </c>
      <c r="N206" s="215">
        <v>249582.87000000002</v>
      </c>
      <c r="O206" s="215">
        <v>249582.87000000002</v>
      </c>
      <c r="P206" s="215">
        <v>249582.87000000002</v>
      </c>
      <c r="Q206" s="215">
        <v>249582.87000000002</v>
      </c>
    </row>
    <row r="207" spans="2:17" x14ac:dyDescent="0.25">
      <c r="B207" s="259">
        <f t="shared" si="3"/>
        <v>425.04999999999922</v>
      </c>
      <c r="D207" s="2" t="s">
        <v>1340</v>
      </c>
      <c r="E207" s="215">
        <v>425.04999999999916</v>
      </c>
      <c r="F207" s="215">
        <v>425.04999999999916</v>
      </c>
      <c r="G207" s="215">
        <v>425.04999999999916</v>
      </c>
      <c r="H207" s="215">
        <v>425.04999999999916</v>
      </c>
      <c r="I207" s="215">
        <v>425.04999999999916</v>
      </c>
      <c r="J207" s="215">
        <v>425.04999999999916</v>
      </c>
      <c r="K207" s="215">
        <v>425.04999999999916</v>
      </c>
      <c r="L207" s="215">
        <v>425.04999999999916</v>
      </c>
      <c r="M207" s="215">
        <v>425.04999999999916</v>
      </c>
      <c r="N207" s="215">
        <v>425.04999999999916</v>
      </c>
      <c r="O207" s="215">
        <v>425.04999999999916</v>
      </c>
      <c r="P207" s="215">
        <v>425.04999999999916</v>
      </c>
      <c r="Q207" s="215">
        <v>425.04999999999916</v>
      </c>
    </row>
    <row r="208" spans="2:17" x14ac:dyDescent="0.25">
      <c r="B208" s="259">
        <f t="shared" si="3"/>
        <v>299819.39624999993</v>
      </c>
      <c r="D208" s="2" t="s">
        <v>265</v>
      </c>
      <c r="E208" s="215">
        <v>327695.64</v>
      </c>
      <c r="F208" s="215">
        <v>327357.88</v>
      </c>
      <c r="G208" s="215">
        <v>327357.88</v>
      </c>
      <c r="H208" s="215">
        <v>292554.65000000002</v>
      </c>
      <c r="I208" s="215">
        <v>292554.65000000002</v>
      </c>
      <c r="J208" s="215">
        <v>292554.65000000002</v>
      </c>
      <c r="K208" s="215">
        <v>292554.65000000002</v>
      </c>
      <c r="L208" s="215">
        <v>292554.65000000002</v>
      </c>
      <c r="M208" s="215">
        <v>292554.65000000002</v>
      </c>
      <c r="N208" s="215">
        <v>292554.65000000002</v>
      </c>
      <c r="O208" s="215">
        <v>292554.65000000002</v>
      </c>
      <c r="P208" s="215">
        <v>292554.65000000002</v>
      </c>
      <c r="Q208" s="215">
        <v>292554.65000000002</v>
      </c>
    </row>
    <row r="209" spans="2:17" x14ac:dyDescent="0.25">
      <c r="B209" s="259">
        <f t="shared" si="3"/>
        <v>17841.677083333332</v>
      </c>
      <c r="D209" s="2" t="s">
        <v>1027</v>
      </c>
      <c r="E209" s="215">
        <v>0</v>
      </c>
      <c r="F209" s="215">
        <v>0</v>
      </c>
      <c r="G209" s="215">
        <v>0</v>
      </c>
      <c r="H209" s="215">
        <v>0</v>
      </c>
      <c r="I209" s="215">
        <v>0</v>
      </c>
      <c r="J209" s="215">
        <v>0</v>
      </c>
      <c r="K209" s="215">
        <v>0</v>
      </c>
      <c r="L209" s="215">
        <v>0</v>
      </c>
      <c r="M209" s="215">
        <v>0</v>
      </c>
      <c r="N209" s="215">
        <v>0</v>
      </c>
      <c r="O209" s="215">
        <v>0</v>
      </c>
      <c r="P209" s="215">
        <v>0</v>
      </c>
      <c r="Q209" s="215">
        <v>428200.25</v>
      </c>
    </row>
    <row r="210" spans="2:17" x14ac:dyDescent="0.25">
      <c r="B210" s="259">
        <f t="shared" si="3"/>
        <v>1961451.91</v>
      </c>
      <c r="D210" s="2" t="s">
        <v>1341</v>
      </c>
      <c r="E210" s="215">
        <v>1961451.91</v>
      </c>
      <c r="F210" s="215">
        <v>1961451.91</v>
      </c>
      <c r="G210" s="215">
        <v>1961451.91</v>
      </c>
      <c r="H210" s="215">
        <v>1961451.91</v>
      </c>
      <c r="I210" s="215">
        <v>1961451.91</v>
      </c>
      <c r="J210" s="215">
        <v>1961451.91</v>
      </c>
      <c r="K210" s="215">
        <v>1961451.91</v>
      </c>
      <c r="L210" s="215">
        <v>1961451.91</v>
      </c>
      <c r="M210" s="215">
        <v>1961451.91</v>
      </c>
      <c r="N210" s="215">
        <v>1961451.91</v>
      </c>
      <c r="O210" s="215">
        <v>1961451.91</v>
      </c>
      <c r="P210" s="215">
        <v>1961451.91</v>
      </c>
      <c r="Q210" s="215">
        <v>1961451.91</v>
      </c>
    </row>
    <row r="211" spans="2:17" x14ac:dyDescent="0.25">
      <c r="B211" s="259">
        <f t="shared" si="3"/>
        <v>19981.150000000001</v>
      </c>
      <c r="D211" s="2" t="s">
        <v>1342</v>
      </c>
      <c r="E211" s="215">
        <v>19981.150000000005</v>
      </c>
      <c r="F211" s="215">
        <v>19981.150000000005</v>
      </c>
      <c r="G211" s="215">
        <v>19981.150000000005</v>
      </c>
      <c r="H211" s="215">
        <v>19981.150000000005</v>
      </c>
      <c r="I211" s="215">
        <v>19981.150000000005</v>
      </c>
      <c r="J211" s="215">
        <v>19981.150000000005</v>
      </c>
      <c r="K211" s="215">
        <v>19981.150000000005</v>
      </c>
      <c r="L211" s="215">
        <v>19981.150000000005</v>
      </c>
      <c r="M211" s="215">
        <v>19981.150000000005</v>
      </c>
      <c r="N211" s="215">
        <v>19981.150000000005</v>
      </c>
      <c r="O211" s="215">
        <v>19981.150000000005</v>
      </c>
      <c r="P211" s="215">
        <v>19981.150000000005</v>
      </c>
      <c r="Q211" s="215">
        <v>19981.150000000005</v>
      </c>
    </row>
    <row r="212" spans="2:17" x14ac:dyDescent="0.25">
      <c r="B212" s="259">
        <f t="shared" si="3"/>
        <v>3346674.6608333341</v>
      </c>
      <c r="D212" s="2" t="s">
        <v>267</v>
      </c>
      <c r="E212" s="215">
        <v>3157927.13</v>
      </c>
      <c r="F212" s="215">
        <v>3182103.33</v>
      </c>
      <c r="G212" s="215">
        <v>3227011.39</v>
      </c>
      <c r="H212" s="215">
        <v>3259549.3600000003</v>
      </c>
      <c r="I212" s="215">
        <v>3292087.3300000005</v>
      </c>
      <c r="J212" s="215">
        <v>3292087.3300000005</v>
      </c>
      <c r="K212" s="215">
        <v>3287378.3700000006</v>
      </c>
      <c r="L212" s="215">
        <v>3287378.3700000006</v>
      </c>
      <c r="M212" s="215">
        <v>3287729.4700000007</v>
      </c>
      <c r="N212" s="215">
        <v>2769736.8500000006</v>
      </c>
      <c r="O212" s="215">
        <v>2769736.8500000006</v>
      </c>
      <c r="P212" s="215">
        <v>2769736.8500000006</v>
      </c>
      <c r="Q212" s="215">
        <v>8313193.7300000004</v>
      </c>
    </row>
    <row r="213" spans="2:17" x14ac:dyDescent="0.25">
      <c r="B213" s="259">
        <f t="shared" si="3"/>
        <v>5796.9458333333341</v>
      </c>
      <c r="D213" s="2" t="s">
        <v>1029</v>
      </c>
      <c r="E213" s="215">
        <v>0</v>
      </c>
      <c r="F213" s="215">
        <v>0</v>
      </c>
      <c r="G213" s="215">
        <v>0</v>
      </c>
      <c r="H213" s="215">
        <v>0</v>
      </c>
      <c r="I213" s="215">
        <v>0</v>
      </c>
      <c r="J213" s="215">
        <v>0</v>
      </c>
      <c r="K213" s="215">
        <v>0</v>
      </c>
      <c r="L213" s="215">
        <v>0</v>
      </c>
      <c r="M213" s="215">
        <v>0</v>
      </c>
      <c r="N213" s="215">
        <v>0</v>
      </c>
      <c r="O213" s="215">
        <v>0</v>
      </c>
      <c r="P213" s="215">
        <v>0</v>
      </c>
      <c r="Q213" s="215">
        <v>139126.70000000001</v>
      </c>
    </row>
    <row r="214" spans="2:17" x14ac:dyDescent="0.25">
      <c r="B214" s="259">
        <f t="shared" si="3"/>
        <v>0</v>
      </c>
      <c r="D214" s="2" t="s">
        <v>1343</v>
      </c>
      <c r="E214" s="215">
        <v>0</v>
      </c>
      <c r="F214" s="215">
        <v>0</v>
      </c>
      <c r="G214" s="215">
        <v>0</v>
      </c>
      <c r="H214" s="215">
        <v>0</v>
      </c>
      <c r="I214" s="215">
        <v>0</v>
      </c>
      <c r="J214" s="215">
        <v>0</v>
      </c>
      <c r="K214" s="215">
        <v>0</v>
      </c>
      <c r="L214" s="215">
        <v>0</v>
      </c>
      <c r="M214" s="215">
        <v>0</v>
      </c>
      <c r="N214" s="215">
        <v>0</v>
      </c>
      <c r="O214" s="215">
        <v>0</v>
      </c>
      <c r="P214" s="215">
        <v>0</v>
      </c>
      <c r="Q214" s="215">
        <v>0</v>
      </c>
    </row>
    <row r="215" spans="2:17" x14ac:dyDescent="0.25">
      <c r="B215" s="259">
        <f t="shared" si="3"/>
        <v>0</v>
      </c>
      <c r="D215" s="2" t="s">
        <v>1344</v>
      </c>
      <c r="E215" s="215">
        <v>0</v>
      </c>
      <c r="F215" s="215">
        <v>0</v>
      </c>
      <c r="G215" s="215">
        <v>0</v>
      </c>
      <c r="H215" s="215">
        <v>0</v>
      </c>
      <c r="I215" s="215">
        <v>0</v>
      </c>
      <c r="J215" s="215">
        <v>0</v>
      </c>
      <c r="K215" s="215">
        <v>0</v>
      </c>
      <c r="L215" s="215">
        <v>0</v>
      </c>
      <c r="M215" s="215">
        <v>0</v>
      </c>
      <c r="N215" s="215">
        <v>0</v>
      </c>
      <c r="O215" s="215">
        <v>0</v>
      </c>
      <c r="P215" s="215">
        <v>0</v>
      </c>
      <c r="Q215" s="215">
        <v>0</v>
      </c>
    </row>
    <row r="216" spans="2:17" x14ac:dyDescent="0.25">
      <c r="B216" s="259">
        <f t="shared" si="3"/>
        <v>0</v>
      </c>
      <c r="D216" s="2" t="s">
        <v>1345</v>
      </c>
      <c r="E216" s="215">
        <v>0</v>
      </c>
      <c r="F216" s="215">
        <v>0</v>
      </c>
      <c r="G216" s="215">
        <v>0</v>
      </c>
      <c r="H216" s="215">
        <v>0</v>
      </c>
      <c r="I216" s="215">
        <v>0</v>
      </c>
      <c r="J216" s="215">
        <v>0</v>
      </c>
      <c r="K216" s="215">
        <v>0</v>
      </c>
      <c r="L216" s="215">
        <v>0</v>
      </c>
      <c r="M216" s="215">
        <v>0</v>
      </c>
      <c r="N216" s="215">
        <v>0</v>
      </c>
      <c r="O216" s="215">
        <v>0</v>
      </c>
      <c r="P216" s="215">
        <v>0</v>
      </c>
      <c r="Q216" s="215">
        <v>0</v>
      </c>
    </row>
    <row r="217" spans="2:17" x14ac:dyDescent="0.25">
      <c r="B217" s="259">
        <f t="shared" si="3"/>
        <v>0</v>
      </c>
      <c r="D217" s="2" t="s">
        <v>1346</v>
      </c>
      <c r="E217" s="215">
        <v>0</v>
      </c>
      <c r="F217" s="215">
        <v>0</v>
      </c>
      <c r="G217" s="215">
        <v>0</v>
      </c>
      <c r="H217" s="215">
        <v>0</v>
      </c>
      <c r="I217" s="215">
        <v>0</v>
      </c>
      <c r="J217" s="215">
        <v>0</v>
      </c>
      <c r="K217" s="215">
        <v>0</v>
      </c>
      <c r="L217" s="215">
        <v>0</v>
      </c>
      <c r="M217" s="215">
        <v>0</v>
      </c>
      <c r="N217" s="215">
        <v>0</v>
      </c>
      <c r="O217" s="215">
        <v>0</v>
      </c>
      <c r="P217" s="215">
        <v>0</v>
      </c>
      <c r="Q217" s="215">
        <v>0</v>
      </c>
    </row>
    <row r="218" spans="2:17" x14ac:dyDescent="0.25">
      <c r="B218" s="259">
        <f t="shared" si="3"/>
        <v>0</v>
      </c>
      <c r="D218" s="2" t="s">
        <v>1347</v>
      </c>
      <c r="E218" s="215">
        <v>0</v>
      </c>
      <c r="F218" s="215">
        <v>0</v>
      </c>
      <c r="G218" s="215">
        <v>0</v>
      </c>
      <c r="H218" s="215">
        <v>0</v>
      </c>
      <c r="I218" s="215">
        <v>0</v>
      </c>
      <c r="J218" s="215">
        <v>0</v>
      </c>
      <c r="K218" s="215">
        <v>0</v>
      </c>
      <c r="L218" s="215">
        <v>0</v>
      </c>
      <c r="M218" s="215">
        <v>0</v>
      </c>
      <c r="N218" s="215">
        <v>0</v>
      </c>
      <c r="O218" s="215">
        <v>0</v>
      </c>
      <c r="P218" s="215">
        <v>0</v>
      </c>
      <c r="Q218" s="215">
        <v>0</v>
      </c>
    </row>
    <row r="219" spans="2:17" x14ac:dyDescent="0.25">
      <c r="B219" s="259">
        <f t="shared" si="3"/>
        <v>116729.84375</v>
      </c>
      <c r="D219" s="2" t="s">
        <v>269</v>
      </c>
      <c r="E219" s="215">
        <v>0</v>
      </c>
      <c r="F219" s="215">
        <v>0</v>
      </c>
      <c r="G219" s="215">
        <v>0</v>
      </c>
      <c r="H219" s="215">
        <v>0</v>
      </c>
      <c r="I219" s="215">
        <v>0</v>
      </c>
      <c r="J219" s="215">
        <v>0</v>
      </c>
      <c r="K219" s="215">
        <v>215501.25</v>
      </c>
      <c r="L219" s="215">
        <v>215501.25</v>
      </c>
      <c r="M219" s="215">
        <v>215501.25</v>
      </c>
      <c r="N219" s="215">
        <v>215501.25</v>
      </c>
      <c r="O219" s="215">
        <v>215501.25</v>
      </c>
      <c r="P219" s="215">
        <v>215501.25</v>
      </c>
      <c r="Q219" s="215">
        <v>215501.25</v>
      </c>
    </row>
    <row r="220" spans="2:17" x14ac:dyDescent="0.25">
      <c r="B220" s="259">
        <f t="shared" si="3"/>
        <v>425238.87999999995</v>
      </c>
      <c r="D220" s="2" t="s">
        <v>271</v>
      </c>
      <c r="E220" s="215">
        <v>425238.88</v>
      </c>
      <c r="F220" s="215">
        <v>425238.88</v>
      </c>
      <c r="G220" s="215">
        <v>425238.88</v>
      </c>
      <c r="H220" s="215">
        <v>425238.88</v>
      </c>
      <c r="I220" s="215">
        <v>425238.88</v>
      </c>
      <c r="J220" s="215">
        <v>425238.88</v>
      </c>
      <c r="K220" s="215">
        <v>425238.88</v>
      </c>
      <c r="L220" s="215">
        <v>425238.88</v>
      </c>
      <c r="M220" s="215">
        <v>425238.88</v>
      </c>
      <c r="N220" s="215">
        <v>425238.88</v>
      </c>
      <c r="O220" s="215">
        <v>425238.88</v>
      </c>
      <c r="P220" s="215">
        <v>425238.88</v>
      </c>
      <c r="Q220" s="215">
        <v>425238.88</v>
      </c>
    </row>
    <row r="221" spans="2:17" x14ac:dyDescent="0.25">
      <c r="B221" s="259">
        <f t="shared" si="3"/>
        <v>115602.29916666665</v>
      </c>
      <c r="D221" s="2" t="s">
        <v>273</v>
      </c>
      <c r="E221" s="215">
        <v>113200.85</v>
      </c>
      <c r="F221" s="215">
        <v>115706.71</v>
      </c>
      <c r="G221" s="215">
        <v>115706.71</v>
      </c>
      <c r="H221" s="215">
        <v>115706.71</v>
      </c>
      <c r="I221" s="215">
        <v>115706.71</v>
      </c>
      <c r="J221" s="215">
        <v>115706.71</v>
      </c>
      <c r="K221" s="215">
        <v>115706.71</v>
      </c>
      <c r="L221" s="215">
        <v>115706.71</v>
      </c>
      <c r="M221" s="215">
        <v>115706.71</v>
      </c>
      <c r="N221" s="215">
        <v>115706.71</v>
      </c>
      <c r="O221" s="215">
        <v>115706.71</v>
      </c>
      <c r="P221" s="215">
        <v>115706.71</v>
      </c>
      <c r="Q221" s="215">
        <v>115706.71</v>
      </c>
    </row>
    <row r="222" spans="2:17" x14ac:dyDescent="0.25">
      <c r="B222" s="259">
        <f t="shared" si="3"/>
        <v>38937.391666666663</v>
      </c>
      <c r="D222" s="2" t="s">
        <v>1031</v>
      </c>
      <c r="E222" s="215">
        <v>0</v>
      </c>
      <c r="F222" s="215">
        <v>0</v>
      </c>
      <c r="G222" s="215">
        <v>0</v>
      </c>
      <c r="H222" s="215">
        <v>0</v>
      </c>
      <c r="I222" s="215">
        <v>0</v>
      </c>
      <c r="J222" s="215">
        <v>0</v>
      </c>
      <c r="K222" s="215">
        <v>0</v>
      </c>
      <c r="L222" s="215">
        <v>0</v>
      </c>
      <c r="M222" s="215">
        <v>0</v>
      </c>
      <c r="N222" s="215">
        <v>0</v>
      </c>
      <c r="O222" s="215">
        <v>186899.47999999998</v>
      </c>
      <c r="P222" s="215">
        <v>186899.47999999998</v>
      </c>
      <c r="Q222" s="215">
        <v>186899.47999999998</v>
      </c>
    </row>
    <row r="223" spans="2:17" x14ac:dyDescent="0.25">
      <c r="B223" s="259">
        <f t="shared" si="3"/>
        <v>299332.45000000007</v>
      </c>
      <c r="D223" s="2" t="s">
        <v>1348</v>
      </c>
      <c r="E223" s="215">
        <v>299332.45</v>
      </c>
      <c r="F223" s="215">
        <v>299332.45</v>
      </c>
      <c r="G223" s="215">
        <v>299332.45</v>
      </c>
      <c r="H223" s="215">
        <v>299332.45</v>
      </c>
      <c r="I223" s="215">
        <v>299332.45</v>
      </c>
      <c r="J223" s="215">
        <v>299332.45</v>
      </c>
      <c r="K223" s="215">
        <v>299332.45</v>
      </c>
      <c r="L223" s="215">
        <v>299332.45</v>
      </c>
      <c r="M223" s="215">
        <v>299332.45</v>
      </c>
      <c r="N223" s="215">
        <v>299332.45</v>
      </c>
      <c r="O223" s="215">
        <v>299332.45</v>
      </c>
      <c r="P223" s="215">
        <v>299332.45</v>
      </c>
      <c r="Q223" s="215">
        <v>299332.45</v>
      </c>
    </row>
    <row r="224" spans="2:17" x14ac:dyDescent="0.25">
      <c r="B224" s="259">
        <f t="shared" si="3"/>
        <v>0</v>
      </c>
      <c r="D224" s="2" t="s">
        <v>1349</v>
      </c>
      <c r="E224" s="215">
        <v>0</v>
      </c>
      <c r="F224" s="215">
        <v>0</v>
      </c>
      <c r="G224" s="215">
        <v>0</v>
      </c>
      <c r="H224" s="215">
        <v>0</v>
      </c>
      <c r="I224" s="215">
        <v>0</v>
      </c>
      <c r="J224" s="215">
        <v>0</v>
      </c>
      <c r="K224" s="215">
        <v>0</v>
      </c>
      <c r="L224" s="215">
        <v>0</v>
      </c>
      <c r="M224" s="215">
        <v>0</v>
      </c>
      <c r="N224" s="215">
        <v>0</v>
      </c>
      <c r="O224" s="215">
        <v>0</v>
      </c>
      <c r="P224" s="215">
        <v>0</v>
      </c>
      <c r="Q224" s="215">
        <v>0</v>
      </c>
    </row>
    <row r="225" spans="2:17" x14ac:dyDescent="0.25">
      <c r="B225" s="259">
        <f t="shared" si="3"/>
        <v>277977.20750000002</v>
      </c>
      <c r="D225" s="2" t="s">
        <v>277</v>
      </c>
      <c r="E225" s="215">
        <v>306484.38</v>
      </c>
      <c r="F225" s="215">
        <v>308637.65999999997</v>
      </c>
      <c r="G225" s="215">
        <v>273699.68</v>
      </c>
      <c r="H225" s="215">
        <v>273699.68</v>
      </c>
      <c r="I225" s="215">
        <v>273699.68</v>
      </c>
      <c r="J225" s="215">
        <v>273699.68</v>
      </c>
      <c r="K225" s="215">
        <v>273699.68</v>
      </c>
      <c r="L225" s="215">
        <v>273699.68</v>
      </c>
      <c r="M225" s="215">
        <v>273699.68</v>
      </c>
      <c r="N225" s="215">
        <v>273699.68</v>
      </c>
      <c r="O225" s="215">
        <v>273699.68</v>
      </c>
      <c r="P225" s="215">
        <v>273699.68</v>
      </c>
      <c r="Q225" s="215">
        <v>273699.68</v>
      </c>
    </row>
    <row r="226" spans="2:17" x14ac:dyDescent="0.25">
      <c r="B226" s="259">
        <f t="shared" si="3"/>
        <v>21785.029166666667</v>
      </c>
      <c r="D226" s="2" t="s">
        <v>1033</v>
      </c>
      <c r="E226" s="215">
        <v>0</v>
      </c>
      <c r="F226" s="215">
        <v>0</v>
      </c>
      <c r="G226" s="215">
        <v>0</v>
      </c>
      <c r="H226" s="215">
        <v>0</v>
      </c>
      <c r="I226" s="215">
        <v>0</v>
      </c>
      <c r="J226" s="215">
        <v>0</v>
      </c>
      <c r="K226" s="215">
        <v>0</v>
      </c>
      <c r="L226" s="215">
        <v>0</v>
      </c>
      <c r="M226" s="215">
        <v>0</v>
      </c>
      <c r="N226" s="215">
        <v>0</v>
      </c>
      <c r="O226" s="215">
        <v>0</v>
      </c>
      <c r="P226" s="215">
        <v>0</v>
      </c>
      <c r="Q226" s="215">
        <v>522840.7</v>
      </c>
    </row>
    <row r="227" spans="2:17" x14ac:dyDescent="0.25">
      <c r="B227" s="259">
        <f t="shared" si="3"/>
        <v>0</v>
      </c>
      <c r="D227" s="2" t="s">
        <v>1350</v>
      </c>
      <c r="E227" s="215">
        <v>0</v>
      </c>
      <c r="F227" s="215">
        <v>0</v>
      </c>
      <c r="G227" s="215">
        <v>0</v>
      </c>
      <c r="H227" s="215">
        <v>0</v>
      </c>
      <c r="I227" s="215">
        <v>0</v>
      </c>
      <c r="J227" s="215">
        <v>0</v>
      </c>
      <c r="K227" s="215">
        <v>0</v>
      </c>
      <c r="L227" s="215">
        <v>0</v>
      </c>
      <c r="M227" s="215">
        <v>0</v>
      </c>
      <c r="N227" s="215">
        <v>0</v>
      </c>
      <c r="O227" s="215">
        <v>0</v>
      </c>
      <c r="P227" s="215">
        <v>0</v>
      </c>
      <c r="Q227" s="215">
        <v>0</v>
      </c>
    </row>
    <row r="228" spans="2:17" x14ac:dyDescent="0.25">
      <c r="B228" s="259">
        <f t="shared" si="3"/>
        <v>73787.27</v>
      </c>
      <c r="D228" s="2" t="s">
        <v>1351</v>
      </c>
      <c r="E228" s="215">
        <v>73787.26999999999</v>
      </c>
      <c r="F228" s="215">
        <v>73787.26999999999</v>
      </c>
      <c r="G228" s="215">
        <v>73787.26999999999</v>
      </c>
      <c r="H228" s="215">
        <v>73787.26999999999</v>
      </c>
      <c r="I228" s="215">
        <v>73787.26999999999</v>
      </c>
      <c r="J228" s="215">
        <v>73787.26999999999</v>
      </c>
      <c r="K228" s="215">
        <v>73787.26999999999</v>
      </c>
      <c r="L228" s="215">
        <v>73787.26999999999</v>
      </c>
      <c r="M228" s="215">
        <v>73787.26999999999</v>
      </c>
      <c r="N228" s="215">
        <v>73787.26999999999</v>
      </c>
      <c r="O228" s="215">
        <v>73787.26999999999</v>
      </c>
      <c r="P228" s="215">
        <v>73787.26999999999</v>
      </c>
      <c r="Q228" s="215">
        <v>73787.26999999999</v>
      </c>
    </row>
    <row r="229" spans="2:17" x14ac:dyDescent="0.25">
      <c r="B229" s="259">
        <f t="shared" si="3"/>
        <v>50274.332499999997</v>
      </c>
      <c r="D229" s="2" t="s">
        <v>917</v>
      </c>
      <c r="E229" s="215">
        <v>0</v>
      </c>
      <c r="F229" s="215">
        <v>0</v>
      </c>
      <c r="G229" s="215">
        <v>0</v>
      </c>
      <c r="H229" s="215">
        <v>55161.39</v>
      </c>
      <c r="I229" s="215">
        <v>54615.659999999996</v>
      </c>
      <c r="J229" s="215">
        <v>54617.24</v>
      </c>
      <c r="K229" s="215">
        <v>57531.27</v>
      </c>
      <c r="L229" s="215">
        <v>58191.93</v>
      </c>
      <c r="M229" s="215">
        <v>59470.02</v>
      </c>
      <c r="N229" s="215">
        <v>62492.99</v>
      </c>
      <c r="O229" s="215">
        <v>62492.99</v>
      </c>
      <c r="P229" s="215">
        <v>92479</v>
      </c>
      <c r="Q229" s="215">
        <v>92479</v>
      </c>
    </row>
    <row r="230" spans="2:17" x14ac:dyDescent="0.25">
      <c r="B230" s="259">
        <f t="shared" si="3"/>
        <v>4764444.6179166669</v>
      </c>
      <c r="D230" s="2" t="s">
        <v>279</v>
      </c>
      <c r="E230" s="215">
        <v>3356315.0699999994</v>
      </c>
      <c r="F230" s="215">
        <v>3384459.5099999993</v>
      </c>
      <c r="G230" s="215">
        <v>3650220.1499999994</v>
      </c>
      <c r="H230" s="215">
        <v>3681268.2399999993</v>
      </c>
      <c r="I230" s="215">
        <v>3720769.3999999994</v>
      </c>
      <c r="J230" s="215">
        <v>3993881.7999999993</v>
      </c>
      <c r="K230" s="215">
        <v>5588202.9199999999</v>
      </c>
      <c r="L230" s="215">
        <v>5600693.9100000001</v>
      </c>
      <c r="M230" s="215">
        <v>5614960.75</v>
      </c>
      <c r="N230" s="215">
        <v>5617728.9500000002</v>
      </c>
      <c r="O230" s="215">
        <v>5622683.71</v>
      </c>
      <c r="P230" s="215">
        <v>6012359.4899999993</v>
      </c>
      <c r="Q230" s="215">
        <v>6015898.0999999996</v>
      </c>
    </row>
    <row r="231" spans="2:17" x14ac:dyDescent="0.25">
      <c r="B231" s="259">
        <f t="shared" si="3"/>
        <v>1437719.2870833334</v>
      </c>
      <c r="D231" s="2" t="s">
        <v>281</v>
      </c>
      <c r="E231" s="215">
        <v>1428860.6400000001</v>
      </c>
      <c r="F231" s="215">
        <v>1433407.7200000002</v>
      </c>
      <c r="G231" s="215">
        <v>1433706.7800000003</v>
      </c>
      <c r="H231" s="215">
        <v>1439061.7500000002</v>
      </c>
      <c r="I231" s="215">
        <v>1439061.7500000002</v>
      </c>
      <c r="J231" s="215">
        <v>1439061.7500000002</v>
      </c>
      <c r="K231" s="215">
        <v>1439061.7500000002</v>
      </c>
      <c r="L231" s="215">
        <v>1439061.7500000002</v>
      </c>
      <c r="M231" s="215">
        <v>1439061.7500000002</v>
      </c>
      <c r="N231" s="215">
        <v>1439061.7500000002</v>
      </c>
      <c r="O231" s="215">
        <v>1439061.7500000002</v>
      </c>
      <c r="P231" s="215">
        <v>1439061.7500000002</v>
      </c>
      <c r="Q231" s="215">
        <v>1439061.7500000002</v>
      </c>
    </row>
    <row r="232" spans="2:17" x14ac:dyDescent="0.25">
      <c r="B232" s="259">
        <f t="shared" si="3"/>
        <v>156192.51041666666</v>
      </c>
      <c r="D232" s="2" t="s">
        <v>919</v>
      </c>
      <c r="E232" s="215">
        <v>0</v>
      </c>
      <c r="F232" s="215">
        <v>0</v>
      </c>
      <c r="G232" s="215">
        <v>0</v>
      </c>
      <c r="H232" s="215">
        <v>0</v>
      </c>
      <c r="I232" s="215">
        <v>0</v>
      </c>
      <c r="J232" s="215">
        <v>0</v>
      </c>
      <c r="K232" s="215">
        <v>263831.33</v>
      </c>
      <c r="L232" s="215">
        <v>285234.24</v>
      </c>
      <c r="M232" s="215">
        <v>294440.94</v>
      </c>
      <c r="N232" s="215">
        <v>294440.94</v>
      </c>
      <c r="O232" s="215">
        <v>294545.07</v>
      </c>
      <c r="P232" s="215">
        <v>294545.07</v>
      </c>
      <c r="Q232" s="215">
        <v>294545.07</v>
      </c>
    </row>
    <row r="233" spans="2:17" x14ac:dyDescent="0.25">
      <c r="B233" s="259">
        <f t="shared" si="3"/>
        <v>524957.7300000001</v>
      </c>
      <c r="D233" s="2" t="s">
        <v>1352</v>
      </c>
      <c r="E233" s="215">
        <v>524957.73</v>
      </c>
      <c r="F233" s="215">
        <v>524957.73</v>
      </c>
      <c r="G233" s="215">
        <v>524957.73</v>
      </c>
      <c r="H233" s="215">
        <v>524957.73</v>
      </c>
      <c r="I233" s="215">
        <v>524957.73</v>
      </c>
      <c r="J233" s="215">
        <v>524957.73</v>
      </c>
      <c r="K233" s="215">
        <v>524957.73</v>
      </c>
      <c r="L233" s="215">
        <v>524957.73</v>
      </c>
      <c r="M233" s="215">
        <v>524957.73</v>
      </c>
      <c r="N233" s="215">
        <v>524957.73</v>
      </c>
      <c r="O233" s="215">
        <v>524957.73</v>
      </c>
      <c r="P233" s="215">
        <v>524957.73</v>
      </c>
      <c r="Q233" s="215">
        <v>524957.73</v>
      </c>
    </row>
    <row r="234" spans="2:17" x14ac:dyDescent="0.25">
      <c r="B234" s="259">
        <f t="shared" si="3"/>
        <v>33306.698333333334</v>
      </c>
      <c r="D234" s="2" t="s">
        <v>1035</v>
      </c>
      <c r="E234" s="215">
        <v>0</v>
      </c>
      <c r="F234" s="215">
        <v>0</v>
      </c>
      <c r="G234" s="215">
        <v>0</v>
      </c>
      <c r="H234" s="215">
        <v>0</v>
      </c>
      <c r="I234" s="215">
        <v>0</v>
      </c>
      <c r="J234" s="215">
        <v>0</v>
      </c>
      <c r="K234" s="215">
        <v>0</v>
      </c>
      <c r="L234" s="215">
        <v>0</v>
      </c>
      <c r="M234" s="215">
        <v>0</v>
      </c>
      <c r="N234" s="215">
        <v>0</v>
      </c>
      <c r="O234" s="215">
        <v>0</v>
      </c>
      <c r="P234" s="215">
        <v>0</v>
      </c>
      <c r="Q234" s="215">
        <v>799360.76</v>
      </c>
    </row>
    <row r="235" spans="2:17" x14ac:dyDescent="0.25">
      <c r="B235" s="259">
        <f t="shared" si="3"/>
        <v>181562.66625000001</v>
      </c>
      <c r="D235" s="2" t="s">
        <v>283</v>
      </c>
      <c r="E235" s="215">
        <v>173015.98</v>
      </c>
      <c r="F235" s="215">
        <v>173015.98</v>
      </c>
      <c r="G235" s="215">
        <v>173015.98</v>
      </c>
      <c r="H235" s="215">
        <v>173015.98</v>
      </c>
      <c r="I235" s="215">
        <v>173015.98</v>
      </c>
      <c r="J235" s="215">
        <v>173015.98</v>
      </c>
      <c r="K235" s="215">
        <v>173015.98</v>
      </c>
      <c r="L235" s="215">
        <v>173015.98</v>
      </c>
      <c r="M235" s="215">
        <v>173015.98</v>
      </c>
      <c r="N235" s="215">
        <v>173015.98</v>
      </c>
      <c r="O235" s="215">
        <v>173015.98</v>
      </c>
      <c r="P235" s="215">
        <v>173015.98</v>
      </c>
      <c r="Q235" s="215">
        <v>378136.45</v>
      </c>
    </row>
    <row r="236" spans="2:17" x14ac:dyDescent="0.25">
      <c r="B236" s="259">
        <f t="shared" si="3"/>
        <v>496454.1504166667</v>
      </c>
      <c r="D236" s="2" t="s">
        <v>285</v>
      </c>
      <c r="E236" s="215">
        <v>247721.98</v>
      </c>
      <c r="F236" s="215">
        <v>247721.98</v>
      </c>
      <c r="G236" s="215">
        <v>247730.05000000002</v>
      </c>
      <c r="H236" s="215">
        <v>251810.18000000002</v>
      </c>
      <c r="I236" s="215">
        <v>251848.15000000002</v>
      </c>
      <c r="J236" s="215">
        <v>258739.01</v>
      </c>
      <c r="K236" s="215">
        <v>258860.91</v>
      </c>
      <c r="L236" s="215">
        <v>646687.36</v>
      </c>
      <c r="M236" s="215">
        <v>687529.98</v>
      </c>
      <c r="N236" s="215">
        <v>687773.80999999994</v>
      </c>
      <c r="O236" s="215">
        <v>694561.97</v>
      </c>
      <c r="P236" s="215">
        <v>696315.5</v>
      </c>
      <c r="Q236" s="215">
        <v>1808019.83</v>
      </c>
    </row>
    <row r="237" spans="2:17" x14ac:dyDescent="0.25">
      <c r="B237" s="259">
        <f t="shared" si="3"/>
        <v>68394.523333333331</v>
      </c>
      <c r="D237" s="2" t="s">
        <v>921</v>
      </c>
      <c r="E237" s="215">
        <v>0</v>
      </c>
      <c r="F237" s="215">
        <v>0</v>
      </c>
      <c r="G237" s="215">
        <v>0</v>
      </c>
      <c r="H237" s="215">
        <v>0</v>
      </c>
      <c r="I237" s="215">
        <v>0</v>
      </c>
      <c r="J237" s="215">
        <v>106156.73</v>
      </c>
      <c r="K237" s="215">
        <v>106156.73</v>
      </c>
      <c r="L237" s="215">
        <v>108241.58</v>
      </c>
      <c r="M237" s="215">
        <v>106035.64</v>
      </c>
      <c r="N237" s="215">
        <v>105414.75</v>
      </c>
      <c r="O237" s="215">
        <v>115491.54</v>
      </c>
      <c r="P237" s="215">
        <v>115491.54</v>
      </c>
      <c r="Q237" s="215">
        <v>115491.54</v>
      </c>
    </row>
    <row r="238" spans="2:17" x14ac:dyDescent="0.25">
      <c r="B238" s="259">
        <f t="shared" si="3"/>
        <v>882038.44000000006</v>
      </c>
      <c r="D238" s="2" t="s">
        <v>1353</v>
      </c>
      <c r="E238" s="215">
        <v>882038.44000000006</v>
      </c>
      <c r="F238" s="215">
        <v>882038.44000000006</v>
      </c>
      <c r="G238" s="215">
        <v>882038.44000000006</v>
      </c>
      <c r="H238" s="215">
        <v>882038.44000000006</v>
      </c>
      <c r="I238" s="215">
        <v>882038.44000000006</v>
      </c>
      <c r="J238" s="215">
        <v>882038.44000000006</v>
      </c>
      <c r="K238" s="215">
        <v>882038.44000000006</v>
      </c>
      <c r="L238" s="215">
        <v>882038.44000000006</v>
      </c>
      <c r="M238" s="215">
        <v>882038.44000000006</v>
      </c>
      <c r="N238" s="215">
        <v>882038.44000000006</v>
      </c>
      <c r="O238" s="215">
        <v>882038.44000000006</v>
      </c>
      <c r="P238" s="215">
        <v>882038.44000000006</v>
      </c>
      <c r="Q238" s="215">
        <v>882038.44000000006</v>
      </c>
    </row>
    <row r="239" spans="2:17" x14ac:dyDescent="0.25">
      <c r="B239" s="259">
        <f t="shared" si="3"/>
        <v>5388.1704166666668</v>
      </c>
      <c r="D239" s="2" t="s">
        <v>1037</v>
      </c>
      <c r="E239" s="215">
        <v>0</v>
      </c>
      <c r="F239" s="215">
        <v>0</v>
      </c>
      <c r="G239" s="215">
        <v>0</v>
      </c>
      <c r="H239" s="215">
        <v>0</v>
      </c>
      <c r="I239" s="215">
        <v>0</v>
      </c>
      <c r="J239" s="215">
        <v>0</v>
      </c>
      <c r="K239" s="215">
        <v>0</v>
      </c>
      <c r="L239" s="215">
        <v>0</v>
      </c>
      <c r="M239" s="215">
        <v>0</v>
      </c>
      <c r="N239" s="215">
        <v>0</v>
      </c>
      <c r="O239" s="215">
        <v>0</v>
      </c>
      <c r="P239" s="215">
        <v>0</v>
      </c>
      <c r="Q239" s="215">
        <v>129316.09</v>
      </c>
    </row>
    <row r="240" spans="2:17" x14ac:dyDescent="0.25">
      <c r="B240" s="259">
        <f t="shared" si="3"/>
        <v>5284.4991666666665</v>
      </c>
      <c r="D240" s="2" t="s">
        <v>1039</v>
      </c>
      <c r="E240" s="215">
        <v>0</v>
      </c>
      <c r="F240" s="215">
        <v>0</v>
      </c>
      <c r="G240" s="215">
        <v>0</v>
      </c>
      <c r="H240" s="215">
        <v>0</v>
      </c>
      <c r="I240" s="215">
        <v>0</v>
      </c>
      <c r="J240" s="215">
        <v>0</v>
      </c>
      <c r="K240" s="215">
        <v>0</v>
      </c>
      <c r="L240" s="215">
        <v>0</v>
      </c>
      <c r="M240" s="215">
        <v>0</v>
      </c>
      <c r="N240" s="215">
        <v>0</v>
      </c>
      <c r="O240" s="215">
        <v>0</v>
      </c>
      <c r="P240" s="215">
        <v>0</v>
      </c>
      <c r="Q240" s="215">
        <v>126827.98</v>
      </c>
    </row>
    <row r="241" spans="2:17" x14ac:dyDescent="0.25">
      <c r="B241" s="259">
        <f t="shared" si="3"/>
        <v>0</v>
      </c>
      <c r="D241" s="2" t="s">
        <v>1354</v>
      </c>
      <c r="E241" s="215">
        <v>0</v>
      </c>
      <c r="F241" s="215">
        <v>0</v>
      </c>
      <c r="G241" s="215">
        <v>0</v>
      </c>
      <c r="H241" s="215">
        <v>0</v>
      </c>
      <c r="I241" s="215">
        <v>0</v>
      </c>
      <c r="J241" s="215">
        <v>0</v>
      </c>
      <c r="K241" s="215">
        <v>0</v>
      </c>
      <c r="L241" s="215">
        <v>0</v>
      </c>
      <c r="M241" s="215">
        <v>0</v>
      </c>
      <c r="N241" s="215">
        <v>0</v>
      </c>
      <c r="O241" s="215">
        <v>0</v>
      </c>
      <c r="P241" s="215">
        <v>0</v>
      </c>
      <c r="Q241" s="215">
        <v>0</v>
      </c>
    </row>
    <row r="242" spans="2:17" x14ac:dyDescent="0.25">
      <c r="B242" s="259">
        <f t="shared" si="3"/>
        <v>470084.62000000005</v>
      </c>
      <c r="D242" s="2" t="s">
        <v>1355</v>
      </c>
      <c r="E242" s="215">
        <v>470084.62</v>
      </c>
      <c r="F242" s="215">
        <v>470084.62</v>
      </c>
      <c r="G242" s="215">
        <v>470084.62</v>
      </c>
      <c r="H242" s="215">
        <v>470084.62</v>
      </c>
      <c r="I242" s="215">
        <v>470084.62</v>
      </c>
      <c r="J242" s="215">
        <v>470084.62</v>
      </c>
      <c r="K242" s="215">
        <v>470084.62</v>
      </c>
      <c r="L242" s="215">
        <v>470084.62</v>
      </c>
      <c r="M242" s="215">
        <v>470084.62</v>
      </c>
      <c r="N242" s="215">
        <v>470084.62</v>
      </c>
      <c r="O242" s="215">
        <v>470084.62</v>
      </c>
      <c r="P242" s="215">
        <v>470084.62</v>
      </c>
      <c r="Q242" s="215">
        <v>470084.62</v>
      </c>
    </row>
    <row r="243" spans="2:17" x14ac:dyDescent="0.25">
      <c r="B243" s="259">
        <f t="shared" si="3"/>
        <v>576230.9425</v>
      </c>
      <c r="D243" s="2" t="s">
        <v>287</v>
      </c>
      <c r="E243" s="215">
        <v>576124.28</v>
      </c>
      <c r="F243" s="215">
        <v>576124.28</v>
      </c>
      <c r="G243" s="215">
        <v>576246.18000000005</v>
      </c>
      <c r="H243" s="215">
        <v>576246.18000000005</v>
      </c>
      <c r="I243" s="215">
        <v>576246.18000000005</v>
      </c>
      <c r="J243" s="215">
        <v>576246.18000000005</v>
      </c>
      <c r="K243" s="215">
        <v>576246.18000000005</v>
      </c>
      <c r="L243" s="215">
        <v>576246.18000000005</v>
      </c>
      <c r="M243" s="215">
        <v>576246.18000000005</v>
      </c>
      <c r="N243" s="215">
        <v>576246.18000000005</v>
      </c>
      <c r="O243" s="215">
        <v>576246.18000000005</v>
      </c>
      <c r="P243" s="215">
        <v>576246.18000000005</v>
      </c>
      <c r="Q243" s="215">
        <v>576246.18000000005</v>
      </c>
    </row>
    <row r="244" spans="2:17" x14ac:dyDescent="0.25">
      <c r="B244" s="259">
        <f t="shared" si="3"/>
        <v>33539.710000000006</v>
      </c>
      <c r="D244" s="2" t="s">
        <v>1356</v>
      </c>
      <c r="E244" s="215">
        <v>33539.71</v>
      </c>
      <c r="F244" s="215">
        <v>33539.71</v>
      </c>
      <c r="G244" s="215">
        <v>33539.71</v>
      </c>
      <c r="H244" s="215">
        <v>33539.71</v>
      </c>
      <c r="I244" s="215">
        <v>33539.71</v>
      </c>
      <c r="J244" s="215">
        <v>33539.71</v>
      </c>
      <c r="K244" s="215">
        <v>33539.71</v>
      </c>
      <c r="L244" s="215">
        <v>33539.71</v>
      </c>
      <c r="M244" s="215">
        <v>33539.71</v>
      </c>
      <c r="N244" s="215">
        <v>33539.71</v>
      </c>
      <c r="O244" s="215">
        <v>33539.71</v>
      </c>
      <c r="P244" s="215">
        <v>33539.71</v>
      </c>
      <c r="Q244" s="215">
        <v>33539.71</v>
      </c>
    </row>
    <row r="245" spans="2:17" x14ac:dyDescent="0.25">
      <c r="B245" s="259">
        <f t="shared" si="3"/>
        <v>509616.88541666669</v>
      </c>
      <c r="D245" s="2" t="s">
        <v>289</v>
      </c>
      <c r="E245" s="215">
        <v>476264.60000000003</v>
      </c>
      <c r="F245" s="215">
        <v>478222.42000000004</v>
      </c>
      <c r="G245" s="215">
        <v>481055.04000000004</v>
      </c>
      <c r="H245" s="215">
        <v>484151.46</v>
      </c>
      <c r="I245" s="215">
        <v>491474.43</v>
      </c>
      <c r="J245" s="215">
        <v>481808.45</v>
      </c>
      <c r="K245" s="215">
        <v>481808.45</v>
      </c>
      <c r="L245" s="215">
        <v>481808.45</v>
      </c>
      <c r="M245" s="215">
        <v>481808.45</v>
      </c>
      <c r="N245" s="215">
        <v>481808.45</v>
      </c>
      <c r="O245" s="215">
        <v>525242.35</v>
      </c>
      <c r="P245" s="215">
        <v>525242.35</v>
      </c>
      <c r="Q245" s="215">
        <v>965680.05</v>
      </c>
    </row>
    <row r="246" spans="2:17" x14ac:dyDescent="0.25">
      <c r="B246" s="259">
        <f t="shared" si="3"/>
        <v>0</v>
      </c>
      <c r="D246" s="2" t="s">
        <v>1357</v>
      </c>
      <c r="E246" s="215">
        <v>0</v>
      </c>
      <c r="F246" s="215">
        <v>0</v>
      </c>
      <c r="G246" s="215">
        <v>0</v>
      </c>
      <c r="H246" s="215">
        <v>0</v>
      </c>
      <c r="I246" s="215">
        <v>0</v>
      </c>
      <c r="J246" s="215">
        <v>0</v>
      </c>
      <c r="K246" s="215">
        <v>0</v>
      </c>
      <c r="L246" s="215">
        <v>0</v>
      </c>
      <c r="M246" s="215">
        <v>0</v>
      </c>
      <c r="N246" s="215">
        <v>0</v>
      </c>
      <c r="O246" s="215">
        <v>0</v>
      </c>
      <c r="P246" s="215">
        <v>0</v>
      </c>
      <c r="Q246" s="215">
        <v>0</v>
      </c>
    </row>
    <row r="247" spans="2:17" x14ac:dyDescent="0.25">
      <c r="B247" s="259">
        <f t="shared" si="3"/>
        <v>93040.030000000013</v>
      </c>
      <c r="D247" s="2" t="s">
        <v>1358</v>
      </c>
      <c r="E247" s="215">
        <v>93040.03</v>
      </c>
      <c r="F247" s="215">
        <v>93040.03</v>
      </c>
      <c r="G247" s="215">
        <v>93040.03</v>
      </c>
      <c r="H247" s="215">
        <v>93040.03</v>
      </c>
      <c r="I247" s="215">
        <v>93040.03</v>
      </c>
      <c r="J247" s="215">
        <v>93040.03</v>
      </c>
      <c r="K247" s="215">
        <v>93040.03</v>
      </c>
      <c r="L247" s="215">
        <v>93040.03</v>
      </c>
      <c r="M247" s="215">
        <v>93040.03</v>
      </c>
      <c r="N247" s="215">
        <v>93040.03</v>
      </c>
      <c r="O247" s="215">
        <v>93040.03</v>
      </c>
      <c r="P247" s="215">
        <v>93040.03</v>
      </c>
      <c r="Q247" s="215">
        <v>93040.03</v>
      </c>
    </row>
    <row r="248" spans="2:17" x14ac:dyDescent="0.25">
      <c r="B248" s="259">
        <f t="shared" si="3"/>
        <v>224597.53500000003</v>
      </c>
      <c r="D248" s="2" t="s">
        <v>291</v>
      </c>
      <c r="E248" s="215">
        <v>148811.32999999999</v>
      </c>
      <c r="F248" s="215">
        <v>149032.47</v>
      </c>
      <c r="G248" s="215">
        <v>163363.41</v>
      </c>
      <c r="H248" s="215">
        <v>180144.45</v>
      </c>
      <c r="I248" s="215">
        <v>180144.45</v>
      </c>
      <c r="J248" s="215">
        <v>180144.45</v>
      </c>
      <c r="K248" s="215">
        <v>180144.45</v>
      </c>
      <c r="L248" s="215">
        <v>180144.45</v>
      </c>
      <c r="M248" s="215">
        <v>596633.41</v>
      </c>
      <c r="N248" s="215">
        <v>206707.07</v>
      </c>
      <c r="O248" s="215">
        <v>207366.91</v>
      </c>
      <c r="P248" s="215">
        <v>211352.97</v>
      </c>
      <c r="Q248" s="215">
        <v>371172.53</v>
      </c>
    </row>
    <row r="249" spans="2:17" x14ac:dyDescent="0.25">
      <c r="B249" s="259">
        <f t="shared" si="3"/>
        <v>0</v>
      </c>
      <c r="D249" s="2" t="s">
        <v>1359</v>
      </c>
      <c r="E249" s="215">
        <v>0</v>
      </c>
      <c r="F249" s="215">
        <v>0</v>
      </c>
      <c r="G249" s="215">
        <v>0</v>
      </c>
      <c r="H249" s="215">
        <v>0</v>
      </c>
      <c r="I249" s="215">
        <v>0</v>
      </c>
      <c r="J249" s="215">
        <v>0</v>
      </c>
      <c r="K249" s="215">
        <v>0</v>
      </c>
      <c r="L249" s="215">
        <v>0</v>
      </c>
      <c r="M249" s="215">
        <v>0</v>
      </c>
      <c r="N249" s="215">
        <v>0</v>
      </c>
      <c r="O249" s="215">
        <v>0</v>
      </c>
      <c r="P249" s="215">
        <v>0</v>
      </c>
      <c r="Q249" s="215">
        <v>0</v>
      </c>
    </row>
    <row r="250" spans="2:17" x14ac:dyDescent="0.25">
      <c r="B250" s="259">
        <f t="shared" si="3"/>
        <v>64189.180416666662</v>
      </c>
      <c r="D250" s="2" t="s">
        <v>293</v>
      </c>
      <c r="E250" s="215">
        <v>57991.95</v>
      </c>
      <c r="F250" s="215">
        <v>57408.14</v>
      </c>
      <c r="G250" s="215">
        <v>58047.67</v>
      </c>
      <c r="H250" s="215">
        <v>58047.67</v>
      </c>
      <c r="I250" s="215">
        <v>58047.67</v>
      </c>
      <c r="J250" s="215">
        <v>58047.67</v>
      </c>
      <c r="K250" s="215">
        <v>58047.67</v>
      </c>
      <c r="L250" s="215">
        <v>58047.67</v>
      </c>
      <c r="M250" s="215">
        <v>58047.67</v>
      </c>
      <c r="N250" s="215">
        <v>58047.67</v>
      </c>
      <c r="O250" s="215">
        <v>58047.67</v>
      </c>
      <c r="P250" s="215">
        <v>58047.67</v>
      </c>
      <c r="Q250" s="215">
        <v>206778.69999999998</v>
      </c>
    </row>
    <row r="251" spans="2:17" x14ac:dyDescent="0.25">
      <c r="B251" s="259">
        <f t="shared" si="3"/>
        <v>68093.810000000012</v>
      </c>
      <c r="D251" s="2" t="s">
        <v>1360</v>
      </c>
      <c r="E251" s="215">
        <v>68093.81</v>
      </c>
      <c r="F251" s="215">
        <v>68093.81</v>
      </c>
      <c r="G251" s="215">
        <v>68093.81</v>
      </c>
      <c r="H251" s="215">
        <v>68093.81</v>
      </c>
      <c r="I251" s="215">
        <v>68093.81</v>
      </c>
      <c r="J251" s="215">
        <v>68093.81</v>
      </c>
      <c r="K251" s="215">
        <v>68093.81</v>
      </c>
      <c r="L251" s="215">
        <v>68093.81</v>
      </c>
      <c r="M251" s="215">
        <v>68093.81</v>
      </c>
      <c r="N251" s="215">
        <v>68093.81</v>
      </c>
      <c r="O251" s="215">
        <v>68093.81</v>
      </c>
      <c r="P251" s="215">
        <v>68093.81</v>
      </c>
      <c r="Q251" s="215">
        <v>68093.81</v>
      </c>
    </row>
    <row r="252" spans="2:17" x14ac:dyDescent="0.25">
      <c r="B252" s="259">
        <f t="shared" si="3"/>
        <v>0</v>
      </c>
      <c r="D252" s="2" t="s">
        <v>1361</v>
      </c>
      <c r="E252" s="215">
        <v>0</v>
      </c>
      <c r="F252" s="215">
        <v>0</v>
      </c>
      <c r="G252" s="215">
        <v>0</v>
      </c>
      <c r="H252" s="215">
        <v>0</v>
      </c>
      <c r="I252" s="215">
        <v>0</v>
      </c>
      <c r="J252" s="215">
        <v>0</v>
      </c>
      <c r="K252" s="215">
        <v>0</v>
      </c>
      <c r="L252" s="215">
        <v>0</v>
      </c>
      <c r="M252" s="215">
        <v>0</v>
      </c>
      <c r="N252" s="215">
        <v>0</v>
      </c>
      <c r="O252" s="215">
        <v>0</v>
      </c>
      <c r="P252" s="215">
        <v>0</v>
      </c>
      <c r="Q252" s="215">
        <v>0</v>
      </c>
    </row>
    <row r="253" spans="2:17" x14ac:dyDescent="0.25">
      <c r="B253" s="259">
        <f t="shared" si="3"/>
        <v>225526.31083333329</v>
      </c>
      <c r="D253" s="2" t="s">
        <v>295</v>
      </c>
      <c r="E253" s="215">
        <v>146553.16999999998</v>
      </c>
      <c r="F253" s="215">
        <v>174982.86</v>
      </c>
      <c r="G253" s="215">
        <v>177533.71999999997</v>
      </c>
      <c r="H253" s="215">
        <v>211074.35999999996</v>
      </c>
      <c r="I253" s="215">
        <v>212354.46999999994</v>
      </c>
      <c r="J253" s="215">
        <v>213061.94999999995</v>
      </c>
      <c r="K253" s="215">
        <v>215596.77999999994</v>
      </c>
      <c r="L253" s="215">
        <v>229000.08999999997</v>
      </c>
      <c r="M253" s="215">
        <v>229359.81999999995</v>
      </c>
      <c r="N253" s="215">
        <v>230288.55</v>
      </c>
      <c r="O253" s="215">
        <v>230288.55</v>
      </c>
      <c r="P253" s="215">
        <v>230288.55</v>
      </c>
      <c r="Q253" s="215">
        <v>558418.89</v>
      </c>
    </row>
    <row r="254" spans="2:17" x14ac:dyDescent="0.25">
      <c r="B254" s="259">
        <f t="shared" si="3"/>
        <v>0</v>
      </c>
      <c r="D254" s="2" t="s">
        <v>1362</v>
      </c>
      <c r="E254" s="215">
        <v>0</v>
      </c>
      <c r="F254" s="215">
        <v>0</v>
      </c>
      <c r="G254" s="215">
        <v>0</v>
      </c>
      <c r="H254" s="215">
        <v>0</v>
      </c>
      <c r="I254" s="215">
        <v>0</v>
      </c>
      <c r="J254" s="215">
        <v>0</v>
      </c>
      <c r="K254" s="215">
        <v>0</v>
      </c>
      <c r="L254" s="215">
        <v>0</v>
      </c>
      <c r="M254" s="215">
        <v>0</v>
      </c>
      <c r="N254" s="215">
        <v>0</v>
      </c>
      <c r="O254" s="215">
        <v>0</v>
      </c>
      <c r="P254" s="215">
        <v>0</v>
      </c>
      <c r="Q254" s="215">
        <v>0</v>
      </c>
    </row>
    <row r="255" spans="2:17" x14ac:dyDescent="0.25">
      <c r="B255" s="259">
        <f t="shared" si="3"/>
        <v>405774.37000000005</v>
      </c>
      <c r="D255" s="2" t="s">
        <v>1363</v>
      </c>
      <c r="E255" s="215">
        <v>405774.37</v>
      </c>
      <c r="F255" s="215">
        <v>405774.37</v>
      </c>
      <c r="G255" s="215">
        <v>405774.37</v>
      </c>
      <c r="H255" s="215">
        <v>405774.37</v>
      </c>
      <c r="I255" s="215">
        <v>405774.37</v>
      </c>
      <c r="J255" s="215">
        <v>405774.37</v>
      </c>
      <c r="K255" s="215">
        <v>405774.37</v>
      </c>
      <c r="L255" s="215">
        <v>405774.37</v>
      </c>
      <c r="M255" s="215">
        <v>405774.37</v>
      </c>
      <c r="N255" s="215">
        <v>405774.37</v>
      </c>
      <c r="O255" s="215">
        <v>405774.37</v>
      </c>
      <c r="P255" s="215">
        <v>405774.37</v>
      </c>
      <c r="Q255" s="215">
        <v>405774.37</v>
      </c>
    </row>
    <row r="256" spans="2:17" x14ac:dyDescent="0.25">
      <c r="B256" s="259">
        <f t="shared" si="3"/>
        <v>832388.77124999987</v>
      </c>
      <c r="D256" s="2" t="s">
        <v>297</v>
      </c>
      <c r="E256" s="215">
        <v>508126.07</v>
      </c>
      <c r="F256" s="215">
        <v>626968.87</v>
      </c>
      <c r="G256" s="215">
        <v>637936.82999999996</v>
      </c>
      <c r="H256" s="215">
        <v>637936.82999999996</v>
      </c>
      <c r="I256" s="215">
        <v>637936.82999999996</v>
      </c>
      <c r="J256" s="215">
        <v>896626.8899999999</v>
      </c>
      <c r="K256" s="215">
        <v>968799.37999999989</v>
      </c>
      <c r="L256" s="215">
        <v>968799.37999999989</v>
      </c>
      <c r="M256" s="215">
        <v>968799.37999999989</v>
      </c>
      <c r="N256" s="215">
        <v>968799.37999999989</v>
      </c>
      <c r="O256" s="215">
        <v>968799.37999999989</v>
      </c>
      <c r="P256" s="215">
        <v>968799.37999999989</v>
      </c>
      <c r="Q256" s="215">
        <v>968799.37999999989</v>
      </c>
    </row>
    <row r="257" spans="2:17" x14ac:dyDescent="0.25">
      <c r="B257" s="259">
        <f t="shared" si="3"/>
        <v>77748.975416666668</v>
      </c>
      <c r="D257" s="2" t="s">
        <v>299</v>
      </c>
      <c r="E257" s="215">
        <v>75762.13</v>
      </c>
      <c r="F257" s="215">
        <v>77835.360000000001</v>
      </c>
      <c r="G257" s="215">
        <v>77835.360000000001</v>
      </c>
      <c r="H257" s="215">
        <v>77835.360000000001</v>
      </c>
      <c r="I257" s="215">
        <v>77835.360000000001</v>
      </c>
      <c r="J257" s="215">
        <v>77835.360000000001</v>
      </c>
      <c r="K257" s="215">
        <v>77835.360000000001</v>
      </c>
      <c r="L257" s="215">
        <v>77835.360000000001</v>
      </c>
      <c r="M257" s="215">
        <v>77835.360000000001</v>
      </c>
      <c r="N257" s="215">
        <v>77835.360000000001</v>
      </c>
      <c r="O257" s="215">
        <v>77835.360000000001</v>
      </c>
      <c r="P257" s="215">
        <v>77835.360000000001</v>
      </c>
      <c r="Q257" s="215">
        <v>77835.360000000001</v>
      </c>
    </row>
    <row r="258" spans="2:17" x14ac:dyDescent="0.25">
      <c r="B258" s="259">
        <f t="shared" si="3"/>
        <v>1319265.1554166663</v>
      </c>
      <c r="D258" s="2" t="s">
        <v>301</v>
      </c>
      <c r="E258" s="215">
        <v>1318800.5499999998</v>
      </c>
      <c r="F258" s="215">
        <v>1319677.3799999999</v>
      </c>
      <c r="G258" s="215">
        <v>1319248.02</v>
      </c>
      <c r="H258" s="215">
        <v>1319248.02</v>
      </c>
      <c r="I258" s="215">
        <v>1319248.02</v>
      </c>
      <c r="J258" s="215">
        <v>1319248.02</v>
      </c>
      <c r="K258" s="215">
        <v>1319248.02</v>
      </c>
      <c r="L258" s="215">
        <v>1319248.02</v>
      </c>
      <c r="M258" s="215">
        <v>1319248.02</v>
      </c>
      <c r="N258" s="215">
        <v>1319248.02</v>
      </c>
      <c r="O258" s="215">
        <v>1319248.02</v>
      </c>
      <c r="P258" s="215">
        <v>1319248.02</v>
      </c>
      <c r="Q258" s="215">
        <v>1319248.02</v>
      </c>
    </row>
    <row r="259" spans="2:17" x14ac:dyDescent="0.25">
      <c r="B259" s="259">
        <f t="shared" si="3"/>
        <v>581778.47958333336</v>
      </c>
      <c r="D259" s="2" t="s">
        <v>303</v>
      </c>
      <c r="E259" s="215">
        <v>321365.08000000007</v>
      </c>
      <c r="F259" s="215">
        <v>327355.63000000006</v>
      </c>
      <c r="G259" s="215">
        <v>328808.76</v>
      </c>
      <c r="H259" s="215">
        <v>356917.62000000005</v>
      </c>
      <c r="I259" s="215">
        <v>357347.14000000007</v>
      </c>
      <c r="J259" s="215">
        <v>358566.27000000008</v>
      </c>
      <c r="K259" s="215">
        <v>362760.6100000001</v>
      </c>
      <c r="L259" s="215">
        <v>362882.51000000007</v>
      </c>
      <c r="M259" s="215">
        <v>363392.20000000007</v>
      </c>
      <c r="N259" s="215">
        <v>368287.43000000005</v>
      </c>
      <c r="O259" s="215">
        <v>371347.06000000006</v>
      </c>
      <c r="P259" s="215">
        <v>1924032.09</v>
      </c>
      <c r="Q259" s="215">
        <v>2677923.79</v>
      </c>
    </row>
    <row r="260" spans="2:17" x14ac:dyDescent="0.25">
      <c r="B260" s="259">
        <f t="shared" si="3"/>
        <v>1244576.51</v>
      </c>
      <c r="D260" s="2" t="s">
        <v>1364</v>
      </c>
      <c r="E260" s="215">
        <v>1244576.51</v>
      </c>
      <c r="F260" s="215">
        <v>1244576.51</v>
      </c>
      <c r="G260" s="215">
        <v>1244576.51</v>
      </c>
      <c r="H260" s="215">
        <v>1244576.51</v>
      </c>
      <c r="I260" s="215">
        <v>1244576.51</v>
      </c>
      <c r="J260" s="215">
        <v>1244576.51</v>
      </c>
      <c r="K260" s="215">
        <v>1244576.51</v>
      </c>
      <c r="L260" s="215">
        <v>1244576.51</v>
      </c>
      <c r="M260" s="215">
        <v>1244576.51</v>
      </c>
      <c r="N260" s="215">
        <v>1244576.51</v>
      </c>
      <c r="O260" s="215">
        <v>1244576.51</v>
      </c>
      <c r="P260" s="215">
        <v>1244576.51</v>
      </c>
      <c r="Q260" s="215">
        <v>1244576.51</v>
      </c>
    </row>
    <row r="261" spans="2:17" x14ac:dyDescent="0.25">
      <c r="B261" s="259">
        <f t="shared" si="3"/>
        <v>0</v>
      </c>
      <c r="D261" s="2" t="s">
        <v>1365</v>
      </c>
      <c r="E261" s="215">
        <v>0</v>
      </c>
      <c r="F261" s="215">
        <v>0</v>
      </c>
      <c r="G261" s="215">
        <v>0</v>
      </c>
      <c r="H261" s="215">
        <v>0</v>
      </c>
      <c r="I261" s="215">
        <v>0</v>
      </c>
      <c r="J261" s="215">
        <v>0</v>
      </c>
      <c r="K261" s="215">
        <v>0</v>
      </c>
      <c r="L261" s="215">
        <v>0</v>
      </c>
      <c r="M261" s="215">
        <v>0</v>
      </c>
      <c r="N261" s="215">
        <v>0</v>
      </c>
      <c r="O261" s="215">
        <v>0</v>
      </c>
      <c r="P261" s="215">
        <v>0</v>
      </c>
      <c r="Q261" s="215">
        <v>0</v>
      </c>
    </row>
    <row r="262" spans="2:17" x14ac:dyDescent="0.25">
      <c r="B262" s="259">
        <f t="shared" si="3"/>
        <v>18530.537916666668</v>
      </c>
      <c r="D262" s="2" t="s">
        <v>1041</v>
      </c>
      <c r="E262" s="215">
        <v>0</v>
      </c>
      <c r="F262" s="215">
        <v>0</v>
      </c>
      <c r="G262" s="215">
        <v>0</v>
      </c>
      <c r="H262" s="215">
        <v>0</v>
      </c>
      <c r="I262" s="215">
        <v>0</v>
      </c>
      <c r="J262" s="215">
        <v>0</v>
      </c>
      <c r="K262" s="215">
        <v>0</v>
      </c>
      <c r="L262" s="215">
        <v>0</v>
      </c>
      <c r="M262" s="215">
        <v>0</v>
      </c>
      <c r="N262" s="215">
        <v>0</v>
      </c>
      <c r="O262" s="215">
        <v>27234.43</v>
      </c>
      <c r="P262" s="215">
        <v>27234.43</v>
      </c>
      <c r="Q262" s="215">
        <v>335795.19</v>
      </c>
    </row>
    <row r="263" spans="2:17" x14ac:dyDescent="0.25">
      <c r="B263" s="259">
        <f t="shared" ref="B263:B326" si="4">(E263+Q263+SUM(F263:P263)*2)/24</f>
        <v>10221.986250000002</v>
      </c>
      <c r="D263" s="2" t="s">
        <v>923</v>
      </c>
      <c r="E263" s="215">
        <v>0</v>
      </c>
      <c r="F263" s="215">
        <v>0</v>
      </c>
      <c r="G263" s="215">
        <v>11682.27</v>
      </c>
      <c r="H263" s="215">
        <v>11682.27</v>
      </c>
      <c r="I263" s="215">
        <v>11682.27</v>
      </c>
      <c r="J263" s="215">
        <v>11682.27</v>
      </c>
      <c r="K263" s="215">
        <v>11682.27</v>
      </c>
      <c r="L263" s="215">
        <v>11682.27</v>
      </c>
      <c r="M263" s="215">
        <v>11682.27</v>
      </c>
      <c r="N263" s="215">
        <v>11682.27</v>
      </c>
      <c r="O263" s="215">
        <v>11682.27</v>
      </c>
      <c r="P263" s="215">
        <v>11682.27</v>
      </c>
      <c r="Q263" s="215">
        <v>11682.27</v>
      </c>
    </row>
    <row r="264" spans="2:17" x14ac:dyDescent="0.25">
      <c r="B264" s="259">
        <f t="shared" si="4"/>
        <v>139346.36000000004</v>
      </c>
      <c r="D264" s="2" t="s">
        <v>305</v>
      </c>
      <c r="E264" s="215">
        <v>139346.36000000002</v>
      </c>
      <c r="F264" s="215">
        <v>139346.36000000002</v>
      </c>
      <c r="G264" s="215">
        <v>139346.36000000002</v>
      </c>
      <c r="H264" s="215">
        <v>139346.36000000002</v>
      </c>
      <c r="I264" s="215">
        <v>139346.36000000002</v>
      </c>
      <c r="J264" s="215">
        <v>139346.36000000002</v>
      </c>
      <c r="K264" s="215">
        <v>139346.36000000002</v>
      </c>
      <c r="L264" s="215">
        <v>139346.36000000002</v>
      </c>
      <c r="M264" s="215">
        <v>139346.36000000002</v>
      </c>
      <c r="N264" s="215">
        <v>139346.36000000002</v>
      </c>
      <c r="O264" s="215">
        <v>139346.36000000002</v>
      </c>
      <c r="P264" s="215">
        <v>139346.36000000002</v>
      </c>
      <c r="Q264" s="215">
        <v>139346.36000000002</v>
      </c>
    </row>
    <row r="265" spans="2:17" x14ac:dyDescent="0.25">
      <c r="B265" s="259">
        <f t="shared" si="4"/>
        <v>596672.58000000007</v>
      </c>
      <c r="D265" s="2" t="s">
        <v>1366</v>
      </c>
      <c r="E265" s="215">
        <v>596672.58000000007</v>
      </c>
      <c r="F265" s="215">
        <v>596672.58000000007</v>
      </c>
      <c r="G265" s="215">
        <v>596672.58000000007</v>
      </c>
      <c r="H265" s="215">
        <v>596672.58000000007</v>
      </c>
      <c r="I265" s="215">
        <v>596672.58000000007</v>
      </c>
      <c r="J265" s="215">
        <v>596672.58000000007</v>
      </c>
      <c r="K265" s="215">
        <v>596672.58000000007</v>
      </c>
      <c r="L265" s="215">
        <v>596672.58000000007</v>
      </c>
      <c r="M265" s="215">
        <v>596672.58000000007</v>
      </c>
      <c r="N265" s="215">
        <v>596672.58000000007</v>
      </c>
      <c r="O265" s="215">
        <v>596672.58000000007</v>
      </c>
      <c r="P265" s="215">
        <v>596672.58000000007</v>
      </c>
      <c r="Q265" s="215">
        <v>596672.58000000007</v>
      </c>
    </row>
    <row r="266" spans="2:17" x14ac:dyDescent="0.25">
      <c r="B266" s="259">
        <f t="shared" si="4"/>
        <v>292458.53375</v>
      </c>
      <c r="D266" s="2" t="s">
        <v>307</v>
      </c>
      <c r="E266" s="215">
        <v>0</v>
      </c>
      <c r="F266" s="215">
        <v>0</v>
      </c>
      <c r="G266" s="215">
        <v>0</v>
      </c>
      <c r="H266" s="215">
        <v>0</v>
      </c>
      <c r="I266" s="215">
        <v>0</v>
      </c>
      <c r="J266" s="215">
        <v>0</v>
      </c>
      <c r="K266" s="215">
        <v>0</v>
      </c>
      <c r="L266" s="215">
        <v>0</v>
      </c>
      <c r="M266" s="215">
        <v>0</v>
      </c>
      <c r="N266" s="215">
        <v>989908.12</v>
      </c>
      <c r="O266" s="215">
        <v>997954.03</v>
      </c>
      <c r="P266" s="215">
        <v>1003202.0399999999</v>
      </c>
      <c r="Q266" s="215">
        <v>1036876.4299999999</v>
      </c>
    </row>
    <row r="267" spans="2:17" x14ac:dyDescent="0.25">
      <c r="B267" s="259">
        <f t="shared" si="4"/>
        <v>160713.31541666668</v>
      </c>
      <c r="D267" s="2" t="s">
        <v>309</v>
      </c>
      <c r="E267" s="215">
        <v>0</v>
      </c>
      <c r="F267" s="215">
        <v>0</v>
      </c>
      <c r="G267" s="215">
        <v>0</v>
      </c>
      <c r="H267" s="215">
        <v>0</v>
      </c>
      <c r="I267" s="215">
        <v>0</v>
      </c>
      <c r="J267" s="215">
        <v>0</v>
      </c>
      <c r="K267" s="215">
        <v>0</v>
      </c>
      <c r="L267" s="215">
        <v>0</v>
      </c>
      <c r="M267" s="215">
        <v>0</v>
      </c>
      <c r="N267" s="215">
        <v>506886.56</v>
      </c>
      <c r="O267" s="215">
        <v>508994.63</v>
      </c>
      <c r="P267" s="215">
        <v>622535.84000000008</v>
      </c>
      <c r="Q267" s="215">
        <v>580285.51</v>
      </c>
    </row>
    <row r="268" spans="2:17" x14ac:dyDescent="0.25">
      <c r="B268" s="259">
        <f t="shared" si="4"/>
        <v>0</v>
      </c>
      <c r="D268" s="2" t="s">
        <v>1367</v>
      </c>
      <c r="E268" s="215">
        <v>0</v>
      </c>
      <c r="F268" s="215">
        <v>0</v>
      </c>
      <c r="G268" s="215">
        <v>0</v>
      </c>
      <c r="H268" s="215">
        <v>0</v>
      </c>
      <c r="I268" s="215">
        <v>0</v>
      </c>
      <c r="J268" s="215">
        <v>0</v>
      </c>
      <c r="K268" s="215">
        <v>0</v>
      </c>
      <c r="L268" s="215">
        <v>0</v>
      </c>
      <c r="M268" s="215">
        <v>0</v>
      </c>
      <c r="N268" s="215">
        <v>0</v>
      </c>
      <c r="O268" s="215">
        <v>0</v>
      </c>
      <c r="P268" s="215">
        <v>0</v>
      </c>
      <c r="Q268" s="215">
        <v>0</v>
      </c>
    </row>
    <row r="269" spans="2:17" x14ac:dyDescent="0.25">
      <c r="B269" s="259">
        <f t="shared" si="4"/>
        <v>25395.841249999998</v>
      </c>
      <c r="D269" s="2" t="s">
        <v>925</v>
      </c>
      <c r="E269" s="215">
        <v>0</v>
      </c>
      <c r="F269" s="215">
        <v>0</v>
      </c>
      <c r="G269" s="215">
        <v>0</v>
      </c>
      <c r="H269" s="215">
        <v>0</v>
      </c>
      <c r="I269" s="215">
        <v>0</v>
      </c>
      <c r="J269" s="215">
        <v>0</v>
      </c>
      <c r="K269" s="215">
        <v>46884.63</v>
      </c>
      <c r="L269" s="215">
        <v>46884.63</v>
      </c>
      <c r="M269" s="215">
        <v>46884.63</v>
      </c>
      <c r="N269" s="215">
        <v>46884.63</v>
      </c>
      <c r="O269" s="215">
        <v>46884.63</v>
      </c>
      <c r="P269" s="215">
        <v>46884.63</v>
      </c>
      <c r="Q269" s="215">
        <v>46884.63</v>
      </c>
    </row>
    <row r="270" spans="2:17" x14ac:dyDescent="0.25">
      <c r="B270" s="259">
        <f t="shared" si="4"/>
        <v>402444.10000000003</v>
      </c>
      <c r="D270" s="2" t="s">
        <v>1368</v>
      </c>
      <c r="E270" s="215">
        <v>402444.1</v>
      </c>
      <c r="F270" s="215">
        <v>402444.1</v>
      </c>
      <c r="G270" s="215">
        <v>402444.1</v>
      </c>
      <c r="H270" s="215">
        <v>402444.1</v>
      </c>
      <c r="I270" s="215">
        <v>402444.1</v>
      </c>
      <c r="J270" s="215">
        <v>402444.1</v>
      </c>
      <c r="K270" s="215">
        <v>402444.1</v>
      </c>
      <c r="L270" s="215">
        <v>402444.1</v>
      </c>
      <c r="M270" s="215">
        <v>402444.1</v>
      </c>
      <c r="N270" s="215">
        <v>402444.1</v>
      </c>
      <c r="O270" s="215">
        <v>402444.1</v>
      </c>
      <c r="P270" s="215">
        <v>402444.1</v>
      </c>
      <c r="Q270" s="215">
        <v>402444.1</v>
      </c>
    </row>
    <row r="271" spans="2:17" x14ac:dyDescent="0.25">
      <c r="B271" s="259">
        <f t="shared" si="4"/>
        <v>4803143</v>
      </c>
      <c r="D271" s="2" t="s">
        <v>1369</v>
      </c>
      <c r="E271" s="215">
        <v>4803143</v>
      </c>
      <c r="F271" s="215">
        <v>4803143</v>
      </c>
      <c r="G271" s="215">
        <v>4803143</v>
      </c>
      <c r="H271" s="215">
        <v>4803143</v>
      </c>
      <c r="I271" s="215">
        <v>4803143</v>
      </c>
      <c r="J271" s="215">
        <v>4803143</v>
      </c>
      <c r="K271" s="215">
        <v>4803143</v>
      </c>
      <c r="L271" s="215">
        <v>4803143</v>
      </c>
      <c r="M271" s="215">
        <v>4803143</v>
      </c>
      <c r="N271" s="215">
        <v>4803143</v>
      </c>
      <c r="O271" s="215">
        <v>4803143</v>
      </c>
      <c r="P271" s="215">
        <v>4803143</v>
      </c>
      <c r="Q271" s="215">
        <v>4803143</v>
      </c>
    </row>
    <row r="272" spans="2:17" x14ac:dyDescent="0.25">
      <c r="B272" s="259">
        <f t="shared" si="4"/>
        <v>13513539.77708333</v>
      </c>
      <c r="D272" s="2" t="s">
        <v>867</v>
      </c>
      <c r="E272" s="215">
        <v>13890829.819999998</v>
      </c>
      <c r="F272" s="215">
        <v>13890829.819999998</v>
      </c>
      <c r="G272" s="215">
        <v>12283147.819999998</v>
      </c>
      <c r="H272" s="215">
        <v>12283147.819999998</v>
      </c>
      <c r="I272" s="215">
        <v>12283147.819999998</v>
      </c>
      <c r="J272" s="215">
        <v>12283147.819999998</v>
      </c>
      <c r="K272" s="215">
        <v>12283147.819999998</v>
      </c>
      <c r="L272" s="215">
        <v>12283147.819999998</v>
      </c>
      <c r="M272" s="215">
        <v>12283147.819999998</v>
      </c>
      <c r="N272" s="215">
        <v>12283147.819999998</v>
      </c>
      <c r="O272" s="215">
        <v>12283147.819999998</v>
      </c>
      <c r="P272" s="215">
        <v>12283147.819999998</v>
      </c>
      <c r="Q272" s="215">
        <v>36989508.789999999</v>
      </c>
    </row>
    <row r="273" spans="2:17" x14ac:dyDescent="0.25">
      <c r="B273" s="259">
        <f t="shared" si="4"/>
        <v>94392.658750000002</v>
      </c>
      <c r="D273" s="2" t="s">
        <v>927</v>
      </c>
      <c r="E273" s="215">
        <v>0</v>
      </c>
      <c r="F273" s="215">
        <v>38647.5</v>
      </c>
      <c r="G273" s="215">
        <v>38647.5</v>
      </c>
      <c r="H273" s="215">
        <v>62236.84</v>
      </c>
      <c r="I273" s="215">
        <v>62236.84</v>
      </c>
      <c r="J273" s="215">
        <v>100573.54</v>
      </c>
      <c r="K273" s="215">
        <v>100573.54</v>
      </c>
      <c r="L273" s="215">
        <v>100573.54</v>
      </c>
      <c r="M273" s="215">
        <v>100573.54</v>
      </c>
      <c r="N273" s="215">
        <v>100573.54</v>
      </c>
      <c r="O273" s="215">
        <v>100573.54</v>
      </c>
      <c r="P273" s="215">
        <v>100573.54</v>
      </c>
      <c r="Q273" s="215">
        <v>453856.89</v>
      </c>
    </row>
    <row r="274" spans="2:17" x14ac:dyDescent="0.25">
      <c r="B274" s="259">
        <f t="shared" si="4"/>
        <v>3774788.577083332</v>
      </c>
      <c r="D274" s="2" t="s">
        <v>312</v>
      </c>
      <c r="E274" s="215">
        <v>3464827.4699999997</v>
      </c>
      <c r="F274" s="215">
        <v>3655305.3599999994</v>
      </c>
      <c r="G274" s="215">
        <v>3655814.3299999996</v>
      </c>
      <c r="H274" s="215">
        <v>3659523.5699999994</v>
      </c>
      <c r="I274" s="215">
        <v>3659974.8299999991</v>
      </c>
      <c r="J274" s="215">
        <v>3660115.8499999992</v>
      </c>
      <c r="K274" s="215">
        <v>3660115.8499999992</v>
      </c>
      <c r="L274" s="215">
        <v>3660115.8499999992</v>
      </c>
      <c r="M274" s="215">
        <v>3660115.8499999992</v>
      </c>
      <c r="N274" s="215">
        <v>3660115.8499999992</v>
      </c>
      <c r="O274" s="215">
        <v>3660115.8499999992</v>
      </c>
      <c r="P274" s="215">
        <v>3660115.8499999992</v>
      </c>
      <c r="Q274" s="215">
        <v>6627240.2999999989</v>
      </c>
    </row>
    <row r="275" spans="2:17" x14ac:dyDescent="0.25">
      <c r="B275" s="259">
        <f t="shared" si="4"/>
        <v>92102.460833333316</v>
      </c>
      <c r="D275" s="2" t="s">
        <v>314</v>
      </c>
      <c r="E275" s="215">
        <v>92038.92</v>
      </c>
      <c r="F275" s="215">
        <v>92778.73</v>
      </c>
      <c r="G275" s="215">
        <v>92041.08</v>
      </c>
      <c r="H275" s="215">
        <v>92041.08</v>
      </c>
      <c r="I275" s="215">
        <v>92041.08</v>
      </c>
      <c r="J275" s="215">
        <v>92041.08</v>
      </c>
      <c r="K275" s="215">
        <v>92041.08</v>
      </c>
      <c r="L275" s="215">
        <v>92041.08</v>
      </c>
      <c r="M275" s="215">
        <v>92041.08</v>
      </c>
      <c r="N275" s="215">
        <v>92041.08</v>
      </c>
      <c r="O275" s="215">
        <v>92041.08</v>
      </c>
      <c r="P275" s="215">
        <v>92041.08</v>
      </c>
      <c r="Q275" s="215">
        <v>92041.08</v>
      </c>
    </row>
    <row r="276" spans="2:17" x14ac:dyDescent="0.25">
      <c r="B276" s="259">
        <f t="shared" si="4"/>
        <v>0</v>
      </c>
      <c r="D276" s="2" t="s">
        <v>1370</v>
      </c>
      <c r="E276" s="215">
        <v>0</v>
      </c>
      <c r="F276" s="215">
        <v>0</v>
      </c>
      <c r="G276" s="215">
        <v>0</v>
      </c>
      <c r="H276" s="215">
        <v>0</v>
      </c>
      <c r="I276" s="215">
        <v>0</v>
      </c>
      <c r="J276" s="215">
        <v>0</v>
      </c>
      <c r="K276" s="215">
        <v>0</v>
      </c>
      <c r="L276" s="215">
        <v>0</v>
      </c>
      <c r="M276" s="215">
        <v>0</v>
      </c>
      <c r="N276" s="215">
        <v>0</v>
      </c>
      <c r="O276" s="215">
        <v>0</v>
      </c>
      <c r="P276" s="215">
        <v>0</v>
      </c>
      <c r="Q276" s="215">
        <v>0</v>
      </c>
    </row>
    <row r="277" spans="2:17" x14ac:dyDescent="0.25">
      <c r="B277" s="259">
        <f t="shared" si="4"/>
        <v>0</v>
      </c>
      <c r="D277" s="2" t="s">
        <v>1371</v>
      </c>
      <c r="E277" s="215">
        <v>0</v>
      </c>
      <c r="F277" s="215">
        <v>0</v>
      </c>
      <c r="G277" s="215">
        <v>0</v>
      </c>
      <c r="H277" s="215">
        <v>0</v>
      </c>
      <c r="I277" s="215">
        <v>0</v>
      </c>
      <c r="J277" s="215">
        <v>0</v>
      </c>
      <c r="K277" s="215">
        <v>0</v>
      </c>
      <c r="L277" s="215">
        <v>0</v>
      </c>
      <c r="M277" s="215">
        <v>0</v>
      </c>
      <c r="N277" s="215">
        <v>0</v>
      </c>
      <c r="O277" s="215">
        <v>0</v>
      </c>
      <c r="P277" s="215">
        <v>0</v>
      </c>
      <c r="Q277" s="215">
        <v>0</v>
      </c>
    </row>
    <row r="278" spans="2:17" x14ac:dyDescent="0.25">
      <c r="B278" s="259">
        <f t="shared" si="4"/>
        <v>25684.69875</v>
      </c>
      <c r="D278" s="2" t="s">
        <v>1043</v>
      </c>
      <c r="E278" s="215">
        <v>0</v>
      </c>
      <c r="F278" s="215">
        <v>0</v>
      </c>
      <c r="G278" s="215">
        <v>0</v>
      </c>
      <c r="H278" s="215">
        <v>0</v>
      </c>
      <c r="I278" s="215">
        <v>0</v>
      </c>
      <c r="J278" s="215">
        <v>0</v>
      </c>
      <c r="K278" s="215">
        <v>0</v>
      </c>
      <c r="L278" s="215">
        <v>0</v>
      </c>
      <c r="M278" s="215">
        <v>0</v>
      </c>
      <c r="N278" s="215">
        <v>0</v>
      </c>
      <c r="O278" s="215">
        <v>0</v>
      </c>
      <c r="P278" s="215">
        <v>0</v>
      </c>
      <c r="Q278" s="215">
        <v>616432.77</v>
      </c>
    </row>
    <row r="279" spans="2:17" x14ac:dyDescent="0.25">
      <c r="B279" s="259">
        <f t="shared" si="4"/>
        <v>0</v>
      </c>
      <c r="D279" s="2" t="s">
        <v>1372</v>
      </c>
      <c r="E279" s="215">
        <v>0</v>
      </c>
      <c r="F279" s="215">
        <v>0</v>
      </c>
      <c r="G279" s="215">
        <v>0</v>
      </c>
      <c r="H279" s="215">
        <v>0</v>
      </c>
      <c r="I279" s="215">
        <v>0</v>
      </c>
      <c r="J279" s="215">
        <v>0</v>
      </c>
      <c r="K279" s="215">
        <v>0</v>
      </c>
      <c r="L279" s="215">
        <v>0</v>
      </c>
      <c r="M279" s="215">
        <v>0</v>
      </c>
      <c r="N279" s="215">
        <v>0</v>
      </c>
      <c r="O279" s="215">
        <v>0</v>
      </c>
      <c r="P279" s="215">
        <v>0</v>
      </c>
      <c r="Q279" s="215">
        <v>0</v>
      </c>
    </row>
    <row r="280" spans="2:17" x14ac:dyDescent="0.25">
      <c r="B280" s="259">
        <f t="shared" si="4"/>
        <v>0</v>
      </c>
      <c r="D280" s="2" t="s">
        <v>1373</v>
      </c>
      <c r="E280" s="215">
        <v>0</v>
      </c>
      <c r="F280" s="215">
        <v>0</v>
      </c>
      <c r="G280" s="215">
        <v>0</v>
      </c>
      <c r="H280" s="215">
        <v>0</v>
      </c>
      <c r="I280" s="215">
        <v>0</v>
      </c>
      <c r="J280" s="215">
        <v>0</v>
      </c>
      <c r="K280" s="215">
        <v>0</v>
      </c>
      <c r="L280" s="215">
        <v>0</v>
      </c>
      <c r="M280" s="215">
        <v>0</v>
      </c>
      <c r="N280" s="215">
        <v>0</v>
      </c>
      <c r="O280" s="215">
        <v>0</v>
      </c>
      <c r="P280" s="215">
        <v>0</v>
      </c>
      <c r="Q280" s="215">
        <v>0</v>
      </c>
    </row>
    <row r="281" spans="2:17" x14ac:dyDescent="0.25">
      <c r="B281" s="259">
        <f t="shared" si="4"/>
        <v>0</v>
      </c>
      <c r="D281" s="2" t="s">
        <v>1374</v>
      </c>
      <c r="E281" s="215">
        <v>0</v>
      </c>
      <c r="F281" s="215">
        <v>0</v>
      </c>
      <c r="G281" s="215">
        <v>0</v>
      </c>
      <c r="H281" s="215">
        <v>0</v>
      </c>
      <c r="I281" s="215">
        <v>0</v>
      </c>
      <c r="J281" s="215">
        <v>0</v>
      </c>
      <c r="K281" s="215">
        <v>0</v>
      </c>
      <c r="L281" s="215">
        <v>0</v>
      </c>
      <c r="M281" s="215">
        <v>0</v>
      </c>
      <c r="N281" s="215">
        <v>0</v>
      </c>
      <c r="O281" s="215">
        <v>0</v>
      </c>
      <c r="P281" s="215">
        <v>0</v>
      </c>
      <c r="Q281" s="215">
        <v>0</v>
      </c>
    </row>
    <row r="282" spans="2:17" x14ac:dyDescent="0.25">
      <c r="B282" s="259">
        <f t="shared" si="4"/>
        <v>0</v>
      </c>
      <c r="D282" s="2" t="s">
        <v>1375</v>
      </c>
      <c r="E282" s="215">
        <v>0</v>
      </c>
      <c r="F282" s="215">
        <v>0</v>
      </c>
      <c r="G282" s="215">
        <v>0</v>
      </c>
      <c r="H282" s="215">
        <v>0</v>
      </c>
      <c r="I282" s="215">
        <v>0</v>
      </c>
      <c r="J282" s="215">
        <v>0</v>
      </c>
      <c r="K282" s="215">
        <v>0</v>
      </c>
      <c r="L282" s="215">
        <v>0</v>
      </c>
      <c r="M282" s="215">
        <v>0</v>
      </c>
      <c r="N282" s="215">
        <v>0</v>
      </c>
      <c r="O282" s="215">
        <v>0</v>
      </c>
      <c r="P282" s="215">
        <v>0</v>
      </c>
      <c r="Q282" s="215">
        <v>0</v>
      </c>
    </row>
    <row r="283" spans="2:17" x14ac:dyDescent="0.25">
      <c r="B283" s="259">
        <f t="shared" si="4"/>
        <v>0</v>
      </c>
      <c r="D283" s="2" t="s">
        <v>1376</v>
      </c>
      <c r="E283" s="215">
        <v>0</v>
      </c>
      <c r="F283" s="215">
        <v>0</v>
      </c>
      <c r="G283" s="215">
        <v>0</v>
      </c>
      <c r="H283" s="215">
        <v>0</v>
      </c>
      <c r="I283" s="215">
        <v>0</v>
      </c>
      <c r="J283" s="215">
        <v>0</v>
      </c>
      <c r="K283" s="215">
        <v>0</v>
      </c>
      <c r="L283" s="215">
        <v>0</v>
      </c>
      <c r="M283" s="215">
        <v>0</v>
      </c>
      <c r="N283" s="215">
        <v>0</v>
      </c>
      <c r="O283" s="215">
        <v>0</v>
      </c>
      <c r="P283" s="215">
        <v>0</v>
      </c>
      <c r="Q283" s="215">
        <v>0</v>
      </c>
    </row>
    <row r="284" spans="2:17" x14ac:dyDescent="0.25">
      <c r="B284" s="259">
        <f t="shared" si="4"/>
        <v>57195.387916666667</v>
      </c>
      <c r="D284" s="2" t="s">
        <v>1045</v>
      </c>
      <c r="E284" s="215">
        <v>0</v>
      </c>
      <c r="F284" s="215">
        <v>0</v>
      </c>
      <c r="G284" s="215">
        <v>0</v>
      </c>
      <c r="H284" s="215">
        <v>0</v>
      </c>
      <c r="I284" s="215">
        <v>0</v>
      </c>
      <c r="J284" s="215">
        <v>0</v>
      </c>
      <c r="K284" s="215">
        <v>0</v>
      </c>
      <c r="L284" s="215">
        <v>0</v>
      </c>
      <c r="M284" s="215">
        <v>0</v>
      </c>
      <c r="N284" s="215">
        <v>0</v>
      </c>
      <c r="O284" s="215">
        <v>0</v>
      </c>
      <c r="P284" s="215">
        <v>0</v>
      </c>
      <c r="Q284" s="215">
        <v>1372689.31</v>
      </c>
    </row>
    <row r="285" spans="2:17" x14ac:dyDescent="0.25">
      <c r="B285" s="259">
        <f t="shared" si="4"/>
        <v>0</v>
      </c>
      <c r="D285" s="2" t="s">
        <v>1377</v>
      </c>
      <c r="E285" s="215">
        <v>0</v>
      </c>
      <c r="F285" s="215">
        <v>0</v>
      </c>
      <c r="G285" s="215">
        <v>0</v>
      </c>
      <c r="H285" s="215">
        <v>0</v>
      </c>
      <c r="I285" s="215">
        <v>0</v>
      </c>
      <c r="J285" s="215">
        <v>0</v>
      </c>
      <c r="K285" s="215">
        <v>0</v>
      </c>
      <c r="L285" s="215">
        <v>0</v>
      </c>
      <c r="M285" s="215">
        <v>0</v>
      </c>
      <c r="N285" s="215">
        <v>0</v>
      </c>
      <c r="O285" s="215">
        <v>0</v>
      </c>
      <c r="P285" s="215">
        <v>0</v>
      </c>
      <c r="Q285" s="215">
        <v>0</v>
      </c>
    </row>
    <row r="286" spans="2:17" x14ac:dyDescent="0.25">
      <c r="B286" s="259">
        <f t="shared" si="4"/>
        <v>31392.826666666671</v>
      </c>
      <c r="D286" s="2" t="s">
        <v>1047</v>
      </c>
      <c r="E286" s="215">
        <v>0</v>
      </c>
      <c r="F286" s="215">
        <v>0</v>
      </c>
      <c r="G286" s="215">
        <v>0</v>
      </c>
      <c r="H286" s="215">
        <v>0</v>
      </c>
      <c r="I286" s="215">
        <v>0</v>
      </c>
      <c r="J286" s="215">
        <v>0</v>
      </c>
      <c r="K286" s="215">
        <v>0</v>
      </c>
      <c r="L286" s="215">
        <v>0</v>
      </c>
      <c r="M286" s="215">
        <v>0</v>
      </c>
      <c r="N286" s="215">
        <v>0</v>
      </c>
      <c r="O286" s="215">
        <v>110733.27</v>
      </c>
      <c r="P286" s="215">
        <v>159431.70000000001</v>
      </c>
      <c r="Q286" s="215">
        <v>213097.9</v>
      </c>
    </row>
    <row r="287" spans="2:17" x14ac:dyDescent="0.25">
      <c r="B287" s="259">
        <f t="shared" si="4"/>
        <v>0</v>
      </c>
      <c r="D287" s="2" t="s">
        <v>1378</v>
      </c>
      <c r="E287" s="215">
        <v>0</v>
      </c>
      <c r="F287" s="215">
        <v>0</v>
      </c>
      <c r="G287" s="215">
        <v>0</v>
      </c>
      <c r="H287" s="215">
        <v>0</v>
      </c>
      <c r="I287" s="215">
        <v>0</v>
      </c>
      <c r="J287" s="215">
        <v>0</v>
      </c>
      <c r="K287" s="215">
        <v>0</v>
      </c>
      <c r="L287" s="215">
        <v>0</v>
      </c>
      <c r="M287" s="215">
        <v>0</v>
      </c>
      <c r="N287" s="215">
        <v>0</v>
      </c>
      <c r="O287" s="215">
        <v>0</v>
      </c>
      <c r="P287" s="215">
        <v>0</v>
      </c>
      <c r="Q287" s="215">
        <v>0</v>
      </c>
    </row>
    <row r="288" spans="2:17" x14ac:dyDescent="0.25">
      <c r="B288" s="259">
        <f t="shared" si="4"/>
        <v>12718.160000000002</v>
      </c>
      <c r="D288" s="2" t="s">
        <v>1379</v>
      </c>
      <c r="E288" s="215">
        <v>12718.16</v>
      </c>
      <c r="F288" s="215">
        <v>12718.16</v>
      </c>
      <c r="G288" s="215">
        <v>12718.16</v>
      </c>
      <c r="H288" s="215">
        <v>12718.16</v>
      </c>
      <c r="I288" s="215">
        <v>12718.16</v>
      </c>
      <c r="J288" s="215">
        <v>12718.16</v>
      </c>
      <c r="K288" s="215">
        <v>12718.16</v>
      </c>
      <c r="L288" s="215">
        <v>12718.16</v>
      </c>
      <c r="M288" s="215">
        <v>12718.16</v>
      </c>
      <c r="N288" s="215">
        <v>12718.16</v>
      </c>
      <c r="O288" s="215">
        <v>12718.16</v>
      </c>
      <c r="P288" s="215">
        <v>12718.16</v>
      </c>
      <c r="Q288" s="215">
        <v>12718.16</v>
      </c>
    </row>
    <row r="289" spans="2:17" x14ac:dyDescent="0.25">
      <c r="B289" s="259">
        <f t="shared" si="4"/>
        <v>183047.76916666669</v>
      </c>
      <c r="D289" s="2" t="s">
        <v>929</v>
      </c>
      <c r="E289" s="215">
        <v>0</v>
      </c>
      <c r="F289" s="215">
        <v>0</v>
      </c>
      <c r="G289" s="215">
        <v>0</v>
      </c>
      <c r="H289" s="215">
        <v>122595.67000000001</v>
      </c>
      <c r="I289" s="215">
        <v>243997.36000000002</v>
      </c>
      <c r="J289" s="215">
        <v>243997.36000000002</v>
      </c>
      <c r="K289" s="215">
        <v>243997.36000000002</v>
      </c>
      <c r="L289" s="215">
        <v>243997.36000000002</v>
      </c>
      <c r="M289" s="215">
        <v>243997.36000000002</v>
      </c>
      <c r="N289" s="215">
        <v>243997.36000000002</v>
      </c>
      <c r="O289" s="215">
        <v>243997.36000000002</v>
      </c>
      <c r="P289" s="215">
        <v>243997.36000000002</v>
      </c>
      <c r="Q289" s="215">
        <v>243997.36000000002</v>
      </c>
    </row>
    <row r="290" spans="2:17" x14ac:dyDescent="0.25">
      <c r="B290" s="259">
        <f t="shared" si="4"/>
        <v>1102222.7666666666</v>
      </c>
      <c r="D290" s="2" t="s">
        <v>931</v>
      </c>
      <c r="E290" s="215">
        <v>0</v>
      </c>
      <c r="F290" s="215">
        <v>1118328.55</v>
      </c>
      <c r="G290" s="215">
        <v>828246.08</v>
      </c>
      <c r="H290" s="215">
        <v>1253596.07</v>
      </c>
      <c r="I290" s="215">
        <v>1283632.0799999998</v>
      </c>
      <c r="J290" s="215">
        <v>1319203.4100000001</v>
      </c>
      <c r="K290" s="215">
        <v>1353868.8099999998</v>
      </c>
      <c r="L290" s="215">
        <v>1365249.41</v>
      </c>
      <c r="M290" s="215">
        <v>1155922.3400000001</v>
      </c>
      <c r="N290" s="215">
        <v>1014568.26</v>
      </c>
      <c r="O290" s="215">
        <v>1044290.8899999999</v>
      </c>
      <c r="P290" s="215">
        <v>1052140.3600000001</v>
      </c>
      <c r="Q290" s="215">
        <v>875253.87999999989</v>
      </c>
    </row>
    <row r="291" spans="2:17" x14ac:dyDescent="0.25">
      <c r="B291" s="259">
        <f t="shared" si="4"/>
        <v>867363.13000000024</v>
      </c>
      <c r="D291" s="2" t="s">
        <v>316</v>
      </c>
      <c r="E291" s="215">
        <v>836483.47000000009</v>
      </c>
      <c r="F291" s="215">
        <v>864144.95000000007</v>
      </c>
      <c r="G291" s="215">
        <v>863683.03</v>
      </c>
      <c r="H291" s="215">
        <v>863683.03</v>
      </c>
      <c r="I291" s="215">
        <v>872617.17</v>
      </c>
      <c r="J291" s="215">
        <v>872617.17</v>
      </c>
      <c r="K291" s="215">
        <v>872152.77</v>
      </c>
      <c r="L291" s="215">
        <v>869312.31</v>
      </c>
      <c r="M291" s="215">
        <v>869312.31</v>
      </c>
      <c r="N291" s="215">
        <v>869312.31</v>
      </c>
      <c r="O291" s="215">
        <v>869312.31</v>
      </c>
      <c r="P291" s="215">
        <v>869312.31</v>
      </c>
      <c r="Q291" s="215">
        <v>869312.31</v>
      </c>
    </row>
    <row r="292" spans="2:17" x14ac:dyDescent="0.25">
      <c r="B292" s="259">
        <f t="shared" si="4"/>
        <v>59322.219999999979</v>
      </c>
      <c r="D292" s="2" t="s">
        <v>1380</v>
      </c>
      <c r="E292" s="215">
        <v>59322.22</v>
      </c>
      <c r="F292" s="215">
        <v>59322.22</v>
      </c>
      <c r="G292" s="215">
        <v>59322.22</v>
      </c>
      <c r="H292" s="215">
        <v>59322.22</v>
      </c>
      <c r="I292" s="215">
        <v>59322.22</v>
      </c>
      <c r="J292" s="215">
        <v>59322.22</v>
      </c>
      <c r="K292" s="215">
        <v>59322.22</v>
      </c>
      <c r="L292" s="215">
        <v>59322.22</v>
      </c>
      <c r="M292" s="215">
        <v>59322.22</v>
      </c>
      <c r="N292" s="215">
        <v>59322.22</v>
      </c>
      <c r="O292" s="215">
        <v>59322.22</v>
      </c>
      <c r="P292" s="215">
        <v>59322.22</v>
      </c>
      <c r="Q292" s="215">
        <v>59322.22</v>
      </c>
    </row>
    <row r="293" spans="2:17" x14ac:dyDescent="0.25">
      <c r="B293" s="259">
        <f t="shared" si="4"/>
        <v>17325.929166666665</v>
      </c>
      <c r="D293" s="2" t="s">
        <v>1049</v>
      </c>
      <c r="E293" s="215">
        <v>0</v>
      </c>
      <c r="F293" s="215">
        <v>0</v>
      </c>
      <c r="G293" s="215">
        <v>0</v>
      </c>
      <c r="H293" s="215">
        <v>0</v>
      </c>
      <c r="I293" s="215">
        <v>0</v>
      </c>
      <c r="J293" s="215">
        <v>0</v>
      </c>
      <c r="K293" s="215">
        <v>0</v>
      </c>
      <c r="L293" s="215">
        <v>0</v>
      </c>
      <c r="M293" s="215">
        <v>0</v>
      </c>
      <c r="N293" s="215">
        <v>0</v>
      </c>
      <c r="O293" s="215">
        <v>0</v>
      </c>
      <c r="P293" s="215">
        <v>0</v>
      </c>
      <c r="Q293" s="215">
        <v>415822.3</v>
      </c>
    </row>
    <row r="294" spans="2:17" x14ac:dyDescent="0.25">
      <c r="B294" s="259">
        <f t="shared" si="4"/>
        <v>0</v>
      </c>
      <c r="D294" s="2" t="s">
        <v>1381</v>
      </c>
      <c r="E294" s="215">
        <v>0</v>
      </c>
      <c r="F294" s="215">
        <v>0</v>
      </c>
      <c r="G294" s="215">
        <v>0</v>
      </c>
      <c r="H294" s="215">
        <v>0</v>
      </c>
      <c r="I294" s="215">
        <v>0</v>
      </c>
      <c r="J294" s="215">
        <v>0</v>
      </c>
      <c r="K294" s="215">
        <v>0</v>
      </c>
      <c r="L294" s="215">
        <v>0</v>
      </c>
      <c r="M294" s="215">
        <v>0</v>
      </c>
      <c r="N294" s="215">
        <v>0</v>
      </c>
      <c r="O294" s="215">
        <v>0</v>
      </c>
      <c r="P294" s="215">
        <v>0</v>
      </c>
      <c r="Q294" s="215">
        <v>0</v>
      </c>
    </row>
    <row r="295" spans="2:17" x14ac:dyDescent="0.25">
      <c r="B295" s="259">
        <f t="shared" si="4"/>
        <v>0</v>
      </c>
      <c r="D295" s="2" t="s">
        <v>1382</v>
      </c>
      <c r="E295" s="215">
        <v>0</v>
      </c>
      <c r="F295" s="215">
        <v>0</v>
      </c>
      <c r="G295" s="215">
        <v>0</v>
      </c>
      <c r="H295" s="215">
        <v>0</v>
      </c>
      <c r="I295" s="215">
        <v>0</v>
      </c>
      <c r="J295" s="215">
        <v>0</v>
      </c>
      <c r="K295" s="215">
        <v>0</v>
      </c>
      <c r="L295" s="215">
        <v>0</v>
      </c>
      <c r="M295" s="215">
        <v>0</v>
      </c>
      <c r="N295" s="215">
        <v>0</v>
      </c>
      <c r="O295" s="215">
        <v>0</v>
      </c>
      <c r="P295" s="215">
        <v>0</v>
      </c>
      <c r="Q295" s="215">
        <v>0</v>
      </c>
    </row>
    <row r="296" spans="2:17" x14ac:dyDescent="0.25">
      <c r="B296" s="259">
        <f t="shared" si="4"/>
        <v>21865008.785833329</v>
      </c>
      <c r="D296" s="2" t="s">
        <v>1383</v>
      </c>
      <c r="E296" s="215">
        <v>17791726.729999997</v>
      </c>
      <c r="F296" s="215">
        <v>18767713.27</v>
      </c>
      <c r="G296" s="215">
        <v>20308869.609999999</v>
      </c>
      <c r="H296" s="215">
        <v>20382749.609999999</v>
      </c>
      <c r="I296" s="215">
        <v>20969579.439999998</v>
      </c>
      <c r="J296" s="215">
        <v>21047867.149999999</v>
      </c>
      <c r="K296" s="215">
        <v>22454813.669999994</v>
      </c>
      <c r="L296" s="215">
        <v>23476649.189999998</v>
      </c>
      <c r="M296" s="215">
        <v>24679057.269999996</v>
      </c>
      <c r="N296" s="215">
        <v>24590088.969999999</v>
      </c>
      <c r="O296" s="215">
        <v>21754238.019999996</v>
      </c>
      <c r="P296" s="215">
        <v>22933378.209999993</v>
      </c>
      <c r="Q296" s="215">
        <v>24238475.309999995</v>
      </c>
    </row>
    <row r="297" spans="2:17" x14ac:dyDescent="0.25">
      <c r="B297" s="259">
        <f t="shared" si="4"/>
        <v>340465.44750000007</v>
      </c>
      <c r="D297" s="2" t="s">
        <v>318</v>
      </c>
      <c r="E297" s="215">
        <v>148152.47</v>
      </c>
      <c r="F297" s="215">
        <v>148152.47</v>
      </c>
      <c r="G297" s="215">
        <v>289061.13</v>
      </c>
      <c r="H297" s="215">
        <v>289061.13</v>
      </c>
      <c r="I297" s="215">
        <v>289061.13</v>
      </c>
      <c r="J297" s="215">
        <v>289061.13</v>
      </c>
      <c r="K297" s="215">
        <v>411008.68</v>
      </c>
      <c r="L297" s="215">
        <v>411008.68</v>
      </c>
      <c r="M297" s="215">
        <v>411008.68</v>
      </c>
      <c r="N297" s="215">
        <v>411008.68</v>
      </c>
      <c r="O297" s="215">
        <v>411008.68</v>
      </c>
      <c r="P297" s="215">
        <v>411008.68</v>
      </c>
      <c r="Q297" s="215">
        <v>482120.13</v>
      </c>
    </row>
    <row r="298" spans="2:17" x14ac:dyDescent="0.25">
      <c r="B298" s="259">
        <f t="shared" si="4"/>
        <v>124877.82208333333</v>
      </c>
      <c r="D298" s="2" t="s">
        <v>320</v>
      </c>
      <c r="E298" s="215">
        <v>117661.39</v>
      </c>
      <c r="F298" s="215">
        <v>117661.39</v>
      </c>
      <c r="G298" s="215">
        <v>124900.9</v>
      </c>
      <c r="H298" s="215">
        <v>124900.9</v>
      </c>
      <c r="I298" s="215">
        <v>124900.9</v>
      </c>
      <c r="J298" s="215">
        <v>124900.9</v>
      </c>
      <c r="K298" s="215">
        <v>124900.9</v>
      </c>
      <c r="L298" s="215">
        <v>124900.9</v>
      </c>
      <c r="M298" s="215">
        <v>124900.9</v>
      </c>
      <c r="N298" s="215">
        <v>124900.9</v>
      </c>
      <c r="O298" s="215">
        <v>124900.9</v>
      </c>
      <c r="P298" s="215">
        <v>124900.9</v>
      </c>
      <c r="Q298" s="215">
        <v>146065.56</v>
      </c>
    </row>
    <row r="299" spans="2:17" x14ac:dyDescent="0.25">
      <c r="B299" s="259">
        <f t="shared" si="4"/>
        <v>3417065.5008333339</v>
      </c>
      <c r="D299" s="2" t="s">
        <v>322</v>
      </c>
      <c r="E299" s="215">
        <v>3271155.48</v>
      </c>
      <c r="F299" s="215">
        <v>3273244.03</v>
      </c>
      <c r="G299" s="215">
        <v>3273244.03</v>
      </c>
      <c r="H299" s="215">
        <v>3273244.03</v>
      </c>
      <c r="I299" s="215">
        <v>3273244.03</v>
      </c>
      <c r="J299" s="215">
        <v>3273244.03</v>
      </c>
      <c r="K299" s="215">
        <v>3273244.03</v>
      </c>
      <c r="L299" s="215">
        <v>3273244.03</v>
      </c>
      <c r="M299" s="215">
        <v>3273244.03</v>
      </c>
      <c r="N299" s="215">
        <v>3273244.03</v>
      </c>
      <c r="O299" s="215">
        <v>3964004.8</v>
      </c>
      <c r="P299" s="215">
        <v>3964004.8</v>
      </c>
      <c r="Q299" s="215">
        <v>3964004.8</v>
      </c>
    </row>
    <row r="300" spans="2:17" x14ac:dyDescent="0.25">
      <c r="B300" s="259">
        <f t="shared" si="4"/>
        <v>14040.687083333332</v>
      </c>
      <c r="D300" s="2" t="s">
        <v>324</v>
      </c>
      <c r="E300" s="215">
        <v>4351.8999999999996</v>
      </c>
      <c r="F300" s="215">
        <v>4351.8999999999996</v>
      </c>
      <c r="G300" s="215">
        <v>14077.689999999999</v>
      </c>
      <c r="H300" s="215">
        <v>14077.689999999999</v>
      </c>
      <c r="I300" s="215">
        <v>14077.689999999999</v>
      </c>
      <c r="J300" s="215">
        <v>14077.689999999999</v>
      </c>
      <c r="K300" s="215">
        <v>14077.689999999999</v>
      </c>
      <c r="L300" s="215">
        <v>14077.689999999999</v>
      </c>
      <c r="M300" s="215">
        <v>14077.689999999999</v>
      </c>
      <c r="N300" s="215">
        <v>14077.689999999999</v>
      </c>
      <c r="O300" s="215">
        <v>14077.689999999999</v>
      </c>
      <c r="P300" s="215">
        <v>14077.689999999999</v>
      </c>
      <c r="Q300" s="215">
        <v>42366.990000000005</v>
      </c>
    </row>
    <row r="301" spans="2:17" x14ac:dyDescent="0.25">
      <c r="B301" s="259">
        <f t="shared" si="4"/>
        <v>6855945.3499999987</v>
      </c>
      <c r="D301" s="2" t="s">
        <v>1384</v>
      </c>
      <c r="E301" s="215">
        <v>6855945.3500000006</v>
      </c>
      <c r="F301" s="215">
        <v>6855945.3500000006</v>
      </c>
      <c r="G301" s="215">
        <v>6855945.3500000006</v>
      </c>
      <c r="H301" s="215">
        <v>6855945.3500000006</v>
      </c>
      <c r="I301" s="215">
        <v>6855945.3500000006</v>
      </c>
      <c r="J301" s="215">
        <v>6855945.3500000006</v>
      </c>
      <c r="K301" s="215">
        <v>6855945.3500000006</v>
      </c>
      <c r="L301" s="215">
        <v>6855945.3500000006</v>
      </c>
      <c r="M301" s="215">
        <v>6855945.3500000006</v>
      </c>
      <c r="N301" s="215">
        <v>6855945.3500000006</v>
      </c>
      <c r="O301" s="215">
        <v>6855945.3500000006</v>
      </c>
      <c r="P301" s="215">
        <v>6855945.3500000006</v>
      </c>
      <c r="Q301" s="215">
        <v>6855945.3500000006</v>
      </c>
    </row>
    <row r="302" spans="2:17" x14ac:dyDescent="0.25">
      <c r="B302" s="259">
        <f t="shared" si="4"/>
        <v>1624.43</v>
      </c>
      <c r="D302" s="2" t="s">
        <v>1385</v>
      </c>
      <c r="E302" s="215">
        <v>1624.43</v>
      </c>
      <c r="F302" s="215">
        <v>1624.43</v>
      </c>
      <c r="G302" s="215">
        <v>1624.43</v>
      </c>
      <c r="H302" s="215">
        <v>1624.43</v>
      </c>
      <c r="I302" s="215">
        <v>1624.43</v>
      </c>
      <c r="J302" s="215">
        <v>1624.43</v>
      </c>
      <c r="K302" s="215">
        <v>1624.43</v>
      </c>
      <c r="L302" s="215">
        <v>1624.43</v>
      </c>
      <c r="M302" s="215">
        <v>1624.43</v>
      </c>
      <c r="N302" s="215">
        <v>1624.43</v>
      </c>
      <c r="O302" s="215">
        <v>1624.43</v>
      </c>
      <c r="P302" s="215">
        <v>1624.43</v>
      </c>
      <c r="Q302" s="215">
        <v>1624.43</v>
      </c>
    </row>
    <row r="303" spans="2:17" x14ac:dyDescent="0.25">
      <c r="B303" s="259">
        <f t="shared" si="4"/>
        <v>0</v>
      </c>
      <c r="D303" s="2" t="s">
        <v>1386</v>
      </c>
      <c r="E303" s="215">
        <v>0</v>
      </c>
      <c r="F303" s="215">
        <v>0</v>
      </c>
      <c r="G303" s="215">
        <v>0</v>
      </c>
      <c r="H303" s="215">
        <v>0</v>
      </c>
      <c r="I303" s="215">
        <v>0</v>
      </c>
      <c r="J303" s="215">
        <v>0</v>
      </c>
      <c r="K303" s="215">
        <v>0</v>
      </c>
      <c r="L303" s="215">
        <v>0</v>
      </c>
      <c r="M303" s="215">
        <v>0</v>
      </c>
      <c r="N303" s="215">
        <v>0</v>
      </c>
      <c r="O303" s="215">
        <v>0</v>
      </c>
      <c r="P303" s="215">
        <v>0</v>
      </c>
      <c r="Q303" s="215">
        <v>0</v>
      </c>
    </row>
    <row r="304" spans="2:17" x14ac:dyDescent="0.25">
      <c r="B304" s="259">
        <f t="shared" si="4"/>
        <v>17743207.134999998</v>
      </c>
      <c r="D304" s="2" t="s">
        <v>326</v>
      </c>
      <c r="E304" s="215">
        <v>17735305.920000002</v>
      </c>
      <c r="F304" s="215">
        <v>17742122.5</v>
      </c>
      <c r="G304" s="215">
        <v>17742491.59</v>
      </c>
      <c r="H304" s="215">
        <v>17742491.59</v>
      </c>
      <c r="I304" s="215">
        <v>17743967.879999999</v>
      </c>
      <c r="J304" s="215">
        <v>17743967.879999999</v>
      </c>
      <c r="K304" s="215">
        <v>17743967.879999999</v>
      </c>
      <c r="L304" s="215">
        <v>17743967.879999999</v>
      </c>
      <c r="M304" s="215">
        <v>17743967.879999999</v>
      </c>
      <c r="N304" s="215">
        <v>17743967.879999999</v>
      </c>
      <c r="O304" s="215">
        <v>17743967.879999999</v>
      </c>
      <c r="P304" s="215">
        <v>17743967.879999999</v>
      </c>
      <c r="Q304" s="215">
        <v>17743967.879999999</v>
      </c>
    </row>
    <row r="305" spans="2:17" x14ac:dyDescent="0.25">
      <c r="B305" s="259">
        <f t="shared" si="4"/>
        <v>905880.25</v>
      </c>
      <c r="D305" s="2" t="s">
        <v>328</v>
      </c>
      <c r="E305" s="215">
        <v>900406.27000000014</v>
      </c>
      <c r="F305" s="215">
        <v>900406.27000000014</v>
      </c>
      <c r="G305" s="215">
        <v>900406.27000000014</v>
      </c>
      <c r="H305" s="215">
        <v>900406.27000000014</v>
      </c>
      <c r="I305" s="215">
        <v>900406.27000000014</v>
      </c>
      <c r="J305" s="215">
        <v>900406.27000000014</v>
      </c>
      <c r="K305" s="215">
        <v>902030.42000000016</v>
      </c>
      <c r="L305" s="215">
        <v>909834.50000000012</v>
      </c>
      <c r="M305" s="215">
        <v>912515.66000000015</v>
      </c>
      <c r="N305" s="215">
        <v>912515.66000000015</v>
      </c>
      <c r="O305" s="215">
        <v>912572.91000000015</v>
      </c>
      <c r="P305" s="215">
        <v>912572.91000000015</v>
      </c>
      <c r="Q305" s="215">
        <v>912572.91000000015</v>
      </c>
    </row>
    <row r="306" spans="2:17" x14ac:dyDescent="0.25">
      <c r="B306" s="259">
        <f t="shared" si="4"/>
        <v>0</v>
      </c>
      <c r="D306" s="2" t="s">
        <v>1387</v>
      </c>
      <c r="E306" s="215">
        <v>0</v>
      </c>
      <c r="F306" s="215">
        <v>0</v>
      </c>
      <c r="G306" s="215">
        <v>0</v>
      </c>
      <c r="H306" s="215">
        <v>0</v>
      </c>
      <c r="I306" s="215">
        <v>0</v>
      </c>
      <c r="J306" s="215">
        <v>0</v>
      </c>
      <c r="K306" s="215">
        <v>0</v>
      </c>
      <c r="L306" s="215">
        <v>0</v>
      </c>
      <c r="M306" s="215">
        <v>0</v>
      </c>
      <c r="N306" s="215">
        <v>0</v>
      </c>
      <c r="O306" s="215">
        <v>0</v>
      </c>
      <c r="P306" s="215">
        <v>0</v>
      </c>
      <c r="Q306" s="215">
        <v>0</v>
      </c>
    </row>
    <row r="307" spans="2:17" x14ac:dyDescent="0.25">
      <c r="B307" s="259">
        <f t="shared" si="4"/>
        <v>501793.97458333336</v>
      </c>
      <c r="D307" s="2" t="s">
        <v>330</v>
      </c>
      <c r="E307" s="215">
        <v>73042.259999999995</v>
      </c>
      <c r="F307" s="215">
        <v>73042.259999999995</v>
      </c>
      <c r="G307" s="215">
        <v>73042.259999999995</v>
      </c>
      <c r="H307" s="215">
        <v>73042.259999999995</v>
      </c>
      <c r="I307" s="215">
        <v>73042.259999999995</v>
      </c>
      <c r="J307" s="215">
        <v>73042.259999999995</v>
      </c>
      <c r="K307" s="215">
        <v>73042.259999999995</v>
      </c>
      <c r="L307" s="215">
        <v>73042.259999999995</v>
      </c>
      <c r="M307" s="215">
        <v>73042.259999999995</v>
      </c>
      <c r="N307" s="215">
        <v>73042.259999999995</v>
      </c>
      <c r="O307" s="215">
        <v>73042.259999999995</v>
      </c>
      <c r="P307" s="215">
        <v>73042.259999999995</v>
      </c>
      <c r="Q307" s="215">
        <v>10363083.41</v>
      </c>
    </row>
    <row r="308" spans="2:17" x14ac:dyDescent="0.25">
      <c r="B308" s="259">
        <f t="shared" si="4"/>
        <v>214347.37458333335</v>
      </c>
      <c r="D308" s="2" t="s">
        <v>332</v>
      </c>
      <c r="E308" s="215">
        <v>0</v>
      </c>
      <c r="F308" s="215">
        <v>0</v>
      </c>
      <c r="G308" s="215">
        <v>0</v>
      </c>
      <c r="H308" s="215">
        <v>0</v>
      </c>
      <c r="I308" s="215">
        <v>0</v>
      </c>
      <c r="J308" s="215">
        <v>0</v>
      </c>
      <c r="K308" s="215">
        <v>0</v>
      </c>
      <c r="L308" s="215">
        <v>0</v>
      </c>
      <c r="M308" s="215">
        <v>0</v>
      </c>
      <c r="N308" s="215">
        <v>0</v>
      </c>
      <c r="O308" s="215">
        <v>0</v>
      </c>
      <c r="P308" s="215">
        <v>0</v>
      </c>
      <c r="Q308" s="215">
        <v>5144336.99</v>
      </c>
    </row>
    <row r="309" spans="2:17" x14ac:dyDescent="0.25">
      <c r="B309" s="259">
        <f t="shared" si="4"/>
        <v>17153.780000000002</v>
      </c>
      <c r="D309" s="2" t="s">
        <v>1388</v>
      </c>
      <c r="E309" s="215">
        <v>17153.780000000002</v>
      </c>
      <c r="F309" s="215">
        <v>17153.780000000002</v>
      </c>
      <c r="G309" s="215">
        <v>17153.780000000002</v>
      </c>
      <c r="H309" s="215">
        <v>17153.780000000002</v>
      </c>
      <c r="I309" s="215">
        <v>17153.780000000002</v>
      </c>
      <c r="J309" s="215">
        <v>17153.780000000002</v>
      </c>
      <c r="K309" s="215">
        <v>17153.780000000002</v>
      </c>
      <c r="L309" s="215">
        <v>17153.780000000002</v>
      </c>
      <c r="M309" s="215">
        <v>17153.780000000002</v>
      </c>
      <c r="N309" s="215">
        <v>17153.780000000002</v>
      </c>
      <c r="O309" s="215">
        <v>17153.780000000002</v>
      </c>
      <c r="P309" s="215">
        <v>17153.780000000002</v>
      </c>
      <c r="Q309" s="215">
        <v>17153.780000000002</v>
      </c>
    </row>
    <row r="310" spans="2:17" x14ac:dyDescent="0.25">
      <c r="B310" s="259">
        <f t="shared" si="4"/>
        <v>2674907.1350000007</v>
      </c>
      <c r="D310" s="2" t="s">
        <v>334</v>
      </c>
      <c r="E310" s="215">
        <v>2630258.21</v>
      </c>
      <c r="F310" s="215">
        <v>2663748.12</v>
      </c>
      <c r="G310" s="215">
        <v>2663748.12</v>
      </c>
      <c r="H310" s="215">
        <v>2663748.12</v>
      </c>
      <c r="I310" s="215">
        <v>2663748.12</v>
      </c>
      <c r="J310" s="215">
        <v>2663748.12</v>
      </c>
      <c r="K310" s="215">
        <v>2663748.12</v>
      </c>
      <c r="L310" s="215">
        <v>2663748.12</v>
      </c>
      <c r="M310" s="215">
        <v>2663748.12</v>
      </c>
      <c r="N310" s="215">
        <v>2663748.12</v>
      </c>
      <c r="O310" s="215">
        <v>2663748.12</v>
      </c>
      <c r="P310" s="215">
        <v>2663748.12</v>
      </c>
      <c r="Q310" s="215">
        <v>2965054.39</v>
      </c>
    </row>
    <row r="311" spans="2:17" x14ac:dyDescent="0.25">
      <c r="B311" s="259">
        <f t="shared" si="4"/>
        <v>8759.5500000000011</v>
      </c>
      <c r="D311" s="2" t="s">
        <v>336</v>
      </c>
      <c r="E311" s="215">
        <v>8759.5500000000011</v>
      </c>
      <c r="F311" s="215">
        <v>8759.5500000000011</v>
      </c>
      <c r="G311" s="215">
        <v>8759.5500000000011</v>
      </c>
      <c r="H311" s="215">
        <v>8759.5500000000011</v>
      </c>
      <c r="I311" s="215">
        <v>8759.5500000000011</v>
      </c>
      <c r="J311" s="215">
        <v>8759.5500000000011</v>
      </c>
      <c r="K311" s="215">
        <v>8759.5500000000011</v>
      </c>
      <c r="L311" s="215">
        <v>8759.5500000000011</v>
      </c>
      <c r="M311" s="215">
        <v>8759.5500000000011</v>
      </c>
      <c r="N311" s="215">
        <v>8759.5500000000011</v>
      </c>
      <c r="O311" s="215">
        <v>8759.5500000000011</v>
      </c>
      <c r="P311" s="215">
        <v>8759.5500000000011</v>
      </c>
      <c r="Q311" s="215">
        <v>8759.5500000000011</v>
      </c>
    </row>
    <row r="312" spans="2:17" x14ac:dyDescent="0.25">
      <c r="B312" s="259">
        <f t="shared" si="4"/>
        <v>2049858.7620833332</v>
      </c>
      <c r="D312" s="2" t="s">
        <v>338</v>
      </c>
      <c r="E312" s="215">
        <v>1198744.01</v>
      </c>
      <c r="F312" s="215">
        <v>1238885.8799999999</v>
      </c>
      <c r="G312" s="215">
        <v>2031209.43</v>
      </c>
      <c r="H312" s="215">
        <v>2031209.43</v>
      </c>
      <c r="I312" s="215">
        <v>2031209.43</v>
      </c>
      <c r="J312" s="215">
        <v>2031209.43</v>
      </c>
      <c r="K312" s="215">
        <v>2031209.43</v>
      </c>
      <c r="L312" s="215">
        <v>2031209.43</v>
      </c>
      <c r="M312" s="215">
        <v>2207661.75</v>
      </c>
      <c r="N312" s="215">
        <v>2207661.75</v>
      </c>
      <c r="O312" s="215">
        <v>2207661.75</v>
      </c>
      <c r="P312" s="215">
        <v>2622071.06</v>
      </c>
      <c r="Q312" s="215">
        <v>2655468.7400000002</v>
      </c>
    </row>
    <row r="313" spans="2:17" x14ac:dyDescent="0.25">
      <c r="B313" s="259">
        <f t="shared" si="4"/>
        <v>0</v>
      </c>
      <c r="D313" s="2" t="s">
        <v>1389</v>
      </c>
      <c r="E313" s="215">
        <v>0</v>
      </c>
      <c r="F313" s="215">
        <v>0</v>
      </c>
      <c r="G313" s="215">
        <v>0</v>
      </c>
      <c r="H313" s="215">
        <v>0</v>
      </c>
      <c r="I313" s="215">
        <v>0</v>
      </c>
      <c r="J313" s="215">
        <v>0</v>
      </c>
      <c r="K313" s="215">
        <v>0</v>
      </c>
      <c r="L313" s="215">
        <v>0</v>
      </c>
      <c r="M313" s="215">
        <v>0</v>
      </c>
      <c r="N313" s="215">
        <v>0</v>
      </c>
      <c r="O313" s="215">
        <v>0</v>
      </c>
      <c r="P313" s="215">
        <v>0</v>
      </c>
      <c r="Q313" s="215">
        <v>0</v>
      </c>
    </row>
    <row r="314" spans="2:17" x14ac:dyDescent="0.25">
      <c r="B314" s="259">
        <f t="shared" si="4"/>
        <v>0</v>
      </c>
      <c r="D314" s="2" t="s">
        <v>1390</v>
      </c>
      <c r="E314" s="215">
        <v>0</v>
      </c>
      <c r="F314" s="215">
        <v>0</v>
      </c>
      <c r="G314" s="215">
        <v>0</v>
      </c>
      <c r="H314" s="215">
        <v>0</v>
      </c>
      <c r="I314" s="215">
        <v>0</v>
      </c>
      <c r="J314" s="215">
        <v>0</v>
      </c>
      <c r="K314" s="215">
        <v>0</v>
      </c>
      <c r="L314" s="215">
        <v>0</v>
      </c>
      <c r="M314" s="215">
        <v>0</v>
      </c>
      <c r="N314" s="215">
        <v>0</v>
      </c>
      <c r="O314" s="215">
        <v>0</v>
      </c>
      <c r="P314" s="215">
        <v>0</v>
      </c>
      <c r="Q314" s="215">
        <v>0</v>
      </c>
    </row>
    <row r="315" spans="2:17" x14ac:dyDescent="0.25">
      <c r="B315" s="259">
        <f t="shared" si="4"/>
        <v>2335924.5387500003</v>
      </c>
      <c r="D315" s="2" t="s">
        <v>340</v>
      </c>
      <c r="E315" s="215">
        <v>584026.15</v>
      </c>
      <c r="F315" s="215">
        <v>584026.15</v>
      </c>
      <c r="G315" s="215">
        <v>1276944.1499999999</v>
      </c>
      <c r="H315" s="215">
        <v>1276944.1499999999</v>
      </c>
      <c r="I315" s="215">
        <v>1276944.1499999999</v>
      </c>
      <c r="J315" s="215">
        <v>1276944.1499999999</v>
      </c>
      <c r="K315" s="215">
        <v>1512813.92</v>
      </c>
      <c r="L315" s="215">
        <v>1517141.88</v>
      </c>
      <c r="M315" s="215">
        <v>4013108.8</v>
      </c>
      <c r="N315" s="215">
        <v>4037567.42</v>
      </c>
      <c r="O315" s="215">
        <v>4255234.32</v>
      </c>
      <c r="P315" s="215">
        <v>4338485.29</v>
      </c>
      <c r="Q315" s="215">
        <v>4745854.0199999996</v>
      </c>
    </row>
    <row r="316" spans="2:17" x14ac:dyDescent="0.25">
      <c r="B316" s="259">
        <f t="shared" si="4"/>
        <v>9646604.8058333341</v>
      </c>
      <c r="D316" s="2" t="s">
        <v>933</v>
      </c>
      <c r="E316" s="215">
        <v>0</v>
      </c>
      <c r="F316" s="215">
        <v>0</v>
      </c>
      <c r="G316" s="215">
        <v>0</v>
      </c>
      <c r="H316" s="215">
        <v>0</v>
      </c>
      <c r="I316" s="215">
        <v>0</v>
      </c>
      <c r="J316" s="215">
        <v>0</v>
      </c>
      <c r="K316" s="215">
        <v>0</v>
      </c>
      <c r="L316" s="215">
        <v>12878325.959999999</v>
      </c>
      <c r="M316" s="215">
        <v>19862517.899999999</v>
      </c>
      <c r="N316" s="215">
        <v>21589064.699999999</v>
      </c>
      <c r="O316" s="215">
        <v>22265817.07</v>
      </c>
      <c r="P316" s="215">
        <v>26010244.390000001</v>
      </c>
      <c r="Q316" s="215">
        <v>26306575.300000001</v>
      </c>
    </row>
    <row r="317" spans="2:17" x14ac:dyDescent="0.25">
      <c r="B317" s="259">
        <f t="shared" si="4"/>
        <v>439798.57208333333</v>
      </c>
      <c r="D317" s="2" t="s">
        <v>342</v>
      </c>
      <c r="E317" s="215">
        <v>137200.89000000001</v>
      </c>
      <c r="F317" s="215">
        <v>137200.89000000001</v>
      </c>
      <c r="G317" s="215">
        <v>137200.89000000001</v>
      </c>
      <c r="H317" s="215">
        <v>137200.89000000001</v>
      </c>
      <c r="I317" s="215">
        <v>137200.89000000001</v>
      </c>
      <c r="J317" s="215">
        <v>215629.02</v>
      </c>
      <c r="K317" s="215">
        <v>215629.02</v>
      </c>
      <c r="L317" s="215">
        <v>480618.39</v>
      </c>
      <c r="M317" s="215">
        <v>803679.07</v>
      </c>
      <c r="N317" s="215">
        <v>803679.07</v>
      </c>
      <c r="O317" s="215">
        <v>844634.1</v>
      </c>
      <c r="P317" s="215">
        <v>844634.1</v>
      </c>
      <c r="Q317" s="215">
        <v>903352.17999999993</v>
      </c>
    </row>
    <row r="318" spans="2:17" x14ac:dyDescent="0.25">
      <c r="B318" s="259">
        <f t="shared" si="4"/>
        <v>1809814.6012500001</v>
      </c>
      <c r="D318" s="2" t="s">
        <v>1051</v>
      </c>
      <c r="E318" s="215">
        <v>0</v>
      </c>
      <c r="F318" s="215">
        <v>0</v>
      </c>
      <c r="G318" s="215">
        <v>0</v>
      </c>
      <c r="H318" s="215">
        <v>0</v>
      </c>
      <c r="I318" s="215">
        <v>0</v>
      </c>
      <c r="J318" s="215">
        <v>0</v>
      </c>
      <c r="K318" s="215">
        <v>0</v>
      </c>
      <c r="L318" s="215">
        <v>3981023.18</v>
      </c>
      <c r="M318" s="215">
        <v>3947613.44</v>
      </c>
      <c r="N318" s="215">
        <v>3947613.44</v>
      </c>
      <c r="O318" s="215">
        <v>3947613.44</v>
      </c>
      <c r="P318" s="215">
        <v>3947613.44</v>
      </c>
      <c r="Q318" s="215">
        <v>3892596.55</v>
      </c>
    </row>
    <row r="319" spans="2:17" x14ac:dyDescent="0.25">
      <c r="B319" s="259">
        <f t="shared" si="4"/>
        <v>22237.367916666666</v>
      </c>
      <c r="D319" s="2" t="s">
        <v>344</v>
      </c>
      <c r="E319" s="215">
        <v>22178.059999999998</v>
      </c>
      <c r="F319" s="215">
        <v>22178.059999999998</v>
      </c>
      <c r="G319" s="215">
        <v>22178.059999999998</v>
      </c>
      <c r="H319" s="215">
        <v>22178.059999999998</v>
      </c>
      <c r="I319" s="215">
        <v>22178.059999999998</v>
      </c>
      <c r="J319" s="215">
        <v>22178.059999999998</v>
      </c>
      <c r="K319" s="215">
        <v>22178.059999999998</v>
      </c>
      <c r="L319" s="215">
        <v>22178.059999999998</v>
      </c>
      <c r="M319" s="215">
        <v>22178.059999999998</v>
      </c>
      <c r="N319" s="215">
        <v>22178.059999999998</v>
      </c>
      <c r="O319" s="215">
        <v>22178.059999999998</v>
      </c>
      <c r="P319" s="215">
        <v>22178.059999999998</v>
      </c>
      <c r="Q319" s="215">
        <v>23601.449999999997</v>
      </c>
    </row>
    <row r="320" spans="2:17" x14ac:dyDescent="0.25">
      <c r="B320" s="259">
        <f t="shared" si="4"/>
        <v>4214670.3</v>
      </c>
      <c r="D320" s="2" t="s">
        <v>346</v>
      </c>
      <c r="E320" s="215">
        <v>655845.82000000007</v>
      </c>
      <c r="F320" s="215">
        <v>1940175.3599999999</v>
      </c>
      <c r="G320" s="215">
        <v>4306615.37</v>
      </c>
      <c r="H320" s="215">
        <v>4312885.5199999996</v>
      </c>
      <c r="I320" s="215">
        <v>4343388.54</v>
      </c>
      <c r="J320" s="215">
        <v>4408784.7</v>
      </c>
      <c r="K320" s="215">
        <v>4642147.0999999996</v>
      </c>
      <c r="L320" s="215">
        <v>4667751.71</v>
      </c>
      <c r="M320" s="215">
        <v>4682631.55</v>
      </c>
      <c r="N320" s="215">
        <v>4688342.7300000004</v>
      </c>
      <c r="O320" s="215">
        <v>4718637.84</v>
      </c>
      <c r="P320" s="215">
        <v>4975571.29</v>
      </c>
      <c r="Q320" s="215">
        <v>5122377.96</v>
      </c>
    </row>
    <row r="321" spans="2:17" x14ac:dyDescent="0.25">
      <c r="B321" s="259">
        <f t="shared" si="4"/>
        <v>0</v>
      </c>
      <c r="D321" s="2" t="s">
        <v>1391</v>
      </c>
      <c r="E321" s="215">
        <v>0</v>
      </c>
      <c r="F321" s="215">
        <v>0</v>
      </c>
      <c r="G321" s="215">
        <v>0</v>
      </c>
      <c r="H321" s="215">
        <v>0</v>
      </c>
      <c r="I321" s="215">
        <v>0</v>
      </c>
      <c r="J321" s="215">
        <v>0</v>
      </c>
      <c r="K321" s="215">
        <v>0</v>
      </c>
      <c r="L321" s="215">
        <v>0</v>
      </c>
      <c r="M321" s="215">
        <v>0</v>
      </c>
      <c r="N321" s="215">
        <v>0</v>
      </c>
      <c r="O321" s="215">
        <v>0</v>
      </c>
      <c r="P321" s="215">
        <v>0</v>
      </c>
      <c r="Q321" s="215">
        <v>0</v>
      </c>
    </row>
    <row r="322" spans="2:17" x14ac:dyDescent="0.25">
      <c r="B322" s="259">
        <f t="shared" si="4"/>
        <v>0</v>
      </c>
      <c r="D322" s="2" t="s">
        <v>1392</v>
      </c>
      <c r="E322" s="215">
        <v>0</v>
      </c>
      <c r="F322" s="215">
        <v>0</v>
      </c>
      <c r="G322" s="215">
        <v>0</v>
      </c>
      <c r="H322" s="215">
        <v>0</v>
      </c>
      <c r="I322" s="215">
        <v>0</v>
      </c>
      <c r="J322" s="215">
        <v>0</v>
      </c>
      <c r="K322" s="215">
        <v>0</v>
      </c>
      <c r="L322" s="215">
        <v>0</v>
      </c>
      <c r="M322" s="215">
        <v>0</v>
      </c>
      <c r="N322" s="215">
        <v>0</v>
      </c>
      <c r="O322" s="215">
        <v>0</v>
      </c>
      <c r="P322" s="215">
        <v>0</v>
      </c>
      <c r="Q322" s="215">
        <v>0</v>
      </c>
    </row>
    <row r="323" spans="2:17" x14ac:dyDescent="0.25">
      <c r="B323" s="259">
        <f t="shared" si="4"/>
        <v>8998.5299999999988</v>
      </c>
      <c r="D323" s="2" t="s">
        <v>348</v>
      </c>
      <c r="E323" s="215">
        <v>8998.5299999999988</v>
      </c>
      <c r="F323" s="215">
        <v>8998.5299999999988</v>
      </c>
      <c r="G323" s="215">
        <v>8998.5299999999988</v>
      </c>
      <c r="H323" s="215">
        <v>8998.5299999999988</v>
      </c>
      <c r="I323" s="215">
        <v>8998.5299999999988</v>
      </c>
      <c r="J323" s="215">
        <v>8998.5299999999988</v>
      </c>
      <c r="K323" s="215">
        <v>8998.5299999999988</v>
      </c>
      <c r="L323" s="215">
        <v>8998.5299999999988</v>
      </c>
      <c r="M323" s="215">
        <v>8998.5299999999988</v>
      </c>
      <c r="N323" s="215">
        <v>8998.5299999999988</v>
      </c>
      <c r="O323" s="215">
        <v>8998.5299999999988</v>
      </c>
      <c r="P323" s="215">
        <v>8998.5299999999988</v>
      </c>
      <c r="Q323" s="215">
        <v>8998.5299999999988</v>
      </c>
    </row>
    <row r="324" spans="2:17" x14ac:dyDescent="0.25">
      <c r="B324" s="259">
        <f t="shared" si="4"/>
        <v>2572960.1654166663</v>
      </c>
      <c r="D324" s="2" t="s">
        <v>350</v>
      </c>
      <c r="E324" s="215">
        <v>2139214.87</v>
      </c>
      <c r="F324" s="215">
        <v>2503725.09</v>
      </c>
      <c r="G324" s="215">
        <v>2557717.8699999996</v>
      </c>
      <c r="H324" s="215">
        <v>2558985.86</v>
      </c>
      <c r="I324" s="215">
        <v>2558985.86</v>
      </c>
      <c r="J324" s="215">
        <v>2599901.0799999996</v>
      </c>
      <c r="K324" s="215">
        <v>2618655.4499999997</v>
      </c>
      <c r="L324" s="215">
        <v>2618697.56</v>
      </c>
      <c r="M324" s="215">
        <v>2618697.56</v>
      </c>
      <c r="N324" s="215">
        <v>2619873.34</v>
      </c>
      <c r="O324" s="215">
        <v>2620194.16</v>
      </c>
      <c r="P324" s="215">
        <v>2620320.48</v>
      </c>
      <c r="Q324" s="215">
        <v>2620320.48</v>
      </c>
    </row>
    <row r="325" spans="2:17" x14ac:dyDescent="0.25">
      <c r="B325" s="259">
        <f t="shared" si="4"/>
        <v>2146746.197916666</v>
      </c>
      <c r="D325" s="2" t="s">
        <v>1053</v>
      </c>
      <c r="E325" s="215">
        <v>0</v>
      </c>
      <c r="F325" s="215">
        <v>0</v>
      </c>
      <c r="G325" s="215">
        <v>0</v>
      </c>
      <c r="H325" s="215">
        <v>0</v>
      </c>
      <c r="I325" s="215">
        <v>0</v>
      </c>
      <c r="J325" s="215">
        <v>3431697.7699999996</v>
      </c>
      <c r="K325" s="215">
        <v>3431398.5299999993</v>
      </c>
      <c r="L325" s="215">
        <v>3431398.5299999993</v>
      </c>
      <c r="M325" s="215">
        <v>3436991.0099999993</v>
      </c>
      <c r="N325" s="215">
        <v>3436991.0099999993</v>
      </c>
      <c r="O325" s="215">
        <v>3436991.0099999993</v>
      </c>
      <c r="P325" s="215">
        <v>3436991.0099999993</v>
      </c>
      <c r="Q325" s="215">
        <v>3436991.0099999993</v>
      </c>
    </row>
    <row r="326" spans="2:17" x14ac:dyDescent="0.25">
      <c r="B326" s="259">
        <f t="shared" si="4"/>
        <v>0</v>
      </c>
      <c r="D326" s="2" t="s">
        <v>1393</v>
      </c>
      <c r="E326" s="215">
        <v>0</v>
      </c>
      <c r="F326" s="215">
        <v>0</v>
      </c>
      <c r="G326" s="215">
        <v>0</v>
      </c>
      <c r="H326" s="215">
        <v>0</v>
      </c>
      <c r="I326" s="215">
        <v>0</v>
      </c>
      <c r="J326" s="215">
        <v>0</v>
      </c>
      <c r="K326" s="215">
        <v>0</v>
      </c>
      <c r="L326" s="215">
        <v>0</v>
      </c>
      <c r="M326" s="215">
        <v>0</v>
      </c>
      <c r="N326" s="215">
        <v>0</v>
      </c>
      <c r="O326" s="215">
        <v>0</v>
      </c>
      <c r="P326" s="215">
        <v>0</v>
      </c>
      <c r="Q326" s="215">
        <v>0</v>
      </c>
    </row>
    <row r="327" spans="2:17" x14ac:dyDescent="0.25">
      <c r="B327" s="259">
        <f t="shared" ref="B327:B390" si="5">(E327+Q327+SUM(F327:P327)*2)/24</f>
        <v>0</v>
      </c>
      <c r="D327" s="2" t="s">
        <v>1394</v>
      </c>
      <c r="E327" s="215">
        <v>0</v>
      </c>
      <c r="F327" s="215">
        <v>0</v>
      </c>
      <c r="G327" s="215">
        <v>0</v>
      </c>
      <c r="H327" s="215">
        <v>0</v>
      </c>
      <c r="I327" s="215">
        <v>0</v>
      </c>
      <c r="J327" s="215">
        <v>0</v>
      </c>
      <c r="K327" s="215">
        <v>0</v>
      </c>
      <c r="L327" s="215">
        <v>0</v>
      </c>
      <c r="M327" s="215">
        <v>0</v>
      </c>
      <c r="N327" s="215">
        <v>0</v>
      </c>
      <c r="O327" s="215">
        <v>0</v>
      </c>
      <c r="P327" s="215">
        <v>0</v>
      </c>
      <c r="Q327" s="215">
        <v>0</v>
      </c>
    </row>
    <row r="328" spans="2:17" x14ac:dyDescent="0.25">
      <c r="B328" s="259">
        <f t="shared" si="5"/>
        <v>126005.21999999999</v>
      </c>
      <c r="D328" s="2" t="s">
        <v>1395</v>
      </c>
      <c r="E328" s="215">
        <v>126005.22</v>
      </c>
      <c r="F328" s="215">
        <v>126005.22</v>
      </c>
      <c r="G328" s="215">
        <v>126005.22</v>
      </c>
      <c r="H328" s="215">
        <v>126005.22</v>
      </c>
      <c r="I328" s="215">
        <v>126005.22</v>
      </c>
      <c r="J328" s="215">
        <v>126005.22</v>
      </c>
      <c r="K328" s="215">
        <v>126005.22</v>
      </c>
      <c r="L328" s="215">
        <v>126005.22</v>
      </c>
      <c r="M328" s="215">
        <v>126005.22</v>
      </c>
      <c r="N328" s="215">
        <v>126005.22</v>
      </c>
      <c r="O328" s="215">
        <v>126005.22</v>
      </c>
      <c r="P328" s="215">
        <v>126005.22</v>
      </c>
      <c r="Q328" s="215">
        <v>126005.22</v>
      </c>
    </row>
    <row r="329" spans="2:17" x14ac:dyDescent="0.25">
      <c r="B329" s="259">
        <f t="shared" si="5"/>
        <v>-29641.090000000007</v>
      </c>
      <c r="D329" s="2" t="s">
        <v>1396</v>
      </c>
      <c r="E329" s="215">
        <v>-29641.09</v>
      </c>
      <c r="F329" s="215">
        <v>-29641.09</v>
      </c>
      <c r="G329" s="215">
        <v>-29641.09</v>
      </c>
      <c r="H329" s="215">
        <v>-29641.09</v>
      </c>
      <c r="I329" s="215">
        <v>-29641.09</v>
      </c>
      <c r="J329" s="215">
        <v>-29641.09</v>
      </c>
      <c r="K329" s="215">
        <v>-29641.09</v>
      </c>
      <c r="L329" s="215">
        <v>-29641.09</v>
      </c>
      <c r="M329" s="215">
        <v>-29641.09</v>
      </c>
      <c r="N329" s="215">
        <v>-29641.09</v>
      </c>
      <c r="O329" s="215">
        <v>-29641.09</v>
      </c>
      <c r="P329" s="215">
        <v>-29641.09</v>
      </c>
      <c r="Q329" s="215">
        <v>-29641.09</v>
      </c>
    </row>
    <row r="330" spans="2:17" x14ac:dyDescent="0.25">
      <c r="B330" s="259">
        <f t="shared" si="5"/>
        <v>47666.241249999999</v>
      </c>
      <c r="D330" s="2" t="s">
        <v>354</v>
      </c>
      <c r="E330" s="215">
        <v>44521.57</v>
      </c>
      <c r="F330" s="215">
        <v>44521.57</v>
      </c>
      <c r="G330" s="215">
        <v>44521.57</v>
      </c>
      <c r="H330" s="215">
        <v>44521.57</v>
      </c>
      <c r="I330" s="215">
        <v>44521.57</v>
      </c>
      <c r="J330" s="215">
        <v>44521.57</v>
      </c>
      <c r="K330" s="215">
        <v>44521.57</v>
      </c>
      <c r="L330" s="215">
        <v>44521.57</v>
      </c>
      <c r="M330" s="215">
        <v>44521.57</v>
      </c>
      <c r="N330" s="215">
        <v>44521.57</v>
      </c>
      <c r="O330" s="215">
        <v>44521.57</v>
      </c>
      <c r="P330" s="215">
        <v>44521.57</v>
      </c>
      <c r="Q330" s="215">
        <v>119993.68</v>
      </c>
    </row>
    <row r="331" spans="2:17" x14ac:dyDescent="0.25">
      <c r="B331" s="259">
        <f t="shared" si="5"/>
        <v>1862032.3745833335</v>
      </c>
      <c r="D331" s="2" t="s">
        <v>356</v>
      </c>
      <c r="E331" s="215">
        <v>1669853.0900000003</v>
      </c>
      <c r="F331" s="215">
        <v>1679281.9000000001</v>
      </c>
      <c r="G331" s="215">
        <v>1679281.9000000001</v>
      </c>
      <c r="H331" s="215">
        <v>1680174.9700000002</v>
      </c>
      <c r="I331" s="215">
        <v>1681492.3900000001</v>
      </c>
      <c r="J331" s="215">
        <v>1681098.3200000003</v>
      </c>
      <c r="K331" s="215">
        <v>1681493.5700000003</v>
      </c>
      <c r="L331" s="215">
        <v>2003098.34</v>
      </c>
      <c r="M331" s="215">
        <v>2037737.0900000003</v>
      </c>
      <c r="N331" s="215">
        <v>2037082.11</v>
      </c>
      <c r="O331" s="215">
        <v>2037082.11</v>
      </c>
      <c r="P331" s="215">
        <v>2167083.5499999998</v>
      </c>
      <c r="Q331" s="215">
        <v>2289111.4000000004</v>
      </c>
    </row>
    <row r="332" spans="2:17" x14ac:dyDescent="0.25">
      <c r="B332" s="259">
        <f t="shared" si="5"/>
        <v>-3595.8600000000006</v>
      </c>
      <c r="D332" s="2" t="s">
        <v>1397</v>
      </c>
      <c r="E332" s="215">
        <v>-3595.8600000000006</v>
      </c>
      <c r="F332" s="215">
        <v>-3595.8600000000006</v>
      </c>
      <c r="G332" s="215">
        <v>-3595.8600000000006</v>
      </c>
      <c r="H332" s="215">
        <v>-3595.8600000000006</v>
      </c>
      <c r="I332" s="215">
        <v>-3595.8600000000006</v>
      </c>
      <c r="J332" s="215">
        <v>-3595.8600000000006</v>
      </c>
      <c r="K332" s="215">
        <v>-3595.8600000000006</v>
      </c>
      <c r="L332" s="215">
        <v>-3595.8600000000006</v>
      </c>
      <c r="M332" s="215">
        <v>-3595.8600000000006</v>
      </c>
      <c r="N332" s="215">
        <v>-3595.8600000000006</v>
      </c>
      <c r="O332" s="215">
        <v>-3595.8600000000006</v>
      </c>
      <c r="P332" s="215">
        <v>-3595.8600000000006</v>
      </c>
      <c r="Q332" s="215">
        <v>-3595.8600000000006</v>
      </c>
    </row>
    <row r="333" spans="2:17" x14ac:dyDescent="0.25">
      <c r="B333" s="259">
        <f t="shared" si="5"/>
        <v>0</v>
      </c>
      <c r="D333" s="2" t="s">
        <v>1398</v>
      </c>
      <c r="E333" s="215">
        <v>0</v>
      </c>
      <c r="F333" s="215">
        <v>0</v>
      </c>
      <c r="G333" s="215">
        <v>0</v>
      </c>
      <c r="H333" s="215">
        <v>0</v>
      </c>
      <c r="I333" s="215">
        <v>0</v>
      </c>
      <c r="J333" s="215">
        <v>0</v>
      </c>
      <c r="K333" s="215">
        <v>0</v>
      </c>
      <c r="L333" s="215">
        <v>0</v>
      </c>
      <c r="M333" s="215">
        <v>0</v>
      </c>
      <c r="N333" s="215">
        <v>0</v>
      </c>
      <c r="O333" s="215">
        <v>0</v>
      </c>
      <c r="P333" s="215">
        <v>0</v>
      </c>
      <c r="Q333" s="215">
        <v>0</v>
      </c>
    </row>
    <row r="334" spans="2:17" x14ac:dyDescent="0.25">
      <c r="B334" s="259">
        <f t="shared" si="5"/>
        <v>2404839.2145833331</v>
      </c>
      <c r="D334" s="2" t="s">
        <v>358</v>
      </c>
      <c r="E334" s="215">
        <v>1701868.5699999998</v>
      </c>
      <c r="F334" s="215">
        <v>1731467.72</v>
      </c>
      <c r="G334" s="215">
        <v>1763817.09</v>
      </c>
      <c r="H334" s="215">
        <v>1791936.42</v>
      </c>
      <c r="I334" s="215">
        <v>1817434.97</v>
      </c>
      <c r="J334" s="215">
        <v>1834150.78</v>
      </c>
      <c r="K334" s="215">
        <v>1868282.7599999998</v>
      </c>
      <c r="L334" s="215">
        <v>2786450.2499999995</v>
      </c>
      <c r="M334" s="215">
        <v>2801439.8</v>
      </c>
      <c r="N334" s="215">
        <v>3038639.7399999998</v>
      </c>
      <c r="O334" s="215">
        <v>3282501.9999999995</v>
      </c>
      <c r="P334" s="215">
        <v>3342850.8899999997</v>
      </c>
      <c r="Q334" s="215">
        <v>3896327.7399999998</v>
      </c>
    </row>
    <row r="335" spans="2:17" x14ac:dyDescent="0.25">
      <c r="B335" s="259">
        <f t="shared" si="5"/>
        <v>6937.3758333333317</v>
      </c>
      <c r="D335" s="2" t="s">
        <v>360</v>
      </c>
      <c r="E335" s="215">
        <v>5780.45</v>
      </c>
      <c r="F335" s="215">
        <v>5780.45</v>
      </c>
      <c r="G335" s="215">
        <v>5780.45</v>
      </c>
      <c r="H335" s="215">
        <v>5780.45</v>
      </c>
      <c r="I335" s="215">
        <v>5780.45</v>
      </c>
      <c r="J335" s="215">
        <v>5780.45</v>
      </c>
      <c r="K335" s="215">
        <v>5780.45</v>
      </c>
      <c r="L335" s="215">
        <v>5780.45</v>
      </c>
      <c r="M335" s="215">
        <v>5780.45</v>
      </c>
      <c r="N335" s="215">
        <v>5780.45</v>
      </c>
      <c r="O335" s="215">
        <v>5780.45</v>
      </c>
      <c r="P335" s="215">
        <v>5780.45</v>
      </c>
      <c r="Q335" s="215">
        <v>33546.67</v>
      </c>
    </row>
    <row r="336" spans="2:17" x14ac:dyDescent="0.25">
      <c r="B336" s="259">
        <f t="shared" si="5"/>
        <v>17926.794583333332</v>
      </c>
      <c r="D336" s="2" t="s">
        <v>362</v>
      </c>
      <c r="E336" s="215">
        <v>17826.53</v>
      </c>
      <c r="F336" s="215">
        <v>17826.53</v>
      </c>
      <c r="G336" s="215">
        <v>17826.53</v>
      </c>
      <c r="H336" s="215">
        <v>17826.53</v>
      </c>
      <c r="I336" s="215">
        <v>17826.53</v>
      </c>
      <c r="J336" s="215">
        <v>17826.53</v>
      </c>
      <c r="K336" s="215">
        <v>17826.53</v>
      </c>
      <c r="L336" s="215">
        <v>17826.53</v>
      </c>
      <c r="M336" s="215">
        <v>17826.53</v>
      </c>
      <c r="N336" s="215">
        <v>17826.53</v>
      </c>
      <c r="O336" s="215">
        <v>17826.53</v>
      </c>
      <c r="P336" s="215">
        <v>17826.53</v>
      </c>
      <c r="Q336" s="215">
        <v>20232.879999999997</v>
      </c>
    </row>
    <row r="337" spans="2:17" x14ac:dyDescent="0.25">
      <c r="B337" s="259">
        <f t="shared" si="5"/>
        <v>2334918.4658333333</v>
      </c>
      <c r="D337" s="2" t="s">
        <v>364</v>
      </c>
      <c r="E337" s="215">
        <v>1972210.1</v>
      </c>
      <c r="F337" s="215">
        <v>1987829</v>
      </c>
      <c r="G337" s="215">
        <v>2238347.2199999997</v>
      </c>
      <c r="H337" s="215">
        <v>2267810.6799999997</v>
      </c>
      <c r="I337" s="215">
        <v>2287390.02</v>
      </c>
      <c r="J337" s="215">
        <v>2313528.4900000002</v>
      </c>
      <c r="K337" s="215">
        <v>2338250.16</v>
      </c>
      <c r="L337" s="215">
        <v>2338250.16</v>
      </c>
      <c r="M337" s="215">
        <v>2385995.7599999998</v>
      </c>
      <c r="N337" s="215">
        <v>2386024.36</v>
      </c>
      <c r="O337" s="215">
        <v>2386024.36</v>
      </c>
      <c r="P337" s="215">
        <v>2386008.54</v>
      </c>
      <c r="Q337" s="215">
        <v>3434915.5799999996</v>
      </c>
    </row>
    <row r="338" spans="2:17" x14ac:dyDescent="0.25">
      <c r="B338" s="259">
        <f t="shared" si="5"/>
        <v>334163.31166666665</v>
      </c>
      <c r="D338" s="2" t="s">
        <v>366</v>
      </c>
      <c r="E338" s="215">
        <v>297080.39</v>
      </c>
      <c r="F338" s="215">
        <v>297080.39</v>
      </c>
      <c r="G338" s="215">
        <v>297080.39</v>
      </c>
      <c r="H338" s="215">
        <v>297080.39</v>
      </c>
      <c r="I338" s="215">
        <v>301466.65000000002</v>
      </c>
      <c r="J338" s="215">
        <v>301466.65000000002</v>
      </c>
      <c r="K338" s="215">
        <v>348853.62</v>
      </c>
      <c r="L338" s="215">
        <v>361608.01</v>
      </c>
      <c r="M338" s="215">
        <v>361608.01</v>
      </c>
      <c r="N338" s="215">
        <v>361608.01</v>
      </c>
      <c r="O338" s="215">
        <v>373426.97</v>
      </c>
      <c r="P338" s="215">
        <v>373426.97</v>
      </c>
      <c r="Q338" s="215">
        <v>373426.97</v>
      </c>
    </row>
    <row r="339" spans="2:17" x14ac:dyDescent="0.25">
      <c r="B339" s="259">
        <f t="shared" si="5"/>
        <v>3054790.899999999</v>
      </c>
      <c r="D339" s="2" t="s">
        <v>1399</v>
      </c>
      <c r="E339" s="215">
        <v>3054790.9</v>
      </c>
      <c r="F339" s="215">
        <v>3054790.9</v>
      </c>
      <c r="G339" s="215">
        <v>3054790.9</v>
      </c>
      <c r="H339" s="215">
        <v>3054790.9</v>
      </c>
      <c r="I339" s="215">
        <v>3054790.9</v>
      </c>
      <c r="J339" s="215">
        <v>3054790.9</v>
      </c>
      <c r="K339" s="215">
        <v>3054790.9</v>
      </c>
      <c r="L339" s="215">
        <v>3054790.9</v>
      </c>
      <c r="M339" s="215">
        <v>3054790.9</v>
      </c>
      <c r="N339" s="215">
        <v>3054790.9</v>
      </c>
      <c r="O339" s="215">
        <v>3054790.9</v>
      </c>
      <c r="P339" s="215">
        <v>3054790.9</v>
      </c>
      <c r="Q339" s="215">
        <v>3054790.9</v>
      </c>
    </row>
    <row r="340" spans="2:17" x14ac:dyDescent="0.25">
      <c r="B340" s="259">
        <f t="shared" si="5"/>
        <v>0</v>
      </c>
      <c r="D340" s="2" t="s">
        <v>1400</v>
      </c>
      <c r="E340" s="215">
        <v>0</v>
      </c>
      <c r="F340" s="215">
        <v>0</v>
      </c>
      <c r="G340" s="215">
        <v>0</v>
      </c>
      <c r="H340" s="215">
        <v>0</v>
      </c>
      <c r="I340" s="215">
        <v>0</v>
      </c>
      <c r="J340" s="215">
        <v>0</v>
      </c>
      <c r="K340" s="215">
        <v>0</v>
      </c>
      <c r="L340" s="215">
        <v>0</v>
      </c>
      <c r="M340" s="215">
        <v>0</v>
      </c>
      <c r="N340" s="215">
        <v>0</v>
      </c>
      <c r="O340" s="215">
        <v>0</v>
      </c>
      <c r="P340" s="215">
        <v>0</v>
      </c>
      <c r="Q340" s="215">
        <v>0</v>
      </c>
    </row>
    <row r="341" spans="2:17" x14ac:dyDescent="0.25">
      <c r="B341" s="259">
        <f t="shared" si="5"/>
        <v>0</v>
      </c>
      <c r="D341" s="2" t="s">
        <v>1401</v>
      </c>
      <c r="E341" s="215">
        <v>0</v>
      </c>
      <c r="F341" s="215">
        <v>0</v>
      </c>
      <c r="G341" s="215">
        <v>0</v>
      </c>
      <c r="H341" s="215">
        <v>0</v>
      </c>
      <c r="I341" s="215">
        <v>0</v>
      </c>
      <c r="J341" s="215">
        <v>0</v>
      </c>
      <c r="K341" s="215">
        <v>0</v>
      </c>
      <c r="L341" s="215">
        <v>0</v>
      </c>
      <c r="M341" s="215">
        <v>0</v>
      </c>
      <c r="N341" s="215">
        <v>0</v>
      </c>
      <c r="O341" s="215">
        <v>0</v>
      </c>
      <c r="P341" s="215">
        <v>0</v>
      </c>
      <c r="Q341" s="215">
        <v>0</v>
      </c>
    </row>
    <row r="342" spans="2:17" x14ac:dyDescent="0.25">
      <c r="B342" s="259">
        <f t="shared" si="5"/>
        <v>0</v>
      </c>
      <c r="D342" s="2" t="s">
        <v>1402</v>
      </c>
      <c r="E342" s="215">
        <v>0</v>
      </c>
      <c r="F342" s="215">
        <v>0</v>
      </c>
      <c r="G342" s="215">
        <v>0</v>
      </c>
      <c r="H342" s="215">
        <v>0</v>
      </c>
      <c r="I342" s="215">
        <v>0</v>
      </c>
      <c r="J342" s="215">
        <v>0</v>
      </c>
      <c r="K342" s="215">
        <v>0</v>
      </c>
      <c r="L342" s="215">
        <v>0</v>
      </c>
      <c r="M342" s="215">
        <v>0</v>
      </c>
      <c r="N342" s="215">
        <v>0</v>
      </c>
      <c r="O342" s="215">
        <v>0</v>
      </c>
      <c r="P342" s="215">
        <v>0</v>
      </c>
      <c r="Q342" s="215">
        <v>0</v>
      </c>
    </row>
    <row r="343" spans="2:17" x14ac:dyDescent="0.25">
      <c r="B343" s="259">
        <f t="shared" si="5"/>
        <v>5926039.5804166673</v>
      </c>
      <c r="D343" s="2" t="s">
        <v>368</v>
      </c>
      <c r="E343" s="215">
        <v>2366622.3299999996</v>
      </c>
      <c r="F343" s="215">
        <v>2548559.8099999991</v>
      </c>
      <c r="G343" s="215">
        <v>2900868.4899999993</v>
      </c>
      <c r="H343" s="215">
        <v>3174979.0299999993</v>
      </c>
      <c r="I343" s="215">
        <v>3299582.1099999994</v>
      </c>
      <c r="J343" s="215">
        <v>3739620.0699999994</v>
      </c>
      <c r="K343" s="215">
        <v>3779639.5399999991</v>
      </c>
      <c r="L343" s="215">
        <v>5778241.6099999994</v>
      </c>
      <c r="M343" s="215">
        <v>7462914.4299999988</v>
      </c>
      <c r="N343" s="215">
        <v>9019780.9899999984</v>
      </c>
      <c r="O343" s="215">
        <v>10558865.25</v>
      </c>
      <c r="P343" s="215">
        <v>11569217.390000001</v>
      </c>
      <c r="Q343" s="215">
        <v>12193790.16</v>
      </c>
    </row>
    <row r="344" spans="2:17" x14ac:dyDescent="0.25">
      <c r="B344" s="259">
        <f t="shared" si="5"/>
        <v>9314.6883333333317</v>
      </c>
      <c r="D344" s="2" t="s">
        <v>370</v>
      </c>
      <c r="E344" s="215">
        <v>8794.6999999999989</v>
      </c>
      <c r="F344" s="215">
        <v>8794.6999999999989</v>
      </c>
      <c r="G344" s="215">
        <v>8794.6999999999989</v>
      </c>
      <c r="H344" s="215">
        <v>8794.6999999999989</v>
      </c>
      <c r="I344" s="215">
        <v>8794.6999999999989</v>
      </c>
      <c r="J344" s="215">
        <v>8794.6999999999989</v>
      </c>
      <c r="K344" s="215">
        <v>8794.6999999999989</v>
      </c>
      <c r="L344" s="215">
        <v>8794.6999999999989</v>
      </c>
      <c r="M344" s="215">
        <v>8794.6999999999989</v>
      </c>
      <c r="N344" s="215">
        <v>8794.6999999999989</v>
      </c>
      <c r="O344" s="215">
        <v>8794.6999999999989</v>
      </c>
      <c r="P344" s="215">
        <v>8794.6999999999989</v>
      </c>
      <c r="Q344" s="215">
        <v>21274.42</v>
      </c>
    </row>
    <row r="345" spans="2:17" x14ac:dyDescent="0.25">
      <c r="B345" s="259">
        <f t="shared" si="5"/>
        <v>28702.457083333331</v>
      </c>
      <c r="D345" s="2" t="s">
        <v>935</v>
      </c>
      <c r="E345" s="215">
        <v>0</v>
      </c>
      <c r="F345" s="215">
        <v>0</v>
      </c>
      <c r="G345" s="215">
        <v>0</v>
      </c>
      <c r="H345" s="215">
        <v>0</v>
      </c>
      <c r="I345" s="215">
        <v>0</v>
      </c>
      <c r="J345" s="215">
        <v>43140.55</v>
      </c>
      <c r="K345" s="215">
        <v>43140.55</v>
      </c>
      <c r="L345" s="215">
        <v>43140.55</v>
      </c>
      <c r="M345" s="215">
        <v>43140.55</v>
      </c>
      <c r="N345" s="215">
        <v>43140.55</v>
      </c>
      <c r="O345" s="215">
        <v>43140.55</v>
      </c>
      <c r="P345" s="215">
        <v>43140.55</v>
      </c>
      <c r="Q345" s="215">
        <v>84891.27</v>
      </c>
    </row>
    <row r="346" spans="2:17" x14ac:dyDescent="0.25">
      <c r="B346" s="259">
        <f t="shared" si="5"/>
        <v>57901.184166666666</v>
      </c>
      <c r="D346" s="2" t="s">
        <v>372</v>
      </c>
      <c r="E346" s="215">
        <v>0</v>
      </c>
      <c r="F346" s="215">
        <v>0</v>
      </c>
      <c r="G346" s="215">
        <v>82292.929999999993</v>
      </c>
      <c r="H346" s="215">
        <v>82292.929999999993</v>
      </c>
      <c r="I346" s="215">
        <v>82292.929999999993</v>
      </c>
      <c r="J346" s="215">
        <v>56239.749999999993</v>
      </c>
      <c r="K346" s="215">
        <v>56239.749999999993</v>
      </c>
      <c r="L346" s="215">
        <v>56239.749999999993</v>
      </c>
      <c r="M346" s="215">
        <v>56239.749999999993</v>
      </c>
      <c r="N346" s="215">
        <v>56239.749999999993</v>
      </c>
      <c r="O346" s="215">
        <v>56239.749999999993</v>
      </c>
      <c r="P346" s="215">
        <v>56239.749999999993</v>
      </c>
      <c r="Q346" s="215">
        <v>108514.34</v>
      </c>
    </row>
    <row r="347" spans="2:17" x14ac:dyDescent="0.25">
      <c r="B347" s="259">
        <f t="shared" si="5"/>
        <v>2308874.5891666668</v>
      </c>
      <c r="D347" s="2" t="s">
        <v>374</v>
      </c>
      <c r="E347" s="215">
        <v>1658913.7800000003</v>
      </c>
      <c r="F347" s="215">
        <v>1988183.6500000001</v>
      </c>
      <c r="G347" s="215">
        <v>1988183.6500000001</v>
      </c>
      <c r="H347" s="215">
        <v>2006108.48</v>
      </c>
      <c r="I347" s="215">
        <v>2008881.35</v>
      </c>
      <c r="J347" s="215">
        <v>2052830.8</v>
      </c>
      <c r="K347" s="215">
        <v>2145593.41</v>
      </c>
      <c r="L347" s="215">
        <v>2145593.41</v>
      </c>
      <c r="M347" s="215">
        <v>2354766.4600000004</v>
      </c>
      <c r="N347" s="215">
        <v>2547152.11</v>
      </c>
      <c r="O347" s="215">
        <v>2726960.64</v>
      </c>
      <c r="P347" s="215">
        <v>2781677.82</v>
      </c>
      <c r="Q347" s="215">
        <v>4262212.8</v>
      </c>
    </row>
    <row r="348" spans="2:17" x14ac:dyDescent="0.25">
      <c r="B348" s="259">
        <f t="shared" si="5"/>
        <v>14435849.020000001</v>
      </c>
      <c r="D348" s="2" t="s">
        <v>1105</v>
      </c>
      <c r="E348" s="215">
        <v>14435849.020000001</v>
      </c>
      <c r="F348" s="215">
        <v>14435849.020000001</v>
      </c>
      <c r="G348" s="215">
        <v>14435849.020000001</v>
      </c>
      <c r="H348" s="215">
        <v>14435849.020000001</v>
      </c>
      <c r="I348" s="215">
        <v>14435849.020000001</v>
      </c>
      <c r="J348" s="215">
        <v>14435849.020000001</v>
      </c>
      <c r="K348" s="215">
        <v>14435849.020000001</v>
      </c>
      <c r="L348" s="215">
        <v>14435849.020000001</v>
      </c>
      <c r="M348" s="215">
        <v>14435849.020000001</v>
      </c>
      <c r="N348" s="215">
        <v>14435849.020000001</v>
      </c>
      <c r="O348" s="215">
        <v>14435849.020000001</v>
      </c>
      <c r="P348" s="215">
        <v>14435849.020000001</v>
      </c>
      <c r="Q348" s="215">
        <v>14435849.020000001</v>
      </c>
    </row>
    <row r="349" spans="2:17" x14ac:dyDescent="0.25">
      <c r="B349" s="259">
        <f t="shared" si="5"/>
        <v>11252071.782083333</v>
      </c>
      <c r="D349" s="2" t="s">
        <v>1055</v>
      </c>
      <c r="E349" s="215">
        <v>0</v>
      </c>
      <c r="F349" s="215">
        <v>0</v>
      </c>
      <c r="G349" s="215">
        <v>0</v>
      </c>
      <c r="H349" s="215">
        <v>0</v>
      </c>
      <c r="I349" s="215">
        <v>0</v>
      </c>
      <c r="J349" s="215">
        <v>0</v>
      </c>
      <c r="K349" s="215">
        <v>0</v>
      </c>
      <c r="L349" s="215">
        <v>24640635.289999999</v>
      </c>
      <c r="M349" s="215">
        <v>24643737.27</v>
      </c>
      <c r="N349" s="215">
        <v>24497987.5</v>
      </c>
      <c r="O349" s="215">
        <v>24497000.530000001</v>
      </c>
      <c r="P349" s="215">
        <v>24497000.530000001</v>
      </c>
      <c r="Q349" s="215">
        <v>24497000.530000001</v>
      </c>
    </row>
    <row r="350" spans="2:17" x14ac:dyDescent="0.25">
      <c r="B350" s="259">
        <f t="shared" si="5"/>
        <v>301710.25333333336</v>
      </c>
      <c r="D350" s="2" t="s">
        <v>377</v>
      </c>
      <c r="E350" s="215">
        <v>86166.02</v>
      </c>
      <c r="F350" s="215">
        <v>86166.02</v>
      </c>
      <c r="G350" s="215">
        <v>86166.02</v>
      </c>
      <c r="H350" s="215">
        <v>358432.42000000004</v>
      </c>
      <c r="I350" s="215">
        <v>358432.42000000004</v>
      </c>
      <c r="J350" s="215">
        <v>358432.42000000004</v>
      </c>
      <c r="K350" s="215">
        <v>358432.42000000004</v>
      </c>
      <c r="L350" s="215">
        <v>358432.42000000004</v>
      </c>
      <c r="M350" s="215">
        <v>358432.42000000004</v>
      </c>
      <c r="N350" s="215">
        <v>358432.42000000004</v>
      </c>
      <c r="O350" s="215">
        <v>358432.42000000004</v>
      </c>
      <c r="P350" s="215">
        <v>358432.42000000004</v>
      </c>
      <c r="Q350" s="215">
        <v>358432.42000000004</v>
      </c>
    </row>
    <row r="351" spans="2:17" x14ac:dyDescent="0.25">
      <c r="B351" s="259">
        <f t="shared" si="5"/>
        <v>3849.15625</v>
      </c>
      <c r="D351" s="2" t="s">
        <v>379</v>
      </c>
      <c r="E351" s="215">
        <v>1338.08</v>
      </c>
      <c r="F351" s="215">
        <v>1338.08</v>
      </c>
      <c r="G351" s="215">
        <v>3997.1099999999997</v>
      </c>
      <c r="H351" s="215">
        <v>3997.1099999999997</v>
      </c>
      <c r="I351" s="215">
        <v>3997.1099999999997</v>
      </c>
      <c r="J351" s="215">
        <v>3997.1099999999997</v>
      </c>
      <c r="K351" s="215">
        <v>3997.1099999999997</v>
      </c>
      <c r="L351" s="215">
        <v>3997.1099999999997</v>
      </c>
      <c r="M351" s="215">
        <v>3997.1099999999997</v>
      </c>
      <c r="N351" s="215">
        <v>3997.1099999999997</v>
      </c>
      <c r="O351" s="215">
        <v>3997.1099999999997</v>
      </c>
      <c r="P351" s="215">
        <v>3997.1099999999997</v>
      </c>
      <c r="Q351" s="215">
        <v>8423.31</v>
      </c>
    </row>
    <row r="352" spans="2:17" x14ac:dyDescent="0.25">
      <c r="B352" s="259">
        <f t="shared" si="5"/>
        <v>0</v>
      </c>
      <c r="D352" s="2" t="s">
        <v>1403</v>
      </c>
      <c r="E352" s="215">
        <v>0</v>
      </c>
      <c r="F352" s="215">
        <v>0</v>
      </c>
      <c r="G352" s="215">
        <v>0</v>
      </c>
      <c r="H352" s="215">
        <v>0</v>
      </c>
      <c r="I352" s="215">
        <v>0</v>
      </c>
      <c r="J352" s="215">
        <v>0</v>
      </c>
      <c r="K352" s="215">
        <v>0</v>
      </c>
      <c r="L352" s="215">
        <v>0</v>
      </c>
      <c r="M352" s="215">
        <v>0</v>
      </c>
      <c r="N352" s="215">
        <v>0</v>
      </c>
      <c r="O352" s="215">
        <v>0</v>
      </c>
      <c r="P352" s="215">
        <v>0</v>
      </c>
      <c r="Q352" s="215">
        <v>0</v>
      </c>
    </row>
    <row r="353" spans="2:17" x14ac:dyDescent="0.25">
      <c r="B353" s="259">
        <f t="shared" si="5"/>
        <v>1796843.84</v>
      </c>
      <c r="D353" s="2" t="s">
        <v>1404</v>
      </c>
      <c r="E353" s="215">
        <v>1796843.84</v>
      </c>
      <c r="F353" s="215">
        <v>1796843.84</v>
      </c>
      <c r="G353" s="215">
        <v>1796843.84</v>
      </c>
      <c r="H353" s="215">
        <v>1796843.84</v>
      </c>
      <c r="I353" s="215">
        <v>1796843.84</v>
      </c>
      <c r="J353" s="215">
        <v>1796843.84</v>
      </c>
      <c r="K353" s="215">
        <v>1796843.84</v>
      </c>
      <c r="L353" s="215">
        <v>1796843.84</v>
      </c>
      <c r="M353" s="215">
        <v>1796843.84</v>
      </c>
      <c r="N353" s="215">
        <v>1796843.84</v>
      </c>
      <c r="O353" s="215">
        <v>1796843.84</v>
      </c>
      <c r="P353" s="215">
        <v>1796843.84</v>
      </c>
      <c r="Q353" s="215">
        <v>1796843.84</v>
      </c>
    </row>
    <row r="354" spans="2:17" x14ac:dyDescent="0.25">
      <c r="B354" s="259">
        <f t="shared" si="5"/>
        <v>4469.6199999999981</v>
      </c>
      <c r="D354" s="2" t="s">
        <v>381</v>
      </c>
      <c r="E354" s="215">
        <v>4469.619999999999</v>
      </c>
      <c r="F354" s="215">
        <v>4469.619999999999</v>
      </c>
      <c r="G354" s="215">
        <v>4469.619999999999</v>
      </c>
      <c r="H354" s="215">
        <v>4469.619999999999</v>
      </c>
      <c r="I354" s="215">
        <v>4469.619999999999</v>
      </c>
      <c r="J354" s="215">
        <v>4469.619999999999</v>
      </c>
      <c r="K354" s="215">
        <v>4469.619999999999</v>
      </c>
      <c r="L354" s="215">
        <v>4469.619999999999</v>
      </c>
      <c r="M354" s="215">
        <v>4469.619999999999</v>
      </c>
      <c r="N354" s="215">
        <v>4469.619999999999</v>
      </c>
      <c r="O354" s="215">
        <v>4469.619999999999</v>
      </c>
      <c r="P354" s="215">
        <v>4469.619999999999</v>
      </c>
      <c r="Q354" s="215">
        <v>4469.619999999999</v>
      </c>
    </row>
    <row r="355" spans="2:17" x14ac:dyDescent="0.25">
      <c r="B355" s="259">
        <f t="shared" si="5"/>
        <v>4677457.0116666658</v>
      </c>
      <c r="D355" s="2" t="s">
        <v>383</v>
      </c>
      <c r="E355" s="215">
        <v>3891601.1999999997</v>
      </c>
      <c r="F355" s="215">
        <v>3891458.2699999996</v>
      </c>
      <c r="G355" s="215">
        <v>3987441.9299999997</v>
      </c>
      <c r="H355" s="215">
        <v>3987441.9299999997</v>
      </c>
      <c r="I355" s="215">
        <v>4023877.9599999995</v>
      </c>
      <c r="J355" s="215">
        <v>4031677.7699999996</v>
      </c>
      <c r="K355" s="215">
        <v>4057854.9699999997</v>
      </c>
      <c r="L355" s="215">
        <v>5807274.2199999997</v>
      </c>
      <c r="M355" s="215">
        <v>5421479.2199999997</v>
      </c>
      <c r="N355" s="215">
        <v>5421479.2199999997</v>
      </c>
      <c r="O355" s="215">
        <v>5421479.2199999997</v>
      </c>
      <c r="P355" s="215">
        <v>5421479.2199999997</v>
      </c>
      <c r="Q355" s="215">
        <v>5421479.2199999997</v>
      </c>
    </row>
    <row r="356" spans="2:17" x14ac:dyDescent="0.25">
      <c r="B356" s="259">
        <f t="shared" si="5"/>
        <v>0</v>
      </c>
      <c r="D356" s="2" t="s">
        <v>1405</v>
      </c>
      <c r="E356" s="215">
        <v>0</v>
      </c>
      <c r="F356" s="215">
        <v>0</v>
      </c>
      <c r="G356" s="215">
        <v>0</v>
      </c>
      <c r="H356" s="215">
        <v>0</v>
      </c>
      <c r="I356" s="215">
        <v>0</v>
      </c>
      <c r="J356" s="215">
        <v>0</v>
      </c>
      <c r="K356" s="215">
        <v>0</v>
      </c>
      <c r="L356" s="215">
        <v>0</v>
      </c>
      <c r="M356" s="215">
        <v>0</v>
      </c>
      <c r="N356" s="215">
        <v>0</v>
      </c>
      <c r="O356" s="215">
        <v>0</v>
      </c>
      <c r="P356" s="215">
        <v>0</v>
      </c>
      <c r="Q356" s="215">
        <v>0</v>
      </c>
    </row>
    <row r="357" spans="2:17" x14ac:dyDescent="0.25">
      <c r="B357" s="259">
        <f t="shared" si="5"/>
        <v>37532.825416666674</v>
      </c>
      <c r="D357" s="2" t="s">
        <v>385</v>
      </c>
      <c r="E357" s="215">
        <v>37404.859999999993</v>
      </c>
      <c r="F357" s="215">
        <v>37522.639999999999</v>
      </c>
      <c r="G357" s="215">
        <v>37522.639999999999</v>
      </c>
      <c r="H357" s="215">
        <v>37522.639999999999</v>
      </c>
      <c r="I357" s="215">
        <v>37522.639999999999</v>
      </c>
      <c r="J357" s="215">
        <v>37522.639999999999</v>
      </c>
      <c r="K357" s="215">
        <v>37522.639999999999</v>
      </c>
      <c r="L357" s="215">
        <v>37522.639999999999</v>
      </c>
      <c r="M357" s="215">
        <v>37522.639999999999</v>
      </c>
      <c r="N357" s="215">
        <v>37522.639999999999</v>
      </c>
      <c r="O357" s="215">
        <v>37522.639999999999</v>
      </c>
      <c r="P357" s="215">
        <v>37522.639999999999</v>
      </c>
      <c r="Q357" s="215">
        <v>37884.869999999995</v>
      </c>
    </row>
    <row r="358" spans="2:17" x14ac:dyDescent="0.25">
      <c r="B358" s="259">
        <f t="shared" si="5"/>
        <v>13631.938749999999</v>
      </c>
      <c r="D358" s="2" t="s">
        <v>387</v>
      </c>
      <c r="E358" s="215">
        <v>13591.179999999998</v>
      </c>
      <c r="F358" s="215">
        <v>11268.069999999998</v>
      </c>
      <c r="G358" s="215">
        <v>13859.009999999998</v>
      </c>
      <c r="H358" s="215">
        <v>13859.009999999998</v>
      </c>
      <c r="I358" s="215">
        <v>13859.009999999998</v>
      </c>
      <c r="J358" s="215">
        <v>13859.009999999998</v>
      </c>
      <c r="K358" s="215">
        <v>13859.009999999998</v>
      </c>
      <c r="L358" s="215">
        <v>13859.009999999998</v>
      </c>
      <c r="M358" s="215">
        <v>13859.009999999998</v>
      </c>
      <c r="N358" s="215">
        <v>13859.009999999998</v>
      </c>
      <c r="O358" s="215">
        <v>13859.009999999998</v>
      </c>
      <c r="P358" s="215">
        <v>13859.009999999998</v>
      </c>
      <c r="Q358" s="215">
        <v>13859.009999999998</v>
      </c>
    </row>
    <row r="359" spans="2:17" x14ac:dyDescent="0.25">
      <c r="B359" s="259">
        <f t="shared" si="5"/>
        <v>0</v>
      </c>
      <c r="D359" s="2" t="s">
        <v>1406</v>
      </c>
      <c r="E359" s="215">
        <v>0</v>
      </c>
      <c r="F359" s="215">
        <v>0</v>
      </c>
      <c r="G359" s="215">
        <v>0</v>
      </c>
      <c r="H359" s="215">
        <v>0</v>
      </c>
      <c r="I359" s="215">
        <v>0</v>
      </c>
      <c r="J359" s="215">
        <v>0</v>
      </c>
      <c r="K359" s="215">
        <v>0</v>
      </c>
      <c r="L359" s="215">
        <v>0</v>
      </c>
      <c r="M359" s="215">
        <v>0</v>
      </c>
      <c r="N359" s="215">
        <v>0</v>
      </c>
      <c r="O359" s="215">
        <v>0</v>
      </c>
      <c r="P359" s="215">
        <v>0</v>
      </c>
      <c r="Q359" s="215">
        <v>0</v>
      </c>
    </row>
    <row r="360" spans="2:17" x14ac:dyDescent="0.25">
      <c r="B360" s="259">
        <f t="shared" si="5"/>
        <v>684.16</v>
      </c>
      <c r="D360" s="2" t="s">
        <v>1407</v>
      </c>
      <c r="E360" s="215">
        <v>684.16000000000008</v>
      </c>
      <c r="F360" s="215">
        <v>684.16000000000008</v>
      </c>
      <c r="G360" s="215">
        <v>684.16000000000008</v>
      </c>
      <c r="H360" s="215">
        <v>684.16000000000008</v>
      </c>
      <c r="I360" s="215">
        <v>684.16000000000008</v>
      </c>
      <c r="J360" s="215">
        <v>684.16000000000008</v>
      </c>
      <c r="K360" s="215">
        <v>684.16000000000008</v>
      </c>
      <c r="L360" s="215">
        <v>684.16000000000008</v>
      </c>
      <c r="M360" s="215">
        <v>684.16000000000008</v>
      </c>
      <c r="N360" s="215">
        <v>684.16000000000008</v>
      </c>
      <c r="O360" s="215">
        <v>684.16000000000008</v>
      </c>
      <c r="P360" s="215">
        <v>684.16000000000008</v>
      </c>
      <c r="Q360" s="215">
        <v>684.16000000000008</v>
      </c>
    </row>
    <row r="361" spans="2:17" x14ac:dyDescent="0.25">
      <c r="B361" s="259">
        <f t="shared" si="5"/>
        <v>275238.84375</v>
      </c>
      <c r="D361" s="2" t="s">
        <v>937</v>
      </c>
      <c r="E361" s="215">
        <v>0</v>
      </c>
      <c r="F361" s="215">
        <v>0</v>
      </c>
      <c r="G361" s="215">
        <v>0</v>
      </c>
      <c r="H361" s="215">
        <v>0</v>
      </c>
      <c r="I361" s="215">
        <v>0</v>
      </c>
      <c r="J361" s="215">
        <v>440382.14999999997</v>
      </c>
      <c r="K361" s="215">
        <v>440382.14999999997</v>
      </c>
      <c r="L361" s="215">
        <v>440382.14999999997</v>
      </c>
      <c r="M361" s="215">
        <v>440382.14999999997</v>
      </c>
      <c r="N361" s="215">
        <v>440382.14999999997</v>
      </c>
      <c r="O361" s="215">
        <v>440382.14999999997</v>
      </c>
      <c r="P361" s="215">
        <v>440382.14999999997</v>
      </c>
      <c r="Q361" s="215">
        <v>440382.14999999997</v>
      </c>
    </row>
    <row r="362" spans="2:17" x14ac:dyDescent="0.25">
      <c r="B362" s="259">
        <f t="shared" si="5"/>
        <v>24710.078750000001</v>
      </c>
      <c r="D362" s="2" t="s">
        <v>389</v>
      </c>
      <c r="E362" s="215">
        <v>0</v>
      </c>
      <c r="F362" s="215">
        <v>0</v>
      </c>
      <c r="G362" s="215">
        <v>28240.09</v>
      </c>
      <c r="H362" s="215">
        <v>28240.09</v>
      </c>
      <c r="I362" s="215">
        <v>28240.09</v>
      </c>
      <c r="J362" s="215">
        <v>28240.09</v>
      </c>
      <c r="K362" s="215">
        <v>28240.09</v>
      </c>
      <c r="L362" s="215">
        <v>28240.09</v>
      </c>
      <c r="M362" s="215">
        <v>28240.09</v>
      </c>
      <c r="N362" s="215">
        <v>28240.09</v>
      </c>
      <c r="O362" s="215">
        <v>28240.09</v>
      </c>
      <c r="P362" s="215">
        <v>28240.09</v>
      </c>
      <c r="Q362" s="215">
        <v>28240.09</v>
      </c>
    </row>
    <row r="363" spans="2:17" x14ac:dyDescent="0.25">
      <c r="B363" s="259">
        <f t="shared" si="5"/>
        <v>1612640.6895833334</v>
      </c>
      <c r="D363" s="2" t="s">
        <v>391</v>
      </c>
      <c r="E363" s="215">
        <v>1432511.2600000002</v>
      </c>
      <c r="F363" s="215">
        <v>1610100.35</v>
      </c>
      <c r="G363" s="215">
        <v>1610100.35</v>
      </c>
      <c r="H363" s="215">
        <v>1610100.35</v>
      </c>
      <c r="I363" s="215">
        <v>1610100.35</v>
      </c>
      <c r="J363" s="215">
        <v>1610100.35</v>
      </c>
      <c r="K363" s="215">
        <v>1625878.4900000002</v>
      </c>
      <c r="L363" s="215">
        <v>1625878.4900000002</v>
      </c>
      <c r="M363" s="215">
        <v>1625878.4900000002</v>
      </c>
      <c r="N363" s="215">
        <v>1625878.4900000002</v>
      </c>
      <c r="O363" s="215">
        <v>1625878.4900000002</v>
      </c>
      <c r="P363" s="215">
        <v>1625878.4900000002</v>
      </c>
      <c r="Q363" s="215">
        <v>1659319.9100000001</v>
      </c>
    </row>
    <row r="364" spans="2:17" x14ac:dyDescent="0.25">
      <c r="B364" s="259">
        <f t="shared" si="5"/>
        <v>0</v>
      </c>
      <c r="D364" s="2" t="s">
        <v>1408</v>
      </c>
      <c r="E364" s="215">
        <v>0</v>
      </c>
      <c r="F364" s="215">
        <v>0</v>
      </c>
      <c r="G364" s="215">
        <v>0</v>
      </c>
      <c r="H364" s="215">
        <v>0</v>
      </c>
      <c r="I364" s="215">
        <v>0</v>
      </c>
      <c r="J364" s="215">
        <v>0</v>
      </c>
      <c r="K364" s="215">
        <v>0</v>
      </c>
      <c r="L364" s="215">
        <v>0</v>
      </c>
      <c r="M364" s="215">
        <v>0</v>
      </c>
      <c r="N364" s="215">
        <v>0</v>
      </c>
      <c r="O364" s="215">
        <v>0</v>
      </c>
      <c r="P364" s="215">
        <v>0</v>
      </c>
      <c r="Q364" s="215">
        <v>0</v>
      </c>
    </row>
    <row r="365" spans="2:17" x14ac:dyDescent="0.25">
      <c r="B365" s="259">
        <f t="shared" si="5"/>
        <v>866.56249999999989</v>
      </c>
      <c r="D365" s="2" t="s">
        <v>393</v>
      </c>
      <c r="E365" s="215">
        <v>0</v>
      </c>
      <c r="F365" s="215">
        <v>0</v>
      </c>
      <c r="G365" s="215">
        <v>0</v>
      </c>
      <c r="H365" s="215">
        <v>0</v>
      </c>
      <c r="I365" s="215">
        <v>0</v>
      </c>
      <c r="J365" s="215">
        <v>1386.4999999999998</v>
      </c>
      <c r="K365" s="215">
        <v>1386.4999999999998</v>
      </c>
      <c r="L365" s="215">
        <v>1386.4999999999998</v>
      </c>
      <c r="M365" s="215">
        <v>1386.4999999999998</v>
      </c>
      <c r="N365" s="215">
        <v>1386.4999999999998</v>
      </c>
      <c r="O365" s="215">
        <v>1386.4999999999998</v>
      </c>
      <c r="P365" s="215">
        <v>1386.4999999999998</v>
      </c>
      <c r="Q365" s="215">
        <v>1386.4999999999998</v>
      </c>
    </row>
    <row r="366" spans="2:17" x14ac:dyDescent="0.25">
      <c r="B366" s="259">
        <f t="shared" si="5"/>
        <v>46326.6175</v>
      </c>
      <c r="D366" s="2" t="s">
        <v>395</v>
      </c>
      <c r="E366" s="215">
        <v>21598.04</v>
      </c>
      <c r="F366" s="215">
        <v>27359.81</v>
      </c>
      <c r="G366" s="215">
        <v>27359.81</v>
      </c>
      <c r="H366" s="215">
        <v>27359.81</v>
      </c>
      <c r="I366" s="215">
        <v>27359.81</v>
      </c>
      <c r="J366" s="215">
        <v>58090.82</v>
      </c>
      <c r="K366" s="215">
        <v>58090.82</v>
      </c>
      <c r="L366" s="215">
        <v>58090.82</v>
      </c>
      <c r="M366" s="215">
        <v>58090.82</v>
      </c>
      <c r="N366" s="215">
        <v>58090.82</v>
      </c>
      <c r="O366" s="215">
        <v>58090.82</v>
      </c>
      <c r="P366" s="215">
        <v>58090.82</v>
      </c>
      <c r="Q366" s="215">
        <v>58090.82</v>
      </c>
    </row>
    <row r="367" spans="2:17" x14ac:dyDescent="0.25">
      <c r="B367" s="259">
        <f t="shared" si="5"/>
        <v>3868942.0612500007</v>
      </c>
      <c r="D367" s="2" t="s">
        <v>397</v>
      </c>
      <c r="E367" s="215">
        <v>2341537.3700000006</v>
      </c>
      <c r="F367" s="215">
        <v>2352023.9800000009</v>
      </c>
      <c r="G367" s="215">
        <v>2362367.1000000006</v>
      </c>
      <c r="H367" s="215">
        <v>2576197.7700000009</v>
      </c>
      <c r="I367" s="215">
        <v>3286698.7700000009</v>
      </c>
      <c r="J367" s="215">
        <v>3305864.7300000009</v>
      </c>
      <c r="K367" s="215">
        <v>3716770.5700000008</v>
      </c>
      <c r="L367" s="215">
        <v>4327877.7800000012</v>
      </c>
      <c r="M367" s="215">
        <v>4358074.6000000006</v>
      </c>
      <c r="N367" s="215">
        <v>4861366.45</v>
      </c>
      <c r="O367" s="215">
        <v>5387653.8200000012</v>
      </c>
      <c r="P367" s="215">
        <v>5808163.6600000001</v>
      </c>
      <c r="Q367" s="215">
        <v>5826953.6400000006</v>
      </c>
    </row>
    <row r="368" spans="2:17" x14ac:dyDescent="0.25">
      <c r="B368" s="259">
        <f t="shared" si="5"/>
        <v>0</v>
      </c>
      <c r="D368" s="2" t="s">
        <v>1409</v>
      </c>
      <c r="E368" s="215">
        <v>0</v>
      </c>
      <c r="F368" s="215">
        <v>0</v>
      </c>
      <c r="G368" s="215">
        <v>0</v>
      </c>
      <c r="H368" s="215">
        <v>0</v>
      </c>
      <c r="I368" s="215">
        <v>0</v>
      </c>
      <c r="J368" s="215">
        <v>0</v>
      </c>
      <c r="K368" s="215">
        <v>0</v>
      </c>
      <c r="L368" s="215">
        <v>0</v>
      </c>
      <c r="M368" s="215">
        <v>0</v>
      </c>
      <c r="N368" s="215">
        <v>0</v>
      </c>
      <c r="O368" s="215">
        <v>0</v>
      </c>
      <c r="P368" s="215">
        <v>0</v>
      </c>
      <c r="Q368" s="215">
        <v>0</v>
      </c>
    </row>
    <row r="369" spans="2:17" x14ac:dyDescent="0.25">
      <c r="B369" s="259">
        <f t="shared" si="5"/>
        <v>0</v>
      </c>
      <c r="D369" s="2" t="s">
        <v>1410</v>
      </c>
      <c r="E369" s="215">
        <v>0</v>
      </c>
      <c r="F369" s="215">
        <v>0</v>
      </c>
      <c r="G369" s="215">
        <v>0</v>
      </c>
      <c r="H369" s="215">
        <v>0</v>
      </c>
      <c r="I369" s="215">
        <v>0</v>
      </c>
      <c r="J369" s="215">
        <v>0</v>
      </c>
      <c r="K369" s="215">
        <v>0</v>
      </c>
      <c r="L369" s="215">
        <v>0</v>
      </c>
      <c r="M369" s="215">
        <v>0</v>
      </c>
      <c r="N369" s="215">
        <v>0</v>
      </c>
      <c r="O369" s="215">
        <v>0</v>
      </c>
      <c r="P369" s="215">
        <v>0</v>
      </c>
      <c r="Q369" s="215">
        <v>0</v>
      </c>
    </row>
    <row r="370" spans="2:17" x14ac:dyDescent="0.25">
      <c r="B370" s="259">
        <f t="shared" si="5"/>
        <v>0</v>
      </c>
      <c r="D370" s="2" t="s">
        <v>1411</v>
      </c>
      <c r="E370" s="215">
        <v>0</v>
      </c>
      <c r="F370" s="215">
        <v>0</v>
      </c>
      <c r="G370" s="215">
        <v>0</v>
      </c>
      <c r="H370" s="215">
        <v>0</v>
      </c>
      <c r="I370" s="215">
        <v>0</v>
      </c>
      <c r="J370" s="215">
        <v>0</v>
      </c>
      <c r="K370" s="215">
        <v>0</v>
      </c>
      <c r="L370" s="215">
        <v>0</v>
      </c>
      <c r="M370" s="215">
        <v>0</v>
      </c>
      <c r="N370" s="215">
        <v>0</v>
      </c>
      <c r="O370" s="215">
        <v>0</v>
      </c>
      <c r="P370" s="215">
        <v>0</v>
      </c>
      <c r="Q370" s="215">
        <v>0</v>
      </c>
    </row>
    <row r="371" spans="2:17" x14ac:dyDescent="0.25">
      <c r="B371" s="259">
        <f t="shared" si="5"/>
        <v>0</v>
      </c>
      <c r="D371" s="2" t="s">
        <v>1412</v>
      </c>
      <c r="E371" s="215">
        <v>0</v>
      </c>
      <c r="F371" s="215">
        <v>0</v>
      </c>
      <c r="G371" s="215">
        <v>0</v>
      </c>
      <c r="H371" s="215">
        <v>0</v>
      </c>
      <c r="I371" s="215">
        <v>0</v>
      </c>
      <c r="J371" s="215">
        <v>0</v>
      </c>
      <c r="K371" s="215">
        <v>0</v>
      </c>
      <c r="L371" s="215">
        <v>0</v>
      </c>
      <c r="M371" s="215">
        <v>0</v>
      </c>
      <c r="N371" s="215">
        <v>0</v>
      </c>
      <c r="O371" s="215">
        <v>0</v>
      </c>
      <c r="P371" s="215">
        <v>0</v>
      </c>
      <c r="Q371" s="215">
        <v>0</v>
      </c>
    </row>
    <row r="372" spans="2:17" x14ac:dyDescent="0.25">
      <c r="B372" s="259">
        <f t="shared" si="5"/>
        <v>0</v>
      </c>
      <c r="D372" s="2" t="s">
        <v>1413</v>
      </c>
      <c r="E372" s="215">
        <v>0</v>
      </c>
      <c r="F372" s="215">
        <v>0</v>
      </c>
      <c r="G372" s="215">
        <v>0</v>
      </c>
      <c r="H372" s="215">
        <v>0</v>
      </c>
      <c r="I372" s="215">
        <v>0</v>
      </c>
      <c r="J372" s="215">
        <v>0</v>
      </c>
      <c r="K372" s="215">
        <v>0</v>
      </c>
      <c r="L372" s="215">
        <v>0</v>
      </c>
      <c r="M372" s="215">
        <v>0</v>
      </c>
      <c r="N372" s="215">
        <v>0</v>
      </c>
      <c r="O372" s="215">
        <v>0</v>
      </c>
      <c r="P372" s="215">
        <v>0</v>
      </c>
      <c r="Q372" s="215">
        <v>0</v>
      </c>
    </row>
    <row r="373" spans="2:17" x14ac:dyDescent="0.25">
      <c r="B373" s="259">
        <f t="shared" si="5"/>
        <v>0</v>
      </c>
      <c r="D373" s="2" t="s">
        <v>1414</v>
      </c>
      <c r="E373" s="215">
        <v>0</v>
      </c>
      <c r="F373" s="215">
        <v>0</v>
      </c>
      <c r="G373" s="215">
        <v>0</v>
      </c>
      <c r="H373" s="215">
        <v>0</v>
      </c>
      <c r="I373" s="215">
        <v>0</v>
      </c>
      <c r="J373" s="215">
        <v>0</v>
      </c>
      <c r="K373" s="215">
        <v>0</v>
      </c>
      <c r="L373" s="215">
        <v>0</v>
      </c>
      <c r="M373" s="215">
        <v>0</v>
      </c>
      <c r="N373" s="215">
        <v>0</v>
      </c>
      <c r="O373" s="215">
        <v>0</v>
      </c>
      <c r="P373" s="215">
        <v>0</v>
      </c>
      <c r="Q373" s="215">
        <v>0</v>
      </c>
    </row>
    <row r="374" spans="2:17" x14ac:dyDescent="0.25">
      <c r="B374" s="259">
        <f t="shared" si="5"/>
        <v>0</v>
      </c>
      <c r="D374" s="2" t="s">
        <v>1415</v>
      </c>
      <c r="E374" s="215">
        <v>0</v>
      </c>
      <c r="F374" s="215">
        <v>0</v>
      </c>
      <c r="G374" s="215">
        <v>0</v>
      </c>
      <c r="H374" s="215">
        <v>0</v>
      </c>
      <c r="I374" s="215">
        <v>0</v>
      </c>
      <c r="J374" s="215">
        <v>0</v>
      </c>
      <c r="K374" s="215">
        <v>0</v>
      </c>
      <c r="L374" s="215">
        <v>0</v>
      </c>
      <c r="M374" s="215">
        <v>0</v>
      </c>
      <c r="N374" s="215">
        <v>0</v>
      </c>
      <c r="O374" s="215">
        <v>0</v>
      </c>
      <c r="P374" s="215">
        <v>0</v>
      </c>
      <c r="Q374" s="215">
        <v>0</v>
      </c>
    </row>
    <row r="375" spans="2:17" x14ac:dyDescent="0.25">
      <c r="B375" s="259">
        <f t="shared" si="5"/>
        <v>0</v>
      </c>
      <c r="D375" s="2" t="s">
        <v>1416</v>
      </c>
      <c r="E375" s="215">
        <v>0</v>
      </c>
      <c r="F375" s="215">
        <v>0</v>
      </c>
      <c r="G375" s="215">
        <v>0</v>
      </c>
      <c r="H375" s="215">
        <v>0</v>
      </c>
      <c r="I375" s="215">
        <v>0</v>
      </c>
      <c r="J375" s="215">
        <v>0</v>
      </c>
      <c r="K375" s="215">
        <v>0</v>
      </c>
      <c r="L375" s="215">
        <v>0</v>
      </c>
      <c r="M375" s="215">
        <v>0</v>
      </c>
      <c r="N375" s="215">
        <v>0</v>
      </c>
      <c r="O375" s="215">
        <v>0</v>
      </c>
      <c r="P375" s="215">
        <v>0</v>
      </c>
      <c r="Q375" s="215">
        <v>0</v>
      </c>
    </row>
    <row r="376" spans="2:17" x14ac:dyDescent="0.25">
      <c r="B376" s="259">
        <f t="shared" si="5"/>
        <v>0</v>
      </c>
      <c r="D376" s="2" t="s">
        <v>1417</v>
      </c>
      <c r="E376" s="215">
        <v>0</v>
      </c>
      <c r="F376" s="215">
        <v>0</v>
      </c>
      <c r="G376" s="215">
        <v>0</v>
      </c>
      <c r="H376" s="215">
        <v>0</v>
      </c>
      <c r="I376" s="215">
        <v>0</v>
      </c>
      <c r="J376" s="215">
        <v>0</v>
      </c>
      <c r="K376" s="215">
        <v>0</v>
      </c>
      <c r="L376" s="215">
        <v>0</v>
      </c>
      <c r="M376" s="215">
        <v>0</v>
      </c>
      <c r="N376" s="215">
        <v>0</v>
      </c>
      <c r="O376" s="215">
        <v>0</v>
      </c>
      <c r="P376" s="215">
        <v>0</v>
      </c>
      <c r="Q376" s="215">
        <v>0</v>
      </c>
    </row>
    <row r="377" spans="2:17" x14ac:dyDescent="0.25">
      <c r="B377" s="259">
        <f t="shared" si="5"/>
        <v>0</v>
      </c>
      <c r="D377" s="2" t="s">
        <v>1418</v>
      </c>
      <c r="E377" s="215">
        <v>0</v>
      </c>
      <c r="F377" s="215">
        <v>0</v>
      </c>
      <c r="G377" s="215">
        <v>0</v>
      </c>
      <c r="H377" s="215">
        <v>0</v>
      </c>
      <c r="I377" s="215">
        <v>0</v>
      </c>
      <c r="J377" s="215">
        <v>0</v>
      </c>
      <c r="K377" s="215">
        <v>0</v>
      </c>
      <c r="L377" s="215">
        <v>0</v>
      </c>
      <c r="M377" s="215">
        <v>0</v>
      </c>
      <c r="N377" s="215">
        <v>0</v>
      </c>
      <c r="O377" s="215">
        <v>0</v>
      </c>
      <c r="P377" s="215">
        <v>0</v>
      </c>
      <c r="Q377" s="215">
        <v>0</v>
      </c>
    </row>
    <row r="378" spans="2:17" x14ac:dyDescent="0.25">
      <c r="B378" s="259">
        <f t="shared" si="5"/>
        <v>0</v>
      </c>
      <c r="D378" s="2" t="s">
        <v>1419</v>
      </c>
      <c r="E378" s="215">
        <v>0</v>
      </c>
      <c r="F378" s="215">
        <v>0</v>
      </c>
      <c r="G378" s="215">
        <v>0</v>
      </c>
      <c r="H378" s="215">
        <v>0</v>
      </c>
      <c r="I378" s="215">
        <v>0</v>
      </c>
      <c r="J378" s="215">
        <v>0</v>
      </c>
      <c r="K378" s="215">
        <v>0</v>
      </c>
      <c r="L378" s="215">
        <v>0</v>
      </c>
      <c r="M378" s="215">
        <v>0</v>
      </c>
      <c r="N378" s="215">
        <v>0</v>
      </c>
      <c r="O378" s="215">
        <v>0</v>
      </c>
      <c r="P378" s="215">
        <v>0</v>
      </c>
      <c r="Q378" s="215">
        <v>0</v>
      </c>
    </row>
    <row r="379" spans="2:17" x14ac:dyDescent="0.25">
      <c r="B379" s="259">
        <f t="shared" si="5"/>
        <v>0</v>
      </c>
      <c r="D379" s="2" t="s">
        <v>1420</v>
      </c>
      <c r="E379" s="215">
        <v>0</v>
      </c>
      <c r="F379" s="215">
        <v>0</v>
      </c>
      <c r="G379" s="215">
        <v>0</v>
      </c>
      <c r="H379" s="215">
        <v>0</v>
      </c>
      <c r="I379" s="215">
        <v>0</v>
      </c>
      <c r="J379" s="215">
        <v>0</v>
      </c>
      <c r="K379" s="215">
        <v>0</v>
      </c>
      <c r="L379" s="215">
        <v>0</v>
      </c>
      <c r="M379" s="215">
        <v>0</v>
      </c>
      <c r="N379" s="215">
        <v>0</v>
      </c>
      <c r="O379" s="215">
        <v>0</v>
      </c>
      <c r="P379" s="215">
        <v>0</v>
      </c>
      <c r="Q379" s="215">
        <v>0</v>
      </c>
    </row>
    <row r="380" spans="2:17" x14ac:dyDescent="0.25">
      <c r="B380" s="259">
        <f t="shared" si="5"/>
        <v>0</v>
      </c>
      <c r="D380" s="2" t="s">
        <v>1421</v>
      </c>
      <c r="E380" s="215">
        <v>0</v>
      </c>
      <c r="F380" s="215">
        <v>0</v>
      </c>
      <c r="G380" s="215">
        <v>0</v>
      </c>
      <c r="H380" s="215">
        <v>0</v>
      </c>
      <c r="I380" s="215">
        <v>0</v>
      </c>
      <c r="J380" s="215">
        <v>0</v>
      </c>
      <c r="K380" s="215">
        <v>0</v>
      </c>
      <c r="L380" s="215">
        <v>0</v>
      </c>
      <c r="M380" s="215">
        <v>0</v>
      </c>
      <c r="N380" s="215">
        <v>0</v>
      </c>
      <c r="O380" s="215">
        <v>0</v>
      </c>
      <c r="P380" s="215">
        <v>0</v>
      </c>
      <c r="Q380" s="215">
        <v>0</v>
      </c>
    </row>
    <row r="381" spans="2:17" x14ac:dyDescent="0.25">
      <c r="B381" s="259">
        <f t="shared" si="5"/>
        <v>0</v>
      </c>
      <c r="D381" s="2" t="s">
        <v>1422</v>
      </c>
      <c r="E381" s="215">
        <v>0</v>
      </c>
      <c r="F381" s="215">
        <v>0</v>
      </c>
      <c r="G381" s="215">
        <v>0</v>
      </c>
      <c r="H381" s="215">
        <v>0</v>
      </c>
      <c r="I381" s="215">
        <v>0</v>
      </c>
      <c r="J381" s="215">
        <v>0</v>
      </c>
      <c r="K381" s="215">
        <v>0</v>
      </c>
      <c r="L381" s="215">
        <v>0</v>
      </c>
      <c r="M381" s="215">
        <v>0</v>
      </c>
      <c r="N381" s="215">
        <v>0</v>
      </c>
      <c r="O381" s="215">
        <v>0</v>
      </c>
      <c r="P381" s="215">
        <v>0</v>
      </c>
      <c r="Q381" s="215">
        <v>0</v>
      </c>
    </row>
    <row r="382" spans="2:17" x14ac:dyDescent="0.25">
      <c r="B382" s="259">
        <f t="shared" si="5"/>
        <v>0</v>
      </c>
      <c r="D382" s="2" t="s">
        <v>1423</v>
      </c>
      <c r="E382" s="215">
        <v>0</v>
      </c>
      <c r="F382" s="215">
        <v>0</v>
      </c>
      <c r="G382" s="215">
        <v>0</v>
      </c>
      <c r="H382" s="215">
        <v>0</v>
      </c>
      <c r="I382" s="215">
        <v>0</v>
      </c>
      <c r="J382" s="215">
        <v>0</v>
      </c>
      <c r="K382" s="215">
        <v>0</v>
      </c>
      <c r="L382" s="215">
        <v>0</v>
      </c>
      <c r="M382" s="215">
        <v>0</v>
      </c>
      <c r="N382" s="215">
        <v>0</v>
      </c>
      <c r="O382" s="215">
        <v>0</v>
      </c>
      <c r="P382" s="215">
        <v>0</v>
      </c>
      <c r="Q382" s="215">
        <v>0</v>
      </c>
    </row>
    <row r="383" spans="2:17" x14ac:dyDescent="0.25">
      <c r="B383" s="259">
        <f t="shared" si="5"/>
        <v>0</v>
      </c>
      <c r="D383" s="2" t="s">
        <v>1424</v>
      </c>
      <c r="E383" s="215">
        <v>0</v>
      </c>
      <c r="F383" s="215">
        <v>0</v>
      </c>
      <c r="G383" s="215">
        <v>0</v>
      </c>
      <c r="H383" s="215">
        <v>0</v>
      </c>
      <c r="I383" s="215">
        <v>0</v>
      </c>
      <c r="J383" s="215">
        <v>0</v>
      </c>
      <c r="K383" s="215">
        <v>0</v>
      </c>
      <c r="L383" s="215">
        <v>0</v>
      </c>
      <c r="M383" s="215">
        <v>0</v>
      </c>
      <c r="N383" s="215">
        <v>0</v>
      </c>
      <c r="O383" s="215">
        <v>0</v>
      </c>
      <c r="P383" s="215">
        <v>0</v>
      </c>
      <c r="Q383" s="215">
        <v>0</v>
      </c>
    </row>
    <row r="384" spans="2:17" x14ac:dyDescent="0.25">
      <c r="B384" s="259">
        <f t="shared" si="5"/>
        <v>0</v>
      </c>
      <c r="D384" s="2" t="s">
        <v>1425</v>
      </c>
      <c r="E384" s="215">
        <v>0</v>
      </c>
      <c r="F384" s="215">
        <v>0</v>
      </c>
      <c r="G384" s="215">
        <v>0</v>
      </c>
      <c r="H384" s="215">
        <v>0</v>
      </c>
      <c r="I384" s="215">
        <v>0</v>
      </c>
      <c r="J384" s="215">
        <v>0</v>
      </c>
      <c r="K384" s="215">
        <v>0</v>
      </c>
      <c r="L384" s="215">
        <v>0</v>
      </c>
      <c r="M384" s="215">
        <v>0</v>
      </c>
      <c r="N384" s="215">
        <v>0</v>
      </c>
      <c r="O384" s="215">
        <v>0</v>
      </c>
      <c r="P384" s="215">
        <v>0</v>
      </c>
      <c r="Q384" s="215">
        <v>0</v>
      </c>
    </row>
    <row r="385" spans="2:17" x14ac:dyDescent="0.25">
      <c r="B385" s="259">
        <f t="shared" si="5"/>
        <v>0</v>
      </c>
      <c r="D385" s="2" t="s">
        <v>1426</v>
      </c>
      <c r="E385" s="215">
        <v>0</v>
      </c>
      <c r="F385" s="215">
        <v>0</v>
      </c>
      <c r="G385" s="215">
        <v>0</v>
      </c>
      <c r="H385" s="215">
        <v>0</v>
      </c>
      <c r="I385" s="215">
        <v>0</v>
      </c>
      <c r="J385" s="215">
        <v>0</v>
      </c>
      <c r="K385" s="215">
        <v>0</v>
      </c>
      <c r="L385" s="215">
        <v>0</v>
      </c>
      <c r="M385" s="215">
        <v>0</v>
      </c>
      <c r="N385" s="215">
        <v>0</v>
      </c>
      <c r="O385" s="215">
        <v>0</v>
      </c>
      <c r="P385" s="215">
        <v>0</v>
      </c>
      <c r="Q385" s="215">
        <v>0</v>
      </c>
    </row>
    <row r="386" spans="2:17" x14ac:dyDescent="0.25">
      <c r="B386" s="259">
        <f t="shared" si="5"/>
        <v>0</v>
      </c>
      <c r="D386" s="2" t="s">
        <v>1427</v>
      </c>
      <c r="E386" s="215">
        <v>0</v>
      </c>
      <c r="F386" s="215">
        <v>0</v>
      </c>
      <c r="G386" s="215">
        <v>0</v>
      </c>
      <c r="H386" s="215">
        <v>0</v>
      </c>
      <c r="I386" s="215">
        <v>0</v>
      </c>
      <c r="J386" s="215">
        <v>0</v>
      </c>
      <c r="K386" s="215">
        <v>0</v>
      </c>
      <c r="L386" s="215">
        <v>0</v>
      </c>
      <c r="M386" s="215">
        <v>0</v>
      </c>
      <c r="N386" s="215">
        <v>0</v>
      </c>
      <c r="O386" s="215">
        <v>0</v>
      </c>
      <c r="P386" s="215">
        <v>0</v>
      </c>
      <c r="Q386" s="215">
        <v>0</v>
      </c>
    </row>
    <row r="387" spans="2:17" x14ac:dyDescent="0.25">
      <c r="B387" s="259">
        <f t="shared" si="5"/>
        <v>0</v>
      </c>
      <c r="D387" s="2" t="s">
        <v>1428</v>
      </c>
      <c r="E387" s="215">
        <v>0</v>
      </c>
      <c r="F387" s="215">
        <v>0</v>
      </c>
      <c r="G387" s="215">
        <v>0</v>
      </c>
      <c r="H387" s="215">
        <v>0</v>
      </c>
      <c r="I387" s="215">
        <v>0</v>
      </c>
      <c r="J387" s="215">
        <v>0</v>
      </c>
      <c r="K387" s="215">
        <v>0</v>
      </c>
      <c r="L387" s="215">
        <v>0</v>
      </c>
      <c r="M387" s="215">
        <v>0</v>
      </c>
      <c r="N387" s="215">
        <v>0</v>
      </c>
      <c r="O387" s="215">
        <v>0</v>
      </c>
      <c r="P387" s="215">
        <v>0</v>
      </c>
      <c r="Q387" s="215">
        <v>0</v>
      </c>
    </row>
    <row r="388" spans="2:17" x14ac:dyDescent="0.25">
      <c r="B388" s="259">
        <f t="shared" si="5"/>
        <v>0</v>
      </c>
      <c r="D388" s="2" t="s">
        <v>1429</v>
      </c>
      <c r="E388" s="215">
        <v>0</v>
      </c>
      <c r="F388" s="215">
        <v>0</v>
      </c>
      <c r="G388" s="215">
        <v>0</v>
      </c>
      <c r="H388" s="215">
        <v>0</v>
      </c>
      <c r="I388" s="215">
        <v>0</v>
      </c>
      <c r="J388" s="215">
        <v>0</v>
      </c>
      <c r="K388" s="215">
        <v>0</v>
      </c>
      <c r="L388" s="215">
        <v>0</v>
      </c>
      <c r="M388" s="215">
        <v>0</v>
      </c>
      <c r="N388" s="215">
        <v>0</v>
      </c>
      <c r="O388" s="215">
        <v>0</v>
      </c>
      <c r="P388" s="215">
        <v>0</v>
      </c>
      <c r="Q388" s="215">
        <v>0</v>
      </c>
    </row>
    <row r="389" spans="2:17" x14ac:dyDescent="0.25">
      <c r="B389" s="259">
        <f t="shared" si="5"/>
        <v>0</v>
      </c>
      <c r="D389" s="2" t="s">
        <v>1430</v>
      </c>
      <c r="E389" s="215">
        <v>0</v>
      </c>
      <c r="F389" s="215">
        <v>0</v>
      </c>
      <c r="G389" s="215">
        <v>0</v>
      </c>
      <c r="H389" s="215">
        <v>0</v>
      </c>
      <c r="I389" s="215">
        <v>0</v>
      </c>
      <c r="J389" s="215">
        <v>0</v>
      </c>
      <c r="K389" s="215">
        <v>0</v>
      </c>
      <c r="L389" s="215">
        <v>0</v>
      </c>
      <c r="M389" s="215">
        <v>0</v>
      </c>
      <c r="N389" s="215">
        <v>0</v>
      </c>
      <c r="O389" s="215">
        <v>0</v>
      </c>
      <c r="P389" s="215">
        <v>0</v>
      </c>
      <c r="Q389" s="215">
        <v>0</v>
      </c>
    </row>
    <row r="390" spans="2:17" x14ac:dyDescent="0.25">
      <c r="B390" s="259">
        <f t="shared" si="5"/>
        <v>0</v>
      </c>
      <c r="D390" s="2" t="s">
        <v>1431</v>
      </c>
      <c r="E390" s="215">
        <v>0</v>
      </c>
      <c r="F390" s="215">
        <v>0</v>
      </c>
      <c r="G390" s="215">
        <v>0</v>
      </c>
      <c r="H390" s="215">
        <v>0</v>
      </c>
      <c r="I390" s="215">
        <v>0</v>
      </c>
      <c r="J390" s="215">
        <v>0</v>
      </c>
      <c r="K390" s="215">
        <v>0</v>
      </c>
      <c r="L390" s="215">
        <v>0</v>
      </c>
      <c r="M390" s="215">
        <v>0</v>
      </c>
      <c r="N390" s="215">
        <v>0</v>
      </c>
      <c r="O390" s="215">
        <v>0</v>
      </c>
      <c r="P390" s="215">
        <v>0</v>
      </c>
      <c r="Q390" s="215">
        <v>0</v>
      </c>
    </row>
    <row r="391" spans="2:17" x14ac:dyDescent="0.25">
      <c r="B391" s="259">
        <f t="shared" ref="B391:B454" si="6">(E391+Q391+SUM(F391:P391)*2)/24</f>
        <v>0</v>
      </c>
      <c r="D391" s="2" t="s">
        <v>1432</v>
      </c>
      <c r="E391" s="215">
        <v>0</v>
      </c>
      <c r="F391" s="215">
        <v>0</v>
      </c>
      <c r="G391" s="215">
        <v>0</v>
      </c>
      <c r="H391" s="215">
        <v>0</v>
      </c>
      <c r="I391" s="215">
        <v>0</v>
      </c>
      <c r="J391" s="215">
        <v>0</v>
      </c>
      <c r="K391" s="215">
        <v>0</v>
      </c>
      <c r="L391" s="215">
        <v>0</v>
      </c>
      <c r="M391" s="215">
        <v>0</v>
      </c>
      <c r="N391" s="215">
        <v>0</v>
      </c>
      <c r="O391" s="215">
        <v>0</v>
      </c>
      <c r="P391" s="215">
        <v>0</v>
      </c>
      <c r="Q391" s="215">
        <v>0</v>
      </c>
    </row>
    <row r="392" spans="2:17" x14ac:dyDescent="0.25">
      <c r="B392" s="259">
        <f t="shared" si="6"/>
        <v>0</v>
      </c>
      <c r="D392" s="2" t="s">
        <v>1433</v>
      </c>
      <c r="E392" s="215">
        <v>0</v>
      </c>
      <c r="F392" s="215">
        <v>0</v>
      </c>
      <c r="G392" s="215">
        <v>0</v>
      </c>
      <c r="H392" s="215">
        <v>0</v>
      </c>
      <c r="I392" s="215">
        <v>0</v>
      </c>
      <c r="J392" s="215">
        <v>0</v>
      </c>
      <c r="K392" s="215">
        <v>0</v>
      </c>
      <c r="L392" s="215">
        <v>0</v>
      </c>
      <c r="M392" s="215">
        <v>0</v>
      </c>
      <c r="N392" s="215">
        <v>0</v>
      </c>
      <c r="O392" s="215">
        <v>0</v>
      </c>
      <c r="P392" s="215">
        <v>0</v>
      </c>
      <c r="Q392" s="215">
        <v>0</v>
      </c>
    </row>
    <row r="393" spans="2:17" x14ac:dyDescent="0.25">
      <c r="B393" s="259">
        <f t="shared" si="6"/>
        <v>0</v>
      </c>
      <c r="D393" s="2" t="s">
        <v>1434</v>
      </c>
      <c r="E393" s="215">
        <v>0</v>
      </c>
      <c r="F393" s="215">
        <v>0</v>
      </c>
      <c r="G393" s="215">
        <v>0</v>
      </c>
      <c r="H393" s="215">
        <v>0</v>
      </c>
      <c r="I393" s="215">
        <v>0</v>
      </c>
      <c r="J393" s="215">
        <v>0</v>
      </c>
      <c r="K393" s="215">
        <v>0</v>
      </c>
      <c r="L393" s="215">
        <v>0</v>
      </c>
      <c r="M393" s="215">
        <v>0</v>
      </c>
      <c r="N393" s="215">
        <v>0</v>
      </c>
      <c r="O393" s="215">
        <v>0</v>
      </c>
      <c r="P393" s="215">
        <v>0</v>
      </c>
      <c r="Q393" s="215">
        <v>0</v>
      </c>
    </row>
    <row r="394" spans="2:17" x14ac:dyDescent="0.25">
      <c r="B394" s="259">
        <f t="shared" si="6"/>
        <v>0</v>
      </c>
      <c r="D394" s="2" t="s">
        <v>1435</v>
      </c>
      <c r="E394" s="215">
        <v>0</v>
      </c>
      <c r="F394" s="215">
        <v>0</v>
      </c>
      <c r="G394" s="215">
        <v>0</v>
      </c>
      <c r="H394" s="215">
        <v>0</v>
      </c>
      <c r="I394" s="215">
        <v>0</v>
      </c>
      <c r="J394" s="215">
        <v>0</v>
      </c>
      <c r="K394" s="215">
        <v>0</v>
      </c>
      <c r="L394" s="215">
        <v>0</v>
      </c>
      <c r="M394" s="215">
        <v>0</v>
      </c>
      <c r="N394" s="215">
        <v>0</v>
      </c>
      <c r="O394" s="215">
        <v>0</v>
      </c>
      <c r="P394" s="215">
        <v>0</v>
      </c>
      <c r="Q394" s="215">
        <v>0</v>
      </c>
    </row>
    <row r="395" spans="2:17" x14ac:dyDescent="0.25">
      <c r="B395" s="259">
        <f t="shared" si="6"/>
        <v>0</v>
      </c>
      <c r="D395" s="2" t="s">
        <v>1436</v>
      </c>
      <c r="E395" s="215">
        <v>0</v>
      </c>
      <c r="F395" s="215">
        <v>0</v>
      </c>
      <c r="G395" s="215">
        <v>0</v>
      </c>
      <c r="H395" s="215">
        <v>0</v>
      </c>
      <c r="I395" s="215">
        <v>0</v>
      </c>
      <c r="J395" s="215">
        <v>0</v>
      </c>
      <c r="K395" s="215">
        <v>0</v>
      </c>
      <c r="L395" s="215">
        <v>0</v>
      </c>
      <c r="M395" s="215">
        <v>0</v>
      </c>
      <c r="N395" s="215">
        <v>0</v>
      </c>
      <c r="O395" s="215">
        <v>0</v>
      </c>
      <c r="P395" s="215">
        <v>0</v>
      </c>
      <c r="Q395" s="215">
        <v>0</v>
      </c>
    </row>
    <row r="396" spans="2:17" x14ac:dyDescent="0.25">
      <c r="B396" s="259">
        <f t="shared" si="6"/>
        <v>0</v>
      </c>
      <c r="D396" s="2" t="s">
        <v>1437</v>
      </c>
      <c r="E396" s="215">
        <v>0</v>
      </c>
      <c r="F396" s="215">
        <v>0</v>
      </c>
      <c r="G396" s="215">
        <v>0</v>
      </c>
      <c r="H396" s="215">
        <v>0</v>
      </c>
      <c r="I396" s="215">
        <v>0</v>
      </c>
      <c r="J396" s="215">
        <v>0</v>
      </c>
      <c r="K396" s="215">
        <v>0</v>
      </c>
      <c r="L396" s="215">
        <v>0</v>
      </c>
      <c r="M396" s="215">
        <v>0</v>
      </c>
      <c r="N396" s="215">
        <v>0</v>
      </c>
      <c r="O396" s="215">
        <v>0</v>
      </c>
      <c r="P396" s="215">
        <v>0</v>
      </c>
      <c r="Q396" s="215">
        <v>0</v>
      </c>
    </row>
    <row r="397" spans="2:17" x14ac:dyDescent="0.25">
      <c r="B397" s="259">
        <f t="shared" si="6"/>
        <v>0</v>
      </c>
      <c r="D397" s="2" t="s">
        <v>1438</v>
      </c>
      <c r="E397" s="215">
        <v>0</v>
      </c>
      <c r="F397" s="215">
        <v>0</v>
      </c>
      <c r="G397" s="215">
        <v>0</v>
      </c>
      <c r="H397" s="215">
        <v>0</v>
      </c>
      <c r="I397" s="215">
        <v>0</v>
      </c>
      <c r="J397" s="215">
        <v>0</v>
      </c>
      <c r="K397" s="215">
        <v>0</v>
      </c>
      <c r="L397" s="215">
        <v>0</v>
      </c>
      <c r="M397" s="215">
        <v>0</v>
      </c>
      <c r="N397" s="215">
        <v>0</v>
      </c>
      <c r="O397" s="215">
        <v>0</v>
      </c>
      <c r="P397" s="215">
        <v>0</v>
      </c>
      <c r="Q397" s="215">
        <v>0</v>
      </c>
    </row>
    <row r="398" spans="2:17" x14ac:dyDescent="0.25">
      <c r="B398" s="259">
        <f t="shared" si="6"/>
        <v>0</v>
      </c>
      <c r="D398" s="2" t="s">
        <v>1439</v>
      </c>
      <c r="E398" s="215">
        <v>0</v>
      </c>
      <c r="F398" s="215">
        <v>0</v>
      </c>
      <c r="G398" s="215">
        <v>0</v>
      </c>
      <c r="H398" s="215">
        <v>0</v>
      </c>
      <c r="I398" s="215">
        <v>0</v>
      </c>
      <c r="J398" s="215">
        <v>0</v>
      </c>
      <c r="K398" s="215">
        <v>0</v>
      </c>
      <c r="L398" s="215">
        <v>0</v>
      </c>
      <c r="M398" s="215">
        <v>0</v>
      </c>
      <c r="N398" s="215">
        <v>0</v>
      </c>
      <c r="O398" s="215">
        <v>0</v>
      </c>
      <c r="P398" s="215">
        <v>0</v>
      </c>
      <c r="Q398" s="215">
        <v>0</v>
      </c>
    </row>
    <row r="399" spans="2:17" x14ac:dyDescent="0.25">
      <c r="B399" s="259">
        <f t="shared" si="6"/>
        <v>0</v>
      </c>
      <c r="D399" s="2" t="s">
        <v>1440</v>
      </c>
      <c r="E399" s="215">
        <v>0</v>
      </c>
      <c r="F399" s="215">
        <v>0</v>
      </c>
      <c r="G399" s="215">
        <v>0</v>
      </c>
      <c r="H399" s="215">
        <v>0</v>
      </c>
      <c r="I399" s="215">
        <v>0</v>
      </c>
      <c r="J399" s="215">
        <v>0</v>
      </c>
      <c r="K399" s="215">
        <v>0</v>
      </c>
      <c r="L399" s="215">
        <v>0</v>
      </c>
      <c r="M399" s="215">
        <v>0</v>
      </c>
      <c r="N399" s="215">
        <v>0</v>
      </c>
      <c r="O399" s="215">
        <v>0</v>
      </c>
      <c r="P399" s="215">
        <v>0</v>
      </c>
      <c r="Q399" s="215">
        <v>0</v>
      </c>
    </row>
    <row r="400" spans="2:17" x14ac:dyDescent="0.25">
      <c r="B400" s="259">
        <f t="shared" si="6"/>
        <v>0</v>
      </c>
      <c r="D400" s="2" t="s">
        <v>1441</v>
      </c>
      <c r="E400" s="215">
        <v>0</v>
      </c>
      <c r="F400" s="215">
        <v>0</v>
      </c>
      <c r="G400" s="215">
        <v>0</v>
      </c>
      <c r="H400" s="215">
        <v>0</v>
      </c>
      <c r="I400" s="215">
        <v>0</v>
      </c>
      <c r="J400" s="215">
        <v>0</v>
      </c>
      <c r="K400" s="215">
        <v>0</v>
      </c>
      <c r="L400" s="215">
        <v>0</v>
      </c>
      <c r="M400" s="215">
        <v>0</v>
      </c>
      <c r="N400" s="215">
        <v>0</v>
      </c>
      <c r="O400" s="215">
        <v>0</v>
      </c>
      <c r="P400" s="215">
        <v>0</v>
      </c>
      <c r="Q400" s="215">
        <v>0</v>
      </c>
    </row>
    <row r="401" spans="2:17" x14ac:dyDescent="0.25">
      <c r="B401" s="259">
        <f t="shared" si="6"/>
        <v>0</v>
      </c>
      <c r="D401" s="2" t="s">
        <v>1442</v>
      </c>
      <c r="E401" s="215">
        <v>0</v>
      </c>
      <c r="F401" s="215">
        <v>0</v>
      </c>
      <c r="G401" s="215">
        <v>0</v>
      </c>
      <c r="H401" s="215">
        <v>0</v>
      </c>
      <c r="I401" s="215">
        <v>0</v>
      </c>
      <c r="J401" s="215">
        <v>0</v>
      </c>
      <c r="K401" s="215">
        <v>0</v>
      </c>
      <c r="L401" s="215">
        <v>0</v>
      </c>
      <c r="M401" s="215">
        <v>0</v>
      </c>
      <c r="N401" s="215">
        <v>0</v>
      </c>
      <c r="O401" s="215">
        <v>0</v>
      </c>
      <c r="P401" s="215">
        <v>0</v>
      </c>
      <c r="Q401" s="215">
        <v>0</v>
      </c>
    </row>
    <row r="402" spans="2:17" x14ac:dyDescent="0.25">
      <c r="B402" s="259">
        <f t="shared" si="6"/>
        <v>0</v>
      </c>
      <c r="D402" s="2" t="s">
        <v>1443</v>
      </c>
      <c r="E402" s="215">
        <v>0</v>
      </c>
      <c r="F402" s="215">
        <v>0</v>
      </c>
      <c r="G402" s="215">
        <v>0</v>
      </c>
      <c r="H402" s="215">
        <v>0</v>
      </c>
      <c r="I402" s="215">
        <v>0</v>
      </c>
      <c r="J402" s="215">
        <v>0</v>
      </c>
      <c r="K402" s="215">
        <v>0</v>
      </c>
      <c r="L402" s="215">
        <v>0</v>
      </c>
      <c r="M402" s="215">
        <v>0</v>
      </c>
      <c r="N402" s="215">
        <v>0</v>
      </c>
      <c r="O402" s="215">
        <v>0</v>
      </c>
      <c r="P402" s="215">
        <v>0</v>
      </c>
      <c r="Q402" s="215">
        <v>0</v>
      </c>
    </row>
    <row r="403" spans="2:17" x14ac:dyDescent="0.25">
      <c r="B403" s="259">
        <f t="shared" si="6"/>
        <v>0</v>
      </c>
      <c r="D403" s="2" t="s">
        <v>1444</v>
      </c>
      <c r="E403" s="215">
        <v>0</v>
      </c>
      <c r="F403" s="215">
        <v>0</v>
      </c>
      <c r="G403" s="215">
        <v>0</v>
      </c>
      <c r="H403" s="215">
        <v>0</v>
      </c>
      <c r="I403" s="215">
        <v>0</v>
      </c>
      <c r="J403" s="215">
        <v>0</v>
      </c>
      <c r="K403" s="215">
        <v>0</v>
      </c>
      <c r="L403" s="215">
        <v>0</v>
      </c>
      <c r="M403" s="215">
        <v>0</v>
      </c>
      <c r="N403" s="215">
        <v>0</v>
      </c>
      <c r="O403" s="215">
        <v>0</v>
      </c>
      <c r="P403" s="215">
        <v>0</v>
      </c>
      <c r="Q403" s="215">
        <v>0</v>
      </c>
    </row>
    <row r="404" spans="2:17" x14ac:dyDescent="0.25">
      <c r="B404" s="259">
        <f t="shared" si="6"/>
        <v>0</v>
      </c>
      <c r="D404" s="2" t="s">
        <v>1445</v>
      </c>
      <c r="E404" s="215">
        <v>0</v>
      </c>
      <c r="F404" s="215">
        <v>0</v>
      </c>
      <c r="G404" s="215">
        <v>0</v>
      </c>
      <c r="H404" s="215">
        <v>0</v>
      </c>
      <c r="I404" s="215">
        <v>0</v>
      </c>
      <c r="J404" s="215">
        <v>0</v>
      </c>
      <c r="K404" s="215">
        <v>0</v>
      </c>
      <c r="L404" s="215">
        <v>0</v>
      </c>
      <c r="M404" s="215">
        <v>0</v>
      </c>
      <c r="N404" s="215">
        <v>0</v>
      </c>
      <c r="O404" s="215">
        <v>0</v>
      </c>
      <c r="P404" s="215">
        <v>0</v>
      </c>
      <c r="Q404" s="215">
        <v>0</v>
      </c>
    </row>
    <row r="405" spans="2:17" x14ac:dyDescent="0.25">
      <c r="B405" s="259">
        <f t="shared" si="6"/>
        <v>0</v>
      </c>
      <c r="D405" s="2" t="s">
        <v>1446</v>
      </c>
      <c r="E405" s="215">
        <v>0</v>
      </c>
      <c r="F405" s="215">
        <v>0</v>
      </c>
      <c r="G405" s="215">
        <v>0</v>
      </c>
      <c r="H405" s="215">
        <v>0</v>
      </c>
      <c r="I405" s="215">
        <v>0</v>
      </c>
      <c r="J405" s="215">
        <v>0</v>
      </c>
      <c r="K405" s="215">
        <v>0</v>
      </c>
      <c r="L405" s="215">
        <v>0</v>
      </c>
      <c r="M405" s="215">
        <v>0</v>
      </c>
      <c r="N405" s="215">
        <v>0</v>
      </c>
      <c r="O405" s="215">
        <v>0</v>
      </c>
      <c r="P405" s="215">
        <v>0</v>
      </c>
      <c r="Q405" s="215">
        <v>0</v>
      </c>
    </row>
    <row r="406" spans="2:17" x14ac:dyDescent="0.25">
      <c r="B406" s="259">
        <f t="shared" si="6"/>
        <v>0</v>
      </c>
      <c r="D406" s="2" t="s">
        <v>1447</v>
      </c>
      <c r="E406" s="215">
        <v>0</v>
      </c>
      <c r="F406" s="215">
        <v>0</v>
      </c>
      <c r="G406" s="215">
        <v>0</v>
      </c>
      <c r="H406" s="215">
        <v>0</v>
      </c>
      <c r="I406" s="215">
        <v>0</v>
      </c>
      <c r="J406" s="215">
        <v>0</v>
      </c>
      <c r="K406" s="215">
        <v>0</v>
      </c>
      <c r="L406" s="215">
        <v>0</v>
      </c>
      <c r="M406" s="215">
        <v>0</v>
      </c>
      <c r="N406" s="215">
        <v>0</v>
      </c>
      <c r="O406" s="215">
        <v>0</v>
      </c>
      <c r="P406" s="215">
        <v>0</v>
      </c>
      <c r="Q406" s="215">
        <v>0</v>
      </c>
    </row>
    <row r="407" spans="2:17" x14ac:dyDescent="0.25">
      <c r="B407" s="259">
        <f t="shared" si="6"/>
        <v>0</v>
      </c>
      <c r="D407" s="2" t="s">
        <v>1448</v>
      </c>
      <c r="E407" s="215">
        <v>0</v>
      </c>
      <c r="F407" s="215">
        <v>0</v>
      </c>
      <c r="G407" s="215">
        <v>0</v>
      </c>
      <c r="H407" s="215">
        <v>0</v>
      </c>
      <c r="I407" s="215">
        <v>0</v>
      </c>
      <c r="J407" s="215">
        <v>0</v>
      </c>
      <c r="K407" s="215">
        <v>0</v>
      </c>
      <c r="L407" s="215">
        <v>0</v>
      </c>
      <c r="M407" s="215">
        <v>0</v>
      </c>
      <c r="N407" s="215">
        <v>0</v>
      </c>
      <c r="O407" s="215">
        <v>0</v>
      </c>
      <c r="P407" s="215">
        <v>0</v>
      </c>
      <c r="Q407" s="215">
        <v>0</v>
      </c>
    </row>
    <row r="408" spans="2:17" x14ac:dyDescent="0.25">
      <c r="B408" s="259">
        <f t="shared" si="6"/>
        <v>0</v>
      </c>
      <c r="D408" s="2" t="s">
        <v>1449</v>
      </c>
      <c r="E408" s="215">
        <v>0</v>
      </c>
      <c r="F408" s="215">
        <v>0</v>
      </c>
      <c r="G408" s="215">
        <v>0</v>
      </c>
      <c r="H408" s="215">
        <v>0</v>
      </c>
      <c r="I408" s="215">
        <v>0</v>
      </c>
      <c r="J408" s="215">
        <v>0</v>
      </c>
      <c r="K408" s="215">
        <v>0</v>
      </c>
      <c r="L408" s="215">
        <v>0</v>
      </c>
      <c r="M408" s="215">
        <v>0</v>
      </c>
      <c r="N408" s="215">
        <v>0</v>
      </c>
      <c r="O408" s="215">
        <v>0</v>
      </c>
      <c r="P408" s="215">
        <v>0</v>
      </c>
      <c r="Q408" s="215">
        <v>0</v>
      </c>
    </row>
    <row r="409" spans="2:17" x14ac:dyDescent="0.25">
      <c r="B409" s="259">
        <f t="shared" si="6"/>
        <v>0</v>
      </c>
      <c r="D409" s="2" t="s">
        <v>1450</v>
      </c>
      <c r="E409" s="215">
        <v>0</v>
      </c>
      <c r="F409" s="215">
        <v>0</v>
      </c>
      <c r="G409" s="215">
        <v>0</v>
      </c>
      <c r="H409" s="215">
        <v>0</v>
      </c>
      <c r="I409" s="215">
        <v>0</v>
      </c>
      <c r="J409" s="215">
        <v>0</v>
      </c>
      <c r="K409" s="215">
        <v>0</v>
      </c>
      <c r="L409" s="215">
        <v>0</v>
      </c>
      <c r="M409" s="215">
        <v>0</v>
      </c>
      <c r="N409" s="215">
        <v>0</v>
      </c>
      <c r="O409" s="215">
        <v>0</v>
      </c>
      <c r="P409" s="215">
        <v>0</v>
      </c>
      <c r="Q409" s="215">
        <v>0</v>
      </c>
    </row>
    <row r="410" spans="2:17" x14ac:dyDescent="0.25">
      <c r="B410" s="259">
        <f t="shared" si="6"/>
        <v>0</v>
      </c>
      <c r="D410" s="2" t="s">
        <v>1451</v>
      </c>
      <c r="E410" s="215">
        <v>0</v>
      </c>
      <c r="F410" s="215">
        <v>0</v>
      </c>
      <c r="G410" s="215">
        <v>0</v>
      </c>
      <c r="H410" s="215">
        <v>0</v>
      </c>
      <c r="I410" s="215">
        <v>0</v>
      </c>
      <c r="J410" s="215">
        <v>0</v>
      </c>
      <c r="K410" s="215">
        <v>0</v>
      </c>
      <c r="L410" s="215">
        <v>0</v>
      </c>
      <c r="M410" s="215">
        <v>0</v>
      </c>
      <c r="N410" s="215">
        <v>0</v>
      </c>
      <c r="O410" s="215">
        <v>0</v>
      </c>
      <c r="P410" s="215">
        <v>0</v>
      </c>
      <c r="Q410" s="215">
        <v>0</v>
      </c>
    </row>
    <row r="411" spans="2:17" x14ac:dyDescent="0.25">
      <c r="B411" s="259">
        <f t="shared" si="6"/>
        <v>0</v>
      </c>
      <c r="D411" s="2" t="s">
        <v>1452</v>
      </c>
      <c r="E411" s="215">
        <v>0</v>
      </c>
      <c r="F411" s="215">
        <v>0</v>
      </c>
      <c r="G411" s="215">
        <v>0</v>
      </c>
      <c r="H411" s="215">
        <v>0</v>
      </c>
      <c r="I411" s="215">
        <v>0</v>
      </c>
      <c r="J411" s="215">
        <v>0</v>
      </c>
      <c r="K411" s="215">
        <v>0</v>
      </c>
      <c r="L411" s="215">
        <v>0</v>
      </c>
      <c r="M411" s="215">
        <v>0</v>
      </c>
      <c r="N411" s="215">
        <v>0</v>
      </c>
      <c r="O411" s="215">
        <v>0</v>
      </c>
      <c r="P411" s="215">
        <v>0</v>
      </c>
      <c r="Q411" s="215">
        <v>0</v>
      </c>
    </row>
    <row r="412" spans="2:17" x14ac:dyDescent="0.25">
      <c r="B412" s="259">
        <f t="shared" si="6"/>
        <v>0</v>
      </c>
      <c r="D412" s="2" t="s">
        <v>1453</v>
      </c>
      <c r="E412" s="215">
        <v>0</v>
      </c>
      <c r="F412" s="215">
        <v>0</v>
      </c>
      <c r="G412" s="215">
        <v>0</v>
      </c>
      <c r="H412" s="215">
        <v>0</v>
      </c>
      <c r="I412" s="215">
        <v>0</v>
      </c>
      <c r="J412" s="215">
        <v>0</v>
      </c>
      <c r="K412" s="215">
        <v>0</v>
      </c>
      <c r="L412" s="215">
        <v>0</v>
      </c>
      <c r="M412" s="215">
        <v>0</v>
      </c>
      <c r="N412" s="215">
        <v>0</v>
      </c>
      <c r="O412" s="215">
        <v>0</v>
      </c>
      <c r="P412" s="215">
        <v>0</v>
      </c>
      <c r="Q412" s="215">
        <v>0</v>
      </c>
    </row>
    <row r="413" spans="2:17" x14ac:dyDescent="0.25">
      <c r="B413" s="259">
        <f t="shared" si="6"/>
        <v>0</v>
      </c>
      <c r="D413" s="2" t="s">
        <v>1454</v>
      </c>
      <c r="E413" s="215">
        <v>0</v>
      </c>
      <c r="F413" s="215">
        <v>0</v>
      </c>
      <c r="G413" s="215">
        <v>0</v>
      </c>
      <c r="H413" s="215">
        <v>0</v>
      </c>
      <c r="I413" s="215">
        <v>0</v>
      </c>
      <c r="J413" s="215">
        <v>0</v>
      </c>
      <c r="K413" s="215">
        <v>0</v>
      </c>
      <c r="L413" s="215">
        <v>0</v>
      </c>
      <c r="M413" s="215">
        <v>0</v>
      </c>
      <c r="N413" s="215">
        <v>0</v>
      </c>
      <c r="O413" s="215">
        <v>0</v>
      </c>
      <c r="P413" s="215">
        <v>0</v>
      </c>
      <c r="Q413" s="215">
        <v>0</v>
      </c>
    </row>
    <row r="414" spans="2:17" x14ac:dyDescent="0.25">
      <c r="B414" s="259">
        <f t="shared" si="6"/>
        <v>0</v>
      </c>
      <c r="D414" s="2" t="s">
        <v>1455</v>
      </c>
      <c r="E414" s="215">
        <v>0</v>
      </c>
      <c r="F414" s="215">
        <v>0</v>
      </c>
      <c r="G414" s="215">
        <v>0</v>
      </c>
      <c r="H414" s="215">
        <v>0</v>
      </c>
      <c r="I414" s="215">
        <v>0</v>
      </c>
      <c r="J414" s="215">
        <v>0</v>
      </c>
      <c r="K414" s="215">
        <v>0</v>
      </c>
      <c r="L414" s="215">
        <v>0</v>
      </c>
      <c r="M414" s="215">
        <v>0</v>
      </c>
      <c r="N414" s="215">
        <v>0</v>
      </c>
      <c r="O414" s="215">
        <v>0</v>
      </c>
      <c r="P414" s="215">
        <v>0</v>
      </c>
      <c r="Q414" s="215">
        <v>0</v>
      </c>
    </row>
    <row r="415" spans="2:17" x14ac:dyDescent="0.25">
      <c r="B415" s="259">
        <f t="shared" si="6"/>
        <v>0</v>
      </c>
      <c r="D415" s="2" t="s">
        <v>1456</v>
      </c>
      <c r="E415" s="215">
        <v>0</v>
      </c>
      <c r="F415" s="215">
        <v>0</v>
      </c>
      <c r="G415" s="215">
        <v>0</v>
      </c>
      <c r="H415" s="215">
        <v>0</v>
      </c>
      <c r="I415" s="215">
        <v>0</v>
      </c>
      <c r="J415" s="215">
        <v>0</v>
      </c>
      <c r="K415" s="215">
        <v>0</v>
      </c>
      <c r="L415" s="215">
        <v>0</v>
      </c>
      <c r="M415" s="215">
        <v>0</v>
      </c>
      <c r="N415" s="215">
        <v>0</v>
      </c>
      <c r="O415" s="215">
        <v>0</v>
      </c>
      <c r="P415" s="215">
        <v>0</v>
      </c>
      <c r="Q415" s="215">
        <v>0</v>
      </c>
    </row>
    <row r="416" spans="2:17" x14ac:dyDescent="0.25">
      <c r="B416" s="259">
        <f t="shared" si="6"/>
        <v>0</v>
      </c>
      <c r="D416" s="2" t="s">
        <v>1457</v>
      </c>
      <c r="E416" s="215">
        <v>0</v>
      </c>
      <c r="F416" s="215">
        <v>0</v>
      </c>
      <c r="G416" s="215">
        <v>0</v>
      </c>
      <c r="H416" s="215">
        <v>0</v>
      </c>
      <c r="I416" s="215">
        <v>0</v>
      </c>
      <c r="J416" s="215">
        <v>0</v>
      </c>
      <c r="K416" s="215">
        <v>0</v>
      </c>
      <c r="L416" s="215">
        <v>0</v>
      </c>
      <c r="M416" s="215">
        <v>0</v>
      </c>
      <c r="N416" s="215">
        <v>0</v>
      </c>
      <c r="O416" s="215">
        <v>0</v>
      </c>
      <c r="P416" s="215">
        <v>0</v>
      </c>
      <c r="Q416" s="215">
        <v>0</v>
      </c>
    </row>
    <row r="417" spans="2:17" x14ac:dyDescent="0.25">
      <c r="B417" s="259">
        <f t="shared" si="6"/>
        <v>0</v>
      </c>
      <c r="D417" s="2" t="s">
        <v>1458</v>
      </c>
      <c r="E417" s="215">
        <v>0</v>
      </c>
      <c r="F417" s="215">
        <v>0</v>
      </c>
      <c r="G417" s="215">
        <v>0</v>
      </c>
      <c r="H417" s="215">
        <v>0</v>
      </c>
      <c r="I417" s="215">
        <v>0</v>
      </c>
      <c r="J417" s="215">
        <v>0</v>
      </c>
      <c r="K417" s="215">
        <v>0</v>
      </c>
      <c r="L417" s="215">
        <v>0</v>
      </c>
      <c r="M417" s="215">
        <v>0</v>
      </c>
      <c r="N417" s="215">
        <v>0</v>
      </c>
      <c r="O417" s="215">
        <v>0</v>
      </c>
      <c r="P417" s="215">
        <v>0</v>
      </c>
      <c r="Q417" s="215">
        <v>0</v>
      </c>
    </row>
    <row r="418" spans="2:17" x14ac:dyDescent="0.25">
      <c r="B418" s="259">
        <f t="shared" si="6"/>
        <v>0</v>
      </c>
      <c r="D418" s="2" t="s">
        <v>1459</v>
      </c>
      <c r="E418" s="215">
        <v>0</v>
      </c>
      <c r="F418" s="215">
        <v>0</v>
      </c>
      <c r="G418" s="215">
        <v>0</v>
      </c>
      <c r="H418" s="215">
        <v>0</v>
      </c>
      <c r="I418" s="215">
        <v>0</v>
      </c>
      <c r="J418" s="215">
        <v>0</v>
      </c>
      <c r="K418" s="215">
        <v>0</v>
      </c>
      <c r="L418" s="215">
        <v>0</v>
      </c>
      <c r="M418" s="215">
        <v>0</v>
      </c>
      <c r="N418" s="215">
        <v>0</v>
      </c>
      <c r="O418" s="215">
        <v>0</v>
      </c>
      <c r="P418" s="215">
        <v>0</v>
      </c>
      <c r="Q418" s="215">
        <v>0</v>
      </c>
    </row>
    <row r="419" spans="2:17" x14ac:dyDescent="0.25">
      <c r="B419" s="259">
        <f t="shared" si="6"/>
        <v>0</v>
      </c>
      <c r="D419" s="2" t="s">
        <v>1460</v>
      </c>
      <c r="E419" s="215">
        <v>0</v>
      </c>
      <c r="F419" s="215">
        <v>0</v>
      </c>
      <c r="G419" s="215">
        <v>0</v>
      </c>
      <c r="H419" s="215">
        <v>0</v>
      </c>
      <c r="I419" s="215">
        <v>0</v>
      </c>
      <c r="J419" s="215">
        <v>0</v>
      </c>
      <c r="K419" s="215">
        <v>0</v>
      </c>
      <c r="L419" s="215">
        <v>0</v>
      </c>
      <c r="M419" s="215">
        <v>0</v>
      </c>
      <c r="N419" s="215">
        <v>0</v>
      </c>
      <c r="O419" s="215">
        <v>0</v>
      </c>
      <c r="P419" s="215">
        <v>0</v>
      </c>
      <c r="Q419" s="215">
        <v>0</v>
      </c>
    </row>
    <row r="420" spans="2:17" x14ac:dyDescent="0.25">
      <c r="B420" s="259">
        <f t="shared" si="6"/>
        <v>0</v>
      </c>
      <c r="D420" s="2" t="s">
        <v>1461</v>
      </c>
      <c r="E420" s="215">
        <v>0</v>
      </c>
      <c r="F420" s="215">
        <v>0</v>
      </c>
      <c r="G420" s="215">
        <v>0</v>
      </c>
      <c r="H420" s="215">
        <v>0</v>
      </c>
      <c r="I420" s="215">
        <v>0</v>
      </c>
      <c r="J420" s="215">
        <v>0</v>
      </c>
      <c r="K420" s="215">
        <v>0</v>
      </c>
      <c r="L420" s="215">
        <v>0</v>
      </c>
      <c r="M420" s="215">
        <v>0</v>
      </c>
      <c r="N420" s="215">
        <v>0</v>
      </c>
      <c r="O420" s="215">
        <v>0</v>
      </c>
      <c r="P420" s="215">
        <v>0</v>
      </c>
      <c r="Q420" s="215">
        <v>0</v>
      </c>
    </row>
    <row r="421" spans="2:17" x14ac:dyDescent="0.25">
      <c r="B421" s="259">
        <f t="shared" si="6"/>
        <v>0</v>
      </c>
      <c r="D421" s="2" t="s">
        <v>1462</v>
      </c>
      <c r="E421" s="215">
        <v>0</v>
      </c>
      <c r="F421" s="215">
        <v>0</v>
      </c>
      <c r="G421" s="215">
        <v>0</v>
      </c>
      <c r="H421" s="215">
        <v>0</v>
      </c>
      <c r="I421" s="215">
        <v>0</v>
      </c>
      <c r="J421" s="215">
        <v>0</v>
      </c>
      <c r="K421" s="215">
        <v>0</v>
      </c>
      <c r="L421" s="215">
        <v>0</v>
      </c>
      <c r="M421" s="215">
        <v>0</v>
      </c>
      <c r="N421" s="215">
        <v>0</v>
      </c>
      <c r="O421" s="215">
        <v>0</v>
      </c>
      <c r="P421" s="215">
        <v>0</v>
      </c>
      <c r="Q421" s="215">
        <v>0</v>
      </c>
    </row>
    <row r="422" spans="2:17" x14ac:dyDescent="0.25">
      <c r="B422" s="259">
        <f t="shared" si="6"/>
        <v>0</v>
      </c>
      <c r="D422" s="2" t="s">
        <v>1463</v>
      </c>
      <c r="E422" s="215">
        <v>0</v>
      </c>
      <c r="F422" s="215">
        <v>0</v>
      </c>
      <c r="G422" s="215">
        <v>0</v>
      </c>
      <c r="H422" s="215">
        <v>0</v>
      </c>
      <c r="I422" s="215">
        <v>0</v>
      </c>
      <c r="J422" s="215">
        <v>0</v>
      </c>
      <c r="K422" s="215">
        <v>0</v>
      </c>
      <c r="L422" s="215">
        <v>0</v>
      </c>
      <c r="M422" s="215">
        <v>0</v>
      </c>
      <c r="N422" s="215">
        <v>0</v>
      </c>
      <c r="O422" s="215">
        <v>0</v>
      </c>
      <c r="P422" s="215">
        <v>0</v>
      </c>
      <c r="Q422" s="215">
        <v>0</v>
      </c>
    </row>
    <row r="423" spans="2:17" x14ac:dyDescent="0.25">
      <c r="B423" s="259">
        <f t="shared" si="6"/>
        <v>0</v>
      </c>
      <c r="D423" s="2" t="s">
        <v>1464</v>
      </c>
      <c r="E423" s="215">
        <v>0</v>
      </c>
      <c r="F423" s="215">
        <v>0</v>
      </c>
      <c r="G423" s="215">
        <v>0</v>
      </c>
      <c r="H423" s="215">
        <v>0</v>
      </c>
      <c r="I423" s="215">
        <v>0</v>
      </c>
      <c r="J423" s="215">
        <v>0</v>
      </c>
      <c r="K423" s="215">
        <v>0</v>
      </c>
      <c r="L423" s="215">
        <v>0</v>
      </c>
      <c r="M423" s="215">
        <v>0</v>
      </c>
      <c r="N423" s="215">
        <v>0</v>
      </c>
      <c r="O423" s="215">
        <v>0</v>
      </c>
      <c r="P423" s="215">
        <v>0</v>
      </c>
      <c r="Q423" s="215">
        <v>0</v>
      </c>
    </row>
    <row r="424" spans="2:17" x14ac:dyDescent="0.25">
      <c r="B424" s="259">
        <f t="shared" si="6"/>
        <v>0</v>
      </c>
      <c r="D424" s="2" t="s">
        <v>1465</v>
      </c>
      <c r="E424" s="215">
        <v>0</v>
      </c>
      <c r="F424" s="215">
        <v>0</v>
      </c>
      <c r="G424" s="215">
        <v>0</v>
      </c>
      <c r="H424" s="215">
        <v>0</v>
      </c>
      <c r="I424" s="215">
        <v>0</v>
      </c>
      <c r="J424" s="215">
        <v>0</v>
      </c>
      <c r="K424" s="215">
        <v>0</v>
      </c>
      <c r="L424" s="215">
        <v>0</v>
      </c>
      <c r="M424" s="215">
        <v>0</v>
      </c>
      <c r="N424" s="215">
        <v>0</v>
      </c>
      <c r="O424" s="215">
        <v>0</v>
      </c>
      <c r="P424" s="215">
        <v>0</v>
      </c>
      <c r="Q424" s="215">
        <v>0</v>
      </c>
    </row>
    <row r="425" spans="2:17" x14ac:dyDescent="0.25">
      <c r="B425" s="259">
        <f t="shared" si="6"/>
        <v>0</v>
      </c>
      <c r="D425" s="2" t="s">
        <v>1466</v>
      </c>
      <c r="E425" s="215">
        <v>0</v>
      </c>
      <c r="F425" s="215">
        <v>0</v>
      </c>
      <c r="G425" s="215">
        <v>0</v>
      </c>
      <c r="H425" s="215">
        <v>0</v>
      </c>
      <c r="I425" s="215">
        <v>0</v>
      </c>
      <c r="J425" s="215">
        <v>0</v>
      </c>
      <c r="K425" s="215">
        <v>0</v>
      </c>
      <c r="L425" s="215">
        <v>0</v>
      </c>
      <c r="M425" s="215">
        <v>0</v>
      </c>
      <c r="N425" s="215">
        <v>0</v>
      </c>
      <c r="O425" s="215">
        <v>0</v>
      </c>
      <c r="P425" s="215">
        <v>0</v>
      </c>
      <c r="Q425" s="215">
        <v>0</v>
      </c>
    </row>
    <row r="426" spans="2:17" x14ac:dyDescent="0.25">
      <c r="B426" s="259">
        <f t="shared" si="6"/>
        <v>0</v>
      </c>
      <c r="D426" s="2" t="s">
        <v>1467</v>
      </c>
      <c r="E426" s="215">
        <v>0</v>
      </c>
      <c r="F426" s="215">
        <v>0</v>
      </c>
      <c r="G426" s="215">
        <v>0</v>
      </c>
      <c r="H426" s="215">
        <v>0</v>
      </c>
      <c r="I426" s="215">
        <v>0</v>
      </c>
      <c r="J426" s="215">
        <v>0</v>
      </c>
      <c r="K426" s="215">
        <v>0</v>
      </c>
      <c r="L426" s="215">
        <v>0</v>
      </c>
      <c r="M426" s="215">
        <v>0</v>
      </c>
      <c r="N426" s="215">
        <v>0</v>
      </c>
      <c r="O426" s="215">
        <v>0</v>
      </c>
      <c r="P426" s="215">
        <v>0</v>
      </c>
      <c r="Q426" s="215">
        <v>0</v>
      </c>
    </row>
    <row r="427" spans="2:17" x14ac:dyDescent="0.25">
      <c r="B427" s="259">
        <f t="shared" si="6"/>
        <v>0</v>
      </c>
      <c r="D427" s="2" t="s">
        <v>1468</v>
      </c>
      <c r="E427" s="215">
        <v>0</v>
      </c>
      <c r="F427" s="215">
        <v>0</v>
      </c>
      <c r="G427" s="215">
        <v>0</v>
      </c>
      <c r="H427" s="215">
        <v>0</v>
      </c>
      <c r="I427" s="215">
        <v>0</v>
      </c>
      <c r="J427" s="215">
        <v>0</v>
      </c>
      <c r="K427" s="215">
        <v>0</v>
      </c>
      <c r="L427" s="215">
        <v>0</v>
      </c>
      <c r="M427" s="215">
        <v>0</v>
      </c>
      <c r="N427" s="215">
        <v>0</v>
      </c>
      <c r="O427" s="215">
        <v>0</v>
      </c>
      <c r="P427" s="215">
        <v>0</v>
      </c>
      <c r="Q427" s="215">
        <v>0</v>
      </c>
    </row>
    <row r="428" spans="2:17" x14ac:dyDescent="0.25">
      <c r="B428" s="259">
        <f t="shared" si="6"/>
        <v>0</v>
      </c>
      <c r="D428" s="2" t="s">
        <v>1469</v>
      </c>
      <c r="E428" s="215">
        <v>0</v>
      </c>
      <c r="F428" s="215">
        <v>0</v>
      </c>
      <c r="G428" s="215">
        <v>0</v>
      </c>
      <c r="H428" s="215">
        <v>0</v>
      </c>
      <c r="I428" s="215">
        <v>0</v>
      </c>
      <c r="J428" s="215">
        <v>0</v>
      </c>
      <c r="K428" s="215">
        <v>0</v>
      </c>
      <c r="L428" s="215">
        <v>0</v>
      </c>
      <c r="M428" s="215">
        <v>0</v>
      </c>
      <c r="N428" s="215">
        <v>0</v>
      </c>
      <c r="O428" s="215">
        <v>0</v>
      </c>
      <c r="P428" s="215">
        <v>0</v>
      </c>
      <c r="Q428" s="215">
        <v>0</v>
      </c>
    </row>
    <row r="429" spans="2:17" x14ac:dyDescent="0.25">
      <c r="B429" s="259">
        <f t="shared" si="6"/>
        <v>0</v>
      </c>
      <c r="D429" s="2" t="s">
        <v>1470</v>
      </c>
      <c r="E429" s="215">
        <v>0</v>
      </c>
      <c r="F429" s="215">
        <v>0</v>
      </c>
      <c r="G429" s="215">
        <v>0</v>
      </c>
      <c r="H429" s="215">
        <v>0</v>
      </c>
      <c r="I429" s="215">
        <v>0</v>
      </c>
      <c r="J429" s="215">
        <v>0</v>
      </c>
      <c r="K429" s="215">
        <v>0</v>
      </c>
      <c r="L429" s="215">
        <v>0</v>
      </c>
      <c r="M429" s="215">
        <v>0</v>
      </c>
      <c r="N429" s="215">
        <v>0</v>
      </c>
      <c r="O429" s="215">
        <v>0</v>
      </c>
      <c r="P429" s="215">
        <v>0</v>
      </c>
      <c r="Q429" s="215">
        <v>0</v>
      </c>
    </row>
    <row r="430" spans="2:17" x14ac:dyDescent="0.25">
      <c r="B430" s="259">
        <f t="shared" si="6"/>
        <v>0</v>
      </c>
      <c r="D430" s="2" t="s">
        <v>1471</v>
      </c>
      <c r="E430" s="215">
        <v>0</v>
      </c>
      <c r="F430" s="215">
        <v>0</v>
      </c>
      <c r="G430" s="215">
        <v>0</v>
      </c>
      <c r="H430" s="215">
        <v>0</v>
      </c>
      <c r="I430" s="215">
        <v>0</v>
      </c>
      <c r="J430" s="215">
        <v>0</v>
      </c>
      <c r="K430" s="215">
        <v>0</v>
      </c>
      <c r="L430" s="215">
        <v>0</v>
      </c>
      <c r="M430" s="215">
        <v>0</v>
      </c>
      <c r="N430" s="215">
        <v>0</v>
      </c>
      <c r="O430" s="215">
        <v>0</v>
      </c>
      <c r="P430" s="215">
        <v>0</v>
      </c>
      <c r="Q430" s="215">
        <v>0</v>
      </c>
    </row>
    <row r="431" spans="2:17" x14ac:dyDescent="0.25">
      <c r="B431" s="259">
        <f t="shared" si="6"/>
        <v>0</v>
      </c>
      <c r="D431" s="2" t="s">
        <v>1472</v>
      </c>
      <c r="E431" s="215">
        <v>0</v>
      </c>
      <c r="F431" s="215">
        <v>0</v>
      </c>
      <c r="G431" s="215">
        <v>0</v>
      </c>
      <c r="H431" s="215">
        <v>0</v>
      </c>
      <c r="I431" s="215">
        <v>0</v>
      </c>
      <c r="J431" s="215">
        <v>0</v>
      </c>
      <c r="K431" s="215">
        <v>0</v>
      </c>
      <c r="L431" s="215">
        <v>0</v>
      </c>
      <c r="M431" s="215">
        <v>0</v>
      </c>
      <c r="N431" s="215">
        <v>0</v>
      </c>
      <c r="O431" s="215">
        <v>0</v>
      </c>
      <c r="P431" s="215">
        <v>0</v>
      </c>
      <c r="Q431" s="215">
        <v>0</v>
      </c>
    </row>
    <row r="432" spans="2:17" x14ac:dyDescent="0.25">
      <c r="B432" s="259">
        <f t="shared" si="6"/>
        <v>0</v>
      </c>
      <c r="D432" s="2" t="s">
        <v>399</v>
      </c>
      <c r="E432" s="215">
        <v>0</v>
      </c>
      <c r="F432" s="215">
        <v>0</v>
      </c>
      <c r="G432" s="215">
        <v>0</v>
      </c>
      <c r="H432" s="215">
        <v>0</v>
      </c>
      <c r="I432" s="215">
        <v>0</v>
      </c>
      <c r="J432" s="215">
        <v>0</v>
      </c>
      <c r="K432" s="215">
        <v>0</v>
      </c>
      <c r="L432" s="215">
        <v>0</v>
      </c>
      <c r="M432" s="215">
        <v>0</v>
      </c>
      <c r="N432" s="215">
        <v>0</v>
      </c>
      <c r="O432" s="215">
        <v>0</v>
      </c>
      <c r="P432" s="215">
        <v>0</v>
      </c>
      <c r="Q432" s="215">
        <v>0</v>
      </c>
    </row>
    <row r="433" spans="2:17" x14ac:dyDescent="0.25">
      <c r="B433" s="259">
        <f t="shared" si="6"/>
        <v>13023623.093333334</v>
      </c>
      <c r="D433" s="2" t="s">
        <v>401</v>
      </c>
      <c r="E433" s="215">
        <v>79903.81</v>
      </c>
      <c r="F433" s="215">
        <v>79954.289999999994</v>
      </c>
      <c r="G433" s="215">
        <v>50825.24</v>
      </c>
      <c r="H433" s="215">
        <v>77430.03</v>
      </c>
      <c r="I433" s="215">
        <v>80136.17</v>
      </c>
      <c r="J433" s="215">
        <v>77438.01999999999</v>
      </c>
      <c r="K433" s="215">
        <v>77438.01999999999</v>
      </c>
      <c r="L433" s="215">
        <v>77438.01999999999</v>
      </c>
      <c r="M433" s="215">
        <v>77438.01999999999</v>
      </c>
      <c r="N433" s="215">
        <v>44334145.719999999</v>
      </c>
      <c r="O433" s="215">
        <v>44452783.119999997</v>
      </c>
      <c r="P433" s="215">
        <v>44563597.959999993</v>
      </c>
      <c r="Q433" s="215">
        <v>44589801.209999993</v>
      </c>
    </row>
    <row r="434" spans="2:17" x14ac:dyDescent="0.25">
      <c r="B434" s="259">
        <f t="shared" si="6"/>
        <v>2217.5700000000002</v>
      </c>
      <c r="D434" s="2" t="s">
        <v>403</v>
      </c>
      <c r="E434" s="215">
        <v>1952.77</v>
      </c>
      <c r="F434" s="215">
        <v>1952.77</v>
      </c>
      <c r="G434" s="215">
        <v>1952.77</v>
      </c>
      <c r="H434" s="215">
        <v>1952.77</v>
      </c>
      <c r="I434" s="215">
        <v>1952.77</v>
      </c>
      <c r="J434" s="215">
        <v>2376.4499999999998</v>
      </c>
      <c r="K434" s="215">
        <v>2376.4499999999998</v>
      </c>
      <c r="L434" s="215">
        <v>2376.4499999999998</v>
      </c>
      <c r="M434" s="215">
        <v>2376.4499999999998</v>
      </c>
      <c r="N434" s="215">
        <v>2376.4499999999998</v>
      </c>
      <c r="O434" s="215">
        <v>2376.4499999999998</v>
      </c>
      <c r="P434" s="215">
        <v>2376.4499999999998</v>
      </c>
      <c r="Q434" s="215">
        <v>2376.4499999999998</v>
      </c>
    </row>
    <row r="435" spans="2:17" x14ac:dyDescent="0.25">
      <c r="B435" s="259">
        <f t="shared" si="6"/>
        <v>0</v>
      </c>
      <c r="D435" s="2" t="s">
        <v>405</v>
      </c>
      <c r="E435" s="215">
        <v>0</v>
      </c>
      <c r="F435" s="215">
        <v>0</v>
      </c>
      <c r="G435" s="215">
        <v>0</v>
      </c>
      <c r="H435" s="215">
        <v>0</v>
      </c>
      <c r="I435" s="215">
        <v>0</v>
      </c>
      <c r="J435" s="215">
        <v>0</v>
      </c>
      <c r="K435" s="215">
        <v>0</v>
      </c>
      <c r="L435" s="215">
        <v>0</v>
      </c>
      <c r="M435" s="215">
        <v>0</v>
      </c>
      <c r="N435" s="215">
        <v>0</v>
      </c>
      <c r="O435" s="215">
        <v>0</v>
      </c>
      <c r="P435" s="215">
        <v>0</v>
      </c>
      <c r="Q435" s="215">
        <v>0</v>
      </c>
    </row>
    <row r="436" spans="2:17" x14ac:dyDescent="0.25">
      <c r="B436" s="259">
        <f t="shared" si="6"/>
        <v>0</v>
      </c>
      <c r="D436" s="2" t="s">
        <v>1473</v>
      </c>
      <c r="E436" s="215">
        <v>0</v>
      </c>
      <c r="F436" s="215">
        <v>0</v>
      </c>
      <c r="G436" s="215">
        <v>0</v>
      </c>
      <c r="H436" s="215">
        <v>0</v>
      </c>
      <c r="I436" s="215">
        <v>0</v>
      </c>
      <c r="J436" s="215">
        <v>0</v>
      </c>
      <c r="K436" s="215">
        <v>0</v>
      </c>
      <c r="L436" s="215">
        <v>0</v>
      </c>
      <c r="M436" s="215">
        <v>0</v>
      </c>
      <c r="N436" s="215">
        <v>0</v>
      </c>
      <c r="O436" s="215">
        <v>0</v>
      </c>
      <c r="P436" s="215">
        <v>0</v>
      </c>
      <c r="Q436" s="215">
        <v>0</v>
      </c>
    </row>
    <row r="437" spans="2:17" x14ac:dyDescent="0.25">
      <c r="B437" s="259">
        <f t="shared" si="6"/>
        <v>0</v>
      </c>
      <c r="D437" s="2" t="s">
        <v>1474</v>
      </c>
      <c r="E437" s="215">
        <v>0</v>
      </c>
      <c r="F437" s="215">
        <v>0</v>
      </c>
      <c r="G437" s="215">
        <v>0</v>
      </c>
      <c r="H437" s="215">
        <v>0</v>
      </c>
      <c r="I437" s="215">
        <v>0</v>
      </c>
      <c r="J437" s="215">
        <v>0</v>
      </c>
      <c r="K437" s="215">
        <v>0</v>
      </c>
      <c r="L437" s="215">
        <v>0</v>
      </c>
      <c r="M437" s="215">
        <v>0</v>
      </c>
      <c r="N437" s="215">
        <v>0</v>
      </c>
      <c r="O437" s="215">
        <v>0</v>
      </c>
      <c r="P437" s="215">
        <v>0</v>
      </c>
      <c r="Q437" s="215">
        <v>0</v>
      </c>
    </row>
    <row r="438" spans="2:17" x14ac:dyDescent="0.25">
      <c r="B438" s="259">
        <f t="shared" si="6"/>
        <v>41160201.408333324</v>
      </c>
      <c r="D438" s="2" t="s">
        <v>407</v>
      </c>
      <c r="E438" s="215">
        <v>275434.15999999997</v>
      </c>
      <c r="F438" s="215">
        <v>275487.56</v>
      </c>
      <c r="G438" s="215">
        <v>275569.74</v>
      </c>
      <c r="H438" s="215">
        <v>275445.74</v>
      </c>
      <c r="I438" s="215">
        <v>275426.74999999994</v>
      </c>
      <c r="J438" s="215">
        <v>268854.42</v>
      </c>
      <c r="K438" s="215">
        <v>269160.50999999995</v>
      </c>
      <c r="L438" s="215">
        <v>269149.69999999995</v>
      </c>
      <c r="M438" s="215">
        <v>269147.8</v>
      </c>
      <c r="N438" s="215">
        <v>95810922.819999993</v>
      </c>
      <c r="O438" s="215">
        <v>157866849.32999998</v>
      </c>
      <c r="P438" s="215">
        <v>158383072.82999998</v>
      </c>
      <c r="Q438" s="215">
        <v>159091225.23999998</v>
      </c>
    </row>
    <row r="439" spans="2:17" x14ac:dyDescent="0.25">
      <c r="B439" s="259">
        <f t="shared" si="6"/>
        <v>61310.670000000006</v>
      </c>
      <c r="D439" s="2" t="s">
        <v>1475</v>
      </c>
      <c r="E439" s="215">
        <v>61310.669999999991</v>
      </c>
      <c r="F439" s="215">
        <v>61310.669999999991</v>
      </c>
      <c r="G439" s="215">
        <v>61310.669999999991</v>
      </c>
      <c r="H439" s="215">
        <v>61310.669999999991</v>
      </c>
      <c r="I439" s="215">
        <v>61310.669999999991</v>
      </c>
      <c r="J439" s="215">
        <v>61310.669999999991</v>
      </c>
      <c r="K439" s="215">
        <v>61310.669999999991</v>
      </c>
      <c r="L439" s="215">
        <v>61310.669999999991</v>
      </c>
      <c r="M439" s="215">
        <v>61310.669999999991</v>
      </c>
      <c r="N439" s="215">
        <v>61310.669999999991</v>
      </c>
      <c r="O439" s="215">
        <v>61310.669999999991</v>
      </c>
      <c r="P439" s="215">
        <v>61310.669999999991</v>
      </c>
      <c r="Q439" s="215">
        <v>61310.669999999991</v>
      </c>
    </row>
    <row r="440" spans="2:17" x14ac:dyDescent="0.25">
      <c r="B440" s="259">
        <f t="shared" si="6"/>
        <v>6739036.0537500009</v>
      </c>
      <c r="D440" s="2" t="s">
        <v>409</v>
      </c>
      <c r="E440" s="215">
        <v>5099694.42</v>
      </c>
      <c r="F440" s="215">
        <v>5114942.13</v>
      </c>
      <c r="G440" s="215">
        <v>5126009.72</v>
      </c>
      <c r="H440" s="215">
        <v>5137259.1499999994</v>
      </c>
      <c r="I440" s="215">
        <v>5253547.68</v>
      </c>
      <c r="J440" s="215">
        <v>6093622.9100000001</v>
      </c>
      <c r="K440" s="215">
        <v>6818462.9000000004</v>
      </c>
      <c r="L440" s="215">
        <v>6835519.9500000002</v>
      </c>
      <c r="M440" s="215">
        <v>6857500.8600000003</v>
      </c>
      <c r="N440" s="215">
        <v>7846530.5900000008</v>
      </c>
      <c r="O440" s="215">
        <v>7889909.4600000009</v>
      </c>
      <c r="P440" s="215">
        <v>10212889.120000001</v>
      </c>
      <c r="Q440" s="215">
        <v>10264781.93</v>
      </c>
    </row>
    <row r="441" spans="2:17" x14ac:dyDescent="0.25">
      <c r="B441" s="259">
        <f t="shared" si="6"/>
        <v>1650120.3387500001</v>
      </c>
      <c r="D441" s="2" t="s">
        <v>411</v>
      </c>
      <c r="E441" s="215">
        <v>1544834.15</v>
      </c>
      <c r="F441" s="215">
        <v>1555529.44</v>
      </c>
      <c r="G441" s="215">
        <v>1562295.28</v>
      </c>
      <c r="H441" s="215">
        <v>1573310.32</v>
      </c>
      <c r="I441" s="215">
        <v>1603629.12</v>
      </c>
      <c r="J441" s="215">
        <v>1610708.8</v>
      </c>
      <c r="K441" s="215">
        <v>1608574.55</v>
      </c>
      <c r="L441" s="215">
        <v>1616939.0300000003</v>
      </c>
      <c r="M441" s="215">
        <v>1649413.96</v>
      </c>
      <c r="N441" s="215">
        <v>1657735.4700000002</v>
      </c>
      <c r="O441" s="215">
        <v>1664177.6600000001</v>
      </c>
      <c r="P441" s="215">
        <v>1904526.83</v>
      </c>
      <c r="Q441" s="215">
        <v>2044373.06</v>
      </c>
    </row>
    <row r="442" spans="2:17" x14ac:dyDescent="0.25">
      <c r="B442" s="259">
        <f t="shared" si="6"/>
        <v>621031.10625000007</v>
      </c>
      <c r="D442" s="2" t="s">
        <v>413</v>
      </c>
      <c r="E442" s="215">
        <v>475541.9</v>
      </c>
      <c r="F442" s="215">
        <v>618250.49</v>
      </c>
      <c r="G442" s="215">
        <v>620331.29</v>
      </c>
      <c r="H442" s="215">
        <v>622492</v>
      </c>
      <c r="I442" s="215">
        <v>624572.82000000007</v>
      </c>
      <c r="J442" s="215">
        <v>626653.76</v>
      </c>
      <c r="K442" s="215">
        <v>629294.9</v>
      </c>
      <c r="L442" s="215">
        <v>631455.83000000007</v>
      </c>
      <c r="M442" s="215">
        <v>631455.83000000007</v>
      </c>
      <c r="N442" s="215">
        <v>631455.83000000007</v>
      </c>
      <c r="O442" s="215">
        <v>631455.83000000007</v>
      </c>
      <c r="P442" s="215">
        <v>631455.83000000007</v>
      </c>
      <c r="Q442" s="215">
        <v>631455.83000000007</v>
      </c>
    </row>
    <row r="443" spans="2:17" x14ac:dyDescent="0.25">
      <c r="B443" s="259">
        <f t="shared" si="6"/>
        <v>2098930.8129166667</v>
      </c>
      <c r="D443" s="2" t="s">
        <v>1057</v>
      </c>
      <c r="E443" s="215">
        <v>1308320.6600000001</v>
      </c>
      <c r="F443" s="215">
        <v>1315650.5000000002</v>
      </c>
      <c r="G443" s="215">
        <v>1317153.1700000002</v>
      </c>
      <c r="H443" s="215">
        <v>1318891.7700000003</v>
      </c>
      <c r="I443" s="215">
        <v>1319667.2100000002</v>
      </c>
      <c r="J443" s="215">
        <v>1320724.9900000002</v>
      </c>
      <c r="K443" s="215">
        <v>1670421.0500000003</v>
      </c>
      <c r="L443" s="215">
        <v>2864879.5700000003</v>
      </c>
      <c r="M443" s="215">
        <v>2914845.3400000003</v>
      </c>
      <c r="N443" s="215">
        <v>2958573.6900000004</v>
      </c>
      <c r="O443" s="215">
        <v>2966772.2500000005</v>
      </c>
      <c r="P443" s="215">
        <v>3042254.8100000005</v>
      </c>
      <c r="Q443" s="215">
        <v>3046350.1500000004</v>
      </c>
    </row>
    <row r="444" spans="2:17" x14ac:dyDescent="0.25">
      <c r="B444" s="259">
        <f t="shared" si="6"/>
        <v>174.46</v>
      </c>
      <c r="D444" s="2" t="s">
        <v>1476</v>
      </c>
      <c r="E444" s="215">
        <v>174.46</v>
      </c>
      <c r="F444" s="215">
        <v>174.46</v>
      </c>
      <c r="G444" s="215">
        <v>174.46</v>
      </c>
      <c r="H444" s="215">
        <v>174.46</v>
      </c>
      <c r="I444" s="215">
        <v>174.46</v>
      </c>
      <c r="J444" s="215">
        <v>174.46</v>
      </c>
      <c r="K444" s="215">
        <v>174.46</v>
      </c>
      <c r="L444" s="215">
        <v>174.46</v>
      </c>
      <c r="M444" s="215">
        <v>174.46</v>
      </c>
      <c r="N444" s="215">
        <v>174.46</v>
      </c>
      <c r="O444" s="215">
        <v>174.46</v>
      </c>
      <c r="P444" s="215">
        <v>174.46</v>
      </c>
      <c r="Q444" s="215">
        <v>174.46</v>
      </c>
    </row>
    <row r="445" spans="2:17" x14ac:dyDescent="0.25">
      <c r="B445" s="259">
        <f t="shared" si="6"/>
        <v>-14236237.534166669</v>
      </c>
      <c r="D445" s="2" t="s">
        <v>415</v>
      </c>
      <c r="E445" s="215">
        <v>-8593299.5</v>
      </c>
      <c r="F445" s="215">
        <v>-8593299.5</v>
      </c>
      <c r="G445" s="215">
        <v>-8593299.5</v>
      </c>
      <c r="H445" s="215">
        <v>-11833343.34</v>
      </c>
      <c r="I445" s="215">
        <v>-11833343.34</v>
      </c>
      <c r="J445" s="215">
        <v>-11833343.34</v>
      </c>
      <c r="K445" s="215">
        <v>-15071155.710000001</v>
      </c>
      <c r="L445" s="215">
        <v>-15071155.710000001</v>
      </c>
      <c r="M445" s="215">
        <v>-15071155.710000001</v>
      </c>
      <c r="N445" s="215">
        <v>-19020042.870000001</v>
      </c>
      <c r="O445" s="215">
        <v>-19020042.870000001</v>
      </c>
      <c r="P445" s="215">
        <v>-19020042.870000001</v>
      </c>
      <c r="Q445" s="215">
        <v>-23155951.800000001</v>
      </c>
    </row>
    <row r="446" spans="2:17" x14ac:dyDescent="0.25">
      <c r="B446" s="259">
        <f t="shared" si="6"/>
        <v>-85122.235416666605</v>
      </c>
      <c r="D446" s="2" t="s">
        <v>417</v>
      </c>
      <c r="E446" s="215">
        <v>-89137.559999999939</v>
      </c>
      <c r="F446" s="215">
        <v>-88961.559999999939</v>
      </c>
      <c r="G446" s="215">
        <v>-88812.619999999937</v>
      </c>
      <c r="H446" s="215">
        <v>-88636.609999999928</v>
      </c>
      <c r="I446" s="215">
        <v>-88480.149999999936</v>
      </c>
      <c r="J446" s="215">
        <v>-86761.259999999937</v>
      </c>
      <c r="K446" s="215">
        <v>-85662.119999999937</v>
      </c>
      <c r="L446" s="215">
        <v>-82439.269999999931</v>
      </c>
      <c r="M446" s="215">
        <v>-82067.93999999993</v>
      </c>
      <c r="N446" s="215">
        <v>-81794.559999999939</v>
      </c>
      <c r="O446" s="215">
        <v>-81638.089999999938</v>
      </c>
      <c r="P446" s="215">
        <v>-81095.909999999931</v>
      </c>
      <c r="Q446" s="215">
        <v>-81095.909999999931</v>
      </c>
    </row>
    <row r="447" spans="2:17" x14ac:dyDescent="0.25">
      <c r="B447" s="259">
        <f t="shared" si="6"/>
        <v>5749455.7404166656</v>
      </c>
      <c r="D447" s="2" t="s">
        <v>419</v>
      </c>
      <c r="E447" s="215">
        <v>3521762.8099999996</v>
      </c>
      <c r="F447" s="215">
        <v>3786931.61</v>
      </c>
      <c r="G447" s="215">
        <v>4155667.88</v>
      </c>
      <c r="H447" s="215">
        <v>4576308.2999999989</v>
      </c>
      <c r="I447" s="215">
        <v>4889027.63</v>
      </c>
      <c r="J447" s="215">
        <v>5272729.4300000006</v>
      </c>
      <c r="K447" s="215">
        <v>5746395.5999999987</v>
      </c>
      <c r="L447" s="215">
        <v>6132682.1499999985</v>
      </c>
      <c r="M447" s="215">
        <v>6547585.5499999998</v>
      </c>
      <c r="N447" s="215">
        <v>6867079.0199999996</v>
      </c>
      <c r="O447" s="215">
        <v>7350688.0999999987</v>
      </c>
      <c r="P447" s="215">
        <v>7824932.1199999992</v>
      </c>
      <c r="Q447" s="215">
        <v>8165120.1799999988</v>
      </c>
    </row>
    <row r="448" spans="2:17" x14ac:dyDescent="0.25">
      <c r="B448" s="259">
        <f t="shared" si="6"/>
        <v>6411287.4466666626</v>
      </c>
      <c r="D448" s="2" t="s">
        <v>421</v>
      </c>
      <c r="E448" s="215">
        <v>4542952.8</v>
      </c>
      <c r="F448" s="215">
        <v>4042139.8999999994</v>
      </c>
      <c r="G448" s="215">
        <v>4415189.4099999992</v>
      </c>
      <c r="H448" s="215">
        <v>5686150.9999999981</v>
      </c>
      <c r="I448" s="215">
        <v>5300989.2299999986</v>
      </c>
      <c r="J448" s="215">
        <v>5655383.4299999978</v>
      </c>
      <c r="K448" s="215">
        <v>7371400.8999999966</v>
      </c>
      <c r="L448" s="215">
        <v>6454050.4499999955</v>
      </c>
      <c r="M448" s="215">
        <v>6906107.8899999969</v>
      </c>
      <c r="N448" s="215">
        <v>8192658.1899999958</v>
      </c>
      <c r="O448" s="215">
        <v>7668464.9199999962</v>
      </c>
      <c r="P448" s="215">
        <v>8133997.8599999957</v>
      </c>
      <c r="Q448" s="215">
        <v>9674879.5599999968</v>
      </c>
    </row>
    <row r="449" spans="2:17" x14ac:dyDescent="0.25">
      <c r="B449" s="259">
        <f t="shared" si="6"/>
        <v>891190.11125000007</v>
      </c>
      <c r="D449" s="2" t="s">
        <v>423</v>
      </c>
      <c r="E449" s="215">
        <v>600383.66000000015</v>
      </c>
      <c r="F449" s="215">
        <v>658070.77000000025</v>
      </c>
      <c r="G449" s="215">
        <v>687620.05000000016</v>
      </c>
      <c r="H449" s="215">
        <v>736956.76000000024</v>
      </c>
      <c r="I449" s="215">
        <v>774572.31000000017</v>
      </c>
      <c r="J449" s="215">
        <v>805828.44000000018</v>
      </c>
      <c r="K449" s="215">
        <v>896136.30000000016</v>
      </c>
      <c r="L449" s="215">
        <v>911416.80000000016</v>
      </c>
      <c r="M449" s="215">
        <v>974058.85000000021</v>
      </c>
      <c r="N449" s="215">
        <v>1041932.2900000002</v>
      </c>
      <c r="O449" s="215">
        <v>1099987.43</v>
      </c>
      <c r="P449" s="215">
        <v>1185077.28</v>
      </c>
      <c r="Q449" s="215">
        <v>1244864.4500000002</v>
      </c>
    </row>
    <row r="450" spans="2:17" x14ac:dyDescent="0.25">
      <c r="B450" s="259">
        <f t="shared" si="6"/>
        <v>21929471.654583335</v>
      </c>
      <c r="D450" s="2" t="s">
        <v>425</v>
      </c>
      <c r="E450" s="215">
        <v>10989968.02</v>
      </c>
      <c r="F450" s="215">
        <v>12051934.190000001</v>
      </c>
      <c r="G450" s="215">
        <v>14355034.170000002</v>
      </c>
      <c r="H450" s="215">
        <v>14305061.98</v>
      </c>
      <c r="I450" s="215">
        <v>16585121.959999999</v>
      </c>
      <c r="J450" s="215">
        <v>20136917.340000004</v>
      </c>
      <c r="K450" s="215">
        <v>21639731.840000004</v>
      </c>
      <c r="L450" s="215">
        <v>23426354.220000003</v>
      </c>
      <c r="M450" s="215">
        <v>26356828.149999995</v>
      </c>
      <c r="N450" s="215">
        <v>28192347.049999997</v>
      </c>
      <c r="O450" s="215">
        <v>30687676.699999996</v>
      </c>
      <c r="P450" s="215">
        <v>32649490.289999999</v>
      </c>
      <c r="Q450" s="215">
        <v>34544355.910000004</v>
      </c>
    </row>
    <row r="451" spans="2:17" x14ac:dyDescent="0.25">
      <c r="B451" s="259">
        <f t="shared" si="6"/>
        <v>4767219.0637499988</v>
      </c>
      <c r="D451" s="2" t="s">
        <v>427</v>
      </c>
      <c r="E451" s="215">
        <v>3462240.88</v>
      </c>
      <c r="F451" s="215">
        <v>2100667.0999999992</v>
      </c>
      <c r="G451" s="215">
        <v>2499467.7399999993</v>
      </c>
      <c r="H451" s="215">
        <v>4342113.7899999991</v>
      </c>
      <c r="I451" s="215">
        <v>3108917.8199999984</v>
      </c>
      <c r="J451" s="215">
        <v>3525590.9499999993</v>
      </c>
      <c r="K451" s="215">
        <v>5800954.7699999986</v>
      </c>
      <c r="L451" s="215">
        <v>4762741.959999999</v>
      </c>
      <c r="M451" s="215">
        <v>4882195.59</v>
      </c>
      <c r="N451" s="215">
        <v>7437296.9199999999</v>
      </c>
      <c r="O451" s="215">
        <v>6272634.4800000004</v>
      </c>
      <c r="P451" s="215">
        <v>6310309.2199999997</v>
      </c>
      <c r="Q451" s="215">
        <v>8865235.9699999988</v>
      </c>
    </row>
    <row r="452" spans="2:17" x14ac:dyDescent="0.25">
      <c r="B452" s="259">
        <f t="shared" si="6"/>
        <v>22676895.47708334</v>
      </c>
      <c r="D452" s="2" t="s">
        <v>429</v>
      </c>
      <c r="E452" s="215">
        <v>16940601.850000009</v>
      </c>
      <c r="F452" s="215">
        <v>16765973.560000006</v>
      </c>
      <c r="G452" s="215">
        <v>17118756.690000005</v>
      </c>
      <c r="H452" s="215">
        <v>17868279.380000006</v>
      </c>
      <c r="I452" s="215">
        <v>18009227.550000004</v>
      </c>
      <c r="J452" s="215">
        <v>21116572.74000001</v>
      </c>
      <c r="K452" s="215">
        <v>24072428.430000007</v>
      </c>
      <c r="L452" s="215">
        <v>23877708.730000008</v>
      </c>
      <c r="M452" s="215">
        <v>24960574.330000009</v>
      </c>
      <c r="N452" s="215">
        <v>27136349.120000008</v>
      </c>
      <c r="O452" s="215">
        <v>27731710.440000005</v>
      </c>
      <c r="P452" s="215">
        <v>29128030.160000004</v>
      </c>
      <c r="Q452" s="215">
        <v>31733667.340000007</v>
      </c>
    </row>
    <row r="453" spans="2:17" x14ac:dyDescent="0.25">
      <c r="B453" s="259">
        <f t="shared" si="6"/>
        <v>16937534.618333332</v>
      </c>
      <c r="D453" s="2" t="s">
        <v>431</v>
      </c>
      <c r="E453" s="215">
        <v>11437921.839999998</v>
      </c>
      <c r="F453" s="215">
        <v>12248053.420000002</v>
      </c>
      <c r="G453" s="215">
        <v>13012835.880000001</v>
      </c>
      <c r="H453" s="215">
        <v>14074548.27</v>
      </c>
      <c r="I453" s="215">
        <v>14677652.92</v>
      </c>
      <c r="J453" s="215">
        <v>16026360.300000001</v>
      </c>
      <c r="K453" s="215">
        <v>17137827.450000003</v>
      </c>
      <c r="L453" s="215">
        <v>17318197.510000002</v>
      </c>
      <c r="M453" s="215">
        <v>18622642.790000003</v>
      </c>
      <c r="N453" s="215">
        <v>19760979.530000005</v>
      </c>
      <c r="O453" s="215">
        <v>20929730.359999999</v>
      </c>
      <c r="P453" s="215">
        <v>22037006.390000001</v>
      </c>
      <c r="Q453" s="215">
        <v>23371239.360000003</v>
      </c>
    </row>
    <row r="454" spans="2:17" x14ac:dyDescent="0.25">
      <c r="B454" s="259">
        <f t="shared" si="6"/>
        <v>6083045.1699999981</v>
      </c>
      <c r="D454" s="2" t="s">
        <v>433</v>
      </c>
      <c r="E454" s="215">
        <v>6310739.6999999993</v>
      </c>
      <c r="F454" s="215">
        <v>6472117.4899999993</v>
      </c>
      <c r="G454" s="215">
        <v>6475217.1799999988</v>
      </c>
      <c r="H454" s="215">
        <v>6456228.0799999991</v>
      </c>
      <c r="I454" s="215">
        <v>6458921.1999999983</v>
      </c>
      <c r="J454" s="215">
        <v>6821112.3099999987</v>
      </c>
      <c r="K454" s="215">
        <v>5786309.3499999987</v>
      </c>
      <c r="L454" s="215">
        <v>5790865.9499999983</v>
      </c>
      <c r="M454" s="215">
        <v>5723202.8199999984</v>
      </c>
      <c r="N454" s="215">
        <v>5699560.0099999988</v>
      </c>
      <c r="O454" s="215">
        <v>5711205.5799999991</v>
      </c>
      <c r="P454" s="215">
        <v>5703723.2999999989</v>
      </c>
      <c r="Q454" s="215">
        <v>5485417.8399999989</v>
      </c>
    </row>
    <row r="455" spans="2:17" x14ac:dyDescent="0.25">
      <c r="B455" s="259">
        <f t="shared" ref="B455:B518" si="7">(E455+Q455+SUM(F455:P455)*2)/24</f>
        <v>435418.28999999986</v>
      </c>
      <c r="D455" s="2" t="s">
        <v>435</v>
      </c>
      <c r="E455" s="215">
        <v>679501.53999999992</v>
      </c>
      <c r="F455" s="215">
        <v>679597.64999999991</v>
      </c>
      <c r="G455" s="215">
        <v>872286.48999999987</v>
      </c>
      <c r="H455" s="215">
        <v>870676.64999999979</v>
      </c>
      <c r="I455" s="215">
        <v>870676.64999999979</v>
      </c>
      <c r="J455" s="215">
        <v>446348.74999999994</v>
      </c>
      <c r="K455" s="215">
        <v>446348.74999999994</v>
      </c>
      <c r="L455" s="215">
        <v>446348.74999999994</v>
      </c>
      <c r="M455" s="215">
        <v>446348.74999999994</v>
      </c>
      <c r="N455" s="215">
        <v>-55259.080000000089</v>
      </c>
      <c r="O455" s="215">
        <v>-55241.860000000073</v>
      </c>
      <c r="P455" s="215">
        <v>-55241.860000000073</v>
      </c>
      <c r="Q455" s="215">
        <v>-55241.860000000073</v>
      </c>
    </row>
    <row r="456" spans="2:17" x14ac:dyDescent="0.25">
      <c r="B456" s="259">
        <f t="shared" si="7"/>
        <v>0</v>
      </c>
      <c r="D456" s="2" t="s">
        <v>1477</v>
      </c>
      <c r="E456" s="215">
        <v>0</v>
      </c>
      <c r="F456" s="215">
        <v>0</v>
      </c>
      <c r="G456" s="215">
        <v>0</v>
      </c>
      <c r="H456" s="215">
        <v>0</v>
      </c>
      <c r="I456" s="215">
        <v>0</v>
      </c>
      <c r="J456" s="215">
        <v>0</v>
      </c>
      <c r="K456" s="215">
        <v>0</v>
      </c>
      <c r="L456" s="215">
        <v>0</v>
      </c>
      <c r="M456" s="215">
        <v>0</v>
      </c>
      <c r="N456" s="215">
        <v>0</v>
      </c>
      <c r="O456" s="215">
        <v>0</v>
      </c>
      <c r="P456" s="215">
        <v>0</v>
      </c>
      <c r="Q456" s="215">
        <v>0</v>
      </c>
    </row>
    <row r="457" spans="2:17" x14ac:dyDescent="0.25">
      <c r="B457" s="259">
        <f t="shared" si="7"/>
        <v>304051.17541667382</v>
      </c>
      <c r="D457" s="2" t="s">
        <v>437</v>
      </c>
      <c r="E457" s="215">
        <v>-184634.01000000536</v>
      </c>
      <c r="F457" s="215">
        <v>-121167.57000000775</v>
      </c>
      <c r="G457" s="215">
        <v>314368.01000000536</v>
      </c>
      <c r="H457" s="215">
        <v>190225.34999999404</v>
      </c>
      <c r="I457" s="215">
        <v>90565.090000018477</v>
      </c>
      <c r="J457" s="215">
        <v>157053.28000001609</v>
      </c>
      <c r="K457" s="215">
        <v>380659.57999999821</v>
      </c>
      <c r="L457" s="215">
        <v>334430.98000000417</v>
      </c>
      <c r="M457" s="215">
        <v>623356.28000000119</v>
      </c>
      <c r="N457" s="215">
        <v>467232.79000000656</v>
      </c>
      <c r="O457" s="215">
        <v>677771.75000000745</v>
      </c>
      <c r="P457" s="215">
        <v>417628.4600000307</v>
      </c>
      <c r="Q457" s="215">
        <v>417614.22000002861</v>
      </c>
    </row>
    <row r="458" spans="2:17" x14ac:dyDescent="0.25">
      <c r="B458" s="259">
        <f t="shared" si="7"/>
        <v>1971526.1787500696</v>
      </c>
      <c r="D458" s="2" t="s">
        <v>439</v>
      </c>
      <c r="E458" s="215">
        <v>1538250.0800000937</v>
      </c>
      <c r="F458" s="215">
        <v>1589462.100000133</v>
      </c>
      <c r="G458" s="215">
        <v>2001584.9900000973</v>
      </c>
      <c r="H458" s="215">
        <v>2090996.5500000962</v>
      </c>
      <c r="I458" s="215">
        <v>1756975.0700000587</v>
      </c>
      <c r="J458" s="215">
        <v>1850326.1100000557</v>
      </c>
      <c r="K458" s="215">
        <v>1898863.9300000493</v>
      </c>
      <c r="L458" s="215">
        <v>1999091.5800000527</v>
      </c>
      <c r="M458" s="215">
        <v>2126385.7000000533</v>
      </c>
      <c r="N458" s="215">
        <v>1951548.5600000536</v>
      </c>
      <c r="O458" s="215">
        <v>2142289.6600000537</v>
      </c>
      <c r="P458" s="215">
        <v>2229325.4500000537</v>
      </c>
      <c r="Q458" s="215">
        <v>2504678.8100000541</v>
      </c>
    </row>
    <row r="459" spans="2:17" x14ac:dyDescent="0.25">
      <c r="B459" s="259">
        <f t="shared" si="7"/>
        <v>0</v>
      </c>
      <c r="D459" s="2" t="s">
        <v>441</v>
      </c>
      <c r="E459" s="215">
        <v>0</v>
      </c>
      <c r="F459" s="215">
        <v>0</v>
      </c>
      <c r="G459" s="215">
        <v>0</v>
      </c>
      <c r="H459" s="215">
        <v>0</v>
      </c>
      <c r="I459" s="215">
        <v>0</v>
      </c>
      <c r="J459" s="215">
        <v>0</v>
      </c>
      <c r="K459" s="215">
        <v>0</v>
      </c>
      <c r="L459" s="215">
        <v>0</v>
      </c>
      <c r="M459" s="215">
        <v>0</v>
      </c>
      <c r="N459" s="215">
        <v>0</v>
      </c>
      <c r="O459" s="215">
        <v>0</v>
      </c>
      <c r="P459" s="215">
        <v>0</v>
      </c>
      <c r="Q459" s="215">
        <v>0</v>
      </c>
    </row>
    <row r="460" spans="2:17" x14ac:dyDescent="0.25">
      <c r="B460" s="259">
        <f t="shared" si="7"/>
        <v>3985308.5416666665</v>
      </c>
      <c r="D460" s="2" t="s">
        <v>443</v>
      </c>
      <c r="E460" s="215">
        <v>2683766.6299999994</v>
      </c>
      <c r="F460" s="215">
        <v>2749321.9999999995</v>
      </c>
      <c r="G460" s="215">
        <v>2913354.1999999997</v>
      </c>
      <c r="H460" s="215">
        <v>2867095.36</v>
      </c>
      <c r="I460" s="215">
        <v>3092524.44</v>
      </c>
      <c r="J460" s="215">
        <v>3484866.5599999996</v>
      </c>
      <c r="K460" s="215">
        <v>4237975.3999999994</v>
      </c>
      <c r="L460" s="215">
        <v>4217682.2</v>
      </c>
      <c r="M460" s="215">
        <v>4189323.3299999996</v>
      </c>
      <c r="N460" s="215">
        <v>4113249</v>
      </c>
      <c r="O460" s="215">
        <v>5626550.3099999996</v>
      </c>
      <c r="P460" s="215">
        <v>6044293.75</v>
      </c>
      <c r="Q460" s="215">
        <v>5891165.2700000005</v>
      </c>
    </row>
    <row r="461" spans="2:17" x14ac:dyDescent="0.25">
      <c r="B461" s="259">
        <f t="shared" si="7"/>
        <v>20998268.487916663</v>
      </c>
      <c r="D461" s="2" t="s">
        <v>445</v>
      </c>
      <c r="E461" s="215">
        <v>15215794.219999999</v>
      </c>
      <c r="F461" s="215">
        <v>16233981.15</v>
      </c>
      <c r="G461" s="215">
        <v>16474050.779999999</v>
      </c>
      <c r="H461" s="215">
        <v>17684706.420000002</v>
      </c>
      <c r="I461" s="215">
        <v>17856959.969999999</v>
      </c>
      <c r="J461" s="215">
        <v>18048245.779999997</v>
      </c>
      <c r="K461" s="215">
        <v>20331125.32</v>
      </c>
      <c r="L461" s="215">
        <v>22162345.330000002</v>
      </c>
      <c r="M461" s="215">
        <v>24034086.77</v>
      </c>
      <c r="N461" s="215">
        <v>24659197.379999999</v>
      </c>
      <c r="O461" s="215">
        <v>25948916.070000004</v>
      </c>
      <c r="P461" s="215">
        <v>26829422.59</v>
      </c>
      <c r="Q461" s="215">
        <v>28216574.370000001</v>
      </c>
    </row>
    <row r="462" spans="2:17" x14ac:dyDescent="0.25">
      <c r="B462" s="259">
        <f t="shared" si="7"/>
        <v>5067975.2454166664</v>
      </c>
      <c r="D462" s="2" t="s">
        <v>447</v>
      </c>
      <c r="E462" s="215">
        <v>4656066.8699999992</v>
      </c>
      <c r="F462" s="215">
        <v>3842856.75</v>
      </c>
      <c r="G462" s="215">
        <v>3943441.21</v>
      </c>
      <c r="H462" s="215">
        <v>4060162.3999999994</v>
      </c>
      <c r="I462" s="215">
        <v>4403074.79</v>
      </c>
      <c r="J462" s="215">
        <v>5190078.2200000007</v>
      </c>
      <c r="K462" s="215">
        <v>5306303.83</v>
      </c>
      <c r="L462" s="215">
        <v>5377797.4299999997</v>
      </c>
      <c r="M462" s="215">
        <v>5619863.1299999999</v>
      </c>
      <c r="N462" s="215">
        <v>5692717.3499999996</v>
      </c>
      <c r="O462" s="215">
        <v>5698555.3000000007</v>
      </c>
      <c r="P462" s="215">
        <v>5981516.0099999998</v>
      </c>
      <c r="Q462" s="215">
        <v>6742606.1800000006</v>
      </c>
    </row>
    <row r="463" spans="2:17" x14ac:dyDescent="0.25">
      <c r="B463" s="259">
        <f t="shared" si="7"/>
        <v>1169811.8541666667</v>
      </c>
      <c r="D463" s="2" t="s">
        <v>449</v>
      </c>
      <c r="E463" s="215">
        <v>423517.2300000001</v>
      </c>
      <c r="F463" s="215">
        <v>470428.77000000008</v>
      </c>
      <c r="G463" s="215">
        <v>694904.24000000011</v>
      </c>
      <c r="H463" s="215">
        <v>703167.60000000009</v>
      </c>
      <c r="I463" s="215">
        <v>813722.7300000001</v>
      </c>
      <c r="J463" s="215">
        <v>845251.41</v>
      </c>
      <c r="K463" s="215">
        <v>1105081.3700000001</v>
      </c>
      <c r="L463" s="215">
        <v>1099762.26</v>
      </c>
      <c r="M463" s="215">
        <v>1142081.2899999998</v>
      </c>
      <c r="N463" s="215">
        <v>1828602.2799999998</v>
      </c>
      <c r="O463" s="215">
        <v>2020152.1799999997</v>
      </c>
      <c r="P463" s="215">
        <v>2072239.3899999997</v>
      </c>
      <c r="Q463" s="215">
        <v>2061180.2299999997</v>
      </c>
    </row>
    <row r="464" spans="2:17" x14ac:dyDescent="0.25">
      <c r="B464" s="259">
        <f t="shared" si="7"/>
        <v>-156956.60000000003</v>
      </c>
      <c r="D464" s="2" t="s">
        <v>1478</v>
      </c>
      <c r="E464" s="215">
        <v>-156956.6</v>
      </c>
      <c r="F464" s="215">
        <v>-156956.6</v>
      </c>
      <c r="G464" s="215">
        <v>-156956.6</v>
      </c>
      <c r="H464" s="215">
        <v>-156956.6</v>
      </c>
      <c r="I464" s="215">
        <v>-156956.6</v>
      </c>
      <c r="J464" s="215">
        <v>-156956.6</v>
      </c>
      <c r="K464" s="215">
        <v>-156956.6</v>
      </c>
      <c r="L464" s="215">
        <v>-156956.6</v>
      </c>
      <c r="M464" s="215">
        <v>-156956.6</v>
      </c>
      <c r="N464" s="215">
        <v>-156956.6</v>
      </c>
      <c r="O464" s="215">
        <v>-156956.6</v>
      </c>
      <c r="P464" s="215">
        <v>-156956.6</v>
      </c>
      <c r="Q464" s="215">
        <v>-156956.6</v>
      </c>
    </row>
    <row r="465" spans="2:17" x14ac:dyDescent="0.25">
      <c r="B465" s="259">
        <f t="shared" si="7"/>
        <v>212239.24250000005</v>
      </c>
      <c r="D465" s="2" t="s">
        <v>451</v>
      </c>
      <c r="E465" s="215">
        <v>-101800.38999999996</v>
      </c>
      <c r="F465" s="215">
        <v>-73986.699999999968</v>
      </c>
      <c r="G465" s="215">
        <v>-68701.179999999964</v>
      </c>
      <c r="H465" s="215">
        <v>235163.37000000005</v>
      </c>
      <c r="I465" s="215">
        <v>215597.15000000002</v>
      </c>
      <c r="J465" s="215">
        <v>223900.15000000002</v>
      </c>
      <c r="K465" s="215">
        <v>237284.65000000005</v>
      </c>
      <c r="L465" s="215">
        <v>57332.810000000012</v>
      </c>
      <c r="M465" s="215">
        <v>112580.64000000001</v>
      </c>
      <c r="N465" s="215">
        <v>515834.87000000005</v>
      </c>
      <c r="O465" s="215">
        <v>416251.43000000005</v>
      </c>
      <c r="P465" s="215">
        <v>460283.76000000007</v>
      </c>
      <c r="Q465" s="215">
        <v>532460.31000000006</v>
      </c>
    </row>
    <row r="466" spans="2:17" x14ac:dyDescent="0.25">
      <c r="B466" s="259">
        <f t="shared" si="7"/>
        <v>371733.48833333328</v>
      </c>
      <c r="D466" s="2" t="s">
        <v>939</v>
      </c>
      <c r="E466" s="215">
        <v>0</v>
      </c>
      <c r="F466" s="215">
        <v>0</v>
      </c>
      <c r="G466" s="215">
        <v>0</v>
      </c>
      <c r="H466" s="215">
        <v>0</v>
      </c>
      <c r="I466" s="215">
        <v>0</v>
      </c>
      <c r="J466" s="215">
        <v>0</v>
      </c>
      <c r="K466" s="215">
        <v>201288.27</v>
      </c>
      <c r="L466" s="215">
        <v>190357.81999999998</v>
      </c>
      <c r="M466" s="215">
        <v>190357.35</v>
      </c>
      <c r="N466" s="215">
        <v>649227.57999999996</v>
      </c>
      <c r="O466" s="215">
        <v>1284550.78</v>
      </c>
      <c r="P466" s="215">
        <v>1301055.76</v>
      </c>
      <c r="Q466" s="215">
        <v>1287928.6000000001</v>
      </c>
    </row>
    <row r="467" spans="2:17" x14ac:dyDescent="0.25">
      <c r="B467" s="259">
        <f t="shared" si="7"/>
        <v>-1316917.0829166665</v>
      </c>
      <c r="D467" s="2" t="s">
        <v>453</v>
      </c>
      <c r="E467" s="215">
        <v>-1336589.9300000002</v>
      </c>
      <c r="F467" s="215">
        <v>-1336589.9300000002</v>
      </c>
      <c r="G467" s="215">
        <v>-1336589.9300000002</v>
      </c>
      <c r="H467" s="215">
        <v>-1336589.9300000002</v>
      </c>
      <c r="I467" s="215">
        <v>-1336589.9300000002</v>
      </c>
      <c r="J467" s="215">
        <v>-1336589.9300000002</v>
      </c>
      <c r="K467" s="215">
        <v>-1336589.9300000002</v>
      </c>
      <c r="L467" s="215">
        <v>-1336589.9300000002</v>
      </c>
      <c r="M467" s="215">
        <v>-1336589.9300000002</v>
      </c>
      <c r="N467" s="215">
        <v>-1336589.9300000002</v>
      </c>
      <c r="O467" s="215">
        <v>-1336589.9300000002</v>
      </c>
      <c r="P467" s="215">
        <v>-1336589.9300000002</v>
      </c>
      <c r="Q467" s="215">
        <v>-864441.60000000009</v>
      </c>
    </row>
    <row r="468" spans="2:17" x14ac:dyDescent="0.25">
      <c r="B468" s="259">
        <f t="shared" si="7"/>
        <v>1996182.0520833342</v>
      </c>
      <c r="D468" s="2" t="s">
        <v>455</v>
      </c>
      <c r="E468" s="215">
        <v>1989317.7800000003</v>
      </c>
      <c r="F468" s="215">
        <v>1992270.2300000002</v>
      </c>
      <c r="G468" s="215">
        <v>1993802.4600000002</v>
      </c>
      <c r="H468" s="215">
        <v>1994570.6900000002</v>
      </c>
      <c r="I468" s="215">
        <v>1994568.5400000005</v>
      </c>
      <c r="J468" s="215">
        <v>2000578.9600000004</v>
      </c>
      <c r="K468" s="215">
        <v>2000576.9400000004</v>
      </c>
      <c r="L468" s="215">
        <v>1996852.0800000003</v>
      </c>
      <c r="M468" s="215">
        <v>1996852.0800000003</v>
      </c>
      <c r="N468" s="215">
        <v>1996852.0800000003</v>
      </c>
      <c r="O468" s="215">
        <v>1997040.6700000004</v>
      </c>
      <c r="P468" s="215">
        <v>1997040.6700000004</v>
      </c>
      <c r="Q468" s="215">
        <v>1997040.6700000004</v>
      </c>
    </row>
    <row r="469" spans="2:17" x14ac:dyDescent="0.25">
      <c r="B469" s="259">
        <f t="shared" si="7"/>
        <v>235785.49458333338</v>
      </c>
      <c r="D469" s="2" t="s">
        <v>457</v>
      </c>
      <c r="E469" s="215">
        <v>208574.06000000003</v>
      </c>
      <c r="F469" s="215">
        <v>210243.92</v>
      </c>
      <c r="G469" s="215">
        <v>218910.21000000002</v>
      </c>
      <c r="H469" s="215">
        <v>224706.19</v>
      </c>
      <c r="I469" s="215">
        <v>226754.72999999998</v>
      </c>
      <c r="J469" s="215">
        <v>228045.96</v>
      </c>
      <c r="K469" s="215">
        <v>230571.6</v>
      </c>
      <c r="L469" s="215">
        <v>235579.02</v>
      </c>
      <c r="M469" s="215">
        <v>244248.11000000004</v>
      </c>
      <c r="N469" s="215">
        <v>254367.96000000005</v>
      </c>
      <c r="O469" s="215">
        <v>259382.26000000004</v>
      </c>
      <c r="P469" s="215">
        <v>260945.87000000002</v>
      </c>
      <c r="Q469" s="215">
        <v>262766.15000000002</v>
      </c>
    </row>
    <row r="470" spans="2:17" x14ac:dyDescent="0.25">
      <c r="B470" s="259">
        <f t="shared" si="7"/>
        <v>0</v>
      </c>
      <c r="D470" s="2" t="s">
        <v>459</v>
      </c>
      <c r="E470" s="215">
        <v>0</v>
      </c>
      <c r="F470" s="215">
        <v>0</v>
      </c>
      <c r="G470" s="215">
        <v>0</v>
      </c>
      <c r="H470" s="215">
        <v>0</v>
      </c>
      <c r="I470" s="215">
        <v>0</v>
      </c>
      <c r="J470" s="215">
        <v>0</v>
      </c>
      <c r="K470" s="215">
        <v>0</v>
      </c>
      <c r="L470" s="215">
        <v>0</v>
      </c>
      <c r="M470" s="215">
        <v>0</v>
      </c>
      <c r="N470" s="215">
        <v>0</v>
      </c>
      <c r="O470" s="215">
        <v>0</v>
      </c>
      <c r="P470" s="215">
        <v>0</v>
      </c>
      <c r="Q470" s="215">
        <v>0</v>
      </c>
    </row>
    <row r="471" spans="2:17" x14ac:dyDescent="0.25">
      <c r="B471" s="259">
        <f t="shared" si="7"/>
        <v>0</v>
      </c>
      <c r="D471" s="2" t="s">
        <v>1479</v>
      </c>
      <c r="E471" s="215">
        <v>0</v>
      </c>
      <c r="F471" s="215">
        <v>0</v>
      </c>
      <c r="G471" s="215">
        <v>0</v>
      </c>
      <c r="H471" s="215">
        <v>0</v>
      </c>
      <c r="I471" s="215">
        <v>0</v>
      </c>
      <c r="J471" s="215">
        <v>0</v>
      </c>
      <c r="K471" s="215">
        <v>0</v>
      </c>
      <c r="L471" s="215">
        <v>0</v>
      </c>
      <c r="M471" s="215">
        <v>0</v>
      </c>
      <c r="N471" s="215">
        <v>0</v>
      </c>
      <c r="O471" s="215">
        <v>0</v>
      </c>
      <c r="P471" s="215">
        <v>0</v>
      </c>
      <c r="Q471" s="215">
        <v>0</v>
      </c>
    </row>
    <row r="472" spans="2:17" x14ac:dyDescent="0.25">
      <c r="B472" s="259">
        <f t="shared" si="7"/>
        <v>311287.85749999998</v>
      </c>
      <c r="D472" s="2" t="s">
        <v>461</v>
      </c>
      <c r="E472" s="215">
        <v>327481.64</v>
      </c>
      <c r="F472" s="215">
        <v>287900.54000000004</v>
      </c>
      <c r="G472" s="215">
        <v>287900.54000000004</v>
      </c>
      <c r="H472" s="215">
        <v>287900.54000000004</v>
      </c>
      <c r="I472" s="215">
        <v>287900.54000000004</v>
      </c>
      <c r="J472" s="215">
        <v>287900.54000000004</v>
      </c>
      <c r="K472" s="215">
        <v>327600.38</v>
      </c>
      <c r="L472" s="215">
        <v>327600.38</v>
      </c>
      <c r="M472" s="215">
        <v>327600.38</v>
      </c>
      <c r="N472" s="215">
        <v>327600.38</v>
      </c>
      <c r="O472" s="215">
        <v>327600.38</v>
      </c>
      <c r="P472" s="215">
        <v>327600.38</v>
      </c>
      <c r="Q472" s="215">
        <v>333216.98</v>
      </c>
    </row>
    <row r="473" spans="2:17" x14ac:dyDescent="0.25">
      <c r="B473" s="259">
        <f t="shared" si="7"/>
        <v>92371.969999999987</v>
      </c>
      <c r="D473" s="2" t="s">
        <v>1480</v>
      </c>
      <c r="E473" s="215">
        <v>92371.970000000016</v>
      </c>
      <c r="F473" s="215">
        <v>92371.970000000016</v>
      </c>
      <c r="G473" s="215">
        <v>92371.970000000016</v>
      </c>
      <c r="H473" s="215">
        <v>92371.970000000016</v>
      </c>
      <c r="I473" s="215">
        <v>92371.970000000016</v>
      </c>
      <c r="J473" s="215">
        <v>92371.970000000016</v>
      </c>
      <c r="K473" s="215">
        <v>92371.970000000016</v>
      </c>
      <c r="L473" s="215">
        <v>92371.970000000016</v>
      </c>
      <c r="M473" s="215">
        <v>92371.970000000016</v>
      </c>
      <c r="N473" s="215">
        <v>92371.970000000016</v>
      </c>
      <c r="O473" s="215">
        <v>92371.970000000016</v>
      </c>
      <c r="P473" s="215">
        <v>92371.970000000016</v>
      </c>
      <c r="Q473" s="215">
        <v>92371.970000000016</v>
      </c>
    </row>
    <row r="474" spans="2:17" x14ac:dyDescent="0.25">
      <c r="B474" s="259">
        <f t="shared" si="7"/>
        <v>649406.94833333325</v>
      </c>
      <c r="D474" s="2" t="s">
        <v>463</v>
      </c>
      <c r="E474" s="215">
        <v>541599.30000000005</v>
      </c>
      <c r="F474" s="215">
        <v>578339.63</v>
      </c>
      <c r="G474" s="215">
        <v>578339.63</v>
      </c>
      <c r="H474" s="215">
        <v>579128.5199999999</v>
      </c>
      <c r="I474" s="215">
        <v>580356.5</v>
      </c>
      <c r="J474" s="215">
        <v>581669.29999999993</v>
      </c>
      <c r="K474" s="215">
        <v>589564.65999999992</v>
      </c>
      <c r="L474" s="215">
        <v>596016.76</v>
      </c>
      <c r="M474" s="215">
        <v>693632.99</v>
      </c>
      <c r="N474" s="215">
        <v>747487.04</v>
      </c>
      <c r="O474" s="215">
        <v>790195.73</v>
      </c>
      <c r="P474" s="215">
        <v>802863.05999999994</v>
      </c>
      <c r="Q474" s="215">
        <v>808979.82</v>
      </c>
    </row>
    <row r="475" spans="2:17" x14ac:dyDescent="0.25">
      <c r="B475" s="259">
        <f t="shared" si="7"/>
        <v>0</v>
      </c>
      <c r="D475" s="2" t="s">
        <v>1107</v>
      </c>
      <c r="E475" s="215">
        <v>0</v>
      </c>
      <c r="F475" s="215">
        <v>0</v>
      </c>
      <c r="G475" s="215">
        <v>0</v>
      </c>
      <c r="H475" s="215">
        <v>0</v>
      </c>
      <c r="I475" s="215">
        <v>0</v>
      </c>
      <c r="J475" s="215">
        <v>0</v>
      </c>
      <c r="K475" s="215">
        <v>0</v>
      </c>
      <c r="L475" s="215">
        <v>0</v>
      </c>
      <c r="M475" s="215">
        <v>0</v>
      </c>
      <c r="N475" s="215">
        <v>0</v>
      </c>
      <c r="O475" s="215">
        <v>0</v>
      </c>
      <c r="P475" s="215">
        <v>0</v>
      </c>
      <c r="Q475" s="215">
        <v>0</v>
      </c>
    </row>
    <row r="476" spans="2:17" x14ac:dyDescent="0.25">
      <c r="B476" s="259">
        <f t="shared" si="7"/>
        <v>3076216.75</v>
      </c>
      <c r="D476" s="2" t="s">
        <v>465</v>
      </c>
      <c r="E476" s="215">
        <v>1922547.6500000001</v>
      </c>
      <c r="F476" s="215">
        <v>2081623.7799999998</v>
      </c>
      <c r="G476" s="215">
        <v>2224017.6300000004</v>
      </c>
      <c r="H476" s="215">
        <v>2423273.4099999997</v>
      </c>
      <c r="I476" s="215">
        <v>2803390.67</v>
      </c>
      <c r="J476" s="215">
        <v>2935276.76</v>
      </c>
      <c r="K476" s="215">
        <v>3074393.96</v>
      </c>
      <c r="L476" s="215">
        <v>3284383.92</v>
      </c>
      <c r="M476" s="215">
        <v>3385475.74</v>
      </c>
      <c r="N476" s="215">
        <v>3458933.9000000004</v>
      </c>
      <c r="O476" s="215">
        <v>3896558.89</v>
      </c>
      <c r="P476" s="215">
        <v>4165914.9800000004</v>
      </c>
      <c r="Q476" s="215">
        <v>4440167.07</v>
      </c>
    </row>
    <row r="477" spans="2:17" x14ac:dyDescent="0.25">
      <c r="B477" s="259">
        <f t="shared" si="7"/>
        <v>3341514.3891666662</v>
      </c>
      <c r="D477" s="2" t="s">
        <v>467</v>
      </c>
      <c r="E477" s="215">
        <v>2181621.0099999998</v>
      </c>
      <c r="F477" s="215">
        <v>2366196.25</v>
      </c>
      <c r="G477" s="215">
        <v>2476739.46</v>
      </c>
      <c r="H477" s="215">
        <v>2663498.9500000002</v>
      </c>
      <c r="I477" s="215">
        <v>2980918.3600000003</v>
      </c>
      <c r="J477" s="215">
        <v>3204900.13</v>
      </c>
      <c r="K477" s="215">
        <v>3424811.84</v>
      </c>
      <c r="L477" s="215">
        <v>3569311.4400000004</v>
      </c>
      <c r="M477" s="215">
        <v>3812760.59</v>
      </c>
      <c r="N477" s="215">
        <v>3904939.42</v>
      </c>
      <c r="O477" s="215">
        <v>4076135.4299999997</v>
      </c>
      <c r="P477" s="215">
        <v>4285886.3899999997</v>
      </c>
      <c r="Q477" s="215">
        <v>4482527.8099999996</v>
      </c>
    </row>
    <row r="478" spans="2:17" x14ac:dyDescent="0.25">
      <c r="B478" s="259">
        <f t="shared" si="7"/>
        <v>3391591.0187500003</v>
      </c>
      <c r="D478" s="2" t="s">
        <v>469</v>
      </c>
      <c r="E478" s="215">
        <v>2289164.5</v>
      </c>
      <c r="F478" s="215">
        <v>2555604.54</v>
      </c>
      <c r="G478" s="215">
        <v>2554173.3200000003</v>
      </c>
      <c r="H478" s="215">
        <v>2745098.06</v>
      </c>
      <c r="I478" s="215">
        <v>2818648.41</v>
      </c>
      <c r="J478" s="215">
        <v>2895339.01</v>
      </c>
      <c r="K478" s="215">
        <v>3602066.33</v>
      </c>
      <c r="L478" s="215">
        <v>3728689.19</v>
      </c>
      <c r="M478" s="215">
        <v>3753701.79</v>
      </c>
      <c r="N478" s="215">
        <v>4017566.26</v>
      </c>
      <c r="O478" s="215">
        <v>4216509.8699999992</v>
      </c>
      <c r="P478" s="215">
        <v>4336510.8699999992</v>
      </c>
      <c r="Q478" s="215">
        <v>4661204.6499999994</v>
      </c>
    </row>
    <row r="479" spans="2:17" x14ac:dyDescent="0.25">
      <c r="B479" s="259">
        <f t="shared" si="7"/>
        <v>2175332.3041666667</v>
      </c>
      <c r="D479" s="2" t="s">
        <v>471</v>
      </c>
      <c r="E479" s="215">
        <v>1349699.9000000001</v>
      </c>
      <c r="F479" s="215">
        <v>1386455.1199999999</v>
      </c>
      <c r="G479" s="215">
        <v>1499395.5499999998</v>
      </c>
      <c r="H479" s="215">
        <v>1655606.42</v>
      </c>
      <c r="I479" s="215">
        <v>1791946.0199999998</v>
      </c>
      <c r="J479" s="215">
        <v>1880471.78</v>
      </c>
      <c r="K479" s="215">
        <v>2250442.5299999998</v>
      </c>
      <c r="L479" s="215">
        <v>2324086.0099999998</v>
      </c>
      <c r="M479" s="215">
        <v>2370886.91</v>
      </c>
      <c r="N479" s="215">
        <v>2729514.1299999994</v>
      </c>
      <c r="O479" s="215">
        <v>2778826.6799999992</v>
      </c>
      <c r="P479" s="215">
        <v>3055626.9</v>
      </c>
      <c r="Q479" s="215">
        <v>3411759.2999999993</v>
      </c>
    </row>
    <row r="480" spans="2:17" x14ac:dyDescent="0.25">
      <c r="B480" s="259">
        <f t="shared" si="7"/>
        <v>3628635.1687500007</v>
      </c>
      <c r="D480" s="2" t="s">
        <v>473</v>
      </c>
      <c r="E480" s="215">
        <v>2592100.7999999998</v>
      </c>
      <c r="F480" s="215">
        <v>2648785.5500000003</v>
      </c>
      <c r="G480" s="215">
        <v>2650432.7800000003</v>
      </c>
      <c r="H480" s="215">
        <v>2830741.7100000004</v>
      </c>
      <c r="I480" s="215">
        <v>2852507.6700000004</v>
      </c>
      <c r="J480" s="215">
        <v>2876701.72</v>
      </c>
      <c r="K480" s="215">
        <v>2879571.79</v>
      </c>
      <c r="L480" s="215">
        <v>2880120.1500000004</v>
      </c>
      <c r="M480" s="215">
        <v>2880795.5800000005</v>
      </c>
      <c r="N480" s="215">
        <v>3319438.43</v>
      </c>
      <c r="O480" s="215">
        <v>3429474.98</v>
      </c>
      <c r="P480" s="215">
        <v>8546252.5</v>
      </c>
      <c r="Q480" s="215">
        <v>8905497.5300000012</v>
      </c>
    </row>
    <row r="481" spans="2:17" x14ac:dyDescent="0.25">
      <c r="B481" s="259">
        <f t="shared" si="7"/>
        <v>32843694.638333347</v>
      </c>
      <c r="D481" s="2" t="s">
        <v>475</v>
      </c>
      <c r="E481" s="215">
        <v>21769469.100000001</v>
      </c>
      <c r="F481" s="215">
        <v>24347858.770000003</v>
      </c>
      <c r="G481" s="215">
        <v>26179402.890000004</v>
      </c>
      <c r="H481" s="215">
        <v>28292311.590000004</v>
      </c>
      <c r="I481" s="215">
        <v>29900918.360000003</v>
      </c>
      <c r="J481" s="215">
        <v>31284454.890000008</v>
      </c>
      <c r="K481" s="215">
        <v>32901796.230000008</v>
      </c>
      <c r="L481" s="215">
        <v>33803713.050000012</v>
      </c>
      <c r="M481" s="215">
        <v>35635051.20000001</v>
      </c>
      <c r="N481" s="215">
        <v>37185374.210000016</v>
      </c>
      <c r="O481" s="215">
        <v>39679682.190000013</v>
      </c>
      <c r="P481" s="215">
        <v>41812835.56000001</v>
      </c>
      <c r="Q481" s="215">
        <v>44432404.340000011</v>
      </c>
    </row>
    <row r="482" spans="2:17" x14ac:dyDescent="0.25">
      <c r="B482" s="259">
        <f t="shared" si="7"/>
        <v>35245985.888749994</v>
      </c>
      <c r="D482" s="2" t="s">
        <v>477</v>
      </c>
      <c r="E482" s="215">
        <v>23428162.73</v>
      </c>
      <c r="F482" s="215">
        <v>24880566.209999997</v>
      </c>
      <c r="G482" s="215">
        <v>26038463.619999997</v>
      </c>
      <c r="H482" s="215">
        <v>27740386.289999995</v>
      </c>
      <c r="I482" s="215">
        <v>29407329.369999997</v>
      </c>
      <c r="J482" s="215">
        <v>31508632.539999999</v>
      </c>
      <c r="K482" s="215">
        <v>33740899.039999999</v>
      </c>
      <c r="L482" s="215">
        <v>35757710.789999999</v>
      </c>
      <c r="M482" s="215">
        <v>39321787.529999994</v>
      </c>
      <c r="N482" s="215">
        <v>42503970.810000002</v>
      </c>
      <c r="O482" s="215">
        <v>46570615.399999999</v>
      </c>
      <c r="P482" s="215">
        <v>48565391.57</v>
      </c>
      <c r="Q482" s="215">
        <v>50403992.259999998</v>
      </c>
    </row>
    <row r="483" spans="2:17" x14ac:dyDescent="0.25">
      <c r="B483" s="259">
        <f t="shared" si="7"/>
        <v>4117382.3358333339</v>
      </c>
      <c r="D483" s="2" t="s">
        <v>479</v>
      </c>
      <c r="E483" s="215">
        <v>2425364.87</v>
      </c>
      <c r="F483" s="215">
        <v>2679923.9500000002</v>
      </c>
      <c r="G483" s="215">
        <v>2749706.62</v>
      </c>
      <c r="H483" s="215">
        <v>3017571.67</v>
      </c>
      <c r="I483" s="215">
        <v>3613243.37</v>
      </c>
      <c r="J483" s="215">
        <v>4017433.8200000003</v>
      </c>
      <c r="K483" s="215">
        <v>4174599.29</v>
      </c>
      <c r="L483" s="215">
        <v>4386376.9200000009</v>
      </c>
      <c r="M483" s="215">
        <v>4514102.21</v>
      </c>
      <c r="N483" s="215">
        <v>4765738.7000000011</v>
      </c>
      <c r="O483" s="215">
        <v>5158290.9200000009</v>
      </c>
      <c r="P483" s="215">
        <v>5951249.8900000006</v>
      </c>
      <c r="Q483" s="215">
        <v>6335336.4700000007</v>
      </c>
    </row>
    <row r="484" spans="2:17" x14ac:dyDescent="0.25">
      <c r="B484" s="259">
        <f t="shared" si="7"/>
        <v>8999290.3587500025</v>
      </c>
      <c r="D484" s="2" t="s">
        <v>481</v>
      </c>
      <c r="E484" s="215">
        <v>5670839.3100000005</v>
      </c>
      <c r="F484" s="215">
        <v>6125256.3799999999</v>
      </c>
      <c r="G484" s="215">
        <v>6676426.5199999996</v>
      </c>
      <c r="H484" s="215">
        <v>7231670.1699999999</v>
      </c>
      <c r="I484" s="215">
        <v>7670067.3899999997</v>
      </c>
      <c r="J484" s="215">
        <v>8344565.6799999997</v>
      </c>
      <c r="K484" s="215">
        <v>8978784.2300000004</v>
      </c>
      <c r="L484" s="215">
        <v>9243989.7200000007</v>
      </c>
      <c r="M484" s="215">
        <v>10375040.090000002</v>
      </c>
      <c r="N484" s="215">
        <v>11108346.180000002</v>
      </c>
      <c r="O484" s="215">
        <v>11537652.359999998</v>
      </c>
      <c r="P484" s="215">
        <v>11849971.590000002</v>
      </c>
      <c r="Q484" s="215">
        <v>12028588.680000002</v>
      </c>
    </row>
    <row r="485" spans="2:17" x14ac:dyDescent="0.25">
      <c r="B485" s="259">
        <f t="shared" si="7"/>
        <v>-25407.86375</v>
      </c>
      <c r="D485" s="2" t="s">
        <v>483</v>
      </c>
      <c r="E485" s="215">
        <v>-20729.980000000003</v>
      </c>
      <c r="F485" s="215">
        <v>-20503.800000000003</v>
      </c>
      <c r="G485" s="215">
        <v>-20503.800000000003</v>
      </c>
      <c r="H485" s="215">
        <v>-28016.370000000003</v>
      </c>
      <c r="I485" s="215">
        <v>-28016.370000000003</v>
      </c>
      <c r="J485" s="215">
        <v>-26540.91</v>
      </c>
      <c r="K485" s="215">
        <v>-26540.91</v>
      </c>
      <c r="L485" s="215">
        <v>-26540.91</v>
      </c>
      <c r="M485" s="215">
        <v>-26540.91</v>
      </c>
      <c r="N485" s="215">
        <v>-26092.97</v>
      </c>
      <c r="O485" s="215">
        <v>-26092.97</v>
      </c>
      <c r="P485" s="215">
        <v>-26092.97</v>
      </c>
      <c r="Q485" s="215">
        <v>-26092.97</v>
      </c>
    </row>
    <row r="486" spans="2:17" x14ac:dyDescent="0.25">
      <c r="B486" s="259">
        <f t="shared" si="7"/>
        <v>5031545.6291666664</v>
      </c>
      <c r="D486" s="2" t="s">
        <v>485</v>
      </c>
      <c r="E486" s="215">
        <v>3939999.06</v>
      </c>
      <c r="F486" s="215">
        <v>3753426.3899999997</v>
      </c>
      <c r="G486" s="215">
        <v>4157377.8</v>
      </c>
      <c r="H486" s="215">
        <v>4193683.7</v>
      </c>
      <c r="I486" s="215">
        <v>4307122.42</v>
      </c>
      <c r="J486" s="215">
        <v>4364542.42</v>
      </c>
      <c r="K486" s="215">
        <v>4521514.67</v>
      </c>
      <c r="L486" s="215">
        <v>4550836.4600000009</v>
      </c>
      <c r="M486" s="215">
        <v>5897997.6100000013</v>
      </c>
      <c r="N486" s="215">
        <v>5991626.1500000013</v>
      </c>
      <c r="O486" s="215">
        <v>6658414.4700000007</v>
      </c>
      <c r="P486" s="215">
        <v>6668600.7800000003</v>
      </c>
      <c r="Q486" s="215">
        <v>6686810.3000000017</v>
      </c>
    </row>
    <row r="487" spans="2:17" x14ac:dyDescent="0.25">
      <c r="B487" s="259">
        <f t="shared" si="7"/>
        <v>9133.4854166666682</v>
      </c>
      <c r="D487" s="2" t="s">
        <v>941</v>
      </c>
      <c r="E487" s="215">
        <v>0</v>
      </c>
      <c r="F487" s="215">
        <v>0</v>
      </c>
      <c r="G487" s="215">
        <v>0</v>
      </c>
      <c r="H487" s="215">
        <v>0</v>
      </c>
      <c r="I487" s="215">
        <v>0</v>
      </c>
      <c r="J487" s="215">
        <v>0</v>
      </c>
      <c r="K487" s="215">
        <v>0</v>
      </c>
      <c r="L487" s="215">
        <v>0</v>
      </c>
      <c r="M487" s="215">
        <v>0</v>
      </c>
      <c r="N487" s="215">
        <v>0</v>
      </c>
      <c r="O487" s="215">
        <v>43840.73</v>
      </c>
      <c r="P487" s="215">
        <v>43840.73</v>
      </c>
      <c r="Q487" s="215">
        <v>43840.73</v>
      </c>
    </row>
    <row r="488" spans="2:17" x14ac:dyDescent="0.25">
      <c r="B488" s="259">
        <f t="shared" si="7"/>
        <v>538797.11708333332</v>
      </c>
      <c r="D488" s="2" t="s">
        <v>487</v>
      </c>
      <c r="E488" s="215">
        <v>431779.32999999996</v>
      </c>
      <c r="F488" s="215">
        <v>431779.32999999996</v>
      </c>
      <c r="G488" s="215">
        <v>431779.32999999996</v>
      </c>
      <c r="H488" s="215">
        <v>431779.32999999996</v>
      </c>
      <c r="I488" s="215">
        <v>446492.39</v>
      </c>
      <c r="J488" s="215">
        <v>479527.37999999995</v>
      </c>
      <c r="K488" s="215">
        <v>505799.10999999993</v>
      </c>
      <c r="L488" s="215">
        <v>578301.52999999991</v>
      </c>
      <c r="M488" s="215">
        <v>579398.62999999989</v>
      </c>
      <c r="N488" s="215">
        <v>603468.24</v>
      </c>
      <c r="O488" s="215">
        <v>688406.54999999993</v>
      </c>
      <c r="P488" s="215">
        <v>714843.17999999993</v>
      </c>
      <c r="Q488" s="215">
        <v>716201.48</v>
      </c>
    </row>
    <row r="489" spans="2:17" x14ac:dyDescent="0.25">
      <c r="B489" s="259">
        <f t="shared" si="7"/>
        <v>29832678.267499994</v>
      </c>
      <c r="D489" s="2" t="s">
        <v>489</v>
      </c>
      <c r="E489" s="215">
        <v>22024212.32</v>
      </c>
      <c r="F489" s="215">
        <v>23888362.82</v>
      </c>
      <c r="G489" s="215">
        <v>25609582.699999999</v>
      </c>
      <c r="H489" s="215">
        <v>26310374.800000001</v>
      </c>
      <c r="I489" s="215">
        <v>26829581.32</v>
      </c>
      <c r="J489" s="215">
        <v>28095543.549999993</v>
      </c>
      <c r="K489" s="215">
        <v>30648380.249999996</v>
      </c>
      <c r="L489" s="215">
        <v>31770341.199999996</v>
      </c>
      <c r="M489" s="215">
        <v>32918146.379999995</v>
      </c>
      <c r="N489" s="215">
        <v>34236439.269999996</v>
      </c>
      <c r="O489" s="215">
        <v>34381209.030000001</v>
      </c>
      <c r="P489" s="215">
        <v>34698734.339999996</v>
      </c>
      <c r="Q489" s="215">
        <v>35186674.779999994</v>
      </c>
    </row>
    <row r="490" spans="2:17" x14ac:dyDescent="0.25">
      <c r="B490" s="259">
        <f t="shared" si="7"/>
        <v>14841293.470833337</v>
      </c>
      <c r="D490" s="2" t="s">
        <v>491</v>
      </c>
      <c r="E490" s="215">
        <v>5476195.0900000008</v>
      </c>
      <c r="F490" s="215">
        <v>5572626.3900000006</v>
      </c>
      <c r="G490" s="215">
        <v>6450975.2800000003</v>
      </c>
      <c r="H490" s="215">
        <v>7250636.7800000021</v>
      </c>
      <c r="I490" s="215">
        <v>9061552.6700000018</v>
      </c>
      <c r="J490" s="215">
        <v>11590022.220000001</v>
      </c>
      <c r="K490" s="215">
        <v>14106704.250000002</v>
      </c>
      <c r="L490" s="215">
        <v>15416342.490000002</v>
      </c>
      <c r="M490" s="215">
        <v>18803162.490000006</v>
      </c>
      <c r="N490" s="215">
        <v>20081159.600000005</v>
      </c>
      <c r="O490" s="215">
        <v>24291752.710000005</v>
      </c>
      <c r="P490" s="215">
        <v>26770103.360000007</v>
      </c>
      <c r="Q490" s="215">
        <v>31924771.730000008</v>
      </c>
    </row>
    <row r="491" spans="2:17" x14ac:dyDescent="0.25">
      <c r="B491" s="259">
        <f t="shared" si="7"/>
        <v>57.850000000000016</v>
      </c>
      <c r="D491" s="2" t="s">
        <v>1481</v>
      </c>
      <c r="E491" s="215">
        <v>57.85</v>
      </c>
      <c r="F491" s="215">
        <v>57.85</v>
      </c>
      <c r="G491" s="215">
        <v>57.85</v>
      </c>
      <c r="H491" s="215">
        <v>57.85</v>
      </c>
      <c r="I491" s="215">
        <v>57.85</v>
      </c>
      <c r="J491" s="215">
        <v>57.85</v>
      </c>
      <c r="K491" s="215">
        <v>57.85</v>
      </c>
      <c r="L491" s="215">
        <v>57.85</v>
      </c>
      <c r="M491" s="215">
        <v>57.85</v>
      </c>
      <c r="N491" s="215">
        <v>57.85</v>
      </c>
      <c r="O491" s="215">
        <v>57.85</v>
      </c>
      <c r="P491" s="215">
        <v>57.85</v>
      </c>
      <c r="Q491" s="215">
        <v>57.85</v>
      </c>
    </row>
    <row r="492" spans="2:17" x14ac:dyDescent="0.25">
      <c r="B492" s="259">
        <f t="shared" si="7"/>
        <v>336479.67250000004</v>
      </c>
      <c r="D492" s="2" t="s">
        <v>493</v>
      </c>
      <c r="E492" s="215">
        <v>0</v>
      </c>
      <c r="F492" s="215">
        <v>0</v>
      </c>
      <c r="G492" s="215">
        <v>9529.9700000000012</v>
      </c>
      <c r="H492" s="215">
        <v>9529.9700000000012</v>
      </c>
      <c r="I492" s="215">
        <v>9529.9700000000012</v>
      </c>
      <c r="J492" s="215">
        <v>9529.9700000000012</v>
      </c>
      <c r="K492" s="215">
        <v>9529.9700000000012</v>
      </c>
      <c r="L492" s="215">
        <v>9529.9700000000012</v>
      </c>
      <c r="M492" s="215">
        <v>9529.9700000000012</v>
      </c>
      <c r="N492" s="215">
        <v>9529.9700000000012</v>
      </c>
      <c r="O492" s="215">
        <v>9529.9700000000012</v>
      </c>
      <c r="P492" s="215">
        <v>9529.9700000000012</v>
      </c>
      <c r="Q492" s="215">
        <v>7884912.7400000012</v>
      </c>
    </row>
    <row r="493" spans="2:17" x14ac:dyDescent="0.25">
      <c r="B493" s="259">
        <f t="shared" si="7"/>
        <v>7371382.0795833319</v>
      </c>
      <c r="D493" s="2" t="s">
        <v>495</v>
      </c>
      <c r="E493" s="215">
        <v>6293675.3299999991</v>
      </c>
      <c r="F493" s="215">
        <v>6335199.4299999988</v>
      </c>
      <c r="G493" s="215">
        <v>6337038.0299999993</v>
      </c>
      <c r="H493" s="215">
        <v>6330998.3599999994</v>
      </c>
      <c r="I493" s="215">
        <v>6332191.879999999</v>
      </c>
      <c r="J493" s="215">
        <v>6303662.9499999993</v>
      </c>
      <c r="K493" s="215">
        <v>8268515.3599999994</v>
      </c>
      <c r="L493" s="215">
        <v>8244191.2199999988</v>
      </c>
      <c r="M493" s="215">
        <v>8243239.629999999</v>
      </c>
      <c r="N493" s="215">
        <v>8246328.4299999997</v>
      </c>
      <c r="O493" s="215">
        <v>8246360.71</v>
      </c>
      <c r="P493" s="215">
        <v>8298997.29</v>
      </c>
      <c r="Q493" s="215">
        <v>8246048</v>
      </c>
    </row>
    <row r="494" spans="2:17" x14ac:dyDescent="0.25">
      <c r="B494" s="259">
        <f t="shared" si="7"/>
        <v>12973705.247499997</v>
      </c>
      <c r="D494" s="2" t="s">
        <v>497</v>
      </c>
      <c r="E494" s="215">
        <v>10545496.859999999</v>
      </c>
      <c r="F494" s="215">
        <v>10772629.149999999</v>
      </c>
      <c r="G494" s="215">
        <v>10831818.379999997</v>
      </c>
      <c r="H494" s="215">
        <v>11043327.049999999</v>
      </c>
      <c r="I494" s="215">
        <v>12419463.619999997</v>
      </c>
      <c r="J494" s="215">
        <v>12475967.729999999</v>
      </c>
      <c r="K494" s="215">
        <v>12481938.389999999</v>
      </c>
      <c r="L494" s="215">
        <v>12484230.299999999</v>
      </c>
      <c r="M494" s="215">
        <v>15019825.469999999</v>
      </c>
      <c r="N494" s="215">
        <v>15099894.34</v>
      </c>
      <c r="O494" s="215">
        <v>15120308.699999999</v>
      </c>
      <c r="P494" s="215">
        <v>15103545.02</v>
      </c>
      <c r="Q494" s="215">
        <v>15117532.779999999</v>
      </c>
    </row>
    <row r="495" spans="2:17" x14ac:dyDescent="0.25">
      <c r="B495" s="259">
        <f t="shared" si="7"/>
        <v>10707822.53125</v>
      </c>
      <c r="D495" s="2" t="s">
        <v>499</v>
      </c>
      <c r="E495" s="215">
        <v>8456216.1699999999</v>
      </c>
      <c r="F495" s="215">
        <v>8587689.8000000007</v>
      </c>
      <c r="G495" s="215">
        <v>9007644.1600000001</v>
      </c>
      <c r="H495" s="215">
        <v>8866929.9000000022</v>
      </c>
      <c r="I495" s="215">
        <v>8827432.9100000001</v>
      </c>
      <c r="J495" s="215">
        <v>8847858.290000001</v>
      </c>
      <c r="K495" s="215">
        <v>8853668.3200000003</v>
      </c>
      <c r="L495" s="215">
        <v>8872821.5500000007</v>
      </c>
      <c r="M495" s="215">
        <v>12714292.509999998</v>
      </c>
      <c r="N495" s="215">
        <v>12835565.629999999</v>
      </c>
      <c r="O495" s="215">
        <v>12860469.26</v>
      </c>
      <c r="P495" s="215">
        <v>12870878.68</v>
      </c>
      <c r="Q495" s="215">
        <v>22241022.560000002</v>
      </c>
    </row>
    <row r="496" spans="2:17" x14ac:dyDescent="0.25">
      <c r="B496" s="259">
        <f t="shared" si="7"/>
        <v>16604.340416666666</v>
      </c>
      <c r="D496" s="2" t="s">
        <v>943</v>
      </c>
      <c r="E496" s="215">
        <v>0</v>
      </c>
      <c r="F496" s="215">
        <v>0</v>
      </c>
      <c r="G496" s="215">
        <v>0</v>
      </c>
      <c r="H496" s="215">
        <v>0</v>
      </c>
      <c r="I496" s="215">
        <v>0</v>
      </c>
      <c r="J496" s="215">
        <v>0</v>
      </c>
      <c r="K496" s="215">
        <v>0</v>
      </c>
      <c r="L496" s="215">
        <v>0</v>
      </c>
      <c r="M496" s="215">
        <v>0</v>
      </c>
      <c r="N496" s="215">
        <v>0</v>
      </c>
      <c r="O496" s="215">
        <v>0</v>
      </c>
      <c r="P496" s="215">
        <v>131679.5</v>
      </c>
      <c r="Q496" s="215">
        <v>135145.16999999998</v>
      </c>
    </row>
    <row r="497" spans="2:17" x14ac:dyDescent="0.25">
      <c r="B497" s="259">
        <f t="shared" si="7"/>
        <v>4599754.279583334</v>
      </c>
      <c r="D497" s="2" t="s">
        <v>501</v>
      </c>
      <c r="E497" s="215">
        <v>2853195.3200000003</v>
      </c>
      <c r="F497" s="215">
        <v>3031565.7900000005</v>
      </c>
      <c r="G497" s="215">
        <v>3160644.8100000005</v>
      </c>
      <c r="H497" s="215">
        <v>4015792.99</v>
      </c>
      <c r="I497" s="215">
        <v>4232842.16</v>
      </c>
      <c r="J497" s="215">
        <v>4409013.0600000005</v>
      </c>
      <c r="K497" s="215">
        <v>4822674.12</v>
      </c>
      <c r="L497" s="215">
        <v>4879085.12</v>
      </c>
      <c r="M497" s="215">
        <v>5061938.9400000004</v>
      </c>
      <c r="N497" s="215">
        <v>5537549.0700000003</v>
      </c>
      <c r="O497" s="215">
        <v>5727084.5300000003</v>
      </c>
      <c r="P497" s="215">
        <v>5921145.0499999998</v>
      </c>
      <c r="Q497" s="215">
        <v>5942236.1100000003</v>
      </c>
    </row>
    <row r="498" spans="2:17" x14ac:dyDescent="0.25">
      <c r="B498" s="259">
        <f t="shared" si="7"/>
        <v>155988.56000000003</v>
      </c>
      <c r="D498" s="2" t="s">
        <v>1482</v>
      </c>
      <c r="E498" s="215">
        <v>155988.56</v>
      </c>
      <c r="F498" s="215">
        <v>155988.56</v>
      </c>
      <c r="G498" s="215">
        <v>155988.56</v>
      </c>
      <c r="H498" s="215">
        <v>155988.56</v>
      </c>
      <c r="I498" s="215">
        <v>155988.56</v>
      </c>
      <c r="J498" s="215">
        <v>155988.56</v>
      </c>
      <c r="K498" s="215">
        <v>155988.56</v>
      </c>
      <c r="L498" s="215">
        <v>155988.56</v>
      </c>
      <c r="M498" s="215">
        <v>155988.56</v>
      </c>
      <c r="N498" s="215">
        <v>155988.56</v>
      </c>
      <c r="O498" s="215">
        <v>155988.56</v>
      </c>
      <c r="P498" s="215">
        <v>155988.56</v>
      </c>
      <c r="Q498" s="215">
        <v>155988.56</v>
      </c>
    </row>
    <row r="499" spans="2:17" x14ac:dyDescent="0.25">
      <c r="B499" s="259">
        <f t="shared" si="7"/>
        <v>17481134.520833332</v>
      </c>
      <c r="D499" s="2" t="s">
        <v>503</v>
      </c>
      <c r="E499" s="215">
        <v>12084798.299999997</v>
      </c>
      <c r="F499" s="215">
        <v>12448380.439999998</v>
      </c>
      <c r="G499" s="215">
        <v>12667930.899999999</v>
      </c>
      <c r="H499" s="215">
        <v>12892784.019999996</v>
      </c>
      <c r="I499" s="215">
        <v>13010712.069999998</v>
      </c>
      <c r="J499" s="215">
        <v>13143254.869999999</v>
      </c>
      <c r="K499" s="215">
        <v>13879109.399999997</v>
      </c>
      <c r="L499" s="215">
        <v>14600686.139999999</v>
      </c>
      <c r="M499" s="215">
        <v>17819373.789999999</v>
      </c>
      <c r="N499" s="215">
        <v>24115029.199999996</v>
      </c>
      <c r="O499" s="215">
        <v>26533107.909999996</v>
      </c>
      <c r="P499" s="215">
        <v>27189972.919999994</v>
      </c>
      <c r="Q499" s="215">
        <v>30861746.879999995</v>
      </c>
    </row>
    <row r="500" spans="2:17" x14ac:dyDescent="0.25">
      <c r="B500" s="259">
        <f t="shared" si="7"/>
        <v>1932615.1454166665</v>
      </c>
      <c r="D500" s="2" t="s">
        <v>505</v>
      </c>
      <c r="E500" s="215">
        <v>1448819.9</v>
      </c>
      <c r="F500" s="215">
        <v>1542068.69</v>
      </c>
      <c r="G500" s="215">
        <v>1585192.7099999997</v>
      </c>
      <c r="H500" s="215">
        <v>1695417.93</v>
      </c>
      <c r="I500" s="215">
        <v>1726079.1099999999</v>
      </c>
      <c r="J500" s="215">
        <v>1842718.1699999997</v>
      </c>
      <c r="K500" s="215">
        <v>1837222.2799999998</v>
      </c>
      <c r="L500" s="215">
        <v>1896607.0499999996</v>
      </c>
      <c r="M500" s="215">
        <v>1991377.0099999995</v>
      </c>
      <c r="N500" s="215">
        <v>2152708.2699999996</v>
      </c>
      <c r="O500" s="215">
        <v>2357892.2999999993</v>
      </c>
      <c r="P500" s="215">
        <v>2460149.5899999994</v>
      </c>
      <c r="Q500" s="215">
        <v>2759077.3699999992</v>
      </c>
    </row>
    <row r="501" spans="2:17" x14ac:dyDescent="0.25">
      <c r="B501" s="259">
        <f t="shared" si="7"/>
        <v>2685698.6766666672</v>
      </c>
      <c r="D501" s="2" t="s">
        <v>507</v>
      </c>
      <c r="E501" s="215">
        <v>1518266.2999999998</v>
      </c>
      <c r="F501" s="215">
        <v>1595294.5</v>
      </c>
      <c r="G501" s="215">
        <v>1666552.6099999999</v>
      </c>
      <c r="H501" s="215">
        <v>1759222.26</v>
      </c>
      <c r="I501" s="215">
        <v>1859849.6099999999</v>
      </c>
      <c r="J501" s="215">
        <v>1948828.32</v>
      </c>
      <c r="K501" s="215">
        <v>1995325.93</v>
      </c>
      <c r="L501" s="215">
        <v>2062077.11</v>
      </c>
      <c r="M501" s="215">
        <v>2183268.3200000003</v>
      </c>
      <c r="N501" s="215">
        <v>2421355.5</v>
      </c>
      <c r="O501" s="215">
        <v>3812161.7600000002</v>
      </c>
      <c r="P501" s="215">
        <v>4127055.96</v>
      </c>
      <c r="Q501" s="215">
        <v>12076518.18</v>
      </c>
    </row>
    <row r="502" spans="2:17" x14ac:dyDescent="0.25">
      <c r="B502" s="259">
        <f t="shared" si="7"/>
        <v>892.18000000000018</v>
      </c>
      <c r="D502" s="2" t="s">
        <v>509</v>
      </c>
      <c r="E502" s="215">
        <v>892.18</v>
      </c>
      <c r="F502" s="215">
        <v>892.18</v>
      </c>
      <c r="G502" s="215">
        <v>892.18</v>
      </c>
      <c r="H502" s="215">
        <v>892.18</v>
      </c>
      <c r="I502" s="215">
        <v>892.18</v>
      </c>
      <c r="J502" s="215">
        <v>892.18</v>
      </c>
      <c r="K502" s="215">
        <v>892.18</v>
      </c>
      <c r="L502" s="215">
        <v>892.18</v>
      </c>
      <c r="M502" s="215">
        <v>892.18</v>
      </c>
      <c r="N502" s="215">
        <v>892.18</v>
      </c>
      <c r="O502" s="215">
        <v>892.18</v>
      </c>
      <c r="P502" s="215">
        <v>892.18</v>
      </c>
      <c r="Q502" s="215">
        <v>892.18</v>
      </c>
    </row>
    <row r="503" spans="2:17" x14ac:dyDescent="0.25">
      <c r="B503" s="259">
        <f t="shared" si="7"/>
        <v>151128.66750000001</v>
      </c>
      <c r="D503" s="2" t="s">
        <v>511</v>
      </c>
      <c r="E503" s="215">
        <v>28219.919999999998</v>
      </c>
      <c r="F503" s="215">
        <v>28219.919999999998</v>
      </c>
      <c r="G503" s="215">
        <v>168687.06</v>
      </c>
      <c r="H503" s="215">
        <v>168687.06</v>
      </c>
      <c r="I503" s="215">
        <v>168687.06</v>
      </c>
      <c r="J503" s="215">
        <v>168687.06</v>
      </c>
      <c r="K503" s="215">
        <v>168687.06</v>
      </c>
      <c r="L503" s="215">
        <v>168687.06</v>
      </c>
      <c r="M503" s="215">
        <v>168687.06</v>
      </c>
      <c r="N503" s="215">
        <v>168687.06</v>
      </c>
      <c r="O503" s="215">
        <v>168687.06</v>
      </c>
      <c r="P503" s="215">
        <v>168687.06</v>
      </c>
      <c r="Q503" s="215">
        <v>168687.06</v>
      </c>
    </row>
    <row r="504" spans="2:17" x14ac:dyDescent="0.25">
      <c r="B504" s="259">
        <f t="shared" si="7"/>
        <v>0</v>
      </c>
      <c r="D504" s="2" t="s">
        <v>513</v>
      </c>
      <c r="E504" s="215">
        <v>0</v>
      </c>
      <c r="F504" s="215">
        <v>0</v>
      </c>
      <c r="G504" s="215">
        <v>0</v>
      </c>
      <c r="H504" s="215">
        <v>0</v>
      </c>
      <c r="I504" s="215">
        <v>0</v>
      </c>
      <c r="J504" s="215">
        <v>0</v>
      </c>
      <c r="K504" s="215">
        <v>0</v>
      </c>
      <c r="L504" s="215">
        <v>0</v>
      </c>
      <c r="M504" s="215">
        <v>0</v>
      </c>
      <c r="N504" s="215">
        <v>0</v>
      </c>
      <c r="O504" s="215">
        <v>0</v>
      </c>
      <c r="P504" s="215">
        <v>0</v>
      </c>
      <c r="Q504" s="215">
        <v>0</v>
      </c>
    </row>
    <row r="505" spans="2:17" x14ac:dyDescent="0.25">
      <c r="B505" s="259">
        <f t="shared" si="7"/>
        <v>655494.64291666669</v>
      </c>
      <c r="D505" s="2" t="s">
        <v>515</v>
      </c>
      <c r="E505" s="215">
        <v>524.01</v>
      </c>
      <c r="F505" s="215">
        <v>593.42000000000019</v>
      </c>
      <c r="G505" s="215">
        <v>348362.36000000004</v>
      </c>
      <c r="H505" s="215">
        <v>655311.63</v>
      </c>
      <c r="I505" s="215">
        <v>672863.03</v>
      </c>
      <c r="J505" s="215">
        <v>613567.07000000007</v>
      </c>
      <c r="K505" s="215">
        <v>616537.80999999994</v>
      </c>
      <c r="L505" s="215">
        <v>616830.37000000011</v>
      </c>
      <c r="M505" s="215">
        <v>1015861.0399999999</v>
      </c>
      <c r="N505" s="215">
        <v>950876.75</v>
      </c>
      <c r="O505" s="215">
        <v>941779.83</v>
      </c>
      <c r="P505" s="215">
        <v>954720.90999999992</v>
      </c>
      <c r="Q505" s="215">
        <v>956738.98</v>
      </c>
    </row>
    <row r="506" spans="2:17" x14ac:dyDescent="0.25">
      <c r="B506" s="259">
        <f t="shared" si="7"/>
        <v>1341948.1083333336</v>
      </c>
      <c r="D506" s="2" t="s">
        <v>519</v>
      </c>
      <c r="E506" s="215">
        <v>1321999.83</v>
      </c>
      <c r="F506" s="215">
        <v>1322060.1400000001</v>
      </c>
      <c r="G506" s="215">
        <v>1327396.92</v>
      </c>
      <c r="H506" s="215">
        <v>1364255.5599999998</v>
      </c>
      <c r="I506" s="215">
        <v>1374219.23</v>
      </c>
      <c r="J506" s="215">
        <v>1374863.0900000003</v>
      </c>
      <c r="K506" s="215">
        <v>1334550.6200000001</v>
      </c>
      <c r="L506" s="215">
        <v>1334684.1700000002</v>
      </c>
      <c r="M506" s="215">
        <v>1335344.55</v>
      </c>
      <c r="N506" s="215">
        <v>1339763.7500000002</v>
      </c>
      <c r="O506" s="215">
        <v>1331929.8900000001</v>
      </c>
      <c r="P506" s="215">
        <v>1331929.8900000001</v>
      </c>
      <c r="Q506" s="215">
        <v>1342759.1500000001</v>
      </c>
    </row>
    <row r="507" spans="2:17" x14ac:dyDescent="0.25">
      <c r="B507" s="259">
        <f t="shared" si="7"/>
        <v>8700909.3137500007</v>
      </c>
      <c r="D507" s="2" t="s">
        <v>521</v>
      </c>
      <c r="E507" s="215">
        <v>2591543.2200000002</v>
      </c>
      <c r="F507" s="215">
        <v>5930487.4400000004</v>
      </c>
      <c r="G507" s="215">
        <v>5923698.6000000006</v>
      </c>
      <c r="H507" s="215">
        <v>9102539.8800000008</v>
      </c>
      <c r="I507" s="215">
        <v>9128934.2500000019</v>
      </c>
      <c r="J507" s="215">
        <v>9128397.6100000013</v>
      </c>
      <c r="K507" s="215">
        <v>9128691.0899999999</v>
      </c>
      <c r="L507" s="215">
        <v>9155670.3100000005</v>
      </c>
      <c r="M507" s="215">
        <v>9148310.8599999994</v>
      </c>
      <c r="N507" s="215">
        <v>9148323.5600000005</v>
      </c>
      <c r="O507" s="215">
        <v>9148417.2999999989</v>
      </c>
      <c r="P507" s="215">
        <v>9148823.9700000007</v>
      </c>
      <c r="Q507" s="215">
        <v>18045690.57</v>
      </c>
    </row>
    <row r="508" spans="2:17" x14ac:dyDescent="0.25">
      <c r="B508" s="259">
        <f t="shared" si="7"/>
        <v>589402.80208333337</v>
      </c>
      <c r="D508" s="2" t="s">
        <v>523</v>
      </c>
      <c r="E508" s="215">
        <v>147919.03</v>
      </c>
      <c r="F508" s="215">
        <v>147892.19</v>
      </c>
      <c r="G508" s="215">
        <v>155021.28</v>
      </c>
      <c r="H508" s="215">
        <v>194389.06</v>
      </c>
      <c r="I508" s="215">
        <v>213168.96000000002</v>
      </c>
      <c r="J508" s="215">
        <v>755967.85</v>
      </c>
      <c r="K508" s="215">
        <v>772714.89999999991</v>
      </c>
      <c r="L508" s="215">
        <v>796326.19000000006</v>
      </c>
      <c r="M508" s="215">
        <v>816627.84000000008</v>
      </c>
      <c r="N508" s="215">
        <v>858138.91</v>
      </c>
      <c r="O508" s="215">
        <v>889591.69000000006</v>
      </c>
      <c r="P508" s="215">
        <v>922949.33000000019</v>
      </c>
      <c r="Q508" s="215">
        <v>952171.82000000018</v>
      </c>
    </row>
    <row r="509" spans="2:17" x14ac:dyDescent="0.25">
      <c r="B509" s="259">
        <f t="shared" si="7"/>
        <v>787818.55000000016</v>
      </c>
      <c r="D509" s="2" t="s">
        <v>525</v>
      </c>
      <c r="E509" s="215">
        <v>620338.9</v>
      </c>
      <c r="F509" s="215">
        <v>676342.26</v>
      </c>
      <c r="G509" s="215">
        <v>666457.05000000005</v>
      </c>
      <c r="H509" s="215">
        <v>720527.18000000017</v>
      </c>
      <c r="I509" s="215">
        <v>785537.52000000014</v>
      </c>
      <c r="J509" s="215">
        <v>797280.94000000006</v>
      </c>
      <c r="K509" s="215">
        <v>808803.2300000001</v>
      </c>
      <c r="L509" s="215">
        <v>827926.25000000012</v>
      </c>
      <c r="M509" s="215">
        <v>814641.07000000007</v>
      </c>
      <c r="N509" s="215">
        <v>860029.13000000012</v>
      </c>
      <c r="O509" s="215">
        <v>861202.3600000001</v>
      </c>
      <c r="P509" s="215">
        <v>877252.07000000007</v>
      </c>
      <c r="Q509" s="215">
        <v>895308.18</v>
      </c>
    </row>
    <row r="510" spans="2:17" x14ac:dyDescent="0.25">
      <c r="B510" s="259">
        <f t="shared" si="7"/>
        <v>0</v>
      </c>
      <c r="D510" s="2" t="s">
        <v>1483</v>
      </c>
      <c r="E510" s="215">
        <v>0</v>
      </c>
      <c r="F510" s="215">
        <v>0</v>
      </c>
      <c r="G510" s="215">
        <v>0</v>
      </c>
      <c r="H510" s="215">
        <v>0</v>
      </c>
      <c r="I510" s="215">
        <v>0</v>
      </c>
      <c r="J510" s="215">
        <v>0</v>
      </c>
      <c r="K510" s="215">
        <v>0</v>
      </c>
      <c r="L510" s="215">
        <v>0</v>
      </c>
      <c r="M510" s="215">
        <v>0</v>
      </c>
      <c r="N510" s="215">
        <v>0</v>
      </c>
      <c r="O510" s="215">
        <v>0</v>
      </c>
      <c r="P510" s="215">
        <v>0</v>
      </c>
      <c r="Q510" s="215">
        <v>0</v>
      </c>
    </row>
    <row r="511" spans="2:17" x14ac:dyDescent="0.25">
      <c r="B511" s="259">
        <f t="shared" si="7"/>
        <v>5980651.0091666663</v>
      </c>
      <c r="D511" s="2" t="s">
        <v>527</v>
      </c>
      <c r="E511" s="215">
        <v>3985067.6399999997</v>
      </c>
      <c r="F511" s="215">
        <v>4362273.96</v>
      </c>
      <c r="G511" s="215">
        <v>4500729</v>
      </c>
      <c r="H511" s="215">
        <v>4875600.7799999993</v>
      </c>
      <c r="I511" s="215">
        <v>5302791.26</v>
      </c>
      <c r="J511" s="215">
        <v>5615411.3399999999</v>
      </c>
      <c r="K511" s="215">
        <v>5912590.5599999996</v>
      </c>
      <c r="L511" s="215">
        <v>6151125.0099999998</v>
      </c>
      <c r="M511" s="215">
        <v>6537326.2599999998</v>
      </c>
      <c r="N511" s="215">
        <v>6998414.3499999996</v>
      </c>
      <c r="O511" s="215">
        <v>7554826.4300000006</v>
      </c>
      <c r="P511" s="215">
        <v>7862219.3900000006</v>
      </c>
      <c r="Q511" s="215">
        <v>8203939.9000000004</v>
      </c>
    </row>
    <row r="512" spans="2:17" x14ac:dyDescent="0.25">
      <c r="B512" s="259">
        <f t="shared" si="7"/>
        <v>20474.341250000001</v>
      </c>
      <c r="D512" s="2" t="s">
        <v>529</v>
      </c>
      <c r="E512" s="215">
        <v>6439.6200000000008</v>
      </c>
      <c r="F512" s="215">
        <v>16252.53</v>
      </c>
      <c r="G512" s="215">
        <v>17638.150000000001</v>
      </c>
      <c r="H512" s="215">
        <v>17638.150000000001</v>
      </c>
      <c r="I512" s="215">
        <v>20830.080000000002</v>
      </c>
      <c r="J512" s="215">
        <v>21086.690000000002</v>
      </c>
      <c r="K512" s="215">
        <v>21086.690000000002</v>
      </c>
      <c r="L512" s="215">
        <v>21086.690000000002</v>
      </c>
      <c r="M512" s="215">
        <v>21086.690000000002</v>
      </c>
      <c r="N512" s="215">
        <v>21086.690000000002</v>
      </c>
      <c r="O512" s="215">
        <v>21086.690000000002</v>
      </c>
      <c r="P512" s="215">
        <v>21086.690000000002</v>
      </c>
      <c r="Q512" s="215">
        <v>45013.090000000004</v>
      </c>
    </row>
    <row r="513" spans="2:17" x14ac:dyDescent="0.25">
      <c r="B513" s="259">
        <f t="shared" si="7"/>
        <v>10254.73</v>
      </c>
      <c r="D513" s="2" t="s">
        <v>531</v>
      </c>
      <c r="E513" s="215">
        <v>10254.730000000001</v>
      </c>
      <c r="F513" s="215">
        <v>10254.730000000001</v>
      </c>
      <c r="G513" s="215">
        <v>10254.730000000001</v>
      </c>
      <c r="H513" s="215">
        <v>10254.730000000001</v>
      </c>
      <c r="I513" s="215">
        <v>10254.730000000001</v>
      </c>
      <c r="J513" s="215">
        <v>10254.730000000001</v>
      </c>
      <c r="K513" s="215">
        <v>10254.730000000001</v>
      </c>
      <c r="L513" s="215">
        <v>10254.730000000001</v>
      </c>
      <c r="M513" s="215">
        <v>10254.730000000001</v>
      </c>
      <c r="N513" s="215">
        <v>10254.730000000001</v>
      </c>
      <c r="O513" s="215">
        <v>10254.730000000001</v>
      </c>
      <c r="P513" s="215">
        <v>10254.730000000001</v>
      </c>
      <c r="Q513" s="215">
        <v>10254.730000000001</v>
      </c>
    </row>
    <row r="514" spans="2:17" x14ac:dyDescent="0.25">
      <c r="B514" s="259">
        <f t="shared" si="7"/>
        <v>6853356.6195833338</v>
      </c>
      <c r="D514" s="2" t="s">
        <v>533</v>
      </c>
      <c r="E514" s="215">
        <v>4453627.45</v>
      </c>
      <c r="F514" s="215">
        <v>4531733.1300000008</v>
      </c>
      <c r="G514" s="215">
        <v>4632161.0000000009</v>
      </c>
      <c r="H514" s="215">
        <v>4933633.03</v>
      </c>
      <c r="I514" s="215">
        <v>5669863.3100000005</v>
      </c>
      <c r="J514" s="215">
        <v>5790686.4800000004</v>
      </c>
      <c r="K514" s="215">
        <v>6204722.1300000008</v>
      </c>
      <c r="L514" s="215">
        <v>6605232.3600000003</v>
      </c>
      <c r="M514" s="215">
        <v>7509288.8800000008</v>
      </c>
      <c r="N514" s="215">
        <v>8674395.4699999988</v>
      </c>
      <c r="O514" s="215">
        <v>9569220.8200000003</v>
      </c>
      <c r="P514" s="215">
        <v>10373052.35</v>
      </c>
      <c r="Q514" s="215">
        <v>11038953.5</v>
      </c>
    </row>
    <row r="515" spans="2:17" x14ac:dyDescent="0.25">
      <c r="B515" s="259">
        <f t="shared" si="7"/>
        <v>11452599.356666664</v>
      </c>
      <c r="D515" s="2" t="s">
        <v>535</v>
      </c>
      <c r="E515" s="215">
        <v>5863709.6199999992</v>
      </c>
      <c r="F515" s="215">
        <v>7824778.629999999</v>
      </c>
      <c r="G515" s="215">
        <v>9527918.2299999986</v>
      </c>
      <c r="H515" s="215">
        <v>10983004.549999999</v>
      </c>
      <c r="I515" s="215">
        <v>11408559.029999999</v>
      </c>
      <c r="J515" s="215">
        <v>11476881.029999997</v>
      </c>
      <c r="K515" s="215">
        <v>11599993.869999999</v>
      </c>
      <c r="L515" s="215">
        <v>11653003.469999997</v>
      </c>
      <c r="M515" s="215">
        <v>12037066.379999999</v>
      </c>
      <c r="N515" s="215">
        <v>12537676.309999999</v>
      </c>
      <c r="O515" s="215">
        <v>12706125.829999998</v>
      </c>
      <c r="P515" s="215">
        <v>13842244.609999999</v>
      </c>
      <c r="Q515" s="215">
        <v>17804171.059999999</v>
      </c>
    </row>
    <row r="516" spans="2:17" x14ac:dyDescent="0.25">
      <c r="B516" s="259">
        <f t="shared" si="7"/>
        <v>7033122.5791666666</v>
      </c>
      <c r="D516" s="2" t="s">
        <v>537</v>
      </c>
      <c r="E516" s="215">
        <v>6160077.0700000003</v>
      </c>
      <c r="F516" s="215">
        <v>6972829.7100000009</v>
      </c>
      <c r="G516" s="215">
        <v>6972927.790000001</v>
      </c>
      <c r="H516" s="215">
        <v>6984586.0800000001</v>
      </c>
      <c r="I516" s="215">
        <v>6984586.0800000001</v>
      </c>
      <c r="J516" s="215">
        <v>6984586.0800000001</v>
      </c>
      <c r="K516" s="215">
        <v>7124222.9199999999</v>
      </c>
      <c r="L516" s="215">
        <v>7124222.9199999999</v>
      </c>
      <c r="M516" s="215">
        <v>7124222.9199999999</v>
      </c>
      <c r="N516" s="215">
        <v>7124222.9199999999</v>
      </c>
      <c r="O516" s="215">
        <v>7124222.9199999999</v>
      </c>
      <c r="P516" s="215">
        <v>7197868.0500000007</v>
      </c>
      <c r="Q516" s="215">
        <v>7197868.0500000007</v>
      </c>
    </row>
    <row r="517" spans="2:17" x14ac:dyDescent="0.25">
      <c r="B517" s="259">
        <f t="shared" si="7"/>
        <v>146151.60666666672</v>
      </c>
      <c r="D517" s="2" t="s">
        <v>539</v>
      </c>
      <c r="E517" s="215">
        <v>46436.770000000004</v>
      </c>
      <c r="F517" s="215">
        <v>46436.770000000004</v>
      </c>
      <c r="G517" s="215">
        <v>160323.07000000004</v>
      </c>
      <c r="H517" s="215">
        <v>160323.07000000004</v>
      </c>
      <c r="I517" s="215">
        <v>160323.07000000004</v>
      </c>
      <c r="J517" s="215">
        <v>160323.07000000004</v>
      </c>
      <c r="K517" s="215">
        <v>160323.07000000004</v>
      </c>
      <c r="L517" s="215">
        <v>160323.07000000004</v>
      </c>
      <c r="M517" s="215">
        <v>160323.07000000004</v>
      </c>
      <c r="N517" s="215">
        <v>160323.07000000004</v>
      </c>
      <c r="O517" s="215">
        <v>160323.07000000004</v>
      </c>
      <c r="P517" s="215">
        <v>160323.07000000004</v>
      </c>
      <c r="Q517" s="215">
        <v>161866.85</v>
      </c>
    </row>
    <row r="518" spans="2:17" x14ac:dyDescent="0.25">
      <c r="B518" s="259">
        <f t="shared" si="7"/>
        <v>0</v>
      </c>
      <c r="D518" s="2" t="s">
        <v>541</v>
      </c>
      <c r="E518" s="215">
        <v>0</v>
      </c>
      <c r="F518" s="215">
        <v>0</v>
      </c>
      <c r="G518" s="215">
        <v>0</v>
      </c>
      <c r="H518" s="215">
        <v>0</v>
      </c>
      <c r="I518" s="215">
        <v>0</v>
      </c>
      <c r="J518" s="215">
        <v>0</v>
      </c>
      <c r="K518" s="215">
        <v>0</v>
      </c>
      <c r="L518" s="215">
        <v>0</v>
      </c>
      <c r="M518" s="215">
        <v>0</v>
      </c>
      <c r="N518" s="215">
        <v>0</v>
      </c>
      <c r="O518" s="215">
        <v>0</v>
      </c>
      <c r="P518" s="215">
        <v>0</v>
      </c>
      <c r="Q518" s="215">
        <v>0</v>
      </c>
    </row>
    <row r="519" spans="2:17" x14ac:dyDescent="0.25">
      <c r="B519" s="259">
        <f t="shared" ref="B519:B582" si="8">(E519+Q519+SUM(F519:P519)*2)/24</f>
        <v>9386.6879166666677</v>
      </c>
      <c r="D519" s="2" t="s">
        <v>1059</v>
      </c>
      <c r="E519" s="215">
        <v>0</v>
      </c>
      <c r="F519" s="215">
        <v>0</v>
      </c>
      <c r="G519" s="215">
        <v>0</v>
      </c>
      <c r="H519" s="215">
        <v>0</v>
      </c>
      <c r="I519" s="215">
        <v>0</v>
      </c>
      <c r="J519" s="215">
        <v>0</v>
      </c>
      <c r="K519" s="215">
        <v>0</v>
      </c>
      <c r="L519" s="215">
        <v>0</v>
      </c>
      <c r="M519" s="215">
        <v>0</v>
      </c>
      <c r="N519" s="215">
        <v>0</v>
      </c>
      <c r="O519" s="215">
        <v>44881.71</v>
      </c>
      <c r="P519" s="215">
        <v>45003.61</v>
      </c>
      <c r="Q519" s="215">
        <v>45509.87</v>
      </c>
    </row>
    <row r="520" spans="2:17" x14ac:dyDescent="0.25">
      <c r="B520" s="259">
        <f t="shared" si="8"/>
        <v>0</v>
      </c>
      <c r="D520" s="2" t="s">
        <v>543</v>
      </c>
      <c r="E520" s="215">
        <v>0</v>
      </c>
      <c r="F520" s="215">
        <v>0</v>
      </c>
      <c r="G520" s="215">
        <v>0</v>
      </c>
      <c r="H520" s="215">
        <v>0</v>
      </c>
      <c r="I520" s="215">
        <v>0</v>
      </c>
      <c r="J520" s="215">
        <v>0</v>
      </c>
      <c r="K520" s="215">
        <v>0</v>
      </c>
      <c r="L520" s="215">
        <v>0</v>
      </c>
      <c r="M520" s="215">
        <v>0</v>
      </c>
      <c r="N520" s="215">
        <v>0</v>
      </c>
      <c r="O520" s="215">
        <v>0</v>
      </c>
      <c r="P520" s="215">
        <v>0</v>
      </c>
      <c r="Q520" s="215">
        <v>0</v>
      </c>
    </row>
    <row r="521" spans="2:17" x14ac:dyDescent="0.25">
      <c r="B521" s="259">
        <f t="shared" si="8"/>
        <v>0</v>
      </c>
      <c r="D521" s="2" t="s">
        <v>1109</v>
      </c>
      <c r="E521" s="215">
        <v>0</v>
      </c>
      <c r="F521" s="215">
        <v>0</v>
      </c>
      <c r="G521" s="215">
        <v>0</v>
      </c>
      <c r="H521" s="215">
        <v>0</v>
      </c>
      <c r="I521" s="215">
        <v>0</v>
      </c>
      <c r="J521" s="215">
        <v>0</v>
      </c>
      <c r="K521" s="215">
        <v>0</v>
      </c>
      <c r="L521" s="215">
        <v>0</v>
      </c>
      <c r="M521" s="215">
        <v>0</v>
      </c>
      <c r="N521" s="215">
        <v>0</v>
      </c>
      <c r="O521" s="215">
        <v>0</v>
      </c>
      <c r="P521" s="215">
        <v>0</v>
      </c>
      <c r="Q521" s="215">
        <v>0</v>
      </c>
    </row>
    <row r="522" spans="2:17" x14ac:dyDescent="0.25">
      <c r="B522" s="259">
        <f t="shared" si="8"/>
        <v>3929625.9387500007</v>
      </c>
      <c r="D522" s="2" t="s">
        <v>545</v>
      </c>
      <c r="E522" s="215">
        <v>3826724.8500000006</v>
      </c>
      <c r="F522" s="215">
        <v>3900865.5400000005</v>
      </c>
      <c r="G522" s="215">
        <v>3777605.790000001</v>
      </c>
      <c r="H522" s="215">
        <v>4349379.8400000008</v>
      </c>
      <c r="I522" s="215">
        <v>3853281.4499999997</v>
      </c>
      <c r="J522" s="215">
        <v>3896097.34</v>
      </c>
      <c r="K522" s="215">
        <v>3893094.05</v>
      </c>
      <c r="L522" s="215">
        <v>3893895.36</v>
      </c>
      <c r="M522" s="215">
        <v>3896552.27</v>
      </c>
      <c r="N522" s="215">
        <v>3898310.9200000004</v>
      </c>
      <c r="O522" s="215">
        <v>3998421.81</v>
      </c>
      <c r="P522" s="215">
        <v>3930875.2</v>
      </c>
      <c r="Q522" s="215">
        <v>3907538.5400000005</v>
      </c>
    </row>
    <row r="523" spans="2:17" x14ac:dyDescent="0.25">
      <c r="B523" s="259">
        <f t="shared" si="8"/>
        <v>202622.48124999998</v>
      </c>
      <c r="D523" s="2" t="s">
        <v>547</v>
      </c>
      <c r="E523" s="215">
        <v>131730.64000000001</v>
      </c>
      <c r="F523" s="215">
        <v>132128.08000000002</v>
      </c>
      <c r="G523" s="215">
        <v>132128.08000000002</v>
      </c>
      <c r="H523" s="215">
        <v>132128.08000000002</v>
      </c>
      <c r="I523" s="215">
        <v>231541.98000000004</v>
      </c>
      <c r="J523" s="215">
        <v>231541.98000000004</v>
      </c>
      <c r="K523" s="215">
        <v>231541.98000000004</v>
      </c>
      <c r="L523" s="215">
        <v>231541.98000000004</v>
      </c>
      <c r="M523" s="215">
        <v>231541.98000000004</v>
      </c>
      <c r="N523" s="215">
        <v>231541.98000000004</v>
      </c>
      <c r="O523" s="215">
        <v>231541.98000000004</v>
      </c>
      <c r="P523" s="215">
        <v>232141.88</v>
      </c>
      <c r="Q523" s="215">
        <v>232568.95</v>
      </c>
    </row>
    <row r="524" spans="2:17" x14ac:dyDescent="0.25">
      <c r="B524" s="259">
        <f t="shared" si="8"/>
        <v>14877999.473333335</v>
      </c>
      <c r="D524" s="2" t="s">
        <v>549</v>
      </c>
      <c r="E524" s="215">
        <v>12758718.42</v>
      </c>
      <c r="F524" s="215">
        <v>13968999.809999999</v>
      </c>
      <c r="G524" s="215">
        <v>15100306.839999998</v>
      </c>
      <c r="H524" s="215">
        <v>15142740.699999999</v>
      </c>
      <c r="I524" s="215">
        <v>14117166.319999998</v>
      </c>
      <c r="J524" s="215">
        <v>14540052.34</v>
      </c>
      <c r="K524" s="215">
        <v>13575205.76</v>
      </c>
      <c r="L524" s="215">
        <v>13997720.199999999</v>
      </c>
      <c r="M524" s="215">
        <v>13134257</v>
      </c>
      <c r="N524" s="215">
        <v>13571810.509999998</v>
      </c>
      <c r="O524" s="215">
        <v>13637832.329999998</v>
      </c>
      <c r="P524" s="215">
        <v>20829338.870000001</v>
      </c>
      <c r="Q524" s="215">
        <v>21082407.580000002</v>
      </c>
    </row>
    <row r="525" spans="2:17" x14ac:dyDescent="0.25">
      <c r="B525" s="259">
        <f t="shared" si="8"/>
        <v>11040154.186666667</v>
      </c>
      <c r="D525" s="2" t="s">
        <v>551</v>
      </c>
      <c r="E525" s="215">
        <v>8909147.4299999978</v>
      </c>
      <c r="F525" s="215">
        <v>9985933.2300000004</v>
      </c>
      <c r="G525" s="215">
        <v>10666718.99</v>
      </c>
      <c r="H525" s="215">
        <v>9417529.8900000006</v>
      </c>
      <c r="I525" s="215">
        <v>9891331.0800000019</v>
      </c>
      <c r="J525" s="215">
        <v>9923363.5600000024</v>
      </c>
      <c r="K525" s="215">
        <v>12433820.84</v>
      </c>
      <c r="L525" s="215">
        <v>12240791.870000001</v>
      </c>
      <c r="M525" s="215">
        <v>11633014.010000002</v>
      </c>
      <c r="N525" s="215">
        <v>11839733.520000001</v>
      </c>
      <c r="O525" s="215">
        <v>11912938.640000002</v>
      </c>
      <c r="P525" s="215">
        <v>11975696.480000002</v>
      </c>
      <c r="Q525" s="215">
        <v>12212808.830000002</v>
      </c>
    </row>
    <row r="526" spans="2:17" x14ac:dyDescent="0.25">
      <c r="B526" s="259">
        <f t="shared" si="8"/>
        <v>0</v>
      </c>
      <c r="D526" s="2" t="s">
        <v>1484</v>
      </c>
      <c r="E526" s="215">
        <v>0</v>
      </c>
      <c r="F526" s="215">
        <v>0</v>
      </c>
      <c r="G526" s="215">
        <v>0</v>
      </c>
      <c r="H526" s="215">
        <v>0</v>
      </c>
      <c r="I526" s="215">
        <v>0</v>
      </c>
      <c r="J526" s="215">
        <v>0</v>
      </c>
      <c r="K526" s="215">
        <v>0</v>
      </c>
      <c r="L526" s="215">
        <v>0</v>
      </c>
      <c r="M526" s="215">
        <v>0</v>
      </c>
      <c r="N526" s="215">
        <v>0</v>
      </c>
      <c r="O526" s="215">
        <v>0</v>
      </c>
      <c r="P526" s="215">
        <v>0</v>
      </c>
      <c r="Q526" s="215">
        <v>0</v>
      </c>
    </row>
    <row r="527" spans="2:17" x14ac:dyDescent="0.25">
      <c r="B527" s="259">
        <f t="shared" si="8"/>
        <v>3884.5516666666667</v>
      </c>
      <c r="D527" s="2" t="s">
        <v>945</v>
      </c>
      <c r="E527" s="215">
        <v>0</v>
      </c>
      <c r="F527" s="215">
        <v>0</v>
      </c>
      <c r="G527" s="215">
        <v>0</v>
      </c>
      <c r="H527" s="215">
        <v>0</v>
      </c>
      <c r="I527" s="215">
        <v>0</v>
      </c>
      <c r="J527" s="215">
        <v>0</v>
      </c>
      <c r="K527" s="215">
        <v>7171.4800000000005</v>
      </c>
      <c r="L527" s="215">
        <v>7171.4800000000005</v>
      </c>
      <c r="M527" s="215">
        <v>7171.4800000000005</v>
      </c>
      <c r="N527" s="215">
        <v>7171.4800000000005</v>
      </c>
      <c r="O527" s="215">
        <v>7171.4800000000005</v>
      </c>
      <c r="P527" s="215">
        <v>7171.4800000000005</v>
      </c>
      <c r="Q527" s="215">
        <v>7171.4800000000005</v>
      </c>
    </row>
    <row r="528" spans="2:17" x14ac:dyDescent="0.25">
      <c r="B528" s="259">
        <f t="shared" si="8"/>
        <v>-2.3333333333333345E-2</v>
      </c>
      <c r="D528" s="2" t="s">
        <v>553</v>
      </c>
      <c r="E528" s="215">
        <v>-2.1684043449710089E-18</v>
      </c>
      <c r="F528" s="215">
        <v>-2.0000000000000007E-2</v>
      </c>
      <c r="G528" s="215">
        <v>-3.0000000000000009E-2</v>
      </c>
      <c r="H528" s="215">
        <v>-4.0000000000000008E-2</v>
      </c>
      <c r="I528" s="215">
        <v>-0.04</v>
      </c>
      <c r="J528" s="215">
        <v>-2.0000000000000007E-2</v>
      </c>
      <c r="K528" s="215">
        <v>-3.0000000000000006E-2</v>
      </c>
      <c r="L528" s="215">
        <v>-2.0000000000000007E-2</v>
      </c>
      <c r="M528" s="215">
        <v>-2.0000000000000007E-2</v>
      </c>
      <c r="N528" s="215">
        <v>-3.0000000000000006E-2</v>
      </c>
      <c r="O528" s="215">
        <v>-2.0000000000000007E-2</v>
      </c>
      <c r="P528" s="215">
        <v>-5.4210108624275222E-18</v>
      </c>
      <c r="Q528" s="215">
        <v>-2.0000000000000007E-2</v>
      </c>
    </row>
    <row r="529" spans="2:17" x14ac:dyDescent="0.25">
      <c r="B529" s="259">
        <f t="shared" si="8"/>
        <v>28.810000000000006</v>
      </c>
      <c r="D529" s="2" t="s">
        <v>555</v>
      </c>
      <c r="E529" s="215">
        <v>28.810000000000006</v>
      </c>
      <c r="F529" s="215">
        <v>28.810000000000006</v>
      </c>
      <c r="G529" s="215">
        <v>28.810000000000006</v>
      </c>
      <c r="H529" s="215">
        <v>28.810000000000006</v>
      </c>
      <c r="I529" s="215">
        <v>28.810000000000006</v>
      </c>
      <c r="J529" s="215">
        <v>28.810000000000006</v>
      </c>
      <c r="K529" s="215">
        <v>28.810000000000006</v>
      </c>
      <c r="L529" s="215">
        <v>28.810000000000006</v>
      </c>
      <c r="M529" s="215">
        <v>28.810000000000006</v>
      </c>
      <c r="N529" s="215">
        <v>28.810000000000006</v>
      </c>
      <c r="O529" s="215">
        <v>28.810000000000006</v>
      </c>
      <c r="P529" s="215">
        <v>28.810000000000006</v>
      </c>
      <c r="Q529" s="215">
        <v>28.810000000000006</v>
      </c>
    </row>
    <row r="530" spans="2:17" x14ac:dyDescent="0.25">
      <c r="B530" s="259">
        <f t="shared" si="8"/>
        <v>8788643.3749999981</v>
      </c>
      <c r="D530" s="2" t="s">
        <v>557</v>
      </c>
      <c r="E530" s="215">
        <v>6967685.6399999987</v>
      </c>
      <c r="F530" s="215">
        <v>7235861.0199999996</v>
      </c>
      <c r="G530" s="215">
        <v>7248748.0199999996</v>
      </c>
      <c r="H530" s="215">
        <v>7518416.1799999988</v>
      </c>
      <c r="I530" s="215">
        <v>7981885.5799999982</v>
      </c>
      <c r="J530" s="215">
        <v>7890526.3999999985</v>
      </c>
      <c r="K530" s="215">
        <v>8123603.4599999972</v>
      </c>
      <c r="L530" s="215">
        <v>9436190.2899999972</v>
      </c>
      <c r="M530" s="215">
        <v>10015820.439999998</v>
      </c>
      <c r="N530" s="215">
        <v>10029944.639999999</v>
      </c>
      <c r="O530" s="215">
        <v>10072221.27</v>
      </c>
      <c r="P530" s="215">
        <v>10920646.419999996</v>
      </c>
      <c r="Q530" s="215">
        <v>11012027.919999998</v>
      </c>
    </row>
    <row r="531" spans="2:17" x14ac:dyDescent="0.25">
      <c r="B531" s="259">
        <f t="shared" si="8"/>
        <v>-392.00000000000006</v>
      </c>
      <c r="D531" s="2" t="s">
        <v>559</v>
      </c>
      <c r="E531" s="215">
        <v>-392.00000000000006</v>
      </c>
      <c r="F531" s="215">
        <v>-392.00000000000006</v>
      </c>
      <c r="G531" s="215">
        <v>-392.00000000000006</v>
      </c>
      <c r="H531" s="215">
        <v>-392.00000000000006</v>
      </c>
      <c r="I531" s="215">
        <v>-392.00000000000006</v>
      </c>
      <c r="J531" s="215">
        <v>-392.00000000000006</v>
      </c>
      <c r="K531" s="215">
        <v>-392.00000000000006</v>
      </c>
      <c r="L531" s="215">
        <v>-392.00000000000006</v>
      </c>
      <c r="M531" s="215">
        <v>-392.00000000000006</v>
      </c>
      <c r="N531" s="215">
        <v>-392.00000000000006</v>
      </c>
      <c r="O531" s="215">
        <v>-392.00000000000006</v>
      </c>
      <c r="P531" s="215">
        <v>-392.00000000000006</v>
      </c>
      <c r="Q531" s="215">
        <v>-392.00000000000006</v>
      </c>
    </row>
    <row r="532" spans="2:17" x14ac:dyDescent="0.25">
      <c r="B532" s="259">
        <f t="shared" si="8"/>
        <v>85204.13</v>
      </c>
      <c r="D532" s="2" t="s">
        <v>1485</v>
      </c>
      <c r="E532" s="215">
        <v>85204.13</v>
      </c>
      <c r="F532" s="215">
        <v>85204.13</v>
      </c>
      <c r="G532" s="215">
        <v>85204.13</v>
      </c>
      <c r="H532" s="215">
        <v>85204.13</v>
      </c>
      <c r="I532" s="215">
        <v>85204.13</v>
      </c>
      <c r="J532" s="215">
        <v>85204.13</v>
      </c>
      <c r="K532" s="215">
        <v>85204.13</v>
      </c>
      <c r="L532" s="215">
        <v>85204.13</v>
      </c>
      <c r="M532" s="215">
        <v>85204.13</v>
      </c>
      <c r="N532" s="215">
        <v>85204.13</v>
      </c>
      <c r="O532" s="215">
        <v>85204.13</v>
      </c>
      <c r="P532" s="215">
        <v>85204.13</v>
      </c>
      <c r="Q532" s="215">
        <v>85204.13</v>
      </c>
    </row>
    <row r="533" spans="2:17" x14ac:dyDescent="0.25">
      <c r="B533" s="259">
        <f t="shared" si="8"/>
        <v>84371.790000000023</v>
      </c>
      <c r="D533" s="2" t="s">
        <v>1486</v>
      </c>
      <c r="E533" s="215">
        <v>84371.790000000008</v>
      </c>
      <c r="F533" s="215">
        <v>84371.790000000008</v>
      </c>
      <c r="G533" s="215">
        <v>84371.790000000008</v>
      </c>
      <c r="H533" s="215">
        <v>84371.790000000008</v>
      </c>
      <c r="I533" s="215">
        <v>84371.790000000008</v>
      </c>
      <c r="J533" s="215">
        <v>84371.790000000008</v>
      </c>
      <c r="K533" s="215">
        <v>84371.790000000008</v>
      </c>
      <c r="L533" s="215">
        <v>84371.790000000008</v>
      </c>
      <c r="M533" s="215">
        <v>84371.790000000008</v>
      </c>
      <c r="N533" s="215">
        <v>84371.790000000008</v>
      </c>
      <c r="O533" s="215">
        <v>84371.790000000008</v>
      </c>
      <c r="P533" s="215">
        <v>84371.790000000008</v>
      </c>
      <c r="Q533" s="215">
        <v>84371.790000000008</v>
      </c>
    </row>
    <row r="534" spans="2:17" x14ac:dyDescent="0.25">
      <c r="B534" s="259">
        <f t="shared" si="8"/>
        <v>0</v>
      </c>
      <c r="D534" s="2" t="s">
        <v>1487</v>
      </c>
      <c r="E534" s="215">
        <v>0</v>
      </c>
      <c r="F534" s="215">
        <v>0</v>
      </c>
      <c r="G534" s="215">
        <v>0</v>
      </c>
      <c r="H534" s="215">
        <v>0</v>
      </c>
      <c r="I534" s="215">
        <v>0</v>
      </c>
      <c r="J534" s="215">
        <v>0</v>
      </c>
      <c r="K534" s="215">
        <v>0</v>
      </c>
      <c r="L534" s="215">
        <v>0</v>
      </c>
      <c r="M534" s="215">
        <v>0</v>
      </c>
      <c r="N534" s="215">
        <v>0</v>
      </c>
      <c r="O534" s="215">
        <v>0</v>
      </c>
      <c r="P534" s="215">
        <v>0</v>
      </c>
      <c r="Q534" s="215">
        <v>0</v>
      </c>
    </row>
    <row r="535" spans="2:17" x14ac:dyDescent="0.25">
      <c r="B535" s="259">
        <f t="shared" si="8"/>
        <v>117021.45999999998</v>
      </c>
      <c r="D535" s="2" t="s">
        <v>1488</v>
      </c>
      <c r="E535" s="215">
        <v>117021.46</v>
      </c>
      <c r="F535" s="215">
        <v>117021.46</v>
      </c>
      <c r="G535" s="215">
        <v>117021.46</v>
      </c>
      <c r="H535" s="215">
        <v>117021.46</v>
      </c>
      <c r="I535" s="215">
        <v>117021.46</v>
      </c>
      <c r="J535" s="215">
        <v>117021.46</v>
      </c>
      <c r="K535" s="215">
        <v>117021.46</v>
      </c>
      <c r="L535" s="215">
        <v>117021.46</v>
      </c>
      <c r="M535" s="215">
        <v>117021.46</v>
      </c>
      <c r="N535" s="215">
        <v>117021.46</v>
      </c>
      <c r="O535" s="215">
        <v>117021.46</v>
      </c>
      <c r="P535" s="215">
        <v>117021.46</v>
      </c>
      <c r="Q535" s="215">
        <v>117021.46</v>
      </c>
    </row>
    <row r="536" spans="2:17" x14ac:dyDescent="0.25">
      <c r="B536" s="259">
        <f t="shared" si="8"/>
        <v>460266.00791666674</v>
      </c>
      <c r="D536" s="2" t="s">
        <v>561</v>
      </c>
      <c r="E536" s="215">
        <v>440331</v>
      </c>
      <c r="F536" s="215">
        <v>440435.75</v>
      </c>
      <c r="G536" s="215">
        <v>456814.89</v>
      </c>
      <c r="H536" s="215">
        <v>463765.89</v>
      </c>
      <c r="I536" s="215">
        <v>463765.89</v>
      </c>
      <c r="J536" s="215">
        <v>463765.89</v>
      </c>
      <c r="K536" s="215">
        <v>463765.89</v>
      </c>
      <c r="L536" s="215">
        <v>463765.89</v>
      </c>
      <c r="M536" s="215">
        <v>463765.89</v>
      </c>
      <c r="N536" s="215">
        <v>463765.89</v>
      </c>
      <c r="O536" s="215">
        <v>463765.89</v>
      </c>
      <c r="P536" s="215">
        <v>463765.89</v>
      </c>
      <c r="Q536" s="215">
        <v>463765.89</v>
      </c>
    </row>
    <row r="537" spans="2:17" x14ac:dyDescent="0.25">
      <c r="B537" s="259">
        <f t="shared" si="8"/>
        <v>0</v>
      </c>
      <c r="D537" s="2" t="s">
        <v>1111</v>
      </c>
      <c r="E537" s="215">
        <v>0</v>
      </c>
      <c r="F537" s="215">
        <v>0</v>
      </c>
      <c r="G537" s="215">
        <v>0</v>
      </c>
      <c r="H537" s="215">
        <v>0</v>
      </c>
      <c r="I537" s="215">
        <v>0</v>
      </c>
      <c r="J537" s="215">
        <v>0</v>
      </c>
      <c r="K537" s="215">
        <v>0</v>
      </c>
      <c r="L537" s="215">
        <v>0</v>
      </c>
      <c r="M537" s="215">
        <v>0</v>
      </c>
      <c r="N537" s="215">
        <v>0</v>
      </c>
      <c r="O537" s="215">
        <v>0</v>
      </c>
      <c r="P537" s="215">
        <v>0</v>
      </c>
      <c r="Q537" s="215">
        <v>0</v>
      </c>
    </row>
    <row r="538" spans="2:17" x14ac:dyDescent="0.25">
      <c r="B538" s="259">
        <f t="shared" si="8"/>
        <v>3451812.3583333329</v>
      </c>
      <c r="D538" s="2" t="s">
        <v>563</v>
      </c>
      <c r="E538" s="215">
        <v>747626.17</v>
      </c>
      <c r="F538" s="215">
        <v>737095.58000000007</v>
      </c>
      <c r="G538" s="215">
        <v>763604.2300000001</v>
      </c>
      <c r="H538" s="215">
        <v>1100729.8900000001</v>
      </c>
      <c r="I538" s="215">
        <v>1101270.8600000001</v>
      </c>
      <c r="J538" s="215">
        <v>1175294.29</v>
      </c>
      <c r="K538" s="215">
        <v>4493812.3499999996</v>
      </c>
      <c r="L538" s="215">
        <v>4494468.8999999994</v>
      </c>
      <c r="M538" s="215">
        <v>5567187.4799999995</v>
      </c>
      <c r="N538" s="215">
        <v>5606774.2199999997</v>
      </c>
      <c r="O538" s="215">
        <v>5608238.1200000001</v>
      </c>
      <c r="P538" s="215">
        <v>6929515.1200000001</v>
      </c>
      <c r="Q538" s="215">
        <v>6939888.3500000006</v>
      </c>
    </row>
    <row r="539" spans="2:17" x14ac:dyDescent="0.25">
      <c r="B539" s="259">
        <f t="shared" si="8"/>
        <v>2391337.0225</v>
      </c>
      <c r="D539" s="2" t="s">
        <v>565</v>
      </c>
      <c r="E539" s="215">
        <v>1316165.7700000005</v>
      </c>
      <c r="F539" s="215">
        <v>1317553.0000000005</v>
      </c>
      <c r="G539" s="215">
        <v>2228317.2300000004</v>
      </c>
      <c r="H539" s="215">
        <v>2246884.9300000002</v>
      </c>
      <c r="I539" s="215">
        <v>2151036.4700000002</v>
      </c>
      <c r="J539" s="215">
        <v>2516212.14</v>
      </c>
      <c r="K539" s="215">
        <v>2519489.2000000007</v>
      </c>
      <c r="L539" s="215">
        <v>2520180.4600000004</v>
      </c>
      <c r="M539" s="215">
        <v>2589692.2200000002</v>
      </c>
      <c r="N539" s="215">
        <v>2589748.31</v>
      </c>
      <c r="O539" s="215">
        <v>2595748.5899999994</v>
      </c>
      <c r="P539" s="215">
        <v>3010194.4</v>
      </c>
      <c r="Q539" s="215">
        <v>3505808.8699999992</v>
      </c>
    </row>
    <row r="540" spans="2:17" x14ac:dyDescent="0.25">
      <c r="B540" s="259">
        <f t="shared" si="8"/>
        <v>3853.5800000000013</v>
      </c>
      <c r="D540" s="2" t="s">
        <v>567</v>
      </c>
      <c r="E540" s="215">
        <v>3853.58</v>
      </c>
      <c r="F540" s="215">
        <v>3853.58</v>
      </c>
      <c r="G540" s="215">
        <v>3853.58</v>
      </c>
      <c r="H540" s="215">
        <v>3853.58</v>
      </c>
      <c r="I540" s="215">
        <v>3853.58</v>
      </c>
      <c r="J540" s="215">
        <v>3853.58</v>
      </c>
      <c r="K540" s="215">
        <v>3853.58</v>
      </c>
      <c r="L540" s="215">
        <v>3853.58</v>
      </c>
      <c r="M540" s="215">
        <v>3853.58</v>
      </c>
      <c r="N540" s="215">
        <v>3853.58</v>
      </c>
      <c r="O540" s="215">
        <v>3853.58</v>
      </c>
      <c r="P540" s="215">
        <v>3853.58</v>
      </c>
      <c r="Q540" s="215">
        <v>3853.58</v>
      </c>
    </row>
    <row r="541" spans="2:17" x14ac:dyDescent="0.25">
      <c r="B541" s="259">
        <f t="shared" si="8"/>
        <v>7434839.0704166666</v>
      </c>
      <c r="D541" s="2" t="s">
        <v>946</v>
      </c>
      <c r="E541" s="215">
        <v>3614657.1799999997</v>
      </c>
      <c r="F541" s="215">
        <v>3621151.92</v>
      </c>
      <c r="G541" s="215">
        <v>3688078.6199999996</v>
      </c>
      <c r="H541" s="215">
        <v>3695981.9799999995</v>
      </c>
      <c r="I541" s="215">
        <v>4037124.6399999997</v>
      </c>
      <c r="J541" s="215">
        <v>4073664.6599999997</v>
      </c>
      <c r="K541" s="215">
        <v>6921794.6099999985</v>
      </c>
      <c r="L541" s="215">
        <v>8465634.2899999991</v>
      </c>
      <c r="M541" s="215">
        <v>10636403.559999999</v>
      </c>
      <c r="N541" s="215">
        <v>10683635.98</v>
      </c>
      <c r="O541" s="215">
        <v>11077349.65</v>
      </c>
      <c r="P541" s="215">
        <v>13498701.949999999</v>
      </c>
      <c r="Q541" s="215">
        <v>14022436.790000001</v>
      </c>
    </row>
    <row r="542" spans="2:17" x14ac:dyDescent="0.25">
      <c r="B542" s="259">
        <f t="shared" si="8"/>
        <v>2730.6912499999999</v>
      </c>
      <c r="D542" s="2" t="s">
        <v>570</v>
      </c>
      <c r="E542" s="215">
        <v>2539.17</v>
      </c>
      <c r="F542" s="215">
        <v>2539.17</v>
      </c>
      <c r="G542" s="215">
        <v>2539.17</v>
      </c>
      <c r="H542" s="215">
        <v>2539.17</v>
      </c>
      <c r="I542" s="215">
        <v>2539.17</v>
      </c>
      <c r="J542" s="215">
        <v>2539.17</v>
      </c>
      <c r="K542" s="215">
        <v>2539.17</v>
      </c>
      <c r="L542" s="215">
        <v>2539.17</v>
      </c>
      <c r="M542" s="215">
        <v>2539.17</v>
      </c>
      <c r="N542" s="215">
        <v>2539.17</v>
      </c>
      <c r="O542" s="215">
        <v>2539.17</v>
      </c>
      <c r="P542" s="215">
        <v>4071.34</v>
      </c>
      <c r="Q542" s="215">
        <v>4071.34</v>
      </c>
    </row>
    <row r="543" spans="2:17" x14ac:dyDescent="0.25">
      <c r="B543" s="259">
        <f t="shared" si="8"/>
        <v>7017400.879999998</v>
      </c>
      <c r="D543" s="2" t="s">
        <v>948</v>
      </c>
      <c r="E543" s="215">
        <v>6440227.4899999993</v>
      </c>
      <c r="F543" s="215">
        <v>6481628.3099999996</v>
      </c>
      <c r="G543" s="215">
        <v>6507439.2199999997</v>
      </c>
      <c r="H543" s="215">
        <v>6530869.3199999994</v>
      </c>
      <c r="I543" s="215">
        <v>6579738.419999999</v>
      </c>
      <c r="J543" s="215">
        <v>6603443.919999999</v>
      </c>
      <c r="K543" s="215">
        <v>6613240.0599999987</v>
      </c>
      <c r="L543" s="215">
        <v>7327288.3299999982</v>
      </c>
      <c r="M543" s="215">
        <v>7343830.4999999981</v>
      </c>
      <c r="N543" s="215">
        <v>7309934.5299999984</v>
      </c>
      <c r="O543" s="215">
        <v>7324050.1699999981</v>
      </c>
      <c r="P543" s="215">
        <v>8232932.7399999984</v>
      </c>
      <c r="Q543" s="215">
        <v>8268602.589999998</v>
      </c>
    </row>
    <row r="544" spans="2:17" x14ac:dyDescent="0.25">
      <c r="B544" s="259">
        <f t="shared" si="8"/>
        <v>11883.58</v>
      </c>
      <c r="D544" s="2" t="s">
        <v>1489</v>
      </c>
      <c r="E544" s="215">
        <v>11883.58</v>
      </c>
      <c r="F544" s="215">
        <v>11883.58</v>
      </c>
      <c r="G544" s="215">
        <v>11883.58</v>
      </c>
      <c r="H544" s="215">
        <v>11883.58</v>
      </c>
      <c r="I544" s="215">
        <v>11883.58</v>
      </c>
      <c r="J544" s="215">
        <v>11883.58</v>
      </c>
      <c r="K544" s="215">
        <v>11883.58</v>
      </c>
      <c r="L544" s="215">
        <v>11883.58</v>
      </c>
      <c r="M544" s="215">
        <v>11883.58</v>
      </c>
      <c r="N544" s="215">
        <v>11883.58</v>
      </c>
      <c r="O544" s="215">
        <v>11883.58</v>
      </c>
      <c r="P544" s="215">
        <v>11883.58</v>
      </c>
      <c r="Q544" s="215">
        <v>11883.58</v>
      </c>
    </row>
    <row r="545" spans="2:17" x14ac:dyDescent="0.25">
      <c r="B545" s="259">
        <f t="shared" si="8"/>
        <v>0</v>
      </c>
      <c r="D545" s="2" t="s">
        <v>572</v>
      </c>
      <c r="E545" s="215">
        <v>0</v>
      </c>
      <c r="F545" s="215">
        <v>0</v>
      </c>
      <c r="G545" s="215">
        <v>0</v>
      </c>
      <c r="H545" s="215">
        <v>0</v>
      </c>
      <c r="I545" s="215">
        <v>0</v>
      </c>
      <c r="J545" s="215">
        <v>0</v>
      </c>
      <c r="K545" s="215">
        <v>0</v>
      </c>
      <c r="L545" s="215">
        <v>0</v>
      </c>
      <c r="M545" s="215">
        <v>0</v>
      </c>
      <c r="N545" s="215">
        <v>0</v>
      </c>
      <c r="O545" s="215">
        <v>0</v>
      </c>
      <c r="P545" s="215">
        <v>0</v>
      </c>
      <c r="Q545" s="215">
        <v>0</v>
      </c>
    </row>
    <row r="546" spans="2:17" x14ac:dyDescent="0.25">
      <c r="B546" s="259">
        <f t="shared" si="8"/>
        <v>31273.5</v>
      </c>
      <c r="D546" s="2" t="s">
        <v>576</v>
      </c>
      <c r="E546" s="215">
        <v>31273.5</v>
      </c>
      <c r="F546" s="215">
        <v>31273.5</v>
      </c>
      <c r="G546" s="215">
        <v>31273.5</v>
      </c>
      <c r="H546" s="215">
        <v>31273.5</v>
      </c>
      <c r="I546" s="215">
        <v>31273.5</v>
      </c>
      <c r="J546" s="215">
        <v>31273.5</v>
      </c>
      <c r="K546" s="215">
        <v>31273.5</v>
      </c>
      <c r="L546" s="215">
        <v>31273.5</v>
      </c>
      <c r="M546" s="215">
        <v>31273.5</v>
      </c>
      <c r="N546" s="215">
        <v>31273.5</v>
      </c>
      <c r="O546" s="215">
        <v>31273.5</v>
      </c>
      <c r="P546" s="215">
        <v>31273.5</v>
      </c>
      <c r="Q546" s="215">
        <v>31273.5</v>
      </c>
    </row>
    <row r="547" spans="2:17" x14ac:dyDescent="0.25">
      <c r="B547" s="259">
        <f t="shared" si="8"/>
        <v>225496.87416666665</v>
      </c>
      <c r="D547" s="2" t="s">
        <v>578</v>
      </c>
      <c r="E547" s="215">
        <v>219720.25999999998</v>
      </c>
      <c r="F547" s="215">
        <v>219720.25999999998</v>
      </c>
      <c r="G547" s="215">
        <v>219720.25999999998</v>
      </c>
      <c r="H547" s="215">
        <v>219720.25999999998</v>
      </c>
      <c r="I547" s="215">
        <v>227875.47999999998</v>
      </c>
      <c r="J547" s="215">
        <v>227875.47999999998</v>
      </c>
      <c r="K547" s="215">
        <v>227875.47999999998</v>
      </c>
      <c r="L547" s="215">
        <v>227875.47999999998</v>
      </c>
      <c r="M547" s="215">
        <v>227875.47999999998</v>
      </c>
      <c r="N547" s="215">
        <v>227875.47999999998</v>
      </c>
      <c r="O547" s="215">
        <v>227875.47999999998</v>
      </c>
      <c r="P547" s="215">
        <v>227875.47999999998</v>
      </c>
      <c r="Q547" s="215">
        <v>227875.47999999998</v>
      </c>
    </row>
    <row r="548" spans="2:17" x14ac:dyDescent="0.25">
      <c r="B548" s="259">
        <f t="shared" si="8"/>
        <v>0</v>
      </c>
      <c r="D548" s="2" t="s">
        <v>1490</v>
      </c>
      <c r="E548" s="215">
        <v>0</v>
      </c>
      <c r="F548" s="215">
        <v>0</v>
      </c>
      <c r="G548" s="215">
        <v>0</v>
      </c>
      <c r="H548" s="215">
        <v>0</v>
      </c>
      <c r="I548" s="215">
        <v>0</v>
      </c>
      <c r="J548" s="215">
        <v>0</v>
      </c>
      <c r="K548" s="215">
        <v>0</v>
      </c>
      <c r="L548" s="215">
        <v>0</v>
      </c>
      <c r="M548" s="215">
        <v>0</v>
      </c>
      <c r="N548" s="215">
        <v>0</v>
      </c>
      <c r="O548" s="215">
        <v>0</v>
      </c>
      <c r="P548" s="215">
        <v>0</v>
      </c>
      <c r="Q548" s="215">
        <v>0</v>
      </c>
    </row>
    <row r="549" spans="2:17" x14ac:dyDescent="0.25">
      <c r="B549" s="259">
        <f t="shared" si="8"/>
        <v>0</v>
      </c>
      <c r="D549" s="2" t="s">
        <v>1491</v>
      </c>
      <c r="E549" s="215">
        <v>0</v>
      </c>
      <c r="F549" s="215">
        <v>0</v>
      </c>
      <c r="G549" s="215">
        <v>0</v>
      </c>
      <c r="H549" s="215">
        <v>0</v>
      </c>
      <c r="I549" s="215">
        <v>0</v>
      </c>
      <c r="J549" s="215">
        <v>0</v>
      </c>
      <c r="K549" s="215">
        <v>0</v>
      </c>
      <c r="L549" s="215">
        <v>0</v>
      </c>
      <c r="M549" s="215">
        <v>0</v>
      </c>
      <c r="N549" s="215">
        <v>0</v>
      </c>
      <c r="O549" s="215">
        <v>0</v>
      </c>
      <c r="P549" s="215">
        <v>0</v>
      </c>
      <c r="Q549" s="215">
        <v>0</v>
      </c>
    </row>
    <row r="550" spans="2:17" x14ac:dyDescent="0.25">
      <c r="B550" s="259">
        <f t="shared" si="8"/>
        <v>0</v>
      </c>
      <c r="D550" s="2" t="s">
        <v>1492</v>
      </c>
      <c r="E550" s="215">
        <v>0</v>
      </c>
      <c r="F550" s="215">
        <v>0</v>
      </c>
      <c r="G550" s="215">
        <v>0</v>
      </c>
      <c r="H550" s="215">
        <v>0</v>
      </c>
      <c r="I550" s="215">
        <v>0</v>
      </c>
      <c r="J550" s="215">
        <v>0</v>
      </c>
      <c r="K550" s="215">
        <v>0</v>
      </c>
      <c r="L550" s="215">
        <v>0</v>
      </c>
      <c r="M550" s="215">
        <v>0</v>
      </c>
      <c r="N550" s="215">
        <v>0</v>
      </c>
      <c r="O550" s="215">
        <v>0</v>
      </c>
      <c r="P550" s="215">
        <v>0</v>
      </c>
      <c r="Q550" s="215">
        <v>0</v>
      </c>
    </row>
    <row r="551" spans="2:17" x14ac:dyDescent="0.25">
      <c r="B551" s="259">
        <f t="shared" si="8"/>
        <v>207877.48833333328</v>
      </c>
      <c r="D551" s="2" t="s">
        <v>580</v>
      </c>
      <c r="E551" s="215">
        <v>106054.75000000001</v>
      </c>
      <c r="F551" s="215">
        <v>212200.13</v>
      </c>
      <c r="G551" s="215">
        <v>212314.51</v>
      </c>
      <c r="H551" s="215">
        <v>212314.51</v>
      </c>
      <c r="I551" s="215">
        <v>212314.51</v>
      </c>
      <c r="J551" s="215">
        <v>212314.51</v>
      </c>
      <c r="K551" s="215">
        <v>212314.51</v>
      </c>
      <c r="L551" s="215">
        <v>212314.51</v>
      </c>
      <c r="M551" s="215">
        <v>212314.51</v>
      </c>
      <c r="N551" s="215">
        <v>212314.51</v>
      </c>
      <c r="O551" s="215">
        <v>212314.51</v>
      </c>
      <c r="P551" s="215">
        <v>212314.51</v>
      </c>
      <c r="Q551" s="215">
        <v>212314.51</v>
      </c>
    </row>
    <row r="552" spans="2:17" x14ac:dyDescent="0.25">
      <c r="B552" s="259">
        <f t="shared" si="8"/>
        <v>0</v>
      </c>
      <c r="D552" s="2" t="s">
        <v>1493</v>
      </c>
      <c r="E552" s="215">
        <v>0</v>
      </c>
      <c r="F552" s="215">
        <v>0</v>
      </c>
      <c r="G552" s="215">
        <v>0</v>
      </c>
      <c r="H552" s="215">
        <v>0</v>
      </c>
      <c r="I552" s="215">
        <v>0</v>
      </c>
      <c r="J552" s="215">
        <v>0</v>
      </c>
      <c r="K552" s="215">
        <v>0</v>
      </c>
      <c r="L552" s="215">
        <v>0</v>
      </c>
      <c r="M552" s="215">
        <v>0</v>
      </c>
      <c r="N552" s="215">
        <v>0</v>
      </c>
      <c r="O552" s="215">
        <v>0</v>
      </c>
      <c r="P552" s="215">
        <v>0</v>
      </c>
      <c r="Q552" s="215">
        <v>0</v>
      </c>
    </row>
    <row r="553" spans="2:17" x14ac:dyDescent="0.25">
      <c r="B553" s="259">
        <f t="shared" si="8"/>
        <v>0</v>
      </c>
      <c r="D553" s="2" t="s">
        <v>1494</v>
      </c>
      <c r="E553" s="215">
        <v>0</v>
      </c>
      <c r="F553" s="215">
        <v>0</v>
      </c>
      <c r="G553" s="215">
        <v>0</v>
      </c>
      <c r="H553" s="215">
        <v>0</v>
      </c>
      <c r="I553" s="215">
        <v>0</v>
      </c>
      <c r="J553" s="215">
        <v>0</v>
      </c>
      <c r="K553" s="215">
        <v>0</v>
      </c>
      <c r="L553" s="215">
        <v>0</v>
      </c>
      <c r="M553" s="215">
        <v>0</v>
      </c>
      <c r="N553" s="215">
        <v>0</v>
      </c>
      <c r="O553" s="215">
        <v>0</v>
      </c>
      <c r="P553" s="215">
        <v>0</v>
      </c>
      <c r="Q553" s="215">
        <v>0</v>
      </c>
    </row>
    <row r="554" spans="2:17" x14ac:dyDescent="0.25">
      <c r="B554" s="259">
        <f t="shared" si="8"/>
        <v>19052.230000000003</v>
      </c>
      <c r="D554" s="2" t="s">
        <v>1495</v>
      </c>
      <c r="E554" s="215">
        <v>19052.23</v>
      </c>
      <c r="F554" s="215">
        <v>19052.23</v>
      </c>
      <c r="G554" s="215">
        <v>19052.23</v>
      </c>
      <c r="H554" s="215">
        <v>19052.23</v>
      </c>
      <c r="I554" s="215">
        <v>19052.23</v>
      </c>
      <c r="J554" s="215">
        <v>19052.23</v>
      </c>
      <c r="K554" s="215">
        <v>19052.23</v>
      </c>
      <c r="L554" s="215">
        <v>19052.23</v>
      </c>
      <c r="M554" s="215">
        <v>19052.23</v>
      </c>
      <c r="N554" s="215">
        <v>19052.23</v>
      </c>
      <c r="O554" s="215">
        <v>19052.23</v>
      </c>
      <c r="P554" s="215">
        <v>19052.23</v>
      </c>
      <c r="Q554" s="215">
        <v>19052.23</v>
      </c>
    </row>
    <row r="555" spans="2:17" x14ac:dyDescent="0.25">
      <c r="B555" s="259">
        <f t="shared" si="8"/>
        <v>696792.86416666675</v>
      </c>
      <c r="D555" s="2" t="s">
        <v>582</v>
      </c>
      <c r="E555" s="215">
        <v>379628.87000000005</v>
      </c>
      <c r="F555" s="215">
        <v>380019.57000000007</v>
      </c>
      <c r="G555" s="215">
        <v>380100.21000000008</v>
      </c>
      <c r="H555" s="215">
        <v>648813.42000000016</v>
      </c>
      <c r="I555" s="215">
        <v>664892.48000000021</v>
      </c>
      <c r="J555" s="215">
        <v>792444.67000000016</v>
      </c>
      <c r="K555" s="215">
        <v>794828.25000000012</v>
      </c>
      <c r="L555" s="215">
        <v>795128.08000000007</v>
      </c>
      <c r="M555" s="215">
        <v>816934.78</v>
      </c>
      <c r="N555" s="215">
        <v>819255.59000000008</v>
      </c>
      <c r="O555" s="215">
        <v>831335.21000000008</v>
      </c>
      <c r="P555" s="215">
        <v>831335.21000000008</v>
      </c>
      <c r="Q555" s="215">
        <v>833224.93</v>
      </c>
    </row>
    <row r="556" spans="2:17" x14ac:dyDescent="0.25">
      <c r="B556" s="259">
        <f t="shared" si="8"/>
        <v>108490.57708333334</v>
      </c>
      <c r="D556" s="2" t="s">
        <v>584</v>
      </c>
      <c r="E556" s="215">
        <v>31367.53</v>
      </c>
      <c r="F556" s="215">
        <v>31367.53</v>
      </c>
      <c r="G556" s="215">
        <v>31367.53</v>
      </c>
      <c r="H556" s="215">
        <v>31367.53</v>
      </c>
      <c r="I556" s="215">
        <v>31367.53</v>
      </c>
      <c r="J556" s="215">
        <v>31367.53</v>
      </c>
      <c r="K556" s="215">
        <v>173748.54</v>
      </c>
      <c r="L556" s="215">
        <v>173748.54</v>
      </c>
      <c r="M556" s="215">
        <v>173748.54</v>
      </c>
      <c r="N556" s="215">
        <v>173748.54</v>
      </c>
      <c r="O556" s="215">
        <v>173748.54</v>
      </c>
      <c r="P556" s="215">
        <v>173748.54</v>
      </c>
      <c r="Q556" s="215">
        <v>173748.54</v>
      </c>
    </row>
    <row r="557" spans="2:17" x14ac:dyDescent="0.25">
      <c r="B557" s="259">
        <f t="shared" si="8"/>
        <v>97176.616250000021</v>
      </c>
      <c r="D557" s="2" t="s">
        <v>950</v>
      </c>
      <c r="E557" s="215">
        <v>0</v>
      </c>
      <c r="F557" s="215">
        <v>0</v>
      </c>
      <c r="G557" s="215">
        <v>0</v>
      </c>
      <c r="H557" s="215">
        <v>122749.41</v>
      </c>
      <c r="I557" s="215">
        <v>122749.41</v>
      </c>
      <c r="J557" s="215">
        <v>122749.41</v>
      </c>
      <c r="K557" s="215">
        <v>122749.41</v>
      </c>
      <c r="L557" s="215">
        <v>122749.41</v>
      </c>
      <c r="M557" s="215">
        <v>122749.41</v>
      </c>
      <c r="N557" s="215">
        <v>122749.41</v>
      </c>
      <c r="O557" s="215">
        <v>122749.41</v>
      </c>
      <c r="P557" s="215">
        <v>122749.41</v>
      </c>
      <c r="Q557" s="215">
        <v>122749.41</v>
      </c>
    </row>
    <row r="558" spans="2:17" x14ac:dyDescent="0.25">
      <c r="B558" s="259">
        <f t="shared" si="8"/>
        <v>191471.56583333333</v>
      </c>
      <c r="D558" s="2" t="s">
        <v>586</v>
      </c>
      <c r="E558" s="215">
        <v>0</v>
      </c>
      <c r="F558" s="215">
        <v>0</v>
      </c>
      <c r="G558" s="215">
        <v>0</v>
      </c>
      <c r="H558" s="215">
        <v>0</v>
      </c>
      <c r="I558" s="215">
        <v>0</v>
      </c>
      <c r="J558" s="215">
        <v>0</v>
      </c>
      <c r="K558" s="215">
        <v>427093.07</v>
      </c>
      <c r="L558" s="215">
        <v>427093.07</v>
      </c>
      <c r="M558" s="215">
        <v>320771.7</v>
      </c>
      <c r="N558" s="215">
        <v>320771.7</v>
      </c>
      <c r="O558" s="215">
        <v>320771.7</v>
      </c>
      <c r="P558" s="215">
        <v>320771.7</v>
      </c>
      <c r="Q558" s="215">
        <v>320771.7</v>
      </c>
    </row>
    <row r="559" spans="2:17" x14ac:dyDescent="0.25">
      <c r="B559" s="259">
        <f t="shared" si="8"/>
        <v>2920.4200000000014</v>
      </c>
      <c r="D559" s="2" t="s">
        <v>588</v>
      </c>
      <c r="E559" s="215">
        <v>2920.4200000000005</v>
      </c>
      <c r="F559" s="215">
        <v>2920.4200000000005</v>
      </c>
      <c r="G559" s="215">
        <v>2920.4200000000005</v>
      </c>
      <c r="H559" s="215">
        <v>2920.4200000000005</v>
      </c>
      <c r="I559" s="215">
        <v>2920.4200000000005</v>
      </c>
      <c r="J559" s="215">
        <v>2920.4200000000005</v>
      </c>
      <c r="K559" s="215">
        <v>2920.4200000000005</v>
      </c>
      <c r="L559" s="215">
        <v>2920.4200000000005</v>
      </c>
      <c r="M559" s="215">
        <v>2920.4200000000005</v>
      </c>
      <c r="N559" s="215">
        <v>2920.4200000000005</v>
      </c>
      <c r="O559" s="215">
        <v>2920.4200000000005</v>
      </c>
      <c r="P559" s="215">
        <v>2920.4200000000005</v>
      </c>
      <c r="Q559" s="215">
        <v>2920.4200000000005</v>
      </c>
    </row>
    <row r="560" spans="2:17" x14ac:dyDescent="0.25">
      <c r="B560" s="259">
        <f t="shared" si="8"/>
        <v>0</v>
      </c>
      <c r="D560" s="2" t="s">
        <v>1496</v>
      </c>
      <c r="E560" s="215">
        <v>0</v>
      </c>
      <c r="F560" s="215">
        <v>0</v>
      </c>
      <c r="G560" s="215">
        <v>0</v>
      </c>
      <c r="H560" s="215">
        <v>0</v>
      </c>
      <c r="I560" s="215">
        <v>0</v>
      </c>
      <c r="J560" s="215">
        <v>0</v>
      </c>
      <c r="K560" s="215">
        <v>0</v>
      </c>
      <c r="L560" s="215">
        <v>0</v>
      </c>
      <c r="M560" s="215">
        <v>0</v>
      </c>
      <c r="N560" s="215">
        <v>0</v>
      </c>
      <c r="O560" s="215">
        <v>0</v>
      </c>
      <c r="P560" s="215">
        <v>0</v>
      </c>
      <c r="Q560" s="215">
        <v>0</v>
      </c>
    </row>
    <row r="561" spans="2:17" x14ac:dyDescent="0.25">
      <c r="B561" s="259">
        <f t="shared" si="8"/>
        <v>2111675.3104166673</v>
      </c>
      <c r="D561" s="2" t="s">
        <v>590</v>
      </c>
      <c r="E561" s="215">
        <v>1421152.2500000002</v>
      </c>
      <c r="F561" s="215">
        <v>1411303.2100000002</v>
      </c>
      <c r="G561" s="215">
        <v>1475011.05</v>
      </c>
      <c r="H561" s="215">
        <v>1566403.7400000002</v>
      </c>
      <c r="I561" s="215">
        <v>1595610.6500000001</v>
      </c>
      <c r="J561" s="215">
        <v>1593723.32</v>
      </c>
      <c r="K561" s="215">
        <v>2172496.8600000003</v>
      </c>
      <c r="L561" s="215">
        <v>2180208.56</v>
      </c>
      <c r="M561" s="215">
        <v>2700379.9200000004</v>
      </c>
      <c r="N561" s="215">
        <v>2732253.67</v>
      </c>
      <c r="O561" s="215">
        <v>2872990.6700000004</v>
      </c>
      <c r="P561" s="215">
        <v>2882073.8200000003</v>
      </c>
      <c r="Q561" s="215">
        <v>2894144.2600000002</v>
      </c>
    </row>
    <row r="562" spans="2:17" x14ac:dyDescent="0.25">
      <c r="B562" s="259">
        <f t="shared" si="8"/>
        <v>3582814.1329166666</v>
      </c>
      <c r="D562" s="2" t="s">
        <v>592</v>
      </c>
      <c r="E562" s="215">
        <v>2422708.3899999997</v>
      </c>
      <c r="F562" s="215">
        <v>2781733.4499999997</v>
      </c>
      <c r="G562" s="215">
        <v>2920201.6599999997</v>
      </c>
      <c r="H562" s="215">
        <v>3117351.6999999997</v>
      </c>
      <c r="I562" s="215">
        <v>3267878.6599999997</v>
      </c>
      <c r="J562" s="215">
        <v>3441268.9799999995</v>
      </c>
      <c r="K562" s="215">
        <v>3625314.2</v>
      </c>
      <c r="L562" s="215">
        <v>3729592.59</v>
      </c>
      <c r="M562" s="215">
        <v>3992094.16</v>
      </c>
      <c r="N562" s="215">
        <v>4118139.8200000003</v>
      </c>
      <c r="O562" s="215">
        <v>4208909.6900000004</v>
      </c>
      <c r="P562" s="215">
        <v>4339404.42</v>
      </c>
      <c r="Q562" s="215">
        <v>4481052.1400000006</v>
      </c>
    </row>
    <row r="563" spans="2:17" x14ac:dyDescent="0.25">
      <c r="B563" s="259">
        <f t="shared" si="8"/>
        <v>1215235.5304166668</v>
      </c>
      <c r="D563" s="2" t="s">
        <v>594</v>
      </c>
      <c r="E563" s="215">
        <v>1020888.4</v>
      </c>
      <c r="F563" s="215">
        <v>1046441.11</v>
      </c>
      <c r="G563" s="215">
        <v>1093819.1299999999</v>
      </c>
      <c r="H563" s="215">
        <v>1146665.06</v>
      </c>
      <c r="I563" s="215">
        <v>1153515.1000000001</v>
      </c>
      <c r="J563" s="215">
        <v>1162747.22</v>
      </c>
      <c r="K563" s="215">
        <v>1271117.42</v>
      </c>
      <c r="L563" s="215">
        <v>1302735.46</v>
      </c>
      <c r="M563" s="215">
        <v>1303854.57</v>
      </c>
      <c r="N563" s="215">
        <v>1306695.6599999999</v>
      </c>
      <c r="O563" s="215">
        <v>1306740.07</v>
      </c>
      <c r="P563" s="215">
        <v>1306165.31</v>
      </c>
      <c r="Q563" s="215">
        <v>1343772.11</v>
      </c>
    </row>
    <row r="564" spans="2:17" x14ac:dyDescent="0.25">
      <c r="B564" s="259">
        <f t="shared" si="8"/>
        <v>14152011.821250001</v>
      </c>
      <c r="D564" s="2" t="s">
        <v>596</v>
      </c>
      <c r="E564" s="215">
        <v>8426793.3800000008</v>
      </c>
      <c r="F564" s="215">
        <v>8995966.3000000007</v>
      </c>
      <c r="G564" s="215">
        <v>9786849.3399999999</v>
      </c>
      <c r="H564" s="215">
        <v>11232308.949999999</v>
      </c>
      <c r="I564" s="215">
        <v>12182351.439999999</v>
      </c>
      <c r="J564" s="215">
        <v>13302698.98</v>
      </c>
      <c r="K564" s="215">
        <v>14510102.169999998</v>
      </c>
      <c r="L564" s="215">
        <v>15033365.869999999</v>
      </c>
      <c r="M564" s="215">
        <v>15995181.949999999</v>
      </c>
      <c r="N564" s="215">
        <v>17348907.969999999</v>
      </c>
      <c r="O564" s="215">
        <v>18110003.609999999</v>
      </c>
      <c r="P564" s="215">
        <v>19044625.68</v>
      </c>
      <c r="Q564" s="215">
        <v>20136765.809999999</v>
      </c>
    </row>
    <row r="565" spans="2:17" x14ac:dyDescent="0.25">
      <c r="B565" s="259">
        <f t="shared" si="8"/>
        <v>-1568587.6816666666</v>
      </c>
      <c r="D565" s="2" t="s">
        <v>598</v>
      </c>
      <c r="E565" s="215">
        <v>-1411391.3399999999</v>
      </c>
      <c r="F565" s="215">
        <v>-1411391.3399999999</v>
      </c>
      <c r="G565" s="215">
        <v>-1411391.3399999999</v>
      </c>
      <c r="H565" s="215">
        <v>-1609955.14</v>
      </c>
      <c r="I565" s="215">
        <v>-1609955.14</v>
      </c>
      <c r="J565" s="215">
        <v>-1609955.14</v>
      </c>
      <c r="K565" s="215">
        <v>-1609955.14</v>
      </c>
      <c r="L565" s="215">
        <v>-1609955.14</v>
      </c>
      <c r="M565" s="215">
        <v>-1609955.14</v>
      </c>
      <c r="N565" s="215">
        <v>-1609955.14</v>
      </c>
      <c r="O565" s="215">
        <v>-1609955.14</v>
      </c>
      <c r="P565" s="215">
        <v>-1609955.14</v>
      </c>
      <c r="Q565" s="215">
        <v>-1609955.14</v>
      </c>
    </row>
    <row r="566" spans="2:17" x14ac:dyDescent="0.25">
      <c r="B566" s="259">
        <f t="shared" si="8"/>
        <v>10356100.806666667</v>
      </c>
      <c r="D566" s="2" t="s">
        <v>600</v>
      </c>
      <c r="E566" s="215">
        <v>5356578.43</v>
      </c>
      <c r="F566" s="215">
        <v>6508542.5200000005</v>
      </c>
      <c r="G566" s="215">
        <v>6688316.6500000004</v>
      </c>
      <c r="H566" s="215">
        <v>6865982.8600000013</v>
      </c>
      <c r="I566" s="215">
        <v>7785649.8399999999</v>
      </c>
      <c r="J566" s="215">
        <v>8459161.9199999999</v>
      </c>
      <c r="K566" s="215">
        <v>9589083.5099999961</v>
      </c>
      <c r="L566" s="215">
        <v>12165848.959999999</v>
      </c>
      <c r="M566" s="215">
        <v>13111050.459999999</v>
      </c>
      <c r="N566" s="215">
        <v>13514656.149999999</v>
      </c>
      <c r="O566" s="215">
        <v>13918633.789999999</v>
      </c>
      <c r="P566" s="215">
        <v>15058070.649999999</v>
      </c>
      <c r="Q566" s="215">
        <v>15859846.309999999</v>
      </c>
    </row>
    <row r="567" spans="2:17" x14ac:dyDescent="0.25">
      <c r="B567" s="259">
        <f t="shared" si="8"/>
        <v>4109315.1874999995</v>
      </c>
      <c r="D567" s="2" t="s">
        <v>602</v>
      </c>
      <c r="E567" s="215">
        <v>2507512.1099999994</v>
      </c>
      <c r="F567" s="215">
        <v>2850737.5699999994</v>
      </c>
      <c r="G567" s="215">
        <v>3154800.7499999995</v>
      </c>
      <c r="H567" s="215">
        <v>3696807.84</v>
      </c>
      <c r="I567" s="215">
        <v>3915944.07</v>
      </c>
      <c r="J567" s="215">
        <v>4117978.3</v>
      </c>
      <c r="K567" s="215">
        <v>4269515.22</v>
      </c>
      <c r="L567" s="215">
        <v>4434382.3899999997</v>
      </c>
      <c r="M567" s="215">
        <v>4548379.05</v>
      </c>
      <c r="N567" s="215">
        <v>4708297.21</v>
      </c>
      <c r="O567" s="215">
        <v>4787456.8</v>
      </c>
      <c r="P567" s="215">
        <v>4935668.04</v>
      </c>
      <c r="Q567" s="215">
        <v>5276117.91</v>
      </c>
    </row>
    <row r="568" spans="2:17" x14ac:dyDescent="0.25">
      <c r="B568" s="259">
        <f t="shared" si="8"/>
        <v>10255633.8675</v>
      </c>
      <c r="D568" s="2" t="s">
        <v>604</v>
      </c>
      <c r="E568" s="215">
        <v>6131634.3799999999</v>
      </c>
      <c r="F568" s="215">
        <v>6740987.4299999997</v>
      </c>
      <c r="G568" s="215">
        <v>7550262.2299999995</v>
      </c>
      <c r="H568" s="215">
        <v>8062555.21</v>
      </c>
      <c r="I568" s="215">
        <v>8459564.7000000011</v>
      </c>
      <c r="J568" s="215">
        <v>9344891.6300000008</v>
      </c>
      <c r="K568" s="215">
        <v>10125547.220000001</v>
      </c>
      <c r="L568" s="215">
        <v>10945631.840000002</v>
      </c>
      <c r="M568" s="215">
        <v>11487030.550000001</v>
      </c>
      <c r="N568" s="215">
        <v>12354252.41</v>
      </c>
      <c r="O568" s="215">
        <v>13572510.040000001</v>
      </c>
      <c r="P568" s="215">
        <v>14139164.740000002</v>
      </c>
      <c r="Q568" s="215">
        <v>14438782.440000001</v>
      </c>
    </row>
    <row r="569" spans="2:17" x14ac:dyDescent="0.25">
      <c r="B569" s="259">
        <f t="shared" si="8"/>
        <v>4545091.1249999991</v>
      </c>
      <c r="D569" s="2" t="s">
        <v>606</v>
      </c>
      <c r="E569" s="215">
        <v>3092574.7299999995</v>
      </c>
      <c r="F569" s="215">
        <v>3305393.7699999991</v>
      </c>
      <c r="G569" s="215">
        <v>3572950.7099999995</v>
      </c>
      <c r="H569" s="215">
        <v>3931283.3199999989</v>
      </c>
      <c r="I569" s="215">
        <v>4111487.2999999993</v>
      </c>
      <c r="J569" s="215">
        <v>4270551.5699999994</v>
      </c>
      <c r="K569" s="215">
        <v>4373273.26</v>
      </c>
      <c r="L569" s="215">
        <v>4488224.5</v>
      </c>
      <c r="M569" s="215">
        <v>4892039.5799999991</v>
      </c>
      <c r="N569" s="215">
        <v>5359773.9899999993</v>
      </c>
      <c r="O569" s="215">
        <v>5613921.4299999988</v>
      </c>
      <c r="P569" s="215">
        <v>5975067.0800000001</v>
      </c>
      <c r="Q569" s="215">
        <v>6201679.25</v>
      </c>
    </row>
    <row r="570" spans="2:17" x14ac:dyDescent="0.25">
      <c r="B570" s="259">
        <f t="shared" si="8"/>
        <v>12281175.35</v>
      </c>
      <c r="D570" s="2" t="s">
        <v>608</v>
      </c>
      <c r="E570" s="215">
        <v>8586390.799999997</v>
      </c>
      <c r="F570" s="215">
        <v>9024275.0299999975</v>
      </c>
      <c r="G570" s="215">
        <v>9978796.6499999985</v>
      </c>
      <c r="H570" s="215">
        <v>10635475.029999997</v>
      </c>
      <c r="I570" s="215">
        <v>11461240.759999998</v>
      </c>
      <c r="J570" s="215">
        <v>12030165</v>
      </c>
      <c r="K570" s="215">
        <v>12564100.529999999</v>
      </c>
      <c r="L570" s="215">
        <v>13099999.879999999</v>
      </c>
      <c r="M570" s="215">
        <v>13080765.369999999</v>
      </c>
      <c r="N570" s="215">
        <v>13574792.699999999</v>
      </c>
      <c r="O570" s="215">
        <v>14289125.019999998</v>
      </c>
      <c r="P570" s="215">
        <v>15259766.249999998</v>
      </c>
      <c r="Q570" s="215">
        <v>16164813.159999998</v>
      </c>
    </row>
    <row r="571" spans="2:17" x14ac:dyDescent="0.25">
      <c r="B571" s="259">
        <f t="shared" si="8"/>
        <v>5666313.7158333352</v>
      </c>
      <c r="D571" s="2" t="s">
        <v>610</v>
      </c>
      <c r="E571" s="215">
        <v>4087102.71</v>
      </c>
      <c r="F571" s="215">
        <v>4303359.9800000004</v>
      </c>
      <c r="G571" s="215">
        <v>4597162.8600000003</v>
      </c>
      <c r="H571" s="215">
        <v>4958020.34</v>
      </c>
      <c r="I571" s="215">
        <v>5325958.4200000009</v>
      </c>
      <c r="J571" s="215">
        <v>5570990.540000001</v>
      </c>
      <c r="K571" s="215">
        <v>5812733.9200000009</v>
      </c>
      <c r="L571" s="215">
        <v>5950080.9900000012</v>
      </c>
      <c r="M571" s="215">
        <v>6129367.3200000012</v>
      </c>
      <c r="N571" s="215">
        <v>6318250.870000001</v>
      </c>
      <c r="O571" s="215">
        <v>6457651.6400000025</v>
      </c>
      <c r="P571" s="215">
        <v>6927405.0900000026</v>
      </c>
      <c r="Q571" s="215">
        <v>7202462.5300000021</v>
      </c>
    </row>
    <row r="572" spans="2:17" x14ac:dyDescent="0.25">
      <c r="B572" s="259">
        <f t="shared" si="8"/>
        <v>38273322.351666667</v>
      </c>
      <c r="D572" s="2" t="s">
        <v>612</v>
      </c>
      <c r="E572" s="215">
        <v>26037113.769999996</v>
      </c>
      <c r="F572" s="215">
        <v>27925746.149999991</v>
      </c>
      <c r="G572" s="215">
        <v>30060883.019999992</v>
      </c>
      <c r="H572" s="215">
        <v>32815688.239999995</v>
      </c>
      <c r="I572" s="215">
        <v>34839219.699999988</v>
      </c>
      <c r="J572" s="215">
        <v>37172509.609999999</v>
      </c>
      <c r="K572" s="215">
        <v>38829899.530000001</v>
      </c>
      <c r="L572" s="215">
        <v>40198239.18</v>
      </c>
      <c r="M572" s="215">
        <v>42425641.079999998</v>
      </c>
      <c r="N572" s="215">
        <v>43870957.299999997</v>
      </c>
      <c r="O572" s="215">
        <v>45559777.5</v>
      </c>
      <c r="P572" s="215">
        <v>47882384.490000002</v>
      </c>
      <c r="Q572" s="215">
        <v>49360731.07</v>
      </c>
    </row>
    <row r="573" spans="2:17" x14ac:dyDescent="0.25">
      <c r="B573" s="259">
        <f t="shared" si="8"/>
        <v>11908333.127083331</v>
      </c>
      <c r="D573" s="2" t="s">
        <v>614</v>
      </c>
      <c r="E573" s="215">
        <v>8310815.2999999989</v>
      </c>
      <c r="F573" s="215">
        <v>8861316.0899999999</v>
      </c>
      <c r="G573" s="215">
        <v>9386635.7399999984</v>
      </c>
      <c r="H573" s="215">
        <v>9891838.7399999984</v>
      </c>
      <c r="I573" s="215">
        <v>10398088.029999997</v>
      </c>
      <c r="J573" s="215">
        <v>10973529.879999997</v>
      </c>
      <c r="K573" s="215">
        <v>11729863.189999998</v>
      </c>
      <c r="L573" s="215">
        <v>12417369.109999998</v>
      </c>
      <c r="M573" s="215">
        <v>13299814.629999999</v>
      </c>
      <c r="N573" s="215">
        <v>13909185.699999999</v>
      </c>
      <c r="O573" s="215">
        <v>14637089.810000001</v>
      </c>
      <c r="P573" s="215">
        <v>15290301.970000001</v>
      </c>
      <c r="Q573" s="215">
        <v>15899113.970000001</v>
      </c>
    </row>
    <row r="574" spans="2:17" x14ac:dyDescent="0.25">
      <c r="B574" s="259">
        <f t="shared" si="8"/>
        <v>8463.8733333333312</v>
      </c>
      <c r="D574" s="2" t="s">
        <v>616</v>
      </c>
      <c r="E574" s="215">
        <v>7292.1</v>
      </c>
      <c r="F574" s="215">
        <v>7292.1</v>
      </c>
      <c r="G574" s="215">
        <v>7292.1</v>
      </c>
      <c r="H574" s="215">
        <v>7292.1</v>
      </c>
      <c r="I574" s="215">
        <v>8941.07</v>
      </c>
      <c r="J574" s="215">
        <v>8946.7899999999991</v>
      </c>
      <c r="K574" s="215">
        <v>8946.7899999999991</v>
      </c>
      <c r="L574" s="215">
        <v>8946.7899999999991</v>
      </c>
      <c r="M574" s="215">
        <v>8946.7899999999991</v>
      </c>
      <c r="N574" s="215">
        <v>8947.4</v>
      </c>
      <c r="O574" s="215">
        <v>8947.4</v>
      </c>
      <c r="P574" s="215">
        <v>8947.4</v>
      </c>
      <c r="Q574" s="215">
        <v>8947.4</v>
      </c>
    </row>
    <row r="575" spans="2:17" x14ac:dyDescent="0.25">
      <c r="B575" s="259">
        <f t="shared" si="8"/>
        <v>178224.53958333333</v>
      </c>
      <c r="D575" s="2" t="s">
        <v>618</v>
      </c>
      <c r="E575" s="215">
        <v>97687.62</v>
      </c>
      <c r="F575" s="215">
        <v>137671.16</v>
      </c>
      <c r="G575" s="215">
        <v>161657.62</v>
      </c>
      <c r="H575" s="215">
        <v>161626.28</v>
      </c>
      <c r="I575" s="215">
        <v>162503.46</v>
      </c>
      <c r="J575" s="215">
        <v>162536.35999999999</v>
      </c>
      <c r="K575" s="215">
        <v>162536.35999999999</v>
      </c>
      <c r="L575" s="215">
        <v>162536.35999999999</v>
      </c>
      <c r="M575" s="215">
        <v>215965.53</v>
      </c>
      <c r="N575" s="215">
        <v>216711.92</v>
      </c>
      <c r="O575" s="215">
        <v>218008.95</v>
      </c>
      <c r="P575" s="215">
        <v>218731.11000000002</v>
      </c>
      <c r="Q575" s="215">
        <v>218731.11000000002</v>
      </c>
    </row>
    <row r="576" spans="2:17" x14ac:dyDescent="0.25">
      <c r="B576" s="259">
        <f t="shared" si="8"/>
        <v>0</v>
      </c>
      <c r="D576" s="2" t="s">
        <v>620</v>
      </c>
      <c r="E576" s="215">
        <v>0</v>
      </c>
      <c r="F576" s="215">
        <v>0</v>
      </c>
      <c r="G576" s="215">
        <v>0</v>
      </c>
      <c r="H576" s="215">
        <v>0</v>
      </c>
      <c r="I576" s="215">
        <v>0</v>
      </c>
      <c r="J576" s="215">
        <v>0</v>
      </c>
      <c r="K576" s="215">
        <v>0</v>
      </c>
      <c r="L576" s="215">
        <v>0</v>
      </c>
      <c r="M576" s="215">
        <v>0</v>
      </c>
      <c r="N576" s="215">
        <v>0</v>
      </c>
      <c r="O576" s="215">
        <v>0</v>
      </c>
      <c r="P576" s="215">
        <v>0</v>
      </c>
      <c r="Q576" s="215">
        <v>0</v>
      </c>
    </row>
    <row r="577" spans="2:17" x14ac:dyDescent="0.25">
      <c r="B577" s="259">
        <f t="shared" si="8"/>
        <v>0</v>
      </c>
      <c r="D577" s="2" t="s">
        <v>1497</v>
      </c>
      <c r="E577" s="215">
        <v>0</v>
      </c>
      <c r="F577" s="215">
        <v>0</v>
      </c>
      <c r="G577" s="215">
        <v>0</v>
      </c>
      <c r="H577" s="215">
        <v>0</v>
      </c>
      <c r="I577" s="215">
        <v>0</v>
      </c>
      <c r="J577" s="215">
        <v>0</v>
      </c>
      <c r="K577" s="215">
        <v>0</v>
      </c>
      <c r="L577" s="215">
        <v>0</v>
      </c>
      <c r="M577" s="215">
        <v>0</v>
      </c>
      <c r="N577" s="215">
        <v>0</v>
      </c>
      <c r="O577" s="215">
        <v>0</v>
      </c>
      <c r="P577" s="215">
        <v>0</v>
      </c>
      <c r="Q577" s="215">
        <v>0</v>
      </c>
    </row>
    <row r="578" spans="2:17" x14ac:dyDescent="0.25">
      <c r="B578" s="259">
        <f t="shared" si="8"/>
        <v>2642.5400000000004</v>
      </c>
      <c r="D578" s="2" t="s">
        <v>1498</v>
      </c>
      <c r="E578" s="215">
        <v>2642.54</v>
      </c>
      <c r="F578" s="215">
        <v>2642.54</v>
      </c>
      <c r="G578" s="215">
        <v>2642.54</v>
      </c>
      <c r="H578" s="215">
        <v>2642.54</v>
      </c>
      <c r="I578" s="215">
        <v>2642.54</v>
      </c>
      <c r="J578" s="215">
        <v>2642.54</v>
      </c>
      <c r="K578" s="215">
        <v>2642.54</v>
      </c>
      <c r="L578" s="215">
        <v>2642.54</v>
      </c>
      <c r="M578" s="215">
        <v>2642.54</v>
      </c>
      <c r="N578" s="215">
        <v>2642.54</v>
      </c>
      <c r="O578" s="215">
        <v>2642.54</v>
      </c>
      <c r="P578" s="215">
        <v>2642.54</v>
      </c>
      <c r="Q578" s="215">
        <v>2642.54</v>
      </c>
    </row>
    <row r="579" spans="2:17" x14ac:dyDescent="0.25">
      <c r="B579" s="259">
        <f t="shared" si="8"/>
        <v>41524861.105833337</v>
      </c>
      <c r="D579" s="2" t="s">
        <v>622</v>
      </c>
      <c r="E579" s="215">
        <v>19388324.969999999</v>
      </c>
      <c r="F579" s="215">
        <v>27263677.440000005</v>
      </c>
      <c r="G579" s="215">
        <v>33903862.910000004</v>
      </c>
      <c r="H579" s="215">
        <v>37064006.06000001</v>
      </c>
      <c r="I579" s="215">
        <v>39341723.88000001</v>
      </c>
      <c r="J579" s="215">
        <v>40285545.87000002</v>
      </c>
      <c r="K579" s="215">
        <v>44558287.220000006</v>
      </c>
      <c r="L579" s="215">
        <v>44284448.700000018</v>
      </c>
      <c r="M579" s="215">
        <v>45639921.000000015</v>
      </c>
      <c r="N579" s="215">
        <v>46689808.280000016</v>
      </c>
      <c r="O579" s="215">
        <v>49913787.010000013</v>
      </c>
      <c r="P579" s="215">
        <v>52015187.950000018</v>
      </c>
      <c r="Q579" s="215">
        <v>55287828.930000015</v>
      </c>
    </row>
    <row r="580" spans="2:17" x14ac:dyDescent="0.25">
      <c r="B580" s="259">
        <f t="shared" si="8"/>
        <v>734937.55000000028</v>
      </c>
      <c r="D580" s="2" t="s">
        <v>624</v>
      </c>
      <c r="E580" s="215">
        <v>621092.2200000002</v>
      </c>
      <c r="F580" s="215">
        <v>579617.29000000015</v>
      </c>
      <c r="G580" s="215">
        <v>625310.04000000027</v>
      </c>
      <c r="H580" s="215">
        <v>623352.27000000025</v>
      </c>
      <c r="I580" s="215">
        <v>629076.62000000011</v>
      </c>
      <c r="J580" s="215">
        <v>643109.65000000026</v>
      </c>
      <c r="K580" s="215">
        <v>643218.70000000019</v>
      </c>
      <c r="L580" s="215">
        <v>648497.38000000024</v>
      </c>
      <c r="M580" s="215">
        <v>820519.56000000017</v>
      </c>
      <c r="N580" s="215">
        <v>454181.56000000006</v>
      </c>
      <c r="O580" s="215">
        <v>826653.4700000002</v>
      </c>
      <c r="P580" s="215">
        <v>1174645.75</v>
      </c>
      <c r="Q580" s="215">
        <v>1681044.4000000001</v>
      </c>
    </row>
    <row r="581" spans="2:17" x14ac:dyDescent="0.25">
      <c r="B581" s="259">
        <f t="shared" si="8"/>
        <v>1979456.1958333328</v>
      </c>
      <c r="D581" s="2" t="s">
        <v>626</v>
      </c>
      <c r="E581" s="215">
        <v>1482069.7399999998</v>
      </c>
      <c r="F581" s="215">
        <v>1490585.2699999996</v>
      </c>
      <c r="G581" s="215">
        <v>1420514.2299999995</v>
      </c>
      <c r="H581" s="215">
        <v>1433646.8199999996</v>
      </c>
      <c r="I581" s="215">
        <v>1432134.8399999994</v>
      </c>
      <c r="J581" s="215">
        <v>1456584.1399999992</v>
      </c>
      <c r="K581" s="215">
        <v>685809.0699999996</v>
      </c>
      <c r="L581" s="215">
        <v>2639042.1699999995</v>
      </c>
      <c r="M581" s="215">
        <v>2753276.7699999996</v>
      </c>
      <c r="N581" s="215">
        <v>2748986.1199999996</v>
      </c>
      <c r="O581" s="215">
        <v>2749373.2899999996</v>
      </c>
      <c r="P581" s="215">
        <v>2794760.5599999996</v>
      </c>
      <c r="Q581" s="215">
        <v>2815452.3999999994</v>
      </c>
    </row>
    <row r="582" spans="2:17" x14ac:dyDescent="0.25">
      <c r="B582" s="259">
        <f t="shared" si="8"/>
        <v>323101.29875000007</v>
      </c>
      <c r="D582" s="2" t="s">
        <v>952</v>
      </c>
      <c r="E582" s="215">
        <v>0</v>
      </c>
      <c r="F582" s="215">
        <v>0</v>
      </c>
      <c r="G582" s="215">
        <v>0</v>
      </c>
      <c r="H582" s="215">
        <v>0</v>
      </c>
      <c r="I582" s="215">
        <v>0</v>
      </c>
      <c r="J582" s="215">
        <v>0</v>
      </c>
      <c r="K582" s="215">
        <v>547669.56000000006</v>
      </c>
      <c r="L582" s="215">
        <v>581571.35000000009</v>
      </c>
      <c r="M582" s="215">
        <v>605301.22000000009</v>
      </c>
      <c r="N582" s="215">
        <v>605301.22000000009</v>
      </c>
      <c r="O582" s="215">
        <v>608333.24000000011</v>
      </c>
      <c r="P582" s="215">
        <v>619359.33000000007</v>
      </c>
      <c r="Q582" s="215">
        <v>619359.33000000007</v>
      </c>
    </row>
    <row r="583" spans="2:17" x14ac:dyDescent="0.25">
      <c r="B583" s="259">
        <f t="shared" ref="B583:B646" si="9">(E583+Q583+SUM(F583:P583)*2)/24</f>
        <v>5289774.849166668</v>
      </c>
      <c r="D583" s="2" t="s">
        <v>628</v>
      </c>
      <c r="E583" s="215">
        <v>5310891.51</v>
      </c>
      <c r="F583" s="215">
        <v>5284138.5500000007</v>
      </c>
      <c r="G583" s="215">
        <v>5285272.83</v>
      </c>
      <c r="H583" s="215">
        <v>5286569.4300000006</v>
      </c>
      <c r="I583" s="215">
        <v>5287406.1400000006</v>
      </c>
      <c r="J583" s="215">
        <v>5286266.0500000007</v>
      </c>
      <c r="K583" s="215">
        <v>5286574.5000000009</v>
      </c>
      <c r="L583" s="215">
        <v>5286574.5000000009</v>
      </c>
      <c r="M583" s="215">
        <v>5280904.8800000008</v>
      </c>
      <c r="N583" s="215">
        <v>5294113.8500000006</v>
      </c>
      <c r="O583" s="215">
        <v>5293911.6100000003</v>
      </c>
      <c r="P583" s="215">
        <v>5299387.790000001</v>
      </c>
      <c r="Q583" s="215">
        <v>5301464.6100000003</v>
      </c>
    </row>
    <row r="584" spans="2:17" x14ac:dyDescent="0.25">
      <c r="B584" s="259">
        <f t="shared" si="9"/>
        <v>1367.825</v>
      </c>
      <c r="D584" s="2" t="s">
        <v>630</v>
      </c>
      <c r="E584" s="215">
        <v>1090.33</v>
      </c>
      <c r="F584" s="215">
        <v>1090.33</v>
      </c>
      <c r="G584" s="215">
        <v>1090.33</v>
      </c>
      <c r="H584" s="215">
        <v>1090.33</v>
      </c>
      <c r="I584" s="215">
        <v>1090.33</v>
      </c>
      <c r="J584" s="215">
        <v>1090.33</v>
      </c>
      <c r="K584" s="215">
        <v>1518.1</v>
      </c>
      <c r="L584" s="215">
        <v>1518.1</v>
      </c>
      <c r="M584" s="215">
        <v>1518.1</v>
      </c>
      <c r="N584" s="215">
        <v>1518.1</v>
      </c>
      <c r="O584" s="215">
        <v>1518.1</v>
      </c>
      <c r="P584" s="215">
        <v>1884.3899999999999</v>
      </c>
      <c r="Q584" s="215">
        <v>1884.3899999999999</v>
      </c>
    </row>
    <row r="585" spans="2:17" x14ac:dyDescent="0.25">
      <c r="B585" s="259">
        <f t="shared" si="9"/>
        <v>156.16000000000005</v>
      </c>
      <c r="D585" s="2" t="s">
        <v>1499</v>
      </c>
      <c r="E585" s="215">
        <v>156.16000000000003</v>
      </c>
      <c r="F585" s="215">
        <v>156.16000000000003</v>
      </c>
      <c r="G585" s="215">
        <v>156.16000000000003</v>
      </c>
      <c r="H585" s="215">
        <v>156.16000000000003</v>
      </c>
      <c r="I585" s="215">
        <v>156.16000000000003</v>
      </c>
      <c r="J585" s="215">
        <v>156.16000000000003</v>
      </c>
      <c r="K585" s="215">
        <v>156.16000000000003</v>
      </c>
      <c r="L585" s="215">
        <v>156.16000000000003</v>
      </c>
      <c r="M585" s="215">
        <v>156.16000000000003</v>
      </c>
      <c r="N585" s="215">
        <v>156.16000000000003</v>
      </c>
      <c r="O585" s="215">
        <v>156.16000000000003</v>
      </c>
      <c r="P585" s="215">
        <v>156.16000000000003</v>
      </c>
      <c r="Q585" s="215">
        <v>156.16000000000003</v>
      </c>
    </row>
    <row r="586" spans="2:17" x14ac:dyDescent="0.25">
      <c r="B586" s="259">
        <f t="shared" si="9"/>
        <v>326.96000000000004</v>
      </c>
      <c r="D586" s="2" t="s">
        <v>1500</v>
      </c>
      <c r="E586" s="215">
        <v>326.96000000000004</v>
      </c>
      <c r="F586" s="215">
        <v>326.96000000000004</v>
      </c>
      <c r="G586" s="215">
        <v>326.96000000000004</v>
      </c>
      <c r="H586" s="215">
        <v>326.96000000000004</v>
      </c>
      <c r="I586" s="215">
        <v>326.96000000000004</v>
      </c>
      <c r="J586" s="215">
        <v>326.96000000000004</v>
      </c>
      <c r="K586" s="215">
        <v>326.96000000000004</v>
      </c>
      <c r="L586" s="215">
        <v>326.96000000000004</v>
      </c>
      <c r="M586" s="215">
        <v>326.96000000000004</v>
      </c>
      <c r="N586" s="215">
        <v>326.96000000000004</v>
      </c>
      <c r="O586" s="215">
        <v>326.96000000000004</v>
      </c>
      <c r="P586" s="215">
        <v>326.96000000000004</v>
      </c>
      <c r="Q586" s="215">
        <v>326.96000000000004</v>
      </c>
    </row>
    <row r="587" spans="2:17" x14ac:dyDescent="0.25">
      <c r="B587" s="259">
        <f t="shared" si="9"/>
        <v>44592.7575</v>
      </c>
      <c r="D587" s="2" t="s">
        <v>632</v>
      </c>
      <c r="E587" s="215">
        <v>44298.32</v>
      </c>
      <c r="F587" s="215">
        <v>44298.32</v>
      </c>
      <c r="G587" s="215">
        <v>44634.82</v>
      </c>
      <c r="H587" s="215">
        <v>44634.82</v>
      </c>
      <c r="I587" s="215">
        <v>44634.82</v>
      </c>
      <c r="J587" s="215">
        <v>44634.82</v>
      </c>
      <c r="K587" s="215">
        <v>44634.82</v>
      </c>
      <c r="L587" s="215">
        <v>44634.82</v>
      </c>
      <c r="M587" s="215">
        <v>44634.82</v>
      </c>
      <c r="N587" s="215">
        <v>44634.82</v>
      </c>
      <c r="O587" s="215">
        <v>44634.82</v>
      </c>
      <c r="P587" s="215">
        <v>44634.82</v>
      </c>
      <c r="Q587" s="215">
        <v>44634.82</v>
      </c>
    </row>
    <row r="588" spans="2:17" x14ac:dyDescent="0.25">
      <c r="B588" s="259">
        <f t="shared" si="9"/>
        <v>293557.72124999994</v>
      </c>
      <c r="D588" s="2" t="s">
        <v>634</v>
      </c>
      <c r="E588" s="215">
        <v>6025.5099999999948</v>
      </c>
      <c r="F588" s="215">
        <v>-26821.940000000002</v>
      </c>
      <c r="G588" s="215">
        <v>122556.98999999999</v>
      </c>
      <c r="H588" s="215">
        <v>134412.84</v>
      </c>
      <c r="I588" s="215">
        <v>368465.93</v>
      </c>
      <c r="J588" s="215">
        <v>380831.67000000004</v>
      </c>
      <c r="K588" s="215">
        <v>380447.27</v>
      </c>
      <c r="L588" s="215">
        <v>385163.57999999996</v>
      </c>
      <c r="M588" s="215">
        <v>389434.17</v>
      </c>
      <c r="N588" s="215">
        <v>392904.85</v>
      </c>
      <c r="O588" s="215">
        <v>395487.69999999995</v>
      </c>
      <c r="P588" s="215">
        <v>397848.75999999995</v>
      </c>
      <c r="Q588" s="215">
        <v>397896.15999999992</v>
      </c>
    </row>
    <row r="589" spans="2:17" x14ac:dyDescent="0.25">
      <c r="B589" s="259">
        <f t="shared" si="9"/>
        <v>691530.89458333328</v>
      </c>
      <c r="D589" s="2" t="s">
        <v>636</v>
      </c>
      <c r="E589" s="215">
        <v>643645.32000000007</v>
      </c>
      <c r="F589" s="215">
        <v>652123.42999999993</v>
      </c>
      <c r="G589" s="215">
        <v>652198.36</v>
      </c>
      <c r="H589" s="215">
        <v>653193.78</v>
      </c>
      <c r="I589" s="215">
        <v>700829.1</v>
      </c>
      <c r="J589" s="215">
        <v>705675.13</v>
      </c>
      <c r="K589" s="215">
        <v>705675.13</v>
      </c>
      <c r="L589" s="215">
        <v>705675.13</v>
      </c>
      <c r="M589" s="215">
        <v>710168.42</v>
      </c>
      <c r="N589" s="215">
        <v>710168.42</v>
      </c>
      <c r="O589" s="215">
        <v>710707.44000000006</v>
      </c>
      <c r="P589" s="215">
        <v>713402.54</v>
      </c>
      <c r="Q589" s="215">
        <v>713462.39</v>
      </c>
    </row>
    <row r="590" spans="2:17" x14ac:dyDescent="0.25">
      <c r="B590" s="259">
        <f t="shared" si="9"/>
        <v>1369060.7591666665</v>
      </c>
      <c r="D590" s="2" t="s">
        <v>638</v>
      </c>
      <c r="E590" s="215">
        <v>0</v>
      </c>
      <c r="F590" s="215">
        <v>0</v>
      </c>
      <c r="G590" s="215">
        <v>0</v>
      </c>
      <c r="H590" s="215">
        <v>0</v>
      </c>
      <c r="I590" s="215">
        <v>0</v>
      </c>
      <c r="J590" s="215">
        <v>0</v>
      </c>
      <c r="K590" s="215">
        <v>2121274.2999999998</v>
      </c>
      <c r="L590" s="215">
        <v>2122672.9299999997</v>
      </c>
      <c r="M590" s="215">
        <v>2125542.6899999995</v>
      </c>
      <c r="N590" s="215">
        <v>2872229.9999999995</v>
      </c>
      <c r="O590" s="215">
        <v>2872229.9999999995</v>
      </c>
      <c r="P590" s="215">
        <v>2876519.4599999995</v>
      </c>
      <c r="Q590" s="215">
        <v>2876519.4599999995</v>
      </c>
    </row>
    <row r="591" spans="2:17" x14ac:dyDescent="0.25">
      <c r="B591" s="259">
        <f t="shared" si="9"/>
        <v>475328.89708333323</v>
      </c>
      <c r="D591" s="2" t="s">
        <v>640</v>
      </c>
      <c r="E591" s="215">
        <v>335462.67</v>
      </c>
      <c r="F591" s="215">
        <v>453812.02999999991</v>
      </c>
      <c r="G591" s="215">
        <v>454012.78999999992</v>
      </c>
      <c r="H591" s="215">
        <v>461794.14999999991</v>
      </c>
      <c r="I591" s="215">
        <v>469181.83999999991</v>
      </c>
      <c r="J591" s="215">
        <v>469761.04999999993</v>
      </c>
      <c r="K591" s="215">
        <v>469806.73999999993</v>
      </c>
      <c r="L591" s="215">
        <v>489716.25999999995</v>
      </c>
      <c r="M591" s="215">
        <v>494138.82999999996</v>
      </c>
      <c r="N591" s="215">
        <v>499252.29</v>
      </c>
      <c r="O591" s="215">
        <v>506447.47</v>
      </c>
      <c r="P591" s="215">
        <v>508470.16</v>
      </c>
      <c r="Q591" s="215">
        <v>519643.63999999996</v>
      </c>
    </row>
    <row r="592" spans="2:17" x14ac:dyDescent="0.25">
      <c r="B592" s="259">
        <f t="shared" si="9"/>
        <v>4121127.7170833335</v>
      </c>
      <c r="D592" s="2" t="s">
        <v>642</v>
      </c>
      <c r="E592" s="215">
        <v>2774796.86</v>
      </c>
      <c r="F592" s="215">
        <v>2986457.87</v>
      </c>
      <c r="G592" s="215">
        <v>3100828.54</v>
      </c>
      <c r="H592" s="215">
        <v>3401413.01</v>
      </c>
      <c r="I592" s="215">
        <v>3592488.33</v>
      </c>
      <c r="J592" s="215">
        <v>3853050.69</v>
      </c>
      <c r="K592" s="215">
        <v>4096989.0199999996</v>
      </c>
      <c r="L592" s="215">
        <v>4301901.88</v>
      </c>
      <c r="M592" s="215">
        <v>4521101.78</v>
      </c>
      <c r="N592" s="215">
        <v>4849210.59</v>
      </c>
      <c r="O592" s="215">
        <v>5195043.2399999993</v>
      </c>
      <c r="P592" s="215">
        <v>5398108.5299999993</v>
      </c>
      <c r="Q592" s="215">
        <v>5539081.3899999997</v>
      </c>
    </row>
    <row r="593" spans="2:17" x14ac:dyDescent="0.25">
      <c r="B593" s="259">
        <f t="shared" si="9"/>
        <v>334033.60374999995</v>
      </c>
      <c r="D593" s="2" t="s">
        <v>644</v>
      </c>
      <c r="E593" s="215">
        <v>125166.12000000001</v>
      </c>
      <c r="F593" s="215">
        <v>125173.70000000001</v>
      </c>
      <c r="G593" s="215">
        <v>218458.98000000004</v>
      </c>
      <c r="H593" s="215">
        <v>223200.31000000003</v>
      </c>
      <c r="I593" s="215">
        <v>223421.74000000002</v>
      </c>
      <c r="J593" s="215">
        <v>271457.90000000002</v>
      </c>
      <c r="K593" s="215">
        <v>389773.20999999996</v>
      </c>
      <c r="L593" s="215">
        <v>391776.44999999995</v>
      </c>
      <c r="M593" s="215">
        <v>392684.32999999996</v>
      </c>
      <c r="N593" s="215">
        <v>393946.33999999997</v>
      </c>
      <c r="O593" s="215">
        <v>394090.47</v>
      </c>
      <c r="P593" s="215">
        <v>397151.61000000004</v>
      </c>
      <c r="Q593" s="215">
        <v>1049370.29</v>
      </c>
    </row>
    <row r="594" spans="2:17" x14ac:dyDescent="0.25">
      <c r="B594" s="259">
        <f t="shared" si="9"/>
        <v>2320107.5320833339</v>
      </c>
      <c r="D594" s="2" t="s">
        <v>646</v>
      </c>
      <c r="E594" s="215">
        <v>1201271.01</v>
      </c>
      <c r="F594" s="215">
        <v>1521406.6500000004</v>
      </c>
      <c r="G594" s="215">
        <v>1658351.11</v>
      </c>
      <c r="H594" s="215">
        <v>1847701.23</v>
      </c>
      <c r="I594" s="215">
        <v>2017621.81</v>
      </c>
      <c r="J594" s="215">
        <v>2093576.24</v>
      </c>
      <c r="K594" s="215">
        <v>2259422.71</v>
      </c>
      <c r="L594" s="215">
        <v>2476363.33</v>
      </c>
      <c r="M594" s="215">
        <v>2703650.8100000005</v>
      </c>
      <c r="N594" s="215">
        <v>2765416.2100000009</v>
      </c>
      <c r="O594" s="215">
        <v>2904268.4300000006</v>
      </c>
      <c r="P594" s="215">
        <v>3302250.0800000005</v>
      </c>
      <c r="Q594" s="215">
        <v>3381252.5400000005</v>
      </c>
    </row>
    <row r="595" spans="2:17" x14ac:dyDescent="0.25">
      <c r="B595" s="259">
        <f t="shared" si="9"/>
        <v>0</v>
      </c>
      <c r="D595" s="2" t="s">
        <v>1501</v>
      </c>
      <c r="E595" s="215">
        <v>0</v>
      </c>
      <c r="F595" s="215">
        <v>0</v>
      </c>
      <c r="G595" s="215">
        <v>0</v>
      </c>
      <c r="H595" s="215">
        <v>0</v>
      </c>
      <c r="I595" s="215">
        <v>0</v>
      </c>
      <c r="J595" s="215">
        <v>0</v>
      </c>
      <c r="K595" s="215">
        <v>0</v>
      </c>
      <c r="L595" s="215">
        <v>0</v>
      </c>
      <c r="M595" s="215">
        <v>0</v>
      </c>
      <c r="N595" s="215">
        <v>0</v>
      </c>
      <c r="O595" s="215">
        <v>0</v>
      </c>
      <c r="P595" s="215">
        <v>0</v>
      </c>
      <c r="Q595" s="215">
        <v>0</v>
      </c>
    </row>
    <row r="596" spans="2:17" x14ac:dyDescent="0.25">
      <c r="B596" s="259">
        <f t="shared" si="9"/>
        <v>277188.8495833333</v>
      </c>
      <c r="D596" s="2" t="s">
        <v>648</v>
      </c>
      <c r="E596" s="215">
        <v>237260.96000000002</v>
      </c>
      <c r="F596" s="215">
        <v>243665</v>
      </c>
      <c r="G596" s="215">
        <v>243665</v>
      </c>
      <c r="H596" s="215">
        <v>243946.05000000002</v>
      </c>
      <c r="I596" s="215">
        <v>249619.91</v>
      </c>
      <c r="J596" s="215">
        <v>253627.34000000003</v>
      </c>
      <c r="K596" s="215">
        <v>259518.45</v>
      </c>
      <c r="L596" s="215">
        <v>275153.05000000005</v>
      </c>
      <c r="M596" s="215">
        <v>275153.05000000005</v>
      </c>
      <c r="N596" s="215">
        <v>288798.63</v>
      </c>
      <c r="O596" s="215">
        <v>338617.87</v>
      </c>
      <c r="P596" s="215">
        <v>355323.49</v>
      </c>
      <c r="Q596" s="215">
        <v>361095.75</v>
      </c>
    </row>
    <row r="597" spans="2:17" x14ac:dyDescent="0.25">
      <c r="B597" s="259">
        <f t="shared" si="9"/>
        <v>87300.428750000006</v>
      </c>
      <c r="D597" s="2" t="s">
        <v>650</v>
      </c>
      <c r="E597" s="215">
        <v>342.99</v>
      </c>
      <c r="F597" s="215">
        <v>342.99</v>
      </c>
      <c r="G597" s="215">
        <v>342.99</v>
      </c>
      <c r="H597" s="215">
        <v>342.99</v>
      </c>
      <c r="I597" s="215">
        <v>64922.28</v>
      </c>
      <c r="J597" s="215">
        <v>66469.310000000012</v>
      </c>
      <c r="K597" s="215">
        <v>74000.780000000013</v>
      </c>
      <c r="L597" s="215">
        <v>76354.24000000002</v>
      </c>
      <c r="M597" s="215">
        <v>79449.340000000026</v>
      </c>
      <c r="N597" s="215">
        <v>79568.060000000027</v>
      </c>
      <c r="O597" s="215">
        <v>82038.460000000021</v>
      </c>
      <c r="P597" s="215">
        <v>347552.16</v>
      </c>
      <c r="Q597" s="215">
        <v>352100.1</v>
      </c>
    </row>
    <row r="598" spans="2:17" x14ac:dyDescent="0.25">
      <c r="B598" s="259">
        <f t="shared" si="9"/>
        <v>122768.82999999996</v>
      </c>
      <c r="D598" s="2" t="s">
        <v>652</v>
      </c>
      <c r="E598" s="215">
        <v>16783.73</v>
      </c>
      <c r="F598" s="215">
        <v>20273.91</v>
      </c>
      <c r="G598" s="215">
        <v>30274.55</v>
      </c>
      <c r="H598" s="215">
        <v>32630.67</v>
      </c>
      <c r="I598" s="215">
        <v>32630.67</v>
      </c>
      <c r="J598" s="215">
        <v>32630.67</v>
      </c>
      <c r="K598" s="215">
        <v>32630.67</v>
      </c>
      <c r="L598" s="215">
        <v>32630.67</v>
      </c>
      <c r="M598" s="215">
        <v>32630.67</v>
      </c>
      <c r="N598" s="215">
        <v>32630.67</v>
      </c>
      <c r="O598" s="215">
        <v>32630.67</v>
      </c>
      <c r="P598" s="215">
        <v>768747.06999999983</v>
      </c>
      <c r="Q598" s="215">
        <v>768986.40999999992</v>
      </c>
    </row>
    <row r="599" spans="2:17" x14ac:dyDescent="0.25">
      <c r="B599" s="259">
        <f t="shared" si="9"/>
        <v>0</v>
      </c>
      <c r="D599" s="2" t="s">
        <v>1502</v>
      </c>
      <c r="E599" s="215">
        <v>0</v>
      </c>
      <c r="F599" s="215">
        <v>0</v>
      </c>
      <c r="G599" s="215">
        <v>0</v>
      </c>
      <c r="H599" s="215">
        <v>0</v>
      </c>
      <c r="I599" s="215">
        <v>0</v>
      </c>
      <c r="J599" s="215">
        <v>0</v>
      </c>
      <c r="K599" s="215">
        <v>0</v>
      </c>
      <c r="L599" s="215">
        <v>0</v>
      </c>
      <c r="M599" s="215">
        <v>0</v>
      </c>
      <c r="N599" s="215">
        <v>0</v>
      </c>
      <c r="O599" s="215">
        <v>0</v>
      </c>
      <c r="P599" s="215">
        <v>0</v>
      </c>
      <c r="Q599" s="215">
        <v>0</v>
      </c>
    </row>
    <row r="600" spans="2:17" x14ac:dyDescent="0.25">
      <c r="B600" s="259">
        <f t="shared" si="9"/>
        <v>52931511.795833342</v>
      </c>
      <c r="D600" s="2" t="s">
        <v>654</v>
      </c>
      <c r="E600" s="215">
        <v>35125246.080000006</v>
      </c>
      <c r="F600" s="215">
        <v>38069653.800000004</v>
      </c>
      <c r="G600" s="215">
        <v>39247864.310000002</v>
      </c>
      <c r="H600" s="215">
        <v>40674544.380000003</v>
      </c>
      <c r="I600" s="215">
        <v>42267184.000000007</v>
      </c>
      <c r="J600" s="215">
        <v>47236423.360000007</v>
      </c>
      <c r="K600" s="215">
        <v>50828983.860000007</v>
      </c>
      <c r="L600" s="215">
        <v>55060261.160000004</v>
      </c>
      <c r="M600" s="215">
        <v>60109731.230000004</v>
      </c>
      <c r="N600" s="215">
        <v>61936397.819999993</v>
      </c>
      <c r="O600" s="215">
        <v>68208887.400000006</v>
      </c>
      <c r="P600" s="215">
        <v>71780479.739999995</v>
      </c>
      <c r="Q600" s="215">
        <v>84390214.900000006</v>
      </c>
    </row>
    <row r="601" spans="2:17" x14ac:dyDescent="0.25">
      <c r="B601" s="259">
        <f t="shared" si="9"/>
        <v>2688264.8020833335</v>
      </c>
      <c r="D601" s="2" t="s">
        <v>656</v>
      </c>
      <c r="E601" s="215">
        <v>2078617.5299999998</v>
      </c>
      <c r="F601" s="215">
        <v>2081970.49</v>
      </c>
      <c r="G601" s="215">
        <v>2086089.88</v>
      </c>
      <c r="H601" s="215">
        <v>2187184.2899999996</v>
      </c>
      <c r="I601" s="215">
        <v>2188730.9399999995</v>
      </c>
      <c r="J601" s="215">
        <v>2263781.5699999998</v>
      </c>
      <c r="K601" s="215">
        <v>2281925.1699999995</v>
      </c>
      <c r="L601" s="215">
        <v>3022870.42</v>
      </c>
      <c r="M601" s="215">
        <v>3051493.69</v>
      </c>
      <c r="N601" s="215">
        <v>3401611.22</v>
      </c>
      <c r="O601" s="215">
        <v>3401726.58</v>
      </c>
      <c r="P601" s="215">
        <v>3497925.5300000003</v>
      </c>
      <c r="Q601" s="215">
        <v>3509118.1599999997</v>
      </c>
    </row>
    <row r="602" spans="2:17" x14ac:dyDescent="0.25">
      <c r="B602" s="259">
        <f t="shared" si="9"/>
        <v>679585.93958333321</v>
      </c>
      <c r="D602" s="2" t="s">
        <v>658</v>
      </c>
      <c r="E602" s="215">
        <v>286650.78999999998</v>
      </c>
      <c r="F602" s="215">
        <v>293536.14999999997</v>
      </c>
      <c r="G602" s="215">
        <v>349017.52999999997</v>
      </c>
      <c r="H602" s="215">
        <v>514571.54999999993</v>
      </c>
      <c r="I602" s="215">
        <v>576989.15999999992</v>
      </c>
      <c r="J602" s="215">
        <v>691594.64999999991</v>
      </c>
      <c r="K602" s="215">
        <v>781151.33</v>
      </c>
      <c r="L602" s="215">
        <v>802264.34999999986</v>
      </c>
      <c r="M602" s="215">
        <v>844978.97999999986</v>
      </c>
      <c r="N602" s="215">
        <v>880235.74999999988</v>
      </c>
      <c r="O602" s="215">
        <v>883633.19999999984</v>
      </c>
      <c r="P602" s="215">
        <v>924897.26999999979</v>
      </c>
      <c r="Q602" s="215">
        <v>937671.91999999981</v>
      </c>
    </row>
    <row r="603" spans="2:17" x14ac:dyDescent="0.25">
      <c r="B603" s="259">
        <f t="shared" si="9"/>
        <v>0</v>
      </c>
      <c r="D603" s="2" t="s">
        <v>1503</v>
      </c>
      <c r="E603" s="215">
        <v>0</v>
      </c>
      <c r="F603" s="215">
        <v>0</v>
      </c>
      <c r="G603" s="215">
        <v>0</v>
      </c>
      <c r="H603" s="215">
        <v>0</v>
      </c>
      <c r="I603" s="215">
        <v>0</v>
      </c>
      <c r="J603" s="215">
        <v>0</v>
      </c>
      <c r="K603" s="215">
        <v>0</v>
      </c>
      <c r="L603" s="215">
        <v>0</v>
      </c>
      <c r="M603" s="215">
        <v>0</v>
      </c>
      <c r="N603" s="215">
        <v>0</v>
      </c>
      <c r="O603" s="215">
        <v>0</v>
      </c>
      <c r="P603" s="215">
        <v>0</v>
      </c>
      <c r="Q603" s="215">
        <v>0</v>
      </c>
    </row>
    <row r="604" spans="2:17" x14ac:dyDescent="0.25">
      <c r="B604" s="259">
        <f t="shared" si="9"/>
        <v>0</v>
      </c>
      <c r="D604" s="2" t="s">
        <v>660</v>
      </c>
      <c r="E604" s="215">
        <v>0</v>
      </c>
      <c r="F604" s="215">
        <v>0</v>
      </c>
      <c r="G604" s="215">
        <v>0</v>
      </c>
      <c r="H604" s="215">
        <v>0</v>
      </c>
      <c r="I604" s="215">
        <v>0</v>
      </c>
      <c r="J604" s="215">
        <v>0</v>
      </c>
      <c r="K604" s="215">
        <v>0</v>
      </c>
      <c r="L604" s="215">
        <v>0</v>
      </c>
      <c r="M604" s="215">
        <v>0</v>
      </c>
      <c r="N604" s="215">
        <v>0</v>
      </c>
      <c r="O604" s="215">
        <v>0</v>
      </c>
      <c r="P604" s="215">
        <v>0</v>
      </c>
      <c r="Q604" s="215">
        <v>0</v>
      </c>
    </row>
    <row r="605" spans="2:17" x14ac:dyDescent="0.25">
      <c r="B605" s="259">
        <f t="shared" si="9"/>
        <v>127387.8816666667</v>
      </c>
      <c r="D605" s="2" t="s">
        <v>662</v>
      </c>
      <c r="E605" s="215">
        <v>75462.75</v>
      </c>
      <c r="F605" s="215">
        <v>78517.200000000012</v>
      </c>
      <c r="G605" s="215">
        <v>87176.07</v>
      </c>
      <c r="H605" s="215">
        <v>94314.800000000017</v>
      </c>
      <c r="I605" s="215">
        <v>99118.650000000023</v>
      </c>
      <c r="J605" s="215">
        <v>129116.82</v>
      </c>
      <c r="K605" s="215">
        <v>130635.15000000001</v>
      </c>
      <c r="L605" s="215">
        <v>134059.19</v>
      </c>
      <c r="M605" s="215">
        <v>149069.48000000001</v>
      </c>
      <c r="N605" s="215">
        <v>156913.01</v>
      </c>
      <c r="O605" s="215">
        <v>168207.81</v>
      </c>
      <c r="P605" s="215">
        <v>178166.05</v>
      </c>
      <c r="Q605" s="215">
        <v>171257.95</v>
      </c>
    </row>
    <row r="606" spans="2:17" x14ac:dyDescent="0.25">
      <c r="B606" s="259">
        <f t="shared" si="9"/>
        <v>0</v>
      </c>
      <c r="D606" s="2" t="s">
        <v>664</v>
      </c>
      <c r="E606" s="215">
        <v>0</v>
      </c>
      <c r="F606" s="215">
        <v>0</v>
      </c>
      <c r="G606" s="215">
        <v>0</v>
      </c>
      <c r="H606" s="215">
        <v>0</v>
      </c>
      <c r="I606" s="215">
        <v>0</v>
      </c>
      <c r="J606" s="215">
        <v>0</v>
      </c>
      <c r="K606" s="215">
        <v>0</v>
      </c>
      <c r="L606" s="215">
        <v>0</v>
      </c>
      <c r="M606" s="215">
        <v>0</v>
      </c>
      <c r="N606" s="215">
        <v>0</v>
      </c>
      <c r="O606" s="215">
        <v>0</v>
      </c>
      <c r="P606" s="215">
        <v>0</v>
      </c>
      <c r="Q606" s="215">
        <v>0</v>
      </c>
    </row>
    <row r="607" spans="2:17" x14ac:dyDescent="0.25">
      <c r="B607" s="259">
        <f t="shared" si="9"/>
        <v>23789.464583333331</v>
      </c>
      <c r="D607" s="2" t="s">
        <v>666</v>
      </c>
      <c r="E607" s="215">
        <v>11233.499999999998</v>
      </c>
      <c r="F607" s="215">
        <v>11342.019999999999</v>
      </c>
      <c r="G607" s="215">
        <v>11342.019999999999</v>
      </c>
      <c r="H607" s="215">
        <v>11495.369999999999</v>
      </c>
      <c r="I607" s="215">
        <v>11495.369999999999</v>
      </c>
      <c r="J607" s="215">
        <v>11495.369999999999</v>
      </c>
      <c r="K607" s="215">
        <v>11520.919999999998</v>
      </c>
      <c r="L607" s="215">
        <v>11520.919999999998</v>
      </c>
      <c r="M607" s="215">
        <v>12679.359999999999</v>
      </c>
      <c r="N607" s="215">
        <v>12679.359999999999</v>
      </c>
      <c r="O607" s="215">
        <v>63439.19</v>
      </c>
      <c r="P607" s="215">
        <v>73897.95</v>
      </c>
      <c r="Q607" s="215">
        <v>73897.95</v>
      </c>
    </row>
    <row r="608" spans="2:17" x14ac:dyDescent="0.25">
      <c r="B608" s="259">
        <f t="shared" si="9"/>
        <v>2517404.1054166663</v>
      </c>
      <c r="D608" s="2" t="s">
        <v>668</v>
      </c>
      <c r="E608" s="215">
        <v>1066157.5799999998</v>
      </c>
      <c r="F608" s="215">
        <v>1208709.2999999996</v>
      </c>
      <c r="G608" s="215">
        <v>1570842.7699999996</v>
      </c>
      <c r="H608" s="215">
        <v>1951218.5399999998</v>
      </c>
      <c r="I608" s="215">
        <v>2211080.4799999995</v>
      </c>
      <c r="J608" s="215">
        <v>2350786.3299999996</v>
      </c>
      <c r="K608" s="215">
        <v>2577212.4599999995</v>
      </c>
      <c r="L608" s="215">
        <v>2665878.4299999992</v>
      </c>
      <c r="M608" s="215">
        <v>2898484.0599999996</v>
      </c>
      <c r="N608" s="215">
        <v>3108971.669999999</v>
      </c>
      <c r="O608" s="215">
        <v>3522335.1699999995</v>
      </c>
      <c r="P608" s="215">
        <v>3729622.8099999996</v>
      </c>
      <c r="Q608" s="215">
        <v>3761256.9099999992</v>
      </c>
    </row>
    <row r="609" spans="2:17" x14ac:dyDescent="0.25">
      <c r="B609" s="259">
        <f t="shared" si="9"/>
        <v>3727.8675000000003</v>
      </c>
      <c r="D609" s="2" t="s">
        <v>670</v>
      </c>
      <c r="E609" s="215">
        <v>3422.13</v>
      </c>
      <c r="F609" s="215">
        <v>3422.13</v>
      </c>
      <c r="G609" s="215">
        <v>3422.13</v>
      </c>
      <c r="H609" s="215">
        <v>3422.13</v>
      </c>
      <c r="I609" s="215">
        <v>3422.13</v>
      </c>
      <c r="J609" s="215">
        <v>3575.48</v>
      </c>
      <c r="K609" s="215">
        <v>3575.48</v>
      </c>
      <c r="L609" s="215">
        <v>3575.48</v>
      </c>
      <c r="M609" s="215">
        <v>3926.8700000000003</v>
      </c>
      <c r="N609" s="215">
        <v>4155.47</v>
      </c>
      <c r="O609" s="215">
        <v>4155.47</v>
      </c>
      <c r="P609" s="215">
        <v>4247.05</v>
      </c>
      <c r="Q609" s="215">
        <v>4247.05</v>
      </c>
    </row>
    <row r="610" spans="2:17" x14ac:dyDescent="0.25">
      <c r="B610" s="259">
        <f t="shared" si="9"/>
        <v>1863863.7608333332</v>
      </c>
      <c r="D610" s="2" t="s">
        <v>672</v>
      </c>
      <c r="E610" s="215">
        <v>834037.44999999984</v>
      </c>
      <c r="F610" s="215">
        <v>835109.85999999987</v>
      </c>
      <c r="G610" s="215">
        <v>834692.46</v>
      </c>
      <c r="H610" s="215">
        <v>996200.91999999993</v>
      </c>
      <c r="I610" s="215">
        <v>1008463.55</v>
      </c>
      <c r="J610" s="215">
        <v>2129759.9700000002</v>
      </c>
      <c r="K610" s="215">
        <v>2301706.3100000005</v>
      </c>
      <c r="L610" s="215">
        <v>2311804.08</v>
      </c>
      <c r="M610" s="215">
        <v>2427222.87</v>
      </c>
      <c r="N610" s="215">
        <v>2501107.46</v>
      </c>
      <c r="O610" s="215">
        <v>2521715.48</v>
      </c>
      <c r="P610" s="215">
        <v>2680570.77</v>
      </c>
      <c r="Q610" s="215">
        <v>2801985.3499999996</v>
      </c>
    </row>
    <row r="611" spans="2:17" x14ac:dyDescent="0.25">
      <c r="B611" s="259">
        <f t="shared" si="9"/>
        <v>7246574.9341666671</v>
      </c>
      <c r="D611" s="2" t="s">
        <v>674</v>
      </c>
      <c r="E611" s="215">
        <v>4567643.07</v>
      </c>
      <c r="F611" s="215">
        <v>4583492.6800000006</v>
      </c>
      <c r="G611" s="215">
        <v>6327724.4100000011</v>
      </c>
      <c r="H611" s="215">
        <v>6372185.4400000013</v>
      </c>
      <c r="I611" s="215">
        <v>6440506.1800000016</v>
      </c>
      <c r="J611" s="215">
        <v>6682403.9400000013</v>
      </c>
      <c r="K611" s="215">
        <v>8208443.9400000013</v>
      </c>
      <c r="L611" s="215">
        <v>8293699.4300000016</v>
      </c>
      <c r="M611" s="215">
        <v>8318923.7400000012</v>
      </c>
      <c r="N611" s="215">
        <v>8379666.5600000015</v>
      </c>
      <c r="O611" s="215">
        <v>8396208.3900000006</v>
      </c>
      <c r="P611" s="215">
        <v>8420389.0800000001</v>
      </c>
      <c r="Q611" s="215">
        <v>8502867.7699999996</v>
      </c>
    </row>
    <row r="612" spans="2:17" x14ac:dyDescent="0.25">
      <c r="B612" s="259">
        <f t="shared" si="9"/>
        <v>0</v>
      </c>
      <c r="D612" s="2" t="s">
        <v>676</v>
      </c>
      <c r="E612" s="215">
        <v>0</v>
      </c>
      <c r="F612" s="215">
        <v>0</v>
      </c>
      <c r="G612" s="215">
        <v>0</v>
      </c>
      <c r="H612" s="215">
        <v>0</v>
      </c>
      <c r="I612" s="215">
        <v>0</v>
      </c>
      <c r="J612" s="215">
        <v>0</v>
      </c>
      <c r="K612" s="215">
        <v>0</v>
      </c>
      <c r="L612" s="215">
        <v>0</v>
      </c>
      <c r="M612" s="215">
        <v>0</v>
      </c>
      <c r="N612" s="215">
        <v>0</v>
      </c>
      <c r="O612" s="215">
        <v>0</v>
      </c>
      <c r="P612" s="215">
        <v>0</v>
      </c>
      <c r="Q612" s="215">
        <v>0</v>
      </c>
    </row>
    <row r="613" spans="2:17" x14ac:dyDescent="0.25">
      <c r="B613" s="259">
        <f t="shared" si="9"/>
        <v>1768720.9333333336</v>
      </c>
      <c r="D613" s="2" t="s">
        <v>678</v>
      </c>
      <c r="E613" s="215">
        <v>1638335.99</v>
      </c>
      <c r="F613" s="215">
        <v>1726627.92</v>
      </c>
      <c r="G613" s="215">
        <v>1729672.03</v>
      </c>
      <c r="H613" s="215">
        <v>1729689.14</v>
      </c>
      <c r="I613" s="215">
        <v>1731548.05</v>
      </c>
      <c r="J613" s="215">
        <v>1731554.2400000002</v>
      </c>
      <c r="K613" s="215">
        <v>1792019.0300000003</v>
      </c>
      <c r="L613" s="215">
        <v>1792974.7400000002</v>
      </c>
      <c r="M613" s="215">
        <v>1794954.87</v>
      </c>
      <c r="N613" s="215">
        <v>1794982.53</v>
      </c>
      <c r="O613" s="215">
        <v>1821407.18</v>
      </c>
      <c r="P613" s="215">
        <v>1839943.69</v>
      </c>
      <c r="Q613" s="215">
        <v>1840219.5699999998</v>
      </c>
    </row>
    <row r="614" spans="2:17" x14ac:dyDescent="0.25">
      <c r="B614" s="259">
        <f t="shared" si="9"/>
        <v>359750.87625000003</v>
      </c>
      <c r="D614" s="2" t="s">
        <v>680</v>
      </c>
      <c r="E614" s="215">
        <v>158406.90000000002</v>
      </c>
      <c r="F614" s="215">
        <v>160945.78000000003</v>
      </c>
      <c r="G614" s="215">
        <v>175822.05000000002</v>
      </c>
      <c r="H614" s="215">
        <v>182202.57</v>
      </c>
      <c r="I614" s="215">
        <v>227577.94999999998</v>
      </c>
      <c r="J614" s="215">
        <v>266026.83</v>
      </c>
      <c r="K614" s="215">
        <v>357044.68</v>
      </c>
      <c r="L614" s="215">
        <v>373637.45</v>
      </c>
      <c r="M614" s="215">
        <v>400758.39</v>
      </c>
      <c r="N614" s="215">
        <v>427304.24</v>
      </c>
      <c r="O614" s="215">
        <v>480754.95999999996</v>
      </c>
      <c r="P614" s="215">
        <v>750403.48</v>
      </c>
      <c r="Q614" s="215">
        <v>870657.37</v>
      </c>
    </row>
    <row r="615" spans="2:17" x14ac:dyDescent="0.25">
      <c r="B615" s="259">
        <f t="shared" si="9"/>
        <v>7498114.5808333298</v>
      </c>
      <c r="D615" s="2" t="s">
        <v>682</v>
      </c>
      <c r="E615" s="215">
        <v>4571446.4799999977</v>
      </c>
      <c r="F615" s="215">
        <v>4773527.7599999979</v>
      </c>
      <c r="G615" s="215">
        <v>5045073.2799999975</v>
      </c>
      <c r="H615" s="215">
        <v>5537936.299999998</v>
      </c>
      <c r="I615" s="215">
        <v>5993057.3899999969</v>
      </c>
      <c r="J615" s="215">
        <v>7038093.4199999981</v>
      </c>
      <c r="K615" s="215">
        <v>7566484.3799999971</v>
      </c>
      <c r="L615" s="215">
        <v>8058531.2099999972</v>
      </c>
      <c r="M615" s="215">
        <v>8790340.8199999966</v>
      </c>
      <c r="N615" s="215">
        <v>9377618.7099999953</v>
      </c>
      <c r="O615" s="215">
        <v>9894769.0099999961</v>
      </c>
      <c r="P615" s="215">
        <v>10315137.329999996</v>
      </c>
      <c r="Q615" s="215">
        <v>10602164.239999996</v>
      </c>
    </row>
    <row r="616" spans="2:17" x14ac:dyDescent="0.25">
      <c r="B616" s="259">
        <f t="shared" si="9"/>
        <v>10784.124166666666</v>
      </c>
      <c r="D616" s="2" t="s">
        <v>1061</v>
      </c>
      <c r="E616" s="215">
        <v>0</v>
      </c>
      <c r="F616" s="215">
        <v>0</v>
      </c>
      <c r="G616" s="215">
        <v>0</v>
      </c>
      <c r="H616" s="215">
        <v>0</v>
      </c>
      <c r="I616" s="215">
        <v>0</v>
      </c>
      <c r="J616" s="215">
        <v>17169.830000000002</v>
      </c>
      <c r="K616" s="215">
        <v>17267.640000000003</v>
      </c>
      <c r="L616" s="215">
        <v>17267.640000000003</v>
      </c>
      <c r="M616" s="215">
        <v>17267.640000000003</v>
      </c>
      <c r="N616" s="215">
        <v>17267.640000000003</v>
      </c>
      <c r="O616" s="215">
        <v>17267.640000000003</v>
      </c>
      <c r="P616" s="215">
        <v>17267.640000000003</v>
      </c>
      <c r="Q616" s="215">
        <v>17267.640000000003</v>
      </c>
    </row>
    <row r="617" spans="2:17" x14ac:dyDescent="0.25">
      <c r="B617" s="259">
        <f t="shared" si="9"/>
        <v>108705.38750000001</v>
      </c>
      <c r="D617" s="2" t="s">
        <v>954</v>
      </c>
      <c r="E617" s="215">
        <v>0</v>
      </c>
      <c r="F617" s="215">
        <v>0</v>
      </c>
      <c r="G617" s="215">
        <v>0</v>
      </c>
      <c r="H617" s="215">
        <v>107679.12</v>
      </c>
      <c r="I617" s="215">
        <v>108004.28</v>
      </c>
      <c r="J617" s="215">
        <v>140605.70000000001</v>
      </c>
      <c r="K617" s="215">
        <v>141319.96</v>
      </c>
      <c r="L617" s="215">
        <v>144268.4</v>
      </c>
      <c r="M617" s="215">
        <v>146995.37</v>
      </c>
      <c r="N617" s="215">
        <v>147178.51</v>
      </c>
      <c r="O617" s="215">
        <v>147178.51</v>
      </c>
      <c r="P617" s="215">
        <v>147178.51</v>
      </c>
      <c r="Q617" s="215">
        <v>148112.58000000002</v>
      </c>
    </row>
    <row r="618" spans="2:17" x14ac:dyDescent="0.25">
      <c r="B618" s="259">
        <f t="shared" si="9"/>
        <v>18897.023749999997</v>
      </c>
      <c r="D618" s="2" t="s">
        <v>684</v>
      </c>
      <c r="E618" s="215">
        <v>1454.2000000000003</v>
      </c>
      <c r="F618" s="215">
        <v>1454.2000000000003</v>
      </c>
      <c r="G618" s="215">
        <v>1454.2000000000003</v>
      </c>
      <c r="H618" s="215">
        <v>1454.2000000000003</v>
      </c>
      <c r="I618" s="215">
        <v>1454.2000000000003</v>
      </c>
      <c r="J618" s="215">
        <v>1454.2000000000003</v>
      </c>
      <c r="K618" s="215">
        <v>30120.28</v>
      </c>
      <c r="L618" s="215">
        <v>31025.65</v>
      </c>
      <c r="M618" s="215">
        <v>31025.64</v>
      </c>
      <c r="N618" s="215">
        <v>31870.839999999997</v>
      </c>
      <c r="O618" s="215">
        <v>31870.839999999997</v>
      </c>
      <c r="P618" s="215">
        <v>41061.009999999995</v>
      </c>
      <c r="Q618" s="215">
        <v>43583.849999999991</v>
      </c>
    </row>
    <row r="619" spans="2:17" x14ac:dyDescent="0.25">
      <c r="B619" s="259">
        <f t="shared" si="9"/>
        <v>2651215.5154166664</v>
      </c>
      <c r="D619" s="2" t="s">
        <v>686</v>
      </c>
      <c r="E619" s="215">
        <v>1441519.0899999999</v>
      </c>
      <c r="F619" s="215">
        <v>1662646.5499999998</v>
      </c>
      <c r="G619" s="215">
        <v>1755870.3899999997</v>
      </c>
      <c r="H619" s="215">
        <v>1925825.1799999997</v>
      </c>
      <c r="I619" s="215">
        <v>2353466.59</v>
      </c>
      <c r="J619" s="215">
        <v>2521589.5499999993</v>
      </c>
      <c r="K619" s="215">
        <v>2661810.2899999991</v>
      </c>
      <c r="L619" s="215">
        <v>2775079.9599999995</v>
      </c>
      <c r="M619" s="215">
        <v>3183044.9299999988</v>
      </c>
      <c r="N619" s="215">
        <v>3256175.4999999995</v>
      </c>
      <c r="O619" s="215">
        <v>3457349.2199999993</v>
      </c>
      <c r="P619" s="215">
        <v>3662506.8899999992</v>
      </c>
      <c r="Q619" s="215">
        <v>3756923.1799999992</v>
      </c>
    </row>
    <row r="620" spans="2:17" x14ac:dyDescent="0.25">
      <c r="B620" s="259">
        <f t="shared" si="9"/>
        <v>648641.90333333332</v>
      </c>
      <c r="D620" s="2" t="s">
        <v>688</v>
      </c>
      <c r="E620" s="215">
        <v>524097.00000000006</v>
      </c>
      <c r="F620" s="215">
        <v>530108.56000000006</v>
      </c>
      <c r="G620" s="215">
        <v>534777.8600000001</v>
      </c>
      <c r="H620" s="215">
        <v>549233.10000000009</v>
      </c>
      <c r="I620" s="215">
        <v>564445.08000000007</v>
      </c>
      <c r="J620" s="215">
        <v>575902.93000000005</v>
      </c>
      <c r="K620" s="215">
        <v>640755.23</v>
      </c>
      <c r="L620" s="215">
        <v>645057.93999999994</v>
      </c>
      <c r="M620" s="215">
        <v>653507.52999999991</v>
      </c>
      <c r="N620" s="215">
        <v>720152.89999999991</v>
      </c>
      <c r="O620" s="215">
        <v>816871.33999999985</v>
      </c>
      <c r="P620" s="215">
        <v>852589.84999999986</v>
      </c>
      <c r="Q620" s="215">
        <v>876504.0399999998</v>
      </c>
    </row>
    <row r="621" spans="2:17" x14ac:dyDescent="0.25">
      <c r="B621" s="259">
        <f t="shared" si="9"/>
        <v>2579244.9958333331</v>
      </c>
      <c r="D621" s="2" t="s">
        <v>690</v>
      </c>
      <c r="E621" s="215">
        <v>1916701.54</v>
      </c>
      <c r="F621" s="215">
        <v>1952813.6099999999</v>
      </c>
      <c r="G621" s="215">
        <v>2094072</v>
      </c>
      <c r="H621" s="215">
        <v>2175221.13</v>
      </c>
      <c r="I621" s="215">
        <v>2328262.3099999996</v>
      </c>
      <c r="J621" s="215">
        <v>2383142.1699999995</v>
      </c>
      <c r="K621" s="215">
        <v>2642784.1999999997</v>
      </c>
      <c r="L621" s="215">
        <v>2725282.0999999992</v>
      </c>
      <c r="M621" s="215">
        <v>2850602.3299999991</v>
      </c>
      <c r="N621" s="215">
        <v>2982624.709999999</v>
      </c>
      <c r="O621" s="215">
        <v>3078466.5299999993</v>
      </c>
      <c r="P621" s="215">
        <v>3181070.1299999994</v>
      </c>
      <c r="Q621" s="215">
        <v>3196495.9199999995</v>
      </c>
    </row>
    <row r="622" spans="2:17" x14ac:dyDescent="0.25">
      <c r="B622" s="259">
        <f t="shared" si="9"/>
        <v>12535198.882500006</v>
      </c>
      <c r="D622" s="2" t="s">
        <v>692</v>
      </c>
      <c r="E622" s="215">
        <v>7461843.2000000039</v>
      </c>
      <c r="F622" s="215">
        <v>8042685.9700000044</v>
      </c>
      <c r="G622" s="215">
        <v>8491598.6500000041</v>
      </c>
      <c r="H622" s="215">
        <v>9666471.3100000042</v>
      </c>
      <c r="I622" s="215">
        <v>10623025.010000004</v>
      </c>
      <c r="J622" s="215">
        <v>11655105.510000004</v>
      </c>
      <c r="K622" s="215">
        <v>12945153.450000005</v>
      </c>
      <c r="L622" s="215">
        <v>13683225.620000005</v>
      </c>
      <c r="M622" s="215">
        <v>14299031.350000003</v>
      </c>
      <c r="N622" s="215">
        <v>15304663.650000002</v>
      </c>
      <c r="O622" s="215">
        <v>16221684.310000004</v>
      </c>
      <c r="P622" s="215">
        <v>17015745.970000003</v>
      </c>
      <c r="Q622" s="215">
        <v>17486148.380000006</v>
      </c>
    </row>
    <row r="623" spans="2:17" x14ac:dyDescent="0.25">
      <c r="B623" s="259">
        <f t="shared" si="9"/>
        <v>135185.00541666668</v>
      </c>
      <c r="D623" s="2" t="s">
        <v>694</v>
      </c>
      <c r="E623" s="215">
        <v>25226.21</v>
      </c>
      <c r="F623" s="215">
        <v>56730.270000000004</v>
      </c>
      <c r="G623" s="215">
        <v>56802.600000000006</v>
      </c>
      <c r="H623" s="215">
        <v>77154.260000000009</v>
      </c>
      <c r="I623" s="215">
        <v>82396.420000000013</v>
      </c>
      <c r="J623" s="215">
        <v>82555.660000000018</v>
      </c>
      <c r="K623" s="215">
        <v>82555.660000000018</v>
      </c>
      <c r="L623" s="215">
        <v>82555.660000000018</v>
      </c>
      <c r="M623" s="215">
        <v>214175.96000000002</v>
      </c>
      <c r="N623" s="215">
        <v>214175.96000000002</v>
      </c>
      <c r="O623" s="215">
        <v>258790.19</v>
      </c>
      <c r="P623" s="215">
        <v>268906.44</v>
      </c>
      <c r="Q623" s="215">
        <v>265615.76</v>
      </c>
    </row>
    <row r="624" spans="2:17" x14ac:dyDescent="0.25">
      <c r="B624" s="259">
        <f t="shared" si="9"/>
        <v>123801.32875</v>
      </c>
      <c r="D624" s="2" t="s">
        <v>696</v>
      </c>
      <c r="E624" s="215">
        <v>121197.09</v>
      </c>
      <c r="F624" s="215">
        <v>121197.09</v>
      </c>
      <c r="G624" s="215">
        <v>121197.09</v>
      </c>
      <c r="H624" s="215">
        <v>121197.09</v>
      </c>
      <c r="I624" s="215">
        <v>122233.56999999999</v>
      </c>
      <c r="J624" s="215">
        <v>124217.54</v>
      </c>
      <c r="K624" s="215">
        <v>124217.54</v>
      </c>
      <c r="L624" s="215">
        <v>124906.25</v>
      </c>
      <c r="M624" s="215">
        <v>124906.25</v>
      </c>
      <c r="N624" s="215">
        <v>125984.28</v>
      </c>
      <c r="O624" s="215">
        <v>125984.28</v>
      </c>
      <c r="P624" s="215">
        <v>125984.28</v>
      </c>
      <c r="Q624" s="215">
        <v>125984.28</v>
      </c>
    </row>
    <row r="625" spans="2:17" x14ac:dyDescent="0.25">
      <c r="B625" s="259">
        <f t="shared" si="9"/>
        <v>0</v>
      </c>
      <c r="D625" s="2" t="s">
        <v>698</v>
      </c>
      <c r="E625" s="215">
        <v>0</v>
      </c>
      <c r="F625" s="215">
        <v>0</v>
      </c>
      <c r="G625" s="215">
        <v>0</v>
      </c>
      <c r="H625" s="215">
        <v>0</v>
      </c>
      <c r="I625" s="215">
        <v>0</v>
      </c>
      <c r="J625" s="215">
        <v>0</v>
      </c>
      <c r="K625" s="215">
        <v>0</v>
      </c>
      <c r="L625" s="215">
        <v>0</v>
      </c>
      <c r="M625" s="215">
        <v>0</v>
      </c>
      <c r="N625" s="215">
        <v>0</v>
      </c>
      <c r="O625" s="215">
        <v>0</v>
      </c>
      <c r="P625" s="215">
        <v>0</v>
      </c>
      <c r="Q625" s="215">
        <v>0</v>
      </c>
    </row>
    <row r="626" spans="2:17" x14ac:dyDescent="0.25">
      <c r="B626" s="259">
        <f t="shared" si="9"/>
        <v>202053.84083333335</v>
      </c>
      <c r="D626" s="2" t="s">
        <v>700</v>
      </c>
      <c r="E626" s="215">
        <v>21466.559999999998</v>
      </c>
      <c r="F626" s="215">
        <v>21466.559999999998</v>
      </c>
      <c r="G626" s="215">
        <v>212037.13000000003</v>
      </c>
      <c r="H626" s="215">
        <v>213569.61000000004</v>
      </c>
      <c r="I626" s="215">
        <v>206025.05000000005</v>
      </c>
      <c r="J626" s="215">
        <v>218634.36000000004</v>
      </c>
      <c r="K626" s="215">
        <v>219517.53000000006</v>
      </c>
      <c r="L626" s="215">
        <v>220135.36000000004</v>
      </c>
      <c r="M626" s="215">
        <v>222077.14000000004</v>
      </c>
      <c r="N626" s="215">
        <v>224674.82000000007</v>
      </c>
      <c r="O626" s="215">
        <v>251455.24000000005</v>
      </c>
      <c r="P626" s="215">
        <v>269525.74000000011</v>
      </c>
      <c r="Q626" s="215">
        <v>269588.54000000004</v>
      </c>
    </row>
    <row r="627" spans="2:17" x14ac:dyDescent="0.25">
      <c r="B627" s="259">
        <f t="shared" si="9"/>
        <v>2682326.1504166662</v>
      </c>
      <c r="D627" s="2" t="s">
        <v>702</v>
      </c>
      <c r="E627" s="215">
        <v>431900.89999999991</v>
      </c>
      <c r="F627" s="215">
        <v>653284.91999999993</v>
      </c>
      <c r="G627" s="215">
        <v>1323335.2999999998</v>
      </c>
      <c r="H627" s="215">
        <v>1728623.27</v>
      </c>
      <c r="I627" s="215">
        <v>2191941.0300000003</v>
      </c>
      <c r="J627" s="215">
        <v>2772554.12</v>
      </c>
      <c r="K627" s="215">
        <v>3069786.99</v>
      </c>
      <c r="L627" s="215">
        <v>3144170.3899999997</v>
      </c>
      <c r="M627" s="215">
        <v>3327844.3999999994</v>
      </c>
      <c r="N627" s="215">
        <v>3682716.5599999996</v>
      </c>
      <c r="O627" s="215">
        <v>3722506.01</v>
      </c>
      <c r="P627" s="215">
        <v>4226665.05</v>
      </c>
      <c r="Q627" s="215">
        <v>4257070.63</v>
      </c>
    </row>
    <row r="628" spans="2:17" x14ac:dyDescent="0.25">
      <c r="B628" s="259">
        <f t="shared" si="9"/>
        <v>463050.55374999996</v>
      </c>
      <c r="D628" s="2" t="s">
        <v>704</v>
      </c>
      <c r="E628" s="215">
        <v>135889.44</v>
      </c>
      <c r="F628" s="215">
        <v>182147.49</v>
      </c>
      <c r="G628" s="215">
        <v>218561.57</v>
      </c>
      <c r="H628" s="215">
        <v>281035.22000000003</v>
      </c>
      <c r="I628" s="215">
        <v>403820.31000000006</v>
      </c>
      <c r="J628" s="215">
        <v>468061.93000000005</v>
      </c>
      <c r="K628" s="215">
        <v>548123.27</v>
      </c>
      <c r="L628" s="215">
        <v>556315.96</v>
      </c>
      <c r="M628" s="215">
        <v>570546.43999999994</v>
      </c>
      <c r="N628" s="215">
        <v>588821.80999999994</v>
      </c>
      <c r="O628" s="215">
        <v>604345.09</v>
      </c>
      <c r="P628" s="215">
        <v>668408.78999999992</v>
      </c>
      <c r="Q628" s="215">
        <v>796948.08999999985</v>
      </c>
    </row>
    <row r="629" spans="2:17" x14ac:dyDescent="0.25">
      <c r="B629" s="259">
        <f t="shared" si="9"/>
        <v>1985.4533333333329</v>
      </c>
      <c r="D629" s="2" t="s">
        <v>706</v>
      </c>
      <c r="E629" s="215">
        <v>773.56999999999994</v>
      </c>
      <c r="F629" s="215">
        <v>773.56999999999994</v>
      </c>
      <c r="G629" s="215">
        <v>773.56999999999994</v>
      </c>
      <c r="H629" s="215">
        <v>2304.37</v>
      </c>
      <c r="I629" s="215">
        <v>2304.37</v>
      </c>
      <c r="J629" s="215">
        <v>2304.37</v>
      </c>
      <c r="K629" s="215">
        <v>2304.37</v>
      </c>
      <c r="L629" s="215">
        <v>2304.37</v>
      </c>
      <c r="M629" s="215">
        <v>2304.37</v>
      </c>
      <c r="N629" s="215">
        <v>2304.37</v>
      </c>
      <c r="O629" s="215">
        <v>2304.37</v>
      </c>
      <c r="P629" s="215">
        <v>2304.37</v>
      </c>
      <c r="Q629" s="215">
        <v>2304.37</v>
      </c>
    </row>
    <row r="630" spans="2:17" x14ac:dyDescent="0.25">
      <c r="B630" s="259">
        <f t="shared" si="9"/>
        <v>0</v>
      </c>
      <c r="D630" s="2" t="s">
        <v>708</v>
      </c>
      <c r="E630" s="215">
        <v>0</v>
      </c>
      <c r="F630" s="215">
        <v>0</v>
      </c>
      <c r="G630" s="215">
        <v>0</v>
      </c>
      <c r="H630" s="215">
        <v>0</v>
      </c>
      <c r="I630" s="215">
        <v>0</v>
      </c>
      <c r="J630" s="215">
        <v>0</v>
      </c>
      <c r="K630" s="215">
        <v>0</v>
      </c>
      <c r="L630" s="215">
        <v>0</v>
      </c>
      <c r="M630" s="215">
        <v>0</v>
      </c>
      <c r="N630" s="215">
        <v>0</v>
      </c>
      <c r="O630" s="215">
        <v>0</v>
      </c>
      <c r="P630" s="215">
        <v>0</v>
      </c>
      <c r="Q630" s="215">
        <v>0</v>
      </c>
    </row>
    <row r="631" spans="2:17" x14ac:dyDescent="0.25">
      <c r="B631" s="259">
        <f t="shared" si="9"/>
        <v>231365.5524999999</v>
      </c>
      <c r="D631" s="2" t="s">
        <v>710</v>
      </c>
      <c r="E631" s="215">
        <v>207188.26999999996</v>
      </c>
      <c r="F631" s="215">
        <v>207525.51999999996</v>
      </c>
      <c r="G631" s="215">
        <v>207540.44999999995</v>
      </c>
      <c r="H631" s="215">
        <v>237809.04999999996</v>
      </c>
      <c r="I631" s="215">
        <v>237837.72999999995</v>
      </c>
      <c r="J631" s="215">
        <v>237826.00999999995</v>
      </c>
      <c r="K631" s="215">
        <v>237753.09999999995</v>
      </c>
      <c r="L631" s="215">
        <v>237545.56999999995</v>
      </c>
      <c r="M631" s="215">
        <v>237545.56999999995</v>
      </c>
      <c r="N631" s="215">
        <v>237545.56999999995</v>
      </c>
      <c r="O631" s="215">
        <v>237545.56999999995</v>
      </c>
      <c r="P631" s="215">
        <v>237545.56999999995</v>
      </c>
      <c r="Q631" s="215">
        <v>237545.56999999995</v>
      </c>
    </row>
    <row r="632" spans="2:17" x14ac:dyDescent="0.25">
      <c r="B632" s="259">
        <f t="shared" si="9"/>
        <v>929981.0045833335</v>
      </c>
      <c r="D632" s="2" t="s">
        <v>712</v>
      </c>
      <c r="E632" s="215">
        <v>286260.26000000007</v>
      </c>
      <c r="F632" s="215">
        <v>292676.19000000006</v>
      </c>
      <c r="G632" s="215">
        <v>296315.87000000011</v>
      </c>
      <c r="H632" s="215">
        <v>296315.87000000011</v>
      </c>
      <c r="I632" s="215">
        <v>296439.2300000001</v>
      </c>
      <c r="J632" s="215">
        <v>296592.58000000007</v>
      </c>
      <c r="K632" s="215">
        <v>1069394.56</v>
      </c>
      <c r="L632" s="215">
        <v>1069394.56</v>
      </c>
      <c r="M632" s="215">
        <v>1069394.56</v>
      </c>
      <c r="N632" s="215">
        <v>1069394.56</v>
      </c>
      <c r="O632" s="215">
        <v>1069394.56</v>
      </c>
      <c r="P632" s="215">
        <v>2758538.89</v>
      </c>
      <c r="Q632" s="215">
        <v>2865580.99</v>
      </c>
    </row>
    <row r="633" spans="2:17" x14ac:dyDescent="0.25">
      <c r="B633" s="259">
        <f t="shared" si="9"/>
        <v>4806276.5862500006</v>
      </c>
      <c r="D633" s="2" t="s">
        <v>714</v>
      </c>
      <c r="E633" s="215">
        <v>3562079.61</v>
      </c>
      <c r="F633" s="215">
        <v>3590782.77</v>
      </c>
      <c r="G633" s="215">
        <v>3614721.55</v>
      </c>
      <c r="H633" s="215">
        <v>3660152.4000000004</v>
      </c>
      <c r="I633" s="215">
        <v>3705202.5700000003</v>
      </c>
      <c r="J633" s="215">
        <v>3707263.58</v>
      </c>
      <c r="K633" s="215">
        <v>5463899.6399999997</v>
      </c>
      <c r="L633" s="215">
        <v>5507844.4699999997</v>
      </c>
      <c r="M633" s="215">
        <v>5514303.5099999998</v>
      </c>
      <c r="N633" s="215">
        <v>5515238.7700000005</v>
      </c>
      <c r="O633" s="215">
        <v>5515836.6800000006</v>
      </c>
      <c r="P633" s="215">
        <v>6698028.6399999997</v>
      </c>
      <c r="Q633" s="215">
        <v>6802009.3000000007</v>
      </c>
    </row>
    <row r="634" spans="2:17" x14ac:dyDescent="0.25">
      <c r="B634" s="259">
        <f t="shared" si="9"/>
        <v>-3.0000000000000009E-2</v>
      </c>
      <c r="D634" s="2" t="s">
        <v>716</v>
      </c>
      <c r="E634" s="215">
        <v>-0.03</v>
      </c>
      <c r="F634" s="215">
        <v>-0.03</v>
      </c>
      <c r="G634" s="215">
        <v>-0.03</v>
      </c>
      <c r="H634" s="215">
        <v>-0.03</v>
      </c>
      <c r="I634" s="215">
        <v>-0.03</v>
      </c>
      <c r="J634" s="215">
        <v>-0.03</v>
      </c>
      <c r="K634" s="215">
        <v>-0.03</v>
      </c>
      <c r="L634" s="215">
        <v>-0.03</v>
      </c>
      <c r="M634" s="215">
        <v>-0.03</v>
      </c>
      <c r="N634" s="215">
        <v>-0.03</v>
      </c>
      <c r="O634" s="215">
        <v>-0.03</v>
      </c>
      <c r="P634" s="215">
        <v>-0.03</v>
      </c>
      <c r="Q634" s="215">
        <v>-0.03</v>
      </c>
    </row>
    <row r="635" spans="2:17" x14ac:dyDescent="0.25">
      <c r="B635" s="259">
        <f t="shared" si="9"/>
        <v>162105.21875</v>
      </c>
      <c r="D635" s="2" t="s">
        <v>1063</v>
      </c>
      <c r="E635" s="215">
        <v>0</v>
      </c>
      <c r="F635" s="215">
        <v>0</v>
      </c>
      <c r="G635" s="215">
        <v>0</v>
      </c>
      <c r="H635" s="215">
        <v>0</v>
      </c>
      <c r="I635" s="215">
        <v>0</v>
      </c>
      <c r="J635" s="215">
        <v>0</v>
      </c>
      <c r="K635" s="215">
        <v>0</v>
      </c>
      <c r="L635" s="215">
        <v>0</v>
      </c>
      <c r="M635" s="215">
        <v>0</v>
      </c>
      <c r="N635" s="215">
        <v>0</v>
      </c>
      <c r="O635" s="215">
        <v>0</v>
      </c>
      <c r="P635" s="215">
        <v>0</v>
      </c>
      <c r="Q635" s="215">
        <v>3890525.25</v>
      </c>
    </row>
    <row r="636" spans="2:17" x14ac:dyDescent="0.25">
      <c r="B636" s="259">
        <f t="shared" si="9"/>
        <v>0</v>
      </c>
      <c r="D636" s="2" t="s">
        <v>1504</v>
      </c>
      <c r="E636" s="215">
        <v>0</v>
      </c>
      <c r="F636" s="215">
        <v>0</v>
      </c>
      <c r="G636" s="215">
        <v>0</v>
      </c>
      <c r="H636" s="215">
        <v>0</v>
      </c>
      <c r="I636" s="215">
        <v>0</v>
      </c>
      <c r="J636" s="215">
        <v>0</v>
      </c>
      <c r="K636" s="215">
        <v>0</v>
      </c>
      <c r="L636" s="215">
        <v>0</v>
      </c>
      <c r="M636" s="215">
        <v>0</v>
      </c>
      <c r="N636" s="215">
        <v>0</v>
      </c>
      <c r="O636" s="215">
        <v>0</v>
      </c>
      <c r="P636" s="215">
        <v>0</v>
      </c>
      <c r="Q636" s="215">
        <v>0</v>
      </c>
    </row>
    <row r="637" spans="2:17" x14ac:dyDescent="0.25">
      <c r="B637" s="259">
        <f t="shared" si="9"/>
        <v>6731.7183333333332</v>
      </c>
      <c r="D637" s="2" t="s">
        <v>956</v>
      </c>
      <c r="E637" s="215">
        <v>0</v>
      </c>
      <c r="F637" s="215">
        <v>0</v>
      </c>
      <c r="G637" s="215">
        <v>0</v>
      </c>
      <c r="H637" s="215">
        <v>0</v>
      </c>
      <c r="I637" s="215">
        <v>0</v>
      </c>
      <c r="J637" s="215">
        <v>0</v>
      </c>
      <c r="K637" s="215">
        <v>0</v>
      </c>
      <c r="L637" s="215">
        <v>0</v>
      </c>
      <c r="M637" s="215">
        <v>0</v>
      </c>
      <c r="N637" s="215">
        <v>0</v>
      </c>
      <c r="O637" s="215">
        <v>0</v>
      </c>
      <c r="P637" s="215">
        <v>0</v>
      </c>
      <c r="Q637" s="215">
        <v>161561.24</v>
      </c>
    </row>
    <row r="638" spans="2:17" x14ac:dyDescent="0.25">
      <c r="B638" s="259">
        <f t="shared" si="9"/>
        <v>0</v>
      </c>
      <c r="D638" s="2" t="s">
        <v>1505</v>
      </c>
      <c r="E638" s="215">
        <v>0</v>
      </c>
      <c r="F638" s="215">
        <v>0</v>
      </c>
      <c r="G638" s="215">
        <v>0</v>
      </c>
      <c r="H638" s="215">
        <v>0</v>
      </c>
      <c r="I638" s="215">
        <v>0</v>
      </c>
      <c r="J638" s="215">
        <v>0</v>
      </c>
      <c r="K638" s="215">
        <v>0</v>
      </c>
      <c r="L638" s="215">
        <v>0</v>
      </c>
      <c r="M638" s="215">
        <v>0</v>
      </c>
      <c r="N638" s="215">
        <v>0</v>
      </c>
      <c r="O638" s="215">
        <v>0</v>
      </c>
      <c r="P638" s="215">
        <v>0</v>
      </c>
      <c r="Q638" s="215">
        <v>0</v>
      </c>
    </row>
    <row r="639" spans="2:17" x14ac:dyDescent="0.25">
      <c r="B639" s="259">
        <f t="shared" si="9"/>
        <v>0</v>
      </c>
      <c r="D639" s="2" t="s">
        <v>1506</v>
      </c>
      <c r="E639" s="215">
        <v>0</v>
      </c>
      <c r="F639" s="215">
        <v>0</v>
      </c>
      <c r="G639" s="215">
        <v>0</v>
      </c>
      <c r="H639" s="215">
        <v>0</v>
      </c>
      <c r="I639" s="215">
        <v>0</v>
      </c>
      <c r="J639" s="215">
        <v>0</v>
      </c>
      <c r="K639" s="215">
        <v>0</v>
      </c>
      <c r="L639" s="215">
        <v>0</v>
      </c>
      <c r="M639" s="215">
        <v>0</v>
      </c>
      <c r="N639" s="215">
        <v>0</v>
      </c>
      <c r="O639" s="215">
        <v>0</v>
      </c>
      <c r="P639" s="215">
        <v>0</v>
      </c>
      <c r="Q639" s="215">
        <v>0</v>
      </c>
    </row>
    <row r="640" spans="2:17" x14ac:dyDescent="0.25">
      <c r="B640" s="259">
        <f t="shared" si="9"/>
        <v>0</v>
      </c>
      <c r="D640" s="2" t="s">
        <v>1113</v>
      </c>
      <c r="E640" s="215">
        <v>0</v>
      </c>
      <c r="F640" s="215">
        <v>0</v>
      </c>
      <c r="G640" s="215">
        <v>0</v>
      </c>
      <c r="H640" s="215">
        <v>0</v>
      </c>
      <c r="I640" s="215">
        <v>0</v>
      </c>
      <c r="J640" s="215">
        <v>0</v>
      </c>
      <c r="K640" s="215">
        <v>0</v>
      </c>
      <c r="L640" s="215">
        <v>0</v>
      </c>
      <c r="M640" s="215">
        <v>0</v>
      </c>
      <c r="N640" s="215">
        <v>0</v>
      </c>
      <c r="O640" s="215">
        <v>0</v>
      </c>
      <c r="P640" s="215">
        <v>0</v>
      </c>
      <c r="Q640" s="215">
        <v>0</v>
      </c>
    </row>
    <row r="641" spans="2:17" x14ac:dyDescent="0.25">
      <c r="B641" s="259">
        <f t="shared" si="9"/>
        <v>111742.94208333334</v>
      </c>
      <c r="D641" s="2" t="s">
        <v>958</v>
      </c>
      <c r="E641" s="215">
        <v>0</v>
      </c>
      <c r="F641" s="215">
        <v>0</v>
      </c>
      <c r="G641" s="215">
        <v>0</v>
      </c>
      <c r="H641" s="215">
        <v>0</v>
      </c>
      <c r="I641" s="215">
        <v>0</v>
      </c>
      <c r="J641" s="215">
        <v>0</v>
      </c>
      <c r="K641" s="215">
        <v>0</v>
      </c>
      <c r="L641" s="215">
        <v>111812.48</v>
      </c>
      <c r="M641" s="215">
        <v>113177.8</v>
      </c>
      <c r="N641" s="215">
        <v>322841.75</v>
      </c>
      <c r="O641" s="215">
        <v>317975.01</v>
      </c>
      <c r="P641" s="215">
        <v>316714.06000000006</v>
      </c>
      <c r="Q641" s="215">
        <v>316788.41000000003</v>
      </c>
    </row>
    <row r="642" spans="2:17" x14ac:dyDescent="0.25">
      <c r="B642" s="259">
        <f t="shared" si="9"/>
        <v>163258.24333333332</v>
      </c>
      <c r="D642" s="2" t="s">
        <v>718</v>
      </c>
      <c r="E642" s="215">
        <v>0</v>
      </c>
      <c r="F642" s="215">
        <v>0</v>
      </c>
      <c r="G642" s="215">
        <v>0</v>
      </c>
      <c r="H642" s="215">
        <v>0</v>
      </c>
      <c r="I642" s="215">
        <v>0</v>
      </c>
      <c r="J642" s="215">
        <v>0</v>
      </c>
      <c r="K642" s="215">
        <v>0</v>
      </c>
      <c r="L642" s="215">
        <v>78328.87</v>
      </c>
      <c r="M642" s="215">
        <v>78328.149999999994</v>
      </c>
      <c r="N642" s="215">
        <v>304795.95999999996</v>
      </c>
      <c r="O642" s="215">
        <v>570477.81000000006</v>
      </c>
      <c r="P642" s="215">
        <v>618205.76</v>
      </c>
      <c r="Q642" s="215">
        <v>617924.74</v>
      </c>
    </row>
    <row r="643" spans="2:17" x14ac:dyDescent="0.25">
      <c r="B643" s="259">
        <f t="shared" si="9"/>
        <v>0</v>
      </c>
      <c r="D643" s="2" t="s">
        <v>1115</v>
      </c>
      <c r="E643" s="215">
        <v>0</v>
      </c>
      <c r="F643" s="215">
        <v>0</v>
      </c>
      <c r="G643" s="215">
        <v>0</v>
      </c>
      <c r="H643" s="215">
        <v>0</v>
      </c>
      <c r="I643" s="215">
        <v>0</v>
      </c>
      <c r="J643" s="215">
        <v>0</v>
      </c>
      <c r="K643" s="215">
        <v>0</v>
      </c>
      <c r="L643" s="215">
        <v>0</v>
      </c>
      <c r="M643" s="215">
        <v>0</v>
      </c>
      <c r="N643" s="215">
        <v>0</v>
      </c>
      <c r="O643" s="215">
        <v>0</v>
      </c>
      <c r="P643" s="215">
        <v>0</v>
      </c>
      <c r="Q643" s="215">
        <v>0</v>
      </c>
    </row>
    <row r="644" spans="2:17" x14ac:dyDescent="0.25">
      <c r="B644" s="259">
        <f t="shared" si="9"/>
        <v>0</v>
      </c>
      <c r="D644" s="2" t="s">
        <v>1117</v>
      </c>
      <c r="E644" s="215">
        <v>0</v>
      </c>
      <c r="F644" s="215">
        <v>0</v>
      </c>
      <c r="G644" s="215">
        <v>0</v>
      </c>
      <c r="H644" s="215">
        <v>0</v>
      </c>
      <c r="I644" s="215">
        <v>0</v>
      </c>
      <c r="J644" s="215">
        <v>0</v>
      </c>
      <c r="K644" s="215">
        <v>0</v>
      </c>
      <c r="L644" s="215">
        <v>0</v>
      </c>
      <c r="M644" s="215">
        <v>0</v>
      </c>
      <c r="N644" s="215">
        <v>0</v>
      </c>
      <c r="O644" s="215">
        <v>0</v>
      </c>
      <c r="P644" s="215">
        <v>0</v>
      </c>
      <c r="Q644" s="215">
        <v>0</v>
      </c>
    </row>
    <row r="645" spans="2:17" x14ac:dyDescent="0.25">
      <c r="B645" s="259">
        <f t="shared" si="9"/>
        <v>0</v>
      </c>
      <c r="D645" s="2" t="s">
        <v>1119</v>
      </c>
      <c r="E645" s="215">
        <v>0</v>
      </c>
      <c r="F645" s="215">
        <v>0</v>
      </c>
      <c r="G645" s="215">
        <v>0</v>
      </c>
      <c r="H645" s="215">
        <v>0</v>
      </c>
      <c r="I645" s="215">
        <v>0</v>
      </c>
      <c r="J645" s="215">
        <v>0</v>
      </c>
      <c r="K645" s="215">
        <v>0</v>
      </c>
      <c r="L645" s="215">
        <v>0</v>
      </c>
      <c r="M645" s="215">
        <v>0</v>
      </c>
      <c r="N645" s="215">
        <v>0</v>
      </c>
      <c r="O645" s="215">
        <v>0</v>
      </c>
      <c r="P645" s="215">
        <v>0</v>
      </c>
      <c r="Q645" s="215">
        <v>0</v>
      </c>
    </row>
    <row r="646" spans="2:17" x14ac:dyDescent="0.25">
      <c r="B646" s="259">
        <f t="shared" si="9"/>
        <v>0</v>
      </c>
      <c r="D646" s="2" t="s">
        <v>1507</v>
      </c>
      <c r="E646" s="215">
        <v>0</v>
      </c>
      <c r="F646" s="215">
        <v>0</v>
      </c>
      <c r="G646" s="215">
        <v>0</v>
      </c>
      <c r="H646" s="215">
        <v>0</v>
      </c>
      <c r="I646" s="215">
        <v>0</v>
      </c>
      <c r="J646" s="215">
        <v>0</v>
      </c>
      <c r="K646" s="215">
        <v>0</v>
      </c>
      <c r="L646" s="215">
        <v>0</v>
      </c>
      <c r="M646" s="215">
        <v>0</v>
      </c>
      <c r="N646" s="215">
        <v>0</v>
      </c>
      <c r="O646" s="215">
        <v>0</v>
      </c>
      <c r="P646" s="215">
        <v>0</v>
      </c>
      <c r="Q646" s="215">
        <v>0</v>
      </c>
    </row>
    <row r="647" spans="2:17" x14ac:dyDescent="0.25">
      <c r="B647" s="259">
        <f t="shared" ref="B647:B710" si="10">(E647+Q647+SUM(F647:P647)*2)/24</f>
        <v>0</v>
      </c>
      <c r="D647" s="2" t="s">
        <v>1508</v>
      </c>
      <c r="E647" s="215">
        <v>0</v>
      </c>
      <c r="F647" s="215">
        <v>0</v>
      </c>
      <c r="G647" s="215">
        <v>0</v>
      </c>
      <c r="H647" s="215">
        <v>0</v>
      </c>
      <c r="I647" s="215">
        <v>0</v>
      </c>
      <c r="J647" s="215">
        <v>0</v>
      </c>
      <c r="K647" s="215">
        <v>0</v>
      </c>
      <c r="L647" s="215">
        <v>0</v>
      </c>
      <c r="M647" s="215">
        <v>0</v>
      </c>
      <c r="N647" s="215">
        <v>0</v>
      </c>
      <c r="O647" s="215">
        <v>0</v>
      </c>
      <c r="P647" s="215">
        <v>0</v>
      </c>
      <c r="Q647" s="215">
        <v>0</v>
      </c>
    </row>
    <row r="648" spans="2:17" x14ac:dyDescent="0.25">
      <c r="B648" s="259">
        <f t="shared" si="10"/>
        <v>0</v>
      </c>
      <c r="D648" s="2" t="s">
        <v>1121</v>
      </c>
      <c r="E648" s="215">
        <v>0</v>
      </c>
      <c r="F648" s="215">
        <v>0</v>
      </c>
      <c r="G648" s="215">
        <v>0</v>
      </c>
      <c r="H648" s="215">
        <v>0</v>
      </c>
      <c r="I648" s="215">
        <v>0</v>
      </c>
      <c r="J648" s="215">
        <v>0</v>
      </c>
      <c r="K648" s="215">
        <v>0</v>
      </c>
      <c r="L648" s="215">
        <v>0</v>
      </c>
      <c r="M648" s="215">
        <v>0</v>
      </c>
      <c r="N648" s="215">
        <v>0</v>
      </c>
      <c r="O648" s="215">
        <v>0</v>
      </c>
      <c r="P648" s="215">
        <v>0</v>
      </c>
      <c r="Q648" s="215">
        <v>0</v>
      </c>
    </row>
    <row r="649" spans="2:17" x14ac:dyDescent="0.25">
      <c r="B649" s="259">
        <f t="shared" si="10"/>
        <v>0</v>
      </c>
      <c r="D649" s="2" t="s">
        <v>1509</v>
      </c>
      <c r="E649" s="215">
        <v>0</v>
      </c>
      <c r="F649" s="215">
        <v>0</v>
      </c>
      <c r="G649" s="215">
        <v>0</v>
      </c>
      <c r="H649" s="215">
        <v>0</v>
      </c>
      <c r="I649" s="215">
        <v>0</v>
      </c>
      <c r="J649" s="215">
        <v>0</v>
      </c>
      <c r="K649" s="215">
        <v>0</v>
      </c>
      <c r="L649" s="215">
        <v>0</v>
      </c>
      <c r="M649" s="215">
        <v>0</v>
      </c>
      <c r="N649" s="215">
        <v>0</v>
      </c>
      <c r="O649" s="215">
        <v>0</v>
      </c>
      <c r="P649" s="215">
        <v>0</v>
      </c>
      <c r="Q649" s="215">
        <v>0</v>
      </c>
    </row>
    <row r="650" spans="2:17" x14ac:dyDescent="0.25">
      <c r="B650" s="259">
        <f t="shared" si="10"/>
        <v>0</v>
      </c>
      <c r="D650" s="2" t="s">
        <v>1510</v>
      </c>
      <c r="E650" s="215">
        <v>0</v>
      </c>
      <c r="F650" s="215">
        <v>0</v>
      </c>
      <c r="G650" s="215">
        <v>0</v>
      </c>
      <c r="H650" s="215">
        <v>0</v>
      </c>
      <c r="I650" s="215">
        <v>0</v>
      </c>
      <c r="J650" s="215">
        <v>0</v>
      </c>
      <c r="K650" s="215">
        <v>0</v>
      </c>
      <c r="L650" s="215">
        <v>0</v>
      </c>
      <c r="M650" s="215">
        <v>0</v>
      </c>
      <c r="N650" s="215">
        <v>0</v>
      </c>
      <c r="O650" s="215">
        <v>0</v>
      </c>
      <c r="P650" s="215">
        <v>0</v>
      </c>
      <c r="Q650" s="215">
        <v>0</v>
      </c>
    </row>
    <row r="651" spans="2:17" x14ac:dyDescent="0.25">
      <c r="B651" s="259">
        <f t="shared" si="10"/>
        <v>0</v>
      </c>
      <c r="D651" s="2" t="s">
        <v>1511</v>
      </c>
      <c r="E651" s="215">
        <v>0</v>
      </c>
      <c r="F651" s="215">
        <v>0</v>
      </c>
      <c r="G651" s="215">
        <v>0</v>
      </c>
      <c r="H651" s="215">
        <v>0</v>
      </c>
      <c r="I651" s="215">
        <v>0</v>
      </c>
      <c r="J651" s="215">
        <v>0</v>
      </c>
      <c r="K651" s="215">
        <v>0</v>
      </c>
      <c r="L651" s="215">
        <v>0</v>
      </c>
      <c r="M651" s="215">
        <v>0</v>
      </c>
      <c r="N651" s="215">
        <v>0</v>
      </c>
      <c r="O651" s="215">
        <v>0</v>
      </c>
      <c r="P651" s="215">
        <v>0</v>
      </c>
      <c r="Q651" s="215">
        <v>0</v>
      </c>
    </row>
    <row r="652" spans="2:17" x14ac:dyDescent="0.25">
      <c r="B652" s="259">
        <f t="shared" si="10"/>
        <v>0</v>
      </c>
      <c r="D652" s="2" t="s">
        <v>1512</v>
      </c>
      <c r="E652" s="215">
        <v>0</v>
      </c>
      <c r="F652" s="215">
        <v>0</v>
      </c>
      <c r="G652" s="215">
        <v>0</v>
      </c>
      <c r="H652" s="215">
        <v>0</v>
      </c>
      <c r="I652" s="215">
        <v>0</v>
      </c>
      <c r="J652" s="215">
        <v>0</v>
      </c>
      <c r="K652" s="215">
        <v>0</v>
      </c>
      <c r="L652" s="215">
        <v>0</v>
      </c>
      <c r="M652" s="215">
        <v>0</v>
      </c>
      <c r="N652" s="215">
        <v>0</v>
      </c>
      <c r="O652" s="215">
        <v>0</v>
      </c>
      <c r="P652" s="215">
        <v>0</v>
      </c>
      <c r="Q652" s="215">
        <v>0</v>
      </c>
    </row>
    <row r="653" spans="2:17" x14ac:dyDescent="0.25">
      <c r="B653" s="259">
        <f t="shared" si="10"/>
        <v>0</v>
      </c>
      <c r="D653" s="2" t="s">
        <v>1513</v>
      </c>
      <c r="E653" s="215">
        <v>0</v>
      </c>
      <c r="F653" s="215">
        <v>0</v>
      </c>
      <c r="G653" s="215">
        <v>0</v>
      </c>
      <c r="H653" s="215">
        <v>0</v>
      </c>
      <c r="I653" s="215">
        <v>0</v>
      </c>
      <c r="J653" s="215">
        <v>0</v>
      </c>
      <c r="K653" s="215">
        <v>0</v>
      </c>
      <c r="L653" s="215">
        <v>0</v>
      </c>
      <c r="M653" s="215">
        <v>0</v>
      </c>
      <c r="N653" s="215">
        <v>0</v>
      </c>
      <c r="O653" s="215">
        <v>0</v>
      </c>
      <c r="P653" s="215">
        <v>0</v>
      </c>
      <c r="Q653" s="215">
        <v>0</v>
      </c>
    </row>
    <row r="654" spans="2:17" x14ac:dyDescent="0.25">
      <c r="B654" s="259">
        <f t="shared" si="10"/>
        <v>238237.655</v>
      </c>
      <c r="D654" s="2" t="s">
        <v>720</v>
      </c>
      <c r="E654" s="215">
        <v>229410.95</v>
      </c>
      <c r="F654" s="215">
        <v>238034.17</v>
      </c>
      <c r="G654" s="215">
        <v>238065.32</v>
      </c>
      <c r="H654" s="215">
        <v>238118.07</v>
      </c>
      <c r="I654" s="215">
        <v>238118.07</v>
      </c>
      <c r="J654" s="215">
        <v>238398.91</v>
      </c>
      <c r="K654" s="215">
        <v>238398.91</v>
      </c>
      <c r="L654" s="215">
        <v>238543.72</v>
      </c>
      <c r="M654" s="215">
        <v>238869.23</v>
      </c>
      <c r="N654" s="215">
        <v>239200.09</v>
      </c>
      <c r="O654" s="215">
        <v>239226.15000000002</v>
      </c>
      <c r="P654" s="215">
        <v>239449.16000000003</v>
      </c>
      <c r="Q654" s="215">
        <v>239449.17</v>
      </c>
    </row>
    <row r="655" spans="2:17" x14ac:dyDescent="0.25">
      <c r="B655" s="259">
        <f t="shared" si="10"/>
        <v>95415.195833333346</v>
      </c>
      <c r="D655" s="2" t="s">
        <v>722</v>
      </c>
      <c r="E655" s="215">
        <v>67031.710000000006</v>
      </c>
      <c r="F655" s="215">
        <v>73458.430000000008</v>
      </c>
      <c r="G655" s="215">
        <v>79251.87000000001</v>
      </c>
      <c r="H655" s="215">
        <v>85921.290000000008</v>
      </c>
      <c r="I655" s="215">
        <v>90390.63</v>
      </c>
      <c r="J655" s="215">
        <v>93496.5</v>
      </c>
      <c r="K655" s="215">
        <v>94937.61</v>
      </c>
      <c r="L655" s="215">
        <v>96612.86</v>
      </c>
      <c r="M655" s="215">
        <v>101907.25</v>
      </c>
      <c r="N655" s="215">
        <v>106580.3</v>
      </c>
      <c r="O655" s="215">
        <v>110924.12</v>
      </c>
      <c r="P655" s="215">
        <v>116520.84</v>
      </c>
      <c r="Q655" s="215">
        <v>122929.59</v>
      </c>
    </row>
    <row r="656" spans="2:17" x14ac:dyDescent="0.25">
      <c r="B656" s="259">
        <f t="shared" si="10"/>
        <v>132343.64333333331</v>
      </c>
      <c r="D656" s="2" t="s">
        <v>724</v>
      </c>
      <c r="E656" s="215">
        <v>7192.55</v>
      </c>
      <c r="F656" s="215">
        <v>7192.55</v>
      </c>
      <c r="G656" s="215">
        <v>7192.55</v>
      </c>
      <c r="H656" s="215">
        <v>7391.9400000000005</v>
      </c>
      <c r="I656" s="215">
        <v>156627.69</v>
      </c>
      <c r="J656" s="215">
        <v>156627.69</v>
      </c>
      <c r="K656" s="215">
        <v>157258.81999999998</v>
      </c>
      <c r="L656" s="215">
        <v>157258.81999999998</v>
      </c>
      <c r="M656" s="215">
        <v>157258.81999999998</v>
      </c>
      <c r="N656" s="215">
        <v>157258.81999999998</v>
      </c>
      <c r="O656" s="215">
        <v>157258.81999999998</v>
      </c>
      <c r="P656" s="215">
        <v>308703.13999999996</v>
      </c>
      <c r="Q656" s="215">
        <v>308995.56999999995</v>
      </c>
    </row>
    <row r="657" spans="2:17" x14ac:dyDescent="0.25">
      <c r="B657" s="259">
        <f t="shared" si="10"/>
        <v>540058.39375000016</v>
      </c>
      <c r="D657" s="2" t="s">
        <v>726</v>
      </c>
      <c r="E657" s="215">
        <v>399838.62000000011</v>
      </c>
      <c r="F657" s="215">
        <v>514175.74000000011</v>
      </c>
      <c r="G657" s="215">
        <v>533249.70000000007</v>
      </c>
      <c r="H657" s="215">
        <v>537287.63000000012</v>
      </c>
      <c r="I657" s="215">
        <v>542320.25000000012</v>
      </c>
      <c r="J657" s="215">
        <v>547367.16000000015</v>
      </c>
      <c r="K657" s="215">
        <v>548451.77000000014</v>
      </c>
      <c r="L657" s="215">
        <v>554701.09000000008</v>
      </c>
      <c r="M657" s="215">
        <v>555046.2300000001</v>
      </c>
      <c r="N657" s="215">
        <v>555561.20000000007</v>
      </c>
      <c r="O657" s="215">
        <v>555566.02</v>
      </c>
      <c r="P657" s="215">
        <v>556723.9</v>
      </c>
      <c r="Q657" s="215">
        <v>560661.45000000007</v>
      </c>
    </row>
    <row r="658" spans="2:17" x14ac:dyDescent="0.25">
      <c r="B658" s="259">
        <f t="shared" si="10"/>
        <v>264592.0254166667</v>
      </c>
      <c r="D658" s="2" t="s">
        <v>728</v>
      </c>
      <c r="E658" s="215">
        <v>68792.42</v>
      </c>
      <c r="F658" s="215">
        <v>78560.69</v>
      </c>
      <c r="G658" s="215">
        <v>87045.049999999988</v>
      </c>
      <c r="H658" s="215">
        <v>98513.699999999983</v>
      </c>
      <c r="I658" s="215">
        <v>188672.55</v>
      </c>
      <c r="J658" s="215">
        <v>236648.51</v>
      </c>
      <c r="K658" s="215">
        <v>276782.62</v>
      </c>
      <c r="L658" s="215">
        <v>318512.96000000002</v>
      </c>
      <c r="M658" s="215">
        <v>355114.57</v>
      </c>
      <c r="N658" s="215">
        <v>382516.42999999993</v>
      </c>
      <c r="O658" s="215">
        <v>413101.75999999995</v>
      </c>
      <c r="P658" s="215">
        <v>453087.69999999995</v>
      </c>
      <c r="Q658" s="215">
        <v>504303.10999999987</v>
      </c>
    </row>
    <row r="659" spans="2:17" x14ac:dyDescent="0.25">
      <c r="B659" s="259">
        <f t="shared" si="10"/>
        <v>673650.91041666665</v>
      </c>
      <c r="D659" s="2" t="s">
        <v>730</v>
      </c>
      <c r="E659" s="215">
        <v>282695.96000000002</v>
      </c>
      <c r="F659" s="215">
        <v>294443.59000000008</v>
      </c>
      <c r="G659" s="215">
        <v>301604.42</v>
      </c>
      <c r="H659" s="215">
        <v>308925.27</v>
      </c>
      <c r="I659" s="215">
        <v>335640.31000000006</v>
      </c>
      <c r="J659" s="215">
        <v>358151.96000000008</v>
      </c>
      <c r="K659" s="215">
        <v>921001.87</v>
      </c>
      <c r="L659" s="215">
        <v>943897.92</v>
      </c>
      <c r="M659" s="215">
        <v>959998.33000000007</v>
      </c>
      <c r="N659" s="215">
        <v>971495.2300000001</v>
      </c>
      <c r="O659" s="215">
        <v>999410.45000000007</v>
      </c>
      <c r="P659" s="215">
        <v>1016844.73</v>
      </c>
      <c r="Q659" s="215">
        <v>1062097.73</v>
      </c>
    </row>
    <row r="660" spans="2:17" x14ac:dyDescent="0.25">
      <c r="B660" s="259">
        <f t="shared" si="10"/>
        <v>0</v>
      </c>
      <c r="D660" s="2" t="s">
        <v>1514</v>
      </c>
      <c r="E660" s="215">
        <v>0</v>
      </c>
      <c r="F660" s="215">
        <v>0</v>
      </c>
      <c r="G660" s="215">
        <v>0</v>
      </c>
      <c r="H660" s="215">
        <v>0</v>
      </c>
      <c r="I660" s="215">
        <v>0</v>
      </c>
      <c r="J660" s="215">
        <v>0</v>
      </c>
      <c r="K660" s="215">
        <v>0</v>
      </c>
      <c r="L660" s="215">
        <v>0</v>
      </c>
      <c r="M660" s="215">
        <v>0</v>
      </c>
      <c r="N660" s="215">
        <v>0</v>
      </c>
      <c r="O660" s="215">
        <v>0</v>
      </c>
      <c r="P660" s="215">
        <v>0</v>
      </c>
      <c r="Q660" s="215">
        <v>0</v>
      </c>
    </row>
    <row r="661" spans="2:17" x14ac:dyDescent="0.25">
      <c r="B661" s="259">
        <f t="shared" si="10"/>
        <v>100516.67999999998</v>
      </c>
      <c r="D661" s="2" t="s">
        <v>1515</v>
      </c>
      <c r="E661" s="215">
        <v>100516.68</v>
      </c>
      <c r="F661" s="215">
        <v>100516.68</v>
      </c>
      <c r="G661" s="215">
        <v>100516.68</v>
      </c>
      <c r="H661" s="215">
        <v>100516.68</v>
      </c>
      <c r="I661" s="215">
        <v>100516.68</v>
      </c>
      <c r="J661" s="215">
        <v>100516.68</v>
      </c>
      <c r="K661" s="215">
        <v>100516.68</v>
      </c>
      <c r="L661" s="215">
        <v>100516.68</v>
      </c>
      <c r="M661" s="215">
        <v>100516.68</v>
      </c>
      <c r="N661" s="215">
        <v>100516.68</v>
      </c>
      <c r="O661" s="215">
        <v>100516.68</v>
      </c>
      <c r="P661" s="215">
        <v>100516.68</v>
      </c>
      <c r="Q661" s="215">
        <v>100516.68</v>
      </c>
    </row>
    <row r="662" spans="2:17" x14ac:dyDescent="0.25">
      <c r="B662" s="259">
        <f t="shared" si="10"/>
        <v>660.5200000000001</v>
      </c>
      <c r="D662" s="2" t="s">
        <v>1516</v>
      </c>
      <c r="E662" s="215">
        <v>660.52</v>
      </c>
      <c r="F662" s="215">
        <v>660.52</v>
      </c>
      <c r="G662" s="215">
        <v>660.52</v>
      </c>
      <c r="H662" s="215">
        <v>660.52</v>
      </c>
      <c r="I662" s="215">
        <v>660.52</v>
      </c>
      <c r="J662" s="215">
        <v>660.52</v>
      </c>
      <c r="K662" s="215">
        <v>660.52</v>
      </c>
      <c r="L662" s="215">
        <v>660.52</v>
      </c>
      <c r="M662" s="215">
        <v>660.52</v>
      </c>
      <c r="N662" s="215">
        <v>660.52</v>
      </c>
      <c r="O662" s="215">
        <v>660.52</v>
      </c>
      <c r="P662" s="215">
        <v>660.52</v>
      </c>
      <c r="Q662" s="215">
        <v>660.52</v>
      </c>
    </row>
    <row r="663" spans="2:17" x14ac:dyDescent="0.25">
      <c r="B663" s="259">
        <f t="shared" si="10"/>
        <v>38883.85</v>
      </c>
      <c r="D663" s="2" t="s">
        <v>1517</v>
      </c>
      <c r="E663" s="215">
        <v>38883.850000000006</v>
      </c>
      <c r="F663" s="215">
        <v>38883.850000000006</v>
      </c>
      <c r="G663" s="215">
        <v>38883.850000000006</v>
      </c>
      <c r="H663" s="215">
        <v>38883.850000000006</v>
      </c>
      <c r="I663" s="215">
        <v>38883.850000000006</v>
      </c>
      <c r="J663" s="215">
        <v>38883.850000000006</v>
      </c>
      <c r="K663" s="215">
        <v>38883.850000000006</v>
      </c>
      <c r="L663" s="215">
        <v>38883.850000000006</v>
      </c>
      <c r="M663" s="215">
        <v>38883.850000000006</v>
      </c>
      <c r="N663" s="215">
        <v>38883.850000000006</v>
      </c>
      <c r="O663" s="215">
        <v>38883.850000000006</v>
      </c>
      <c r="P663" s="215">
        <v>38883.850000000006</v>
      </c>
      <c r="Q663" s="215">
        <v>38883.850000000006</v>
      </c>
    </row>
    <row r="664" spans="2:17" x14ac:dyDescent="0.25">
      <c r="B664" s="259">
        <f t="shared" si="10"/>
        <v>0</v>
      </c>
      <c r="D664" s="2" t="s">
        <v>1518</v>
      </c>
      <c r="E664" s="215">
        <v>0</v>
      </c>
      <c r="F664" s="215">
        <v>0</v>
      </c>
      <c r="G664" s="215">
        <v>0</v>
      </c>
      <c r="H664" s="215">
        <v>0</v>
      </c>
      <c r="I664" s="215">
        <v>0</v>
      </c>
      <c r="J664" s="215">
        <v>0</v>
      </c>
      <c r="K664" s="215">
        <v>0</v>
      </c>
      <c r="L664" s="215">
        <v>0</v>
      </c>
      <c r="M664" s="215">
        <v>0</v>
      </c>
      <c r="N664" s="215">
        <v>0</v>
      </c>
      <c r="O664" s="215">
        <v>0</v>
      </c>
      <c r="P664" s="215">
        <v>0</v>
      </c>
      <c r="Q664" s="215">
        <v>0</v>
      </c>
    </row>
    <row r="665" spans="2:17" x14ac:dyDescent="0.25">
      <c r="B665" s="259">
        <f t="shared" si="10"/>
        <v>0</v>
      </c>
      <c r="D665" s="2" t="s">
        <v>1519</v>
      </c>
      <c r="E665" s="215">
        <v>0</v>
      </c>
      <c r="F665" s="215">
        <v>0</v>
      </c>
      <c r="G665" s="215">
        <v>0</v>
      </c>
      <c r="H665" s="215">
        <v>0</v>
      </c>
      <c r="I665" s="215">
        <v>0</v>
      </c>
      <c r="J665" s="215">
        <v>0</v>
      </c>
      <c r="K665" s="215">
        <v>0</v>
      </c>
      <c r="L665" s="215">
        <v>0</v>
      </c>
      <c r="M665" s="215">
        <v>0</v>
      </c>
      <c r="N665" s="215">
        <v>0</v>
      </c>
      <c r="O665" s="215">
        <v>0</v>
      </c>
      <c r="P665" s="215">
        <v>0</v>
      </c>
      <c r="Q665" s="215">
        <v>0</v>
      </c>
    </row>
    <row r="666" spans="2:17" x14ac:dyDescent="0.25">
      <c r="B666" s="259">
        <f t="shared" si="10"/>
        <v>192.65999999999994</v>
      </c>
      <c r="D666" s="2" t="s">
        <v>1520</v>
      </c>
      <c r="E666" s="215">
        <v>192.65999999999997</v>
      </c>
      <c r="F666" s="215">
        <v>192.65999999999997</v>
      </c>
      <c r="G666" s="215">
        <v>192.65999999999997</v>
      </c>
      <c r="H666" s="215">
        <v>192.65999999999997</v>
      </c>
      <c r="I666" s="215">
        <v>192.65999999999997</v>
      </c>
      <c r="J666" s="215">
        <v>192.65999999999997</v>
      </c>
      <c r="K666" s="215">
        <v>192.65999999999997</v>
      </c>
      <c r="L666" s="215">
        <v>192.65999999999997</v>
      </c>
      <c r="M666" s="215">
        <v>192.65999999999997</v>
      </c>
      <c r="N666" s="215">
        <v>192.65999999999997</v>
      </c>
      <c r="O666" s="215">
        <v>192.65999999999997</v>
      </c>
      <c r="P666" s="215">
        <v>192.65999999999997</v>
      </c>
      <c r="Q666" s="215">
        <v>192.65999999999997</v>
      </c>
    </row>
    <row r="667" spans="2:17" x14ac:dyDescent="0.25">
      <c r="B667" s="259">
        <f t="shared" si="10"/>
        <v>1532955.4687500002</v>
      </c>
      <c r="D667" s="2" t="s">
        <v>732</v>
      </c>
      <c r="E667" s="215">
        <v>1327181.2000000002</v>
      </c>
      <c r="F667" s="215">
        <v>1334312.7000000002</v>
      </c>
      <c r="G667" s="215">
        <v>1356118.73</v>
      </c>
      <c r="H667" s="215">
        <v>1139347.2000000002</v>
      </c>
      <c r="I667" s="215">
        <v>1163993.69</v>
      </c>
      <c r="J667" s="215">
        <v>1191767.06</v>
      </c>
      <c r="K667" s="215">
        <v>1645333.6400000001</v>
      </c>
      <c r="L667" s="215">
        <v>1729996.04</v>
      </c>
      <c r="M667" s="215">
        <v>1750245.5300000003</v>
      </c>
      <c r="N667" s="215">
        <v>1780701.81</v>
      </c>
      <c r="O667" s="215">
        <v>1820452.8100000003</v>
      </c>
      <c r="P667" s="215">
        <v>1843956.9300000002</v>
      </c>
      <c r="Q667" s="215">
        <v>1951297.7700000003</v>
      </c>
    </row>
    <row r="668" spans="2:17" x14ac:dyDescent="0.25">
      <c r="B668" s="259">
        <f t="shared" si="10"/>
        <v>0</v>
      </c>
      <c r="D668" s="2" t="s">
        <v>1521</v>
      </c>
      <c r="E668" s="215">
        <v>0</v>
      </c>
      <c r="F668" s="215">
        <v>0</v>
      </c>
      <c r="G668" s="215">
        <v>0</v>
      </c>
      <c r="H668" s="215">
        <v>0</v>
      </c>
      <c r="I668" s="215">
        <v>0</v>
      </c>
      <c r="J668" s="215">
        <v>0</v>
      </c>
      <c r="K668" s="215">
        <v>0</v>
      </c>
      <c r="L668" s="215">
        <v>0</v>
      </c>
      <c r="M668" s="215">
        <v>0</v>
      </c>
      <c r="N668" s="215">
        <v>0</v>
      </c>
      <c r="O668" s="215">
        <v>0</v>
      </c>
      <c r="P668" s="215">
        <v>0</v>
      </c>
      <c r="Q668" s="215">
        <v>0</v>
      </c>
    </row>
    <row r="669" spans="2:17" x14ac:dyDescent="0.25">
      <c r="B669" s="259">
        <f t="shared" si="10"/>
        <v>1834414.8975</v>
      </c>
      <c r="D669" s="2" t="s">
        <v>734</v>
      </c>
      <c r="E669" s="215">
        <v>0</v>
      </c>
      <c r="F669" s="215">
        <v>0</v>
      </c>
      <c r="G669" s="215">
        <v>0</v>
      </c>
      <c r="H669" s="215">
        <v>0</v>
      </c>
      <c r="I669" s="215">
        <v>0</v>
      </c>
      <c r="J669" s="215">
        <v>0</v>
      </c>
      <c r="K669" s="215">
        <v>0</v>
      </c>
      <c r="L669" s="215">
        <v>0</v>
      </c>
      <c r="M669" s="215">
        <v>0</v>
      </c>
      <c r="N669" s="215">
        <v>0</v>
      </c>
      <c r="O669" s="215">
        <v>0</v>
      </c>
      <c r="P669" s="215">
        <v>0</v>
      </c>
      <c r="Q669" s="215">
        <v>44025957.539999999</v>
      </c>
    </row>
    <row r="670" spans="2:17" x14ac:dyDescent="0.25">
      <c r="B670" s="259">
        <f t="shared" si="10"/>
        <v>4965385.6741666673</v>
      </c>
      <c r="D670" s="2" t="s">
        <v>736</v>
      </c>
      <c r="E670" s="215">
        <v>4653891.330000001</v>
      </c>
      <c r="F670" s="215">
        <v>4838598.4400000013</v>
      </c>
      <c r="G670" s="215">
        <v>4838629.6600000011</v>
      </c>
      <c r="H670" s="215">
        <v>4840902.7000000011</v>
      </c>
      <c r="I670" s="215">
        <v>4841124.6800000016</v>
      </c>
      <c r="J670" s="215">
        <v>4841124.6800000016</v>
      </c>
      <c r="K670" s="215">
        <v>4841124.6800000016</v>
      </c>
      <c r="L670" s="215">
        <v>4841124.6800000016</v>
      </c>
      <c r="M670" s="215">
        <v>4841124.6800000016</v>
      </c>
      <c r="N670" s="215">
        <v>4706694.0700000012</v>
      </c>
      <c r="O670" s="215">
        <v>4706694.0700000012</v>
      </c>
      <c r="P670" s="215">
        <v>4706694.0700000012</v>
      </c>
      <c r="Q670" s="215">
        <v>8827692.0300000012</v>
      </c>
    </row>
    <row r="671" spans="2:17" x14ac:dyDescent="0.25">
      <c r="B671" s="259">
        <f t="shared" si="10"/>
        <v>2768311.4758333331</v>
      </c>
      <c r="D671" s="2" t="s">
        <v>738</v>
      </c>
      <c r="E671" s="215">
        <v>2605045.36</v>
      </c>
      <c r="F671" s="215">
        <v>2611176.02</v>
      </c>
      <c r="G671" s="215">
        <v>2661074.88</v>
      </c>
      <c r="H671" s="215">
        <v>2670511.09</v>
      </c>
      <c r="I671" s="215">
        <v>2695887.6799999997</v>
      </c>
      <c r="J671" s="215">
        <v>2714957.2699999996</v>
      </c>
      <c r="K671" s="215">
        <v>2714957.2699999996</v>
      </c>
      <c r="L671" s="215">
        <v>2714957.2699999996</v>
      </c>
      <c r="M671" s="215">
        <v>2714957.2699999996</v>
      </c>
      <c r="N671" s="215">
        <v>2714957.2699999996</v>
      </c>
      <c r="O671" s="215">
        <v>2745526.1399999997</v>
      </c>
      <c r="P671" s="215">
        <v>2781304.9299999997</v>
      </c>
      <c r="Q671" s="215">
        <v>4353895.8800000008</v>
      </c>
    </row>
    <row r="672" spans="2:17" x14ac:dyDescent="0.25">
      <c r="B672" s="259">
        <f t="shared" si="10"/>
        <v>28410.69</v>
      </c>
      <c r="D672" s="2" t="s">
        <v>1522</v>
      </c>
      <c r="E672" s="215">
        <v>28410.69</v>
      </c>
      <c r="F672" s="215">
        <v>28410.69</v>
      </c>
      <c r="G672" s="215">
        <v>28410.69</v>
      </c>
      <c r="H672" s="215">
        <v>28410.69</v>
      </c>
      <c r="I672" s="215">
        <v>28410.69</v>
      </c>
      <c r="J672" s="215">
        <v>28410.69</v>
      </c>
      <c r="K672" s="215">
        <v>28410.69</v>
      </c>
      <c r="L672" s="215">
        <v>28410.69</v>
      </c>
      <c r="M672" s="215">
        <v>28410.69</v>
      </c>
      <c r="N672" s="215">
        <v>28410.69</v>
      </c>
      <c r="O672" s="215">
        <v>28410.69</v>
      </c>
      <c r="P672" s="215">
        <v>28410.69</v>
      </c>
      <c r="Q672" s="215">
        <v>28410.69</v>
      </c>
    </row>
    <row r="673" spans="2:17" x14ac:dyDescent="0.25">
      <c r="B673" s="259">
        <f t="shared" si="10"/>
        <v>195708.88125000001</v>
      </c>
      <c r="D673" s="2" t="s">
        <v>740</v>
      </c>
      <c r="E673" s="215">
        <v>193714.94</v>
      </c>
      <c r="F673" s="215">
        <v>193714.94</v>
      </c>
      <c r="G673" s="215">
        <v>195993.73</v>
      </c>
      <c r="H673" s="215">
        <v>195993.73</v>
      </c>
      <c r="I673" s="215">
        <v>195993.73</v>
      </c>
      <c r="J673" s="215">
        <v>195993.73</v>
      </c>
      <c r="K673" s="215">
        <v>195993.73</v>
      </c>
      <c r="L673" s="215">
        <v>195993.73</v>
      </c>
      <c r="M673" s="215">
        <v>195993.73</v>
      </c>
      <c r="N673" s="215">
        <v>195993.73</v>
      </c>
      <c r="O673" s="215">
        <v>195993.73</v>
      </c>
      <c r="P673" s="215">
        <v>195993.73</v>
      </c>
      <c r="Q673" s="215">
        <v>195993.73</v>
      </c>
    </row>
    <row r="674" spans="2:17" x14ac:dyDescent="0.25">
      <c r="B674" s="259">
        <f t="shared" si="10"/>
        <v>6161.0999999999985</v>
      </c>
      <c r="D674" s="2" t="s">
        <v>1065</v>
      </c>
      <c r="E674" s="215">
        <v>0</v>
      </c>
      <c r="F674" s="215">
        <v>0</v>
      </c>
      <c r="G674" s="215">
        <v>0</v>
      </c>
      <c r="H674" s="215">
        <v>117.80999999999999</v>
      </c>
      <c r="I674" s="215">
        <v>352.84000000000003</v>
      </c>
      <c r="J674" s="215">
        <v>352.84000000000003</v>
      </c>
      <c r="K674" s="215">
        <v>352.84000000000003</v>
      </c>
      <c r="L674" s="215">
        <v>2931.74</v>
      </c>
      <c r="M674" s="215">
        <v>12333.919999999998</v>
      </c>
      <c r="N674" s="215">
        <v>16426.059999999998</v>
      </c>
      <c r="O674" s="215">
        <v>16426.059999999998</v>
      </c>
      <c r="P674" s="215">
        <v>16426.059999999998</v>
      </c>
      <c r="Q674" s="215">
        <v>16426.059999999998</v>
      </c>
    </row>
    <row r="675" spans="2:17" x14ac:dyDescent="0.25">
      <c r="B675" s="259">
        <f t="shared" si="10"/>
        <v>1246.0737500000002</v>
      </c>
      <c r="D675" s="2" t="s">
        <v>1067</v>
      </c>
      <c r="E675" s="215">
        <v>0</v>
      </c>
      <c r="F675" s="215">
        <v>0</v>
      </c>
      <c r="G675" s="215">
        <v>468.74</v>
      </c>
      <c r="H675" s="215">
        <v>819.58999999999992</v>
      </c>
      <c r="I675" s="215">
        <v>1399.88</v>
      </c>
      <c r="J675" s="215">
        <v>1635.29</v>
      </c>
      <c r="K675" s="215">
        <v>1635.29</v>
      </c>
      <c r="L675" s="215">
        <v>1635.29</v>
      </c>
      <c r="M675" s="215">
        <v>1635.29</v>
      </c>
      <c r="N675" s="215">
        <v>1635.29</v>
      </c>
      <c r="O675" s="215">
        <v>1635.29</v>
      </c>
      <c r="P675" s="215">
        <v>1635.29</v>
      </c>
      <c r="Q675" s="215">
        <v>1635.29</v>
      </c>
    </row>
    <row r="676" spans="2:17" x14ac:dyDescent="0.25">
      <c r="B676" s="259">
        <f t="shared" si="10"/>
        <v>0</v>
      </c>
      <c r="D676" s="2" t="s">
        <v>1523</v>
      </c>
      <c r="E676" s="215">
        <v>0</v>
      </c>
      <c r="F676" s="215">
        <v>0</v>
      </c>
      <c r="G676" s="215">
        <v>0</v>
      </c>
      <c r="H676" s="215">
        <v>0</v>
      </c>
      <c r="I676" s="215">
        <v>0</v>
      </c>
      <c r="J676" s="215">
        <v>0</v>
      </c>
      <c r="K676" s="215">
        <v>0</v>
      </c>
      <c r="L676" s="215">
        <v>0</v>
      </c>
      <c r="M676" s="215">
        <v>0</v>
      </c>
      <c r="N676" s="215">
        <v>0</v>
      </c>
      <c r="O676" s="215">
        <v>0</v>
      </c>
      <c r="P676" s="215">
        <v>0</v>
      </c>
      <c r="Q676" s="215">
        <v>0</v>
      </c>
    </row>
    <row r="677" spans="2:17" x14ac:dyDescent="0.25">
      <c r="B677" s="259">
        <f t="shared" si="10"/>
        <v>0</v>
      </c>
      <c r="D677" s="2" t="s">
        <v>1524</v>
      </c>
      <c r="E677" s="215">
        <v>0</v>
      </c>
      <c r="F677" s="215">
        <v>0</v>
      </c>
      <c r="G677" s="215">
        <v>0</v>
      </c>
      <c r="H677" s="215">
        <v>0</v>
      </c>
      <c r="I677" s="215">
        <v>0</v>
      </c>
      <c r="J677" s="215">
        <v>0</v>
      </c>
      <c r="K677" s="215">
        <v>0</v>
      </c>
      <c r="L677" s="215">
        <v>0</v>
      </c>
      <c r="M677" s="215">
        <v>0</v>
      </c>
      <c r="N677" s="215">
        <v>0</v>
      </c>
      <c r="O677" s="215">
        <v>0</v>
      </c>
      <c r="P677" s="215">
        <v>0</v>
      </c>
      <c r="Q677" s="215">
        <v>0</v>
      </c>
    </row>
    <row r="678" spans="2:17" x14ac:dyDescent="0.25">
      <c r="B678" s="259">
        <f t="shared" si="10"/>
        <v>539116.21166666667</v>
      </c>
      <c r="D678" s="2" t="s">
        <v>742</v>
      </c>
      <c r="E678" s="215">
        <v>274689.5</v>
      </c>
      <c r="F678" s="215">
        <v>274689.5</v>
      </c>
      <c r="G678" s="215">
        <v>571309.29</v>
      </c>
      <c r="H678" s="215">
        <v>571309.29</v>
      </c>
      <c r="I678" s="215">
        <v>571309.29</v>
      </c>
      <c r="J678" s="215">
        <v>571309.29</v>
      </c>
      <c r="K678" s="215">
        <v>571309.29</v>
      </c>
      <c r="L678" s="215">
        <v>571309.29</v>
      </c>
      <c r="M678" s="215">
        <v>571309.29</v>
      </c>
      <c r="N678" s="215">
        <v>571309.29</v>
      </c>
      <c r="O678" s="215">
        <v>571309.29</v>
      </c>
      <c r="P678" s="215">
        <v>571309.29</v>
      </c>
      <c r="Q678" s="215">
        <v>688534.78</v>
      </c>
    </row>
    <row r="679" spans="2:17" x14ac:dyDescent="0.25">
      <c r="B679" s="259">
        <f t="shared" si="10"/>
        <v>178273.63250000004</v>
      </c>
      <c r="D679" s="2" t="s">
        <v>744</v>
      </c>
      <c r="E679" s="215">
        <v>169784.50000000003</v>
      </c>
      <c r="F679" s="215">
        <v>170131.33000000002</v>
      </c>
      <c r="G679" s="215">
        <v>170131.33000000002</v>
      </c>
      <c r="H679" s="215">
        <v>170131.33000000002</v>
      </c>
      <c r="I679" s="215">
        <v>170131.33000000002</v>
      </c>
      <c r="J679" s="215">
        <v>175596.44</v>
      </c>
      <c r="K679" s="215">
        <v>184217.64</v>
      </c>
      <c r="L679" s="215">
        <v>184373.08000000002</v>
      </c>
      <c r="M679" s="215">
        <v>184373.08000000002</v>
      </c>
      <c r="N679" s="215">
        <v>184373.08000000002</v>
      </c>
      <c r="O679" s="215">
        <v>184373.08000000002</v>
      </c>
      <c r="P679" s="215">
        <v>184373.08000000002</v>
      </c>
      <c r="Q679" s="215">
        <v>184373.08000000002</v>
      </c>
    </row>
    <row r="680" spans="2:17" x14ac:dyDescent="0.25">
      <c r="B680" s="259">
        <f t="shared" si="10"/>
        <v>0</v>
      </c>
      <c r="D680" s="2" t="s">
        <v>1525</v>
      </c>
      <c r="E680" s="215">
        <v>0</v>
      </c>
      <c r="F680" s="215">
        <v>0</v>
      </c>
      <c r="G680" s="215">
        <v>0</v>
      </c>
      <c r="H680" s="215">
        <v>0</v>
      </c>
      <c r="I680" s="215">
        <v>0</v>
      </c>
      <c r="J680" s="215">
        <v>0</v>
      </c>
      <c r="K680" s="215">
        <v>0</v>
      </c>
      <c r="L680" s="215">
        <v>0</v>
      </c>
      <c r="M680" s="215">
        <v>0</v>
      </c>
      <c r="N680" s="215">
        <v>0</v>
      </c>
      <c r="O680" s="215">
        <v>0</v>
      </c>
      <c r="P680" s="215">
        <v>0</v>
      </c>
      <c r="Q680" s="215">
        <v>0</v>
      </c>
    </row>
    <row r="681" spans="2:17" x14ac:dyDescent="0.25">
      <c r="B681" s="259">
        <f t="shared" si="10"/>
        <v>0</v>
      </c>
      <c r="D681" s="2" t="s">
        <v>1526</v>
      </c>
      <c r="E681" s="215">
        <v>0</v>
      </c>
      <c r="F681" s="215">
        <v>0</v>
      </c>
      <c r="G681" s="215">
        <v>0</v>
      </c>
      <c r="H681" s="215">
        <v>0</v>
      </c>
      <c r="I681" s="215">
        <v>0</v>
      </c>
      <c r="J681" s="215">
        <v>0</v>
      </c>
      <c r="K681" s="215">
        <v>0</v>
      </c>
      <c r="L681" s="215">
        <v>0</v>
      </c>
      <c r="M681" s="215">
        <v>0</v>
      </c>
      <c r="N681" s="215">
        <v>0</v>
      </c>
      <c r="O681" s="215">
        <v>0</v>
      </c>
      <c r="P681" s="215">
        <v>0</v>
      </c>
      <c r="Q681" s="215">
        <v>0</v>
      </c>
    </row>
    <row r="682" spans="2:17" x14ac:dyDescent="0.25">
      <c r="B682" s="259">
        <f t="shared" si="10"/>
        <v>0</v>
      </c>
      <c r="D682" s="2" t="s">
        <v>750</v>
      </c>
      <c r="E682" s="215">
        <v>0</v>
      </c>
      <c r="F682" s="215">
        <v>0</v>
      </c>
      <c r="G682" s="215">
        <v>0</v>
      </c>
      <c r="H682" s="215">
        <v>0</v>
      </c>
      <c r="I682" s="215">
        <v>0</v>
      </c>
      <c r="J682" s="215">
        <v>0</v>
      </c>
      <c r="K682" s="215">
        <v>0</v>
      </c>
      <c r="L682" s="215">
        <v>0</v>
      </c>
      <c r="M682" s="215">
        <v>0</v>
      </c>
      <c r="N682" s="215">
        <v>0</v>
      </c>
      <c r="O682" s="215">
        <v>0</v>
      </c>
      <c r="P682" s="215">
        <v>0</v>
      </c>
      <c r="Q682" s="215">
        <v>0</v>
      </c>
    </row>
    <row r="683" spans="2:17" x14ac:dyDescent="0.25">
      <c r="B683" s="259">
        <f t="shared" si="10"/>
        <v>73281.828750000001</v>
      </c>
      <c r="D683" s="2" t="s">
        <v>752</v>
      </c>
      <c r="E683" s="215">
        <v>0</v>
      </c>
      <c r="F683" s="215">
        <v>0</v>
      </c>
      <c r="G683" s="215">
        <v>0</v>
      </c>
      <c r="H683" s="215">
        <v>0</v>
      </c>
      <c r="I683" s="215">
        <v>0</v>
      </c>
      <c r="J683" s="215">
        <v>0</v>
      </c>
      <c r="K683" s="215">
        <v>0</v>
      </c>
      <c r="L683" s="215">
        <v>0</v>
      </c>
      <c r="M683" s="215">
        <v>0</v>
      </c>
      <c r="N683" s="215">
        <v>0</v>
      </c>
      <c r="O683" s="215">
        <v>0</v>
      </c>
      <c r="P683" s="215">
        <v>586254.63</v>
      </c>
      <c r="Q683" s="215">
        <v>586254.63</v>
      </c>
    </row>
    <row r="684" spans="2:17" x14ac:dyDescent="0.25">
      <c r="B684" s="259">
        <f t="shared" si="10"/>
        <v>0</v>
      </c>
      <c r="D684" s="2" t="s">
        <v>754</v>
      </c>
      <c r="E684" s="215">
        <v>0</v>
      </c>
      <c r="F684" s="215">
        <v>0</v>
      </c>
      <c r="G684" s="215">
        <v>0</v>
      </c>
      <c r="H684" s="215">
        <v>0</v>
      </c>
      <c r="I684" s="215">
        <v>0</v>
      </c>
      <c r="J684" s="215">
        <v>0</v>
      </c>
      <c r="K684" s="215">
        <v>0</v>
      </c>
      <c r="L684" s="215">
        <v>0</v>
      </c>
      <c r="M684" s="215">
        <v>0</v>
      </c>
      <c r="N684" s="215">
        <v>0</v>
      </c>
      <c r="O684" s="215">
        <v>0</v>
      </c>
      <c r="P684" s="215">
        <v>0</v>
      </c>
      <c r="Q684" s="215">
        <v>0</v>
      </c>
    </row>
    <row r="685" spans="2:17" x14ac:dyDescent="0.25">
      <c r="B685" s="259">
        <f t="shared" si="10"/>
        <v>0</v>
      </c>
      <c r="D685" s="2" t="s">
        <v>1527</v>
      </c>
      <c r="E685" s="215">
        <v>0</v>
      </c>
      <c r="F685" s="215">
        <v>0</v>
      </c>
      <c r="G685" s="215">
        <v>0</v>
      </c>
      <c r="H685" s="215">
        <v>0</v>
      </c>
      <c r="I685" s="215">
        <v>0</v>
      </c>
      <c r="J685" s="215">
        <v>0</v>
      </c>
      <c r="K685" s="215">
        <v>0</v>
      </c>
      <c r="L685" s="215">
        <v>0</v>
      </c>
      <c r="M685" s="215">
        <v>0</v>
      </c>
      <c r="N685" s="215">
        <v>0</v>
      </c>
      <c r="O685" s="215">
        <v>0</v>
      </c>
      <c r="P685" s="215">
        <v>0</v>
      </c>
      <c r="Q685" s="215">
        <v>0</v>
      </c>
    </row>
    <row r="686" spans="2:17" x14ac:dyDescent="0.25">
      <c r="B686" s="259">
        <f t="shared" si="10"/>
        <v>0</v>
      </c>
      <c r="D686" s="2" t="s">
        <v>756</v>
      </c>
      <c r="E686" s="215">
        <v>0</v>
      </c>
      <c r="F686" s="215">
        <v>0</v>
      </c>
      <c r="G686" s="215">
        <v>0</v>
      </c>
      <c r="H686" s="215">
        <v>0</v>
      </c>
      <c r="I686" s="215">
        <v>0</v>
      </c>
      <c r="J686" s="215">
        <v>0</v>
      </c>
      <c r="K686" s="215">
        <v>0</v>
      </c>
      <c r="L686" s="215">
        <v>0</v>
      </c>
      <c r="M686" s="215">
        <v>0</v>
      </c>
      <c r="N686" s="215">
        <v>0</v>
      </c>
      <c r="O686" s="215">
        <v>0</v>
      </c>
      <c r="P686" s="215">
        <v>0</v>
      </c>
      <c r="Q686" s="215">
        <v>0</v>
      </c>
    </row>
    <row r="687" spans="2:17" x14ac:dyDescent="0.25">
      <c r="B687" s="259">
        <f t="shared" si="10"/>
        <v>234842.78083333335</v>
      </c>
      <c r="D687" s="2" t="s">
        <v>758</v>
      </c>
      <c r="E687" s="215">
        <v>51191.23000000001</v>
      </c>
      <c r="F687" s="215">
        <v>51191.23000000001</v>
      </c>
      <c r="G687" s="215">
        <v>51191.23000000001</v>
      </c>
      <c r="H687" s="215">
        <v>62257.030000000013</v>
      </c>
      <c r="I687" s="215">
        <v>62257.030000000013</v>
      </c>
      <c r="J687" s="215">
        <v>62257.030000000013</v>
      </c>
      <c r="K687" s="215">
        <v>374893.92000000004</v>
      </c>
      <c r="L687" s="215">
        <v>400523.08</v>
      </c>
      <c r="M687" s="215">
        <v>383965.65</v>
      </c>
      <c r="N687" s="215">
        <v>383994.73000000004</v>
      </c>
      <c r="O687" s="215">
        <v>383994.73000000004</v>
      </c>
      <c r="P687" s="215">
        <v>383994.73000000004</v>
      </c>
      <c r="Q687" s="215">
        <v>383994.73000000004</v>
      </c>
    </row>
    <row r="688" spans="2:17" x14ac:dyDescent="0.25">
      <c r="B688" s="259">
        <f t="shared" si="10"/>
        <v>0</v>
      </c>
      <c r="D688" s="2" t="s">
        <v>1528</v>
      </c>
      <c r="E688" s="215">
        <v>0</v>
      </c>
      <c r="F688" s="215">
        <v>0</v>
      </c>
      <c r="G688" s="215">
        <v>0</v>
      </c>
      <c r="H688" s="215">
        <v>0</v>
      </c>
      <c r="I688" s="215">
        <v>0</v>
      </c>
      <c r="J688" s="215">
        <v>0</v>
      </c>
      <c r="K688" s="215">
        <v>0</v>
      </c>
      <c r="L688" s="215">
        <v>0</v>
      </c>
      <c r="M688" s="215">
        <v>0</v>
      </c>
      <c r="N688" s="215">
        <v>0</v>
      </c>
      <c r="O688" s="215">
        <v>0</v>
      </c>
      <c r="P688" s="215">
        <v>0</v>
      </c>
      <c r="Q688" s="215">
        <v>0</v>
      </c>
    </row>
    <row r="689" spans="2:17" x14ac:dyDescent="0.25">
      <c r="B689" s="259">
        <f t="shared" si="10"/>
        <v>0</v>
      </c>
      <c r="D689" s="2" t="s">
        <v>1529</v>
      </c>
      <c r="E689" s="215">
        <v>0</v>
      </c>
      <c r="F689" s="215">
        <v>0</v>
      </c>
      <c r="G689" s="215">
        <v>0</v>
      </c>
      <c r="H689" s="215">
        <v>0</v>
      </c>
      <c r="I689" s="215">
        <v>0</v>
      </c>
      <c r="J689" s="215">
        <v>0</v>
      </c>
      <c r="K689" s="215">
        <v>0</v>
      </c>
      <c r="L689" s="215">
        <v>0</v>
      </c>
      <c r="M689" s="215">
        <v>0</v>
      </c>
      <c r="N689" s="215">
        <v>0</v>
      </c>
      <c r="O689" s="215">
        <v>0</v>
      </c>
      <c r="P689" s="215">
        <v>0</v>
      </c>
      <c r="Q689" s="215">
        <v>0</v>
      </c>
    </row>
    <row r="690" spans="2:17" x14ac:dyDescent="0.25">
      <c r="B690" s="259">
        <f t="shared" si="10"/>
        <v>0</v>
      </c>
      <c r="D690" s="2" t="s">
        <v>1530</v>
      </c>
      <c r="E690" s="215">
        <v>0</v>
      </c>
      <c r="F690" s="215">
        <v>0</v>
      </c>
      <c r="G690" s="215">
        <v>0</v>
      </c>
      <c r="H690" s="215">
        <v>0</v>
      </c>
      <c r="I690" s="215">
        <v>0</v>
      </c>
      <c r="J690" s="215">
        <v>0</v>
      </c>
      <c r="K690" s="215">
        <v>0</v>
      </c>
      <c r="L690" s="215">
        <v>0</v>
      </c>
      <c r="M690" s="215">
        <v>0</v>
      </c>
      <c r="N690" s="215">
        <v>0</v>
      </c>
      <c r="O690" s="215">
        <v>0</v>
      </c>
      <c r="P690" s="215">
        <v>0</v>
      </c>
      <c r="Q690" s="215">
        <v>0</v>
      </c>
    </row>
    <row r="691" spans="2:17" x14ac:dyDescent="0.25">
      <c r="B691" s="259">
        <f t="shared" si="10"/>
        <v>94821.594999999987</v>
      </c>
      <c r="D691" s="2" t="s">
        <v>960</v>
      </c>
      <c r="E691" s="215">
        <v>0</v>
      </c>
      <c r="F691" s="215">
        <v>0</v>
      </c>
      <c r="G691" s="215">
        <v>0</v>
      </c>
      <c r="H691" s="215">
        <v>0</v>
      </c>
      <c r="I691" s="215">
        <v>0</v>
      </c>
      <c r="J691" s="215">
        <v>0</v>
      </c>
      <c r="K691" s="215">
        <v>0</v>
      </c>
      <c r="L691" s="215">
        <v>0</v>
      </c>
      <c r="M691" s="215">
        <v>0</v>
      </c>
      <c r="N691" s="215">
        <v>0</v>
      </c>
      <c r="O691" s="215">
        <v>0</v>
      </c>
      <c r="P691" s="215">
        <v>0</v>
      </c>
      <c r="Q691" s="215">
        <v>2275718.2799999998</v>
      </c>
    </row>
    <row r="692" spans="2:17" x14ac:dyDescent="0.25">
      <c r="B692" s="259">
        <f t="shared" si="10"/>
        <v>0</v>
      </c>
      <c r="D692" s="2" t="s">
        <v>1531</v>
      </c>
      <c r="E692" s="215">
        <v>0</v>
      </c>
      <c r="F692" s="215">
        <v>0</v>
      </c>
      <c r="G692" s="215">
        <v>0</v>
      </c>
      <c r="H692" s="215">
        <v>0</v>
      </c>
      <c r="I692" s="215">
        <v>0</v>
      </c>
      <c r="J692" s="215">
        <v>0</v>
      </c>
      <c r="K692" s="215">
        <v>0</v>
      </c>
      <c r="L692" s="215">
        <v>0</v>
      </c>
      <c r="M692" s="215">
        <v>0</v>
      </c>
      <c r="N692" s="215">
        <v>0</v>
      </c>
      <c r="O692" s="215">
        <v>0</v>
      </c>
      <c r="P692" s="215">
        <v>0</v>
      </c>
      <c r="Q692" s="215">
        <v>0</v>
      </c>
    </row>
    <row r="693" spans="2:17" x14ac:dyDescent="0.25">
      <c r="B693" s="259">
        <f t="shared" si="10"/>
        <v>0</v>
      </c>
      <c r="D693" s="2" t="s">
        <v>1532</v>
      </c>
      <c r="E693" s="215">
        <v>0</v>
      </c>
      <c r="F693" s="215">
        <v>0</v>
      </c>
      <c r="G693" s="215">
        <v>0</v>
      </c>
      <c r="H693" s="215">
        <v>0</v>
      </c>
      <c r="I693" s="215">
        <v>0</v>
      </c>
      <c r="J693" s="215">
        <v>0</v>
      </c>
      <c r="K693" s="215">
        <v>0</v>
      </c>
      <c r="L693" s="215">
        <v>0</v>
      </c>
      <c r="M693" s="215">
        <v>0</v>
      </c>
      <c r="N693" s="215">
        <v>0</v>
      </c>
      <c r="O693" s="215">
        <v>0</v>
      </c>
      <c r="P693" s="215">
        <v>0</v>
      </c>
      <c r="Q693" s="215">
        <v>0</v>
      </c>
    </row>
    <row r="694" spans="2:17" x14ac:dyDescent="0.25">
      <c r="B694" s="259">
        <f t="shared" si="10"/>
        <v>0</v>
      </c>
      <c r="D694" s="2" t="s">
        <v>1533</v>
      </c>
      <c r="E694" s="215">
        <v>0</v>
      </c>
      <c r="F694" s="215">
        <v>0</v>
      </c>
      <c r="G694" s="215">
        <v>0</v>
      </c>
      <c r="H694" s="215">
        <v>0</v>
      </c>
      <c r="I694" s="215">
        <v>0</v>
      </c>
      <c r="J694" s="215">
        <v>0</v>
      </c>
      <c r="K694" s="215">
        <v>0</v>
      </c>
      <c r="L694" s="215">
        <v>0</v>
      </c>
      <c r="M694" s="215">
        <v>0</v>
      </c>
      <c r="N694" s="215">
        <v>0</v>
      </c>
      <c r="O694" s="215">
        <v>0</v>
      </c>
      <c r="P694" s="215">
        <v>0</v>
      </c>
      <c r="Q694" s="215">
        <v>0</v>
      </c>
    </row>
    <row r="695" spans="2:17" x14ac:dyDescent="0.25">
      <c r="B695" s="259">
        <f t="shared" si="10"/>
        <v>0</v>
      </c>
      <c r="D695" s="2" t="s">
        <v>1534</v>
      </c>
      <c r="E695" s="215">
        <v>0</v>
      </c>
      <c r="F695" s="215">
        <v>0</v>
      </c>
      <c r="G695" s="215">
        <v>0</v>
      </c>
      <c r="H695" s="215">
        <v>0</v>
      </c>
      <c r="I695" s="215">
        <v>0</v>
      </c>
      <c r="J695" s="215">
        <v>0</v>
      </c>
      <c r="K695" s="215">
        <v>0</v>
      </c>
      <c r="L695" s="215">
        <v>0</v>
      </c>
      <c r="M695" s="215">
        <v>0</v>
      </c>
      <c r="N695" s="215">
        <v>0</v>
      </c>
      <c r="O695" s="215">
        <v>0</v>
      </c>
      <c r="P695" s="215">
        <v>0</v>
      </c>
      <c r="Q695" s="215">
        <v>0</v>
      </c>
    </row>
    <row r="696" spans="2:17" x14ac:dyDescent="0.25">
      <c r="B696" s="259">
        <f t="shared" si="10"/>
        <v>0</v>
      </c>
      <c r="D696" s="2" t="s">
        <v>1535</v>
      </c>
      <c r="E696" s="215">
        <v>0</v>
      </c>
      <c r="F696" s="215">
        <v>0</v>
      </c>
      <c r="G696" s="215">
        <v>0</v>
      </c>
      <c r="H696" s="215">
        <v>0</v>
      </c>
      <c r="I696" s="215">
        <v>0</v>
      </c>
      <c r="J696" s="215">
        <v>0</v>
      </c>
      <c r="K696" s="215">
        <v>0</v>
      </c>
      <c r="L696" s="215">
        <v>0</v>
      </c>
      <c r="M696" s="215">
        <v>0</v>
      </c>
      <c r="N696" s="215">
        <v>0</v>
      </c>
      <c r="O696" s="215">
        <v>0</v>
      </c>
      <c r="P696" s="215">
        <v>0</v>
      </c>
      <c r="Q696" s="215">
        <v>0</v>
      </c>
    </row>
    <row r="697" spans="2:17" x14ac:dyDescent="0.25">
      <c r="B697" s="259">
        <f t="shared" si="10"/>
        <v>6530908.2299999995</v>
      </c>
      <c r="D697" s="2" t="s">
        <v>760</v>
      </c>
      <c r="E697" s="215">
        <v>0</v>
      </c>
      <c r="F697" s="215">
        <v>0</v>
      </c>
      <c r="G697" s="215">
        <v>0</v>
      </c>
      <c r="H697" s="215">
        <v>0</v>
      </c>
      <c r="I697" s="215">
        <v>0</v>
      </c>
      <c r="J697" s="215">
        <v>0</v>
      </c>
      <c r="K697" s="215">
        <v>0</v>
      </c>
      <c r="L697" s="215">
        <v>13314473.35</v>
      </c>
      <c r="M697" s="215">
        <v>13488616.84</v>
      </c>
      <c r="N697" s="215">
        <v>13514827.52</v>
      </c>
      <c r="O697" s="215">
        <v>13553752.449999999</v>
      </c>
      <c r="P697" s="215">
        <v>14668308.970000001</v>
      </c>
      <c r="Q697" s="215">
        <v>19661839.260000002</v>
      </c>
    </row>
    <row r="698" spans="2:17" x14ac:dyDescent="0.25">
      <c r="B698" s="259">
        <f t="shared" si="10"/>
        <v>0</v>
      </c>
      <c r="D698" s="2" t="s">
        <v>1123</v>
      </c>
      <c r="E698" s="215">
        <v>0</v>
      </c>
      <c r="F698" s="215">
        <v>0</v>
      </c>
      <c r="G698" s="215">
        <v>0</v>
      </c>
      <c r="H698" s="215">
        <v>0</v>
      </c>
      <c r="I698" s="215">
        <v>0</v>
      </c>
      <c r="J698" s="215">
        <v>0</v>
      </c>
      <c r="K698" s="215">
        <v>0</v>
      </c>
      <c r="L698" s="215">
        <v>0</v>
      </c>
      <c r="M698" s="215">
        <v>0</v>
      </c>
      <c r="N698" s="215">
        <v>0</v>
      </c>
      <c r="O698" s="215">
        <v>0</v>
      </c>
      <c r="P698" s="215">
        <v>0</v>
      </c>
      <c r="Q698" s="215">
        <v>0</v>
      </c>
    </row>
    <row r="699" spans="2:17" x14ac:dyDescent="0.25">
      <c r="B699" s="259">
        <f t="shared" si="10"/>
        <v>0</v>
      </c>
      <c r="D699" s="2" t="s">
        <v>1125</v>
      </c>
      <c r="E699" s="215">
        <v>0</v>
      </c>
      <c r="F699" s="215">
        <v>0</v>
      </c>
      <c r="G699" s="215">
        <v>0</v>
      </c>
      <c r="H699" s="215">
        <v>0</v>
      </c>
      <c r="I699" s="215">
        <v>0</v>
      </c>
      <c r="J699" s="215">
        <v>0</v>
      </c>
      <c r="K699" s="215">
        <v>0</v>
      </c>
      <c r="L699" s="215">
        <v>0</v>
      </c>
      <c r="M699" s="215">
        <v>0</v>
      </c>
      <c r="N699" s="215">
        <v>0</v>
      </c>
      <c r="O699" s="215">
        <v>0</v>
      </c>
      <c r="P699" s="215">
        <v>0</v>
      </c>
      <c r="Q699" s="215">
        <v>0</v>
      </c>
    </row>
    <row r="700" spans="2:17" x14ac:dyDescent="0.25">
      <c r="B700" s="259">
        <f t="shared" si="10"/>
        <v>23388.252916666668</v>
      </c>
      <c r="D700" s="2" t="s">
        <v>762</v>
      </c>
      <c r="E700" s="215">
        <v>19880.830000000005</v>
      </c>
      <c r="F700" s="215">
        <v>21037.570000000007</v>
      </c>
      <c r="G700" s="215">
        <v>21563.670000000009</v>
      </c>
      <c r="H700" s="215">
        <v>22446.970000000008</v>
      </c>
      <c r="I700" s="215">
        <v>23355.760000000009</v>
      </c>
      <c r="J700" s="215">
        <v>24308.62000000001</v>
      </c>
      <c r="K700" s="215">
        <v>24308.62000000001</v>
      </c>
      <c r="L700" s="215">
        <v>24308.62000000001</v>
      </c>
      <c r="M700" s="215">
        <v>24308.62000000001</v>
      </c>
      <c r="N700" s="215">
        <v>24308.62000000001</v>
      </c>
      <c r="O700" s="215">
        <v>24308.62000000001</v>
      </c>
      <c r="P700" s="215">
        <v>24308.62000000001</v>
      </c>
      <c r="Q700" s="215">
        <v>24308.62000000001</v>
      </c>
    </row>
    <row r="701" spans="2:17" x14ac:dyDescent="0.25">
      <c r="B701" s="259">
        <f t="shared" si="10"/>
        <v>0</v>
      </c>
      <c r="D701" s="2" t="s">
        <v>1536</v>
      </c>
      <c r="E701" s="215">
        <v>0</v>
      </c>
      <c r="F701" s="215">
        <v>0</v>
      </c>
      <c r="G701" s="215">
        <v>0</v>
      </c>
      <c r="H701" s="215">
        <v>0</v>
      </c>
      <c r="I701" s="215">
        <v>0</v>
      </c>
      <c r="J701" s="215">
        <v>0</v>
      </c>
      <c r="K701" s="215">
        <v>0</v>
      </c>
      <c r="L701" s="215">
        <v>0</v>
      </c>
      <c r="M701" s="215">
        <v>0</v>
      </c>
      <c r="N701" s="215">
        <v>0</v>
      </c>
      <c r="O701" s="215">
        <v>0</v>
      </c>
      <c r="P701" s="215">
        <v>0</v>
      </c>
      <c r="Q701" s="215">
        <v>0</v>
      </c>
    </row>
    <row r="702" spans="2:17" x14ac:dyDescent="0.25">
      <c r="B702" s="259">
        <f t="shared" si="10"/>
        <v>0</v>
      </c>
      <c r="D702" s="2" t="s">
        <v>1127</v>
      </c>
      <c r="E702" s="215">
        <v>0</v>
      </c>
      <c r="F702" s="215">
        <v>0</v>
      </c>
      <c r="G702" s="215">
        <v>0</v>
      </c>
      <c r="H702" s="215">
        <v>0</v>
      </c>
      <c r="I702" s="215">
        <v>0</v>
      </c>
      <c r="J702" s="215">
        <v>0</v>
      </c>
      <c r="K702" s="215">
        <v>0</v>
      </c>
      <c r="L702" s="215">
        <v>0</v>
      </c>
      <c r="M702" s="215">
        <v>0</v>
      </c>
      <c r="N702" s="215">
        <v>0</v>
      </c>
      <c r="O702" s="215">
        <v>0</v>
      </c>
      <c r="P702" s="215">
        <v>0</v>
      </c>
      <c r="Q702" s="215">
        <v>0</v>
      </c>
    </row>
    <row r="703" spans="2:17" x14ac:dyDescent="0.25">
      <c r="B703" s="259">
        <f t="shared" si="10"/>
        <v>127.27999999999999</v>
      </c>
      <c r="D703" s="2" t="s">
        <v>1537</v>
      </c>
      <c r="E703" s="215">
        <v>127.28000000000003</v>
      </c>
      <c r="F703" s="215">
        <v>127.28000000000003</v>
      </c>
      <c r="G703" s="215">
        <v>127.28000000000003</v>
      </c>
      <c r="H703" s="215">
        <v>127.28000000000003</v>
      </c>
      <c r="I703" s="215">
        <v>127.28000000000003</v>
      </c>
      <c r="J703" s="215">
        <v>127.28000000000003</v>
      </c>
      <c r="K703" s="215">
        <v>127.28000000000003</v>
      </c>
      <c r="L703" s="215">
        <v>127.28000000000003</v>
      </c>
      <c r="M703" s="215">
        <v>127.28000000000003</v>
      </c>
      <c r="N703" s="215">
        <v>127.28000000000003</v>
      </c>
      <c r="O703" s="215">
        <v>127.28000000000003</v>
      </c>
      <c r="P703" s="215">
        <v>127.28000000000003</v>
      </c>
      <c r="Q703" s="215">
        <v>127.28000000000003</v>
      </c>
    </row>
    <row r="704" spans="2:17" x14ac:dyDescent="0.25">
      <c r="B704" s="259">
        <f t="shared" si="10"/>
        <v>1456.58</v>
      </c>
      <c r="D704" s="2" t="s">
        <v>1538</v>
      </c>
      <c r="E704" s="215">
        <v>1456.58</v>
      </c>
      <c r="F704" s="215">
        <v>1456.58</v>
      </c>
      <c r="G704" s="215">
        <v>1456.58</v>
      </c>
      <c r="H704" s="215">
        <v>1456.58</v>
      </c>
      <c r="I704" s="215">
        <v>1456.58</v>
      </c>
      <c r="J704" s="215">
        <v>1456.58</v>
      </c>
      <c r="K704" s="215">
        <v>1456.58</v>
      </c>
      <c r="L704" s="215">
        <v>1456.58</v>
      </c>
      <c r="M704" s="215">
        <v>1456.58</v>
      </c>
      <c r="N704" s="215">
        <v>1456.58</v>
      </c>
      <c r="O704" s="215">
        <v>1456.58</v>
      </c>
      <c r="P704" s="215">
        <v>1456.58</v>
      </c>
      <c r="Q704" s="215">
        <v>1456.58</v>
      </c>
    </row>
    <row r="705" spans="2:17" x14ac:dyDescent="0.25">
      <c r="B705" s="259">
        <f t="shared" si="10"/>
        <v>283017.96999999991</v>
      </c>
      <c r="D705" s="2" t="s">
        <v>1539</v>
      </c>
      <c r="E705" s="215">
        <v>283017.96999999997</v>
      </c>
      <c r="F705" s="215">
        <v>283017.96999999997</v>
      </c>
      <c r="G705" s="215">
        <v>283017.96999999997</v>
      </c>
      <c r="H705" s="215">
        <v>283017.96999999997</v>
      </c>
      <c r="I705" s="215">
        <v>283017.96999999997</v>
      </c>
      <c r="J705" s="215">
        <v>283017.96999999997</v>
      </c>
      <c r="K705" s="215">
        <v>283017.96999999997</v>
      </c>
      <c r="L705" s="215">
        <v>283017.96999999997</v>
      </c>
      <c r="M705" s="215">
        <v>283017.96999999997</v>
      </c>
      <c r="N705" s="215">
        <v>283017.96999999997</v>
      </c>
      <c r="O705" s="215">
        <v>283017.96999999997</v>
      </c>
      <c r="P705" s="215">
        <v>283017.96999999997</v>
      </c>
      <c r="Q705" s="215">
        <v>283017.96999999997</v>
      </c>
    </row>
    <row r="706" spans="2:17" x14ac:dyDescent="0.25">
      <c r="B706" s="259">
        <f t="shared" si="10"/>
        <v>0</v>
      </c>
      <c r="D706" s="2" t="s">
        <v>1540</v>
      </c>
      <c r="E706" s="215">
        <v>0</v>
      </c>
      <c r="F706" s="215">
        <v>0</v>
      </c>
      <c r="G706" s="215">
        <v>0</v>
      </c>
      <c r="H706" s="215">
        <v>0</v>
      </c>
      <c r="I706" s="215">
        <v>0</v>
      </c>
      <c r="J706" s="215">
        <v>0</v>
      </c>
      <c r="K706" s="215">
        <v>0</v>
      </c>
      <c r="L706" s="215">
        <v>0</v>
      </c>
      <c r="M706" s="215">
        <v>0</v>
      </c>
      <c r="N706" s="215">
        <v>0</v>
      </c>
      <c r="O706" s="215">
        <v>0</v>
      </c>
      <c r="P706" s="215">
        <v>0</v>
      </c>
      <c r="Q706" s="215">
        <v>0</v>
      </c>
    </row>
    <row r="707" spans="2:17" x14ac:dyDescent="0.25">
      <c r="B707" s="259">
        <f t="shared" si="10"/>
        <v>0</v>
      </c>
      <c r="D707" s="2" t="s">
        <v>764</v>
      </c>
      <c r="E707" s="215">
        <v>0</v>
      </c>
      <c r="F707" s="215">
        <v>0</v>
      </c>
      <c r="G707" s="215">
        <v>0</v>
      </c>
      <c r="H707" s="215">
        <v>0</v>
      </c>
      <c r="I707" s="215">
        <v>0</v>
      </c>
      <c r="J707" s="215">
        <v>0</v>
      </c>
      <c r="K707" s="215">
        <v>0</v>
      </c>
      <c r="L707" s="215">
        <v>0</v>
      </c>
      <c r="M707" s="215">
        <v>0</v>
      </c>
      <c r="N707" s="215">
        <v>0</v>
      </c>
      <c r="O707" s="215">
        <v>0</v>
      </c>
      <c r="P707" s="215">
        <v>0</v>
      </c>
      <c r="Q707" s="215">
        <v>0</v>
      </c>
    </row>
    <row r="708" spans="2:17" x14ac:dyDescent="0.25">
      <c r="B708" s="259">
        <f t="shared" si="10"/>
        <v>8279.9900000000034</v>
      </c>
      <c r="D708" s="2" t="s">
        <v>1541</v>
      </c>
      <c r="E708" s="215">
        <v>8279.9900000000016</v>
      </c>
      <c r="F708" s="215">
        <v>8279.9900000000016</v>
      </c>
      <c r="G708" s="215">
        <v>8279.9900000000016</v>
      </c>
      <c r="H708" s="215">
        <v>8279.9900000000016</v>
      </c>
      <c r="I708" s="215">
        <v>8279.9900000000016</v>
      </c>
      <c r="J708" s="215">
        <v>8279.9900000000016</v>
      </c>
      <c r="K708" s="215">
        <v>8279.9900000000016</v>
      </c>
      <c r="L708" s="215">
        <v>8279.9900000000016</v>
      </c>
      <c r="M708" s="215">
        <v>8279.9900000000016</v>
      </c>
      <c r="N708" s="215">
        <v>8279.9900000000016</v>
      </c>
      <c r="O708" s="215">
        <v>8279.9900000000016</v>
      </c>
      <c r="P708" s="215">
        <v>8279.9900000000016</v>
      </c>
      <c r="Q708" s="215">
        <v>8279.9900000000016</v>
      </c>
    </row>
    <row r="709" spans="2:17" x14ac:dyDescent="0.25">
      <c r="B709" s="259">
        <f t="shared" si="10"/>
        <v>105740.5</v>
      </c>
      <c r="D709" s="2" t="s">
        <v>766</v>
      </c>
      <c r="E709" s="215">
        <v>105740.5</v>
      </c>
      <c r="F709" s="215">
        <v>105740.5</v>
      </c>
      <c r="G709" s="215">
        <v>105740.5</v>
      </c>
      <c r="H709" s="215">
        <v>105740.5</v>
      </c>
      <c r="I709" s="215">
        <v>105740.5</v>
      </c>
      <c r="J709" s="215">
        <v>105740.5</v>
      </c>
      <c r="K709" s="215">
        <v>105740.5</v>
      </c>
      <c r="L709" s="215">
        <v>105740.5</v>
      </c>
      <c r="M709" s="215">
        <v>105740.5</v>
      </c>
      <c r="N709" s="215">
        <v>105740.5</v>
      </c>
      <c r="O709" s="215">
        <v>105740.5</v>
      </c>
      <c r="P709" s="215">
        <v>105740.5</v>
      </c>
      <c r="Q709" s="215">
        <v>105740.5</v>
      </c>
    </row>
    <row r="710" spans="2:17" x14ac:dyDescent="0.25">
      <c r="B710" s="259">
        <f t="shared" si="10"/>
        <v>0</v>
      </c>
      <c r="D710" s="2" t="s">
        <v>1542</v>
      </c>
      <c r="E710" s="215">
        <v>0</v>
      </c>
      <c r="F710" s="215">
        <v>0</v>
      </c>
      <c r="G710" s="215">
        <v>0</v>
      </c>
      <c r="H710" s="215">
        <v>0</v>
      </c>
      <c r="I710" s="215">
        <v>0</v>
      </c>
      <c r="J710" s="215">
        <v>0</v>
      </c>
      <c r="K710" s="215">
        <v>0</v>
      </c>
      <c r="L710" s="215">
        <v>0</v>
      </c>
      <c r="M710" s="215">
        <v>0</v>
      </c>
      <c r="N710" s="215">
        <v>0</v>
      </c>
      <c r="O710" s="215">
        <v>0</v>
      </c>
      <c r="P710" s="215">
        <v>0</v>
      </c>
      <c r="Q710" s="215">
        <v>0</v>
      </c>
    </row>
    <row r="711" spans="2:17" x14ac:dyDescent="0.25">
      <c r="B711" s="259">
        <f t="shared" ref="B711:B747" si="11">(E711+Q711+SUM(F711:P711)*2)/24</f>
        <v>382804.91000000009</v>
      </c>
      <c r="D711" s="2" t="s">
        <v>768</v>
      </c>
      <c r="E711" s="215">
        <v>382804.91000000003</v>
      </c>
      <c r="F711" s="215">
        <v>382804.91000000003</v>
      </c>
      <c r="G711" s="215">
        <v>382804.91000000003</v>
      </c>
      <c r="H711" s="215">
        <v>382804.91000000003</v>
      </c>
      <c r="I711" s="215">
        <v>382804.91000000003</v>
      </c>
      <c r="J711" s="215">
        <v>382804.91000000003</v>
      </c>
      <c r="K711" s="215">
        <v>382804.91000000003</v>
      </c>
      <c r="L711" s="215">
        <v>382804.91000000003</v>
      </c>
      <c r="M711" s="215">
        <v>382804.91000000003</v>
      </c>
      <c r="N711" s="215">
        <v>382804.91000000003</v>
      </c>
      <c r="O711" s="215">
        <v>382804.91000000003</v>
      </c>
      <c r="P711" s="215">
        <v>382804.91000000003</v>
      </c>
      <c r="Q711" s="215">
        <v>382804.91000000003</v>
      </c>
    </row>
    <row r="712" spans="2:17" x14ac:dyDescent="0.25">
      <c r="B712" s="259">
        <f t="shared" si="11"/>
        <v>277146.53916666668</v>
      </c>
      <c r="D712" s="2" t="s">
        <v>804</v>
      </c>
      <c r="E712" s="215">
        <v>0</v>
      </c>
      <c r="F712" s="215">
        <v>0</v>
      </c>
      <c r="G712" s="215">
        <v>0</v>
      </c>
      <c r="H712" s="215">
        <v>0</v>
      </c>
      <c r="I712" s="215">
        <v>11651.21</v>
      </c>
      <c r="J712" s="215">
        <v>24415.46</v>
      </c>
      <c r="K712" s="215">
        <v>187457.24</v>
      </c>
      <c r="L712" s="215">
        <v>280511.38</v>
      </c>
      <c r="M712" s="215">
        <v>433390.77</v>
      </c>
      <c r="N712" s="215">
        <v>500640.77999999997</v>
      </c>
      <c r="O712" s="215">
        <v>607720.55000000005</v>
      </c>
      <c r="P712" s="215">
        <v>781840.14</v>
      </c>
      <c r="Q712" s="215">
        <v>996261.87999999989</v>
      </c>
    </row>
    <row r="713" spans="2:17" x14ac:dyDescent="0.25">
      <c r="B713" s="259">
        <f t="shared" si="11"/>
        <v>2061746.6195833336</v>
      </c>
      <c r="D713" s="2" t="s">
        <v>961</v>
      </c>
      <c r="E713" s="215">
        <v>1294239.2399999998</v>
      </c>
      <c r="F713" s="215">
        <v>1317613.3699999996</v>
      </c>
      <c r="G713" s="215">
        <v>1331579.3699999996</v>
      </c>
      <c r="H713" s="215">
        <v>1461063.6799999997</v>
      </c>
      <c r="I713" s="215">
        <v>1932031.2899999996</v>
      </c>
      <c r="J713" s="215">
        <v>1939093.8599999996</v>
      </c>
      <c r="K713" s="215">
        <v>2157262.4599999995</v>
      </c>
      <c r="L713" s="215">
        <v>2530179.7299999995</v>
      </c>
      <c r="M713" s="215">
        <v>2534783.58</v>
      </c>
      <c r="N713" s="215">
        <v>2537250.77</v>
      </c>
      <c r="O713" s="215">
        <v>2539516.8699999996</v>
      </c>
      <c r="P713" s="215">
        <v>2540377.7599999998</v>
      </c>
      <c r="Q713" s="215">
        <v>2546174.15</v>
      </c>
    </row>
    <row r="714" spans="2:17" x14ac:dyDescent="0.25">
      <c r="B714" s="259">
        <f t="shared" si="11"/>
        <v>0</v>
      </c>
      <c r="D714" s="2" t="s">
        <v>1543</v>
      </c>
      <c r="E714" s="215">
        <v>0</v>
      </c>
      <c r="F714" s="215">
        <v>0</v>
      </c>
      <c r="G714" s="215">
        <v>0</v>
      </c>
      <c r="H714" s="215">
        <v>0</v>
      </c>
      <c r="I714" s="215">
        <v>0</v>
      </c>
      <c r="J714" s="215">
        <v>0</v>
      </c>
      <c r="K714" s="215">
        <v>0</v>
      </c>
      <c r="L714" s="215">
        <v>0</v>
      </c>
      <c r="M714" s="215">
        <v>0</v>
      </c>
      <c r="N714" s="215">
        <v>0</v>
      </c>
      <c r="O714" s="215">
        <v>0</v>
      </c>
      <c r="P714" s="215">
        <v>0</v>
      </c>
      <c r="Q714" s="215">
        <v>0</v>
      </c>
    </row>
    <row r="715" spans="2:17" x14ac:dyDescent="0.25">
      <c r="B715" s="259">
        <f t="shared" si="11"/>
        <v>0</v>
      </c>
      <c r="D715" s="2" t="s">
        <v>790</v>
      </c>
      <c r="E715" s="215">
        <v>0</v>
      </c>
      <c r="F715" s="215">
        <v>0</v>
      </c>
      <c r="G715" s="215">
        <v>0</v>
      </c>
      <c r="H715" s="215">
        <v>0</v>
      </c>
      <c r="I715" s="215">
        <v>0</v>
      </c>
      <c r="J715" s="215">
        <v>0</v>
      </c>
      <c r="K715" s="215">
        <v>0</v>
      </c>
      <c r="L715" s="215">
        <v>0</v>
      </c>
      <c r="M715" s="215">
        <v>0</v>
      </c>
      <c r="N715" s="215">
        <v>0</v>
      </c>
      <c r="O715" s="215">
        <v>0</v>
      </c>
      <c r="P715" s="215">
        <v>0</v>
      </c>
      <c r="Q715" s="215">
        <v>0</v>
      </c>
    </row>
    <row r="716" spans="2:17" x14ac:dyDescent="0.25">
      <c r="B716" s="259">
        <f t="shared" si="11"/>
        <v>0</v>
      </c>
      <c r="D716" s="2" t="s">
        <v>802</v>
      </c>
      <c r="E716" s="215">
        <v>0</v>
      </c>
      <c r="F716" s="215">
        <v>0</v>
      </c>
      <c r="G716" s="215">
        <v>0</v>
      </c>
      <c r="H716" s="215">
        <v>0</v>
      </c>
      <c r="I716" s="215">
        <v>0</v>
      </c>
      <c r="J716" s="215">
        <v>0</v>
      </c>
      <c r="K716" s="215">
        <v>0</v>
      </c>
      <c r="L716" s="215">
        <v>0</v>
      </c>
      <c r="M716" s="215">
        <v>0</v>
      </c>
      <c r="N716" s="215">
        <v>0</v>
      </c>
      <c r="O716" s="215">
        <v>0</v>
      </c>
      <c r="P716" s="215">
        <v>0</v>
      </c>
      <c r="Q716" s="215">
        <v>0</v>
      </c>
    </row>
    <row r="717" spans="2:17" x14ac:dyDescent="0.25">
      <c r="B717" s="259">
        <f t="shared" si="11"/>
        <v>7396.5558333333356</v>
      </c>
      <c r="D717" s="2" t="s">
        <v>1069</v>
      </c>
      <c r="E717" s="215">
        <v>0</v>
      </c>
      <c r="F717" s="215">
        <v>0</v>
      </c>
      <c r="G717" s="215">
        <v>0</v>
      </c>
      <c r="H717" s="215">
        <v>851.63000000000011</v>
      </c>
      <c r="I717" s="215">
        <v>9646.3100000000013</v>
      </c>
      <c r="J717" s="215">
        <v>9646.3100000000013</v>
      </c>
      <c r="K717" s="215">
        <v>10290.620000000001</v>
      </c>
      <c r="L717" s="215">
        <v>10290.620000000001</v>
      </c>
      <c r="M717" s="215">
        <v>10674.04</v>
      </c>
      <c r="N717" s="215">
        <v>10674.04</v>
      </c>
      <c r="O717" s="215">
        <v>10674.04</v>
      </c>
      <c r="P717" s="215">
        <v>10674.04</v>
      </c>
      <c r="Q717" s="215">
        <v>10674.04</v>
      </c>
    </row>
    <row r="718" spans="2:17" x14ac:dyDescent="0.25">
      <c r="B718" s="259">
        <f t="shared" si="11"/>
        <v>0</v>
      </c>
      <c r="D718" s="2" t="s">
        <v>1544</v>
      </c>
      <c r="E718" s="215">
        <v>0</v>
      </c>
      <c r="F718" s="215">
        <v>0</v>
      </c>
      <c r="G718" s="215">
        <v>0</v>
      </c>
      <c r="H718" s="215">
        <v>0</v>
      </c>
      <c r="I718" s="215">
        <v>0</v>
      </c>
      <c r="J718" s="215">
        <v>0</v>
      </c>
      <c r="K718" s="215">
        <v>0</v>
      </c>
      <c r="L718" s="215">
        <v>0</v>
      </c>
      <c r="M718" s="215">
        <v>0</v>
      </c>
      <c r="N718" s="215">
        <v>0</v>
      </c>
      <c r="O718" s="215">
        <v>0</v>
      </c>
      <c r="P718" s="215">
        <v>0</v>
      </c>
      <c r="Q718" s="215">
        <v>0</v>
      </c>
    </row>
    <row r="719" spans="2:17" x14ac:dyDescent="0.25">
      <c r="B719" s="259">
        <f t="shared" si="11"/>
        <v>43706.510833333334</v>
      </c>
      <c r="D719" s="2" t="s">
        <v>963</v>
      </c>
      <c r="E719" s="215">
        <v>0</v>
      </c>
      <c r="F719" s="215">
        <v>0</v>
      </c>
      <c r="G719" s="215">
        <v>0</v>
      </c>
      <c r="H719" s="215">
        <v>0</v>
      </c>
      <c r="I719" s="215">
        <v>0</v>
      </c>
      <c r="J719" s="215">
        <v>0</v>
      </c>
      <c r="K719" s="215">
        <v>0</v>
      </c>
      <c r="L719" s="215">
        <v>0</v>
      </c>
      <c r="M719" s="215">
        <v>3046.2999999999997</v>
      </c>
      <c r="N719" s="215">
        <v>3046.2999999999997</v>
      </c>
      <c r="O719" s="215">
        <v>3046.2999999999997</v>
      </c>
      <c r="P719" s="215">
        <v>3046.2999999999997</v>
      </c>
      <c r="Q719" s="215">
        <v>1024585.86</v>
      </c>
    </row>
    <row r="720" spans="2:17" x14ac:dyDescent="0.25">
      <c r="B720" s="259">
        <f t="shared" si="11"/>
        <v>506294.4120833333</v>
      </c>
      <c r="D720" s="2" t="s">
        <v>771</v>
      </c>
      <c r="E720" s="215">
        <v>458640.08999999991</v>
      </c>
      <c r="F720" s="215">
        <v>467422.1</v>
      </c>
      <c r="G720" s="215">
        <v>467893.17999999993</v>
      </c>
      <c r="H720" s="215">
        <v>479366.3899999999</v>
      </c>
      <c r="I720" s="215">
        <v>488196.73999999987</v>
      </c>
      <c r="J720" s="215">
        <v>489189.99999999988</v>
      </c>
      <c r="K720" s="215">
        <v>489189.99999999988</v>
      </c>
      <c r="L720" s="215">
        <v>519311.08999999991</v>
      </c>
      <c r="M720" s="215">
        <v>534149.28999999992</v>
      </c>
      <c r="N720" s="215">
        <v>545076.19999999995</v>
      </c>
      <c r="O720" s="215">
        <v>545076.19999999995</v>
      </c>
      <c r="P720" s="215">
        <v>546327.39</v>
      </c>
      <c r="Q720" s="215">
        <v>550028.6399999999</v>
      </c>
    </row>
    <row r="721" spans="2:17" x14ac:dyDescent="0.25">
      <c r="B721" s="259">
        <f t="shared" si="11"/>
        <v>0</v>
      </c>
      <c r="D721" s="2" t="s">
        <v>1545</v>
      </c>
      <c r="E721" s="215">
        <v>0</v>
      </c>
      <c r="F721" s="215">
        <v>0</v>
      </c>
      <c r="G721" s="215">
        <v>0</v>
      </c>
      <c r="H721" s="215">
        <v>0</v>
      </c>
      <c r="I721" s="215">
        <v>0</v>
      </c>
      <c r="J721" s="215">
        <v>0</v>
      </c>
      <c r="K721" s="215">
        <v>0</v>
      </c>
      <c r="L721" s="215">
        <v>0</v>
      </c>
      <c r="M721" s="215">
        <v>0</v>
      </c>
      <c r="N721" s="215">
        <v>0</v>
      </c>
      <c r="O721" s="215">
        <v>0</v>
      </c>
      <c r="P721" s="215">
        <v>0</v>
      </c>
      <c r="Q721" s="215">
        <v>0</v>
      </c>
    </row>
    <row r="722" spans="2:17" x14ac:dyDescent="0.25">
      <c r="B722" s="259">
        <f t="shared" si="11"/>
        <v>0</v>
      </c>
      <c r="D722" s="2" t="s">
        <v>1546</v>
      </c>
      <c r="E722" s="215">
        <v>0</v>
      </c>
      <c r="F722" s="215">
        <v>0</v>
      </c>
      <c r="G722" s="215">
        <v>0</v>
      </c>
      <c r="H722" s="215">
        <v>0</v>
      </c>
      <c r="I722" s="215">
        <v>0</v>
      </c>
      <c r="J722" s="215">
        <v>0</v>
      </c>
      <c r="K722" s="215">
        <v>0</v>
      </c>
      <c r="L722" s="215">
        <v>0</v>
      </c>
      <c r="M722" s="215">
        <v>0</v>
      </c>
      <c r="N722" s="215">
        <v>0</v>
      </c>
      <c r="O722" s="215">
        <v>0</v>
      </c>
      <c r="P722" s="215">
        <v>0</v>
      </c>
      <c r="Q722" s="215">
        <v>0</v>
      </c>
    </row>
    <row r="723" spans="2:17" x14ac:dyDescent="0.25">
      <c r="B723" s="259">
        <f t="shared" si="11"/>
        <v>0</v>
      </c>
      <c r="D723" s="2" t="s">
        <v>1547</v>
      </c>
      <c r="E723" s="215">
        <v>0</v>
      </c>
      <c r="F723" s="215">
        <v>0</v>
      </c>
      <c r="G723" s="215">
        <v>0</v>
      </c>
      <c r="H723" s="215">
        <v>0</v>
      </c>
      <c r="I723" s="215">
        <v>0</v>
      </c>
      <c r="J723" s="215">
        <v>0</v>
      </c>
      <c r="K723" s="215">
        <v>0</v>
      </c>
      <c r="L723" s="215">
        <v>0</v>
      </c>
      <c r="M723" s="215">
        <v>0</v>
      </c>
      <c r="N723" s="215">
        <v>0</v>
      </c>
      <c r="O723" s="215">
        <v>0</v>
      </c>
      <c r="P723" s="215">
        <v>0</v>
      </c>
      <c r="Q723" s="215">
        <v>0</v>
      </c>
    </row>
    <row r="724" spans="2:17" x14ac:dyDescent="0.25">
      <c r="B724" s="259">
        <f t="shared" si="11"/>
        <v>0</v>
      </c>
      <c r="D724" s="2" t="s">
        <v>1548</v>
      </c>
      <c r="E724" s="215">
        <v>0</v>
      </c>
      <c r="F724" s="215">
        <v>0</v>
      </c>
      <c r="G724" s="215">
        <v>0</v>
      </c>
      <c r="H724" s="215">
        <v>0</v>
      </c>
      <c r="I724" s="215">
        <v>0</v>
      </c>
      <c r="J724" s="215">
        <v>0</v>
      </c>
      <c r="K724" s="215">
        <v>0</v>
      </c>
      <c r="L724" s="215">
        <v>0</v>
      </c>
      <c r="M724" s="215">
        <v>0</v>
      </c>
      <c r="N724" s="215">
        <v>0</v>
      </c>
      <c r="O724" s="215">
        <v>0</v>
      </c>
      <c r="P724" s="215">
        <v>0</v>
      </c>
      <c r="Q724" s="215">
        <v>0</v>
      </c>
    </row>
    <row r="725" spans="2:17" x14ac:dyDescent="0.25">
      <c r="B725" s="259">
        <f t="shared" si="11"/>
        <v>0</v>
      </c>
      <c r="D725" s="2" t="s">
        <v>1549</v>
      </c>
      <c r="E725" s="215">
        <v>0</v>
      </c>
      <c r="F725" s="215">
        <v>0</v>
      </c>
      <c r="G725" s="215">
        <v>0</v>
      </c>
      <c r="H725" s="215">
        <v>0</v>
      </c>
      <c r="I725" s="215">
        <v>0</v>
      </c>
      <c r="J725" s="215">
        <v>0</v>
      </c>
      <c r="K725" s="215">
        <v>0</v>
      </c>
      <c r="L725" s="215">
        <v>0</v>
      </c>
      <c r="M725" s="215">
        <v>0</v>
      </c>
      <c r="N725" s="215">
        <v>0</v>
      </c>
      <c r="O725" s="215">
        <v>0</v>
      </c>
      <c r="P725" s="215">
        <v>0</v>
      </c>
      <c r="Q725" s="215">
        <v>0</v>
      </c>
    </row>
    <row r="726" spans="2:17" x14ac:dyDescent="0.25">
      <c r="B726" s="259">
        <f t="shared" si="11"/>
        <v>0</v>
      </c>
      <c r="D726" s="2" t="s">
        <v>1550</v>
      </c>
      <c r="E726" s="215">
        <v>0</v>
      </c>
      <c r="F726" s="215">
        <v>0</v>
      </c>
      <c r="G726" s="215">
        <v>0</v>
      </c>
      <c r="H726" s="215">
        <v>0</v>
      </c>
      <c r="I726" s="215">
        <v>0</v>
      </c>
      <c r="J726" s="215">
        <v>0</v>
      </c>
      <c r="K726" s="215">
        <v>0</v>
      </c>
      <c r="L726" s="215">
        <v>0</v>
      </c>
      <c r="M726" s="215">
        <v>0</v>
      </c>
      <c r="N726" s="215">
        <v>0</v>
      </c>
      <c r="O726" s="215">
        <v>0</v>
      </c>
      <c r="P726" s="215">
        <v>0</v>
      </c>
      <c r="Q726" s="215">
        <v>0</v>
      </c>
    </row>
    <row r="727" spans="2:17" x14ac:dyDescent="0.25">
      <c r="B727" s="259">
        <f t="shared" si="11"/>
        <v>0</v>
      </c>
      <c r="D727" s="2" t="s">
        <v>1551</v>
      </c>
      <c r="E727" s="215">
        <v>0</v>
      </c>
      <c r="F727" s="215">
        <v>0</v>
      </c>
      <c r="G727" s="215">
        <v>0</v>
      </c>
      <c r="H727" s="215">
        <v>0</v>
      </c>
      <c r="I727" s="215">
        <v>0</v>
      </c>
      <c r="J727" s="215">
        <v>0</v>
      </c>
      <c r="K727" s="215">
        <v>0</v>
      </c>
      <c r="L727" s="215">
        <v>0</v>
      </c>
      <c r="M727" s="215">
        <v>0</v>
      </c>
      <c r="N727" s="215">
        <v>0</v>
      </c>
      <c r="O727" s="215">
        <v>0</v>
      </c>
      <c r="P727" s="215">
        <v>0</v>
      </c>
      <c r="Q727" s="215">
        <v>0</v>
      </c>
    </row>
    <row r="728" spans="2:17" x14ac:dyDescent="0.25">
      <c r="B728" s="259">
        <f t="shared" si="11"/>
        <v>0</v>
      </c>
      <c r="D728" s="2" t="s">
        <v>1552</v>
      </c>
      <c r="E728" s="215">
        <v>0</v>
      </c>
      <c r="F728" s="215">
        <v>0</v>
      </c>
      <c r="G728" s="215">
        <v>0</v>
      </c>
      <c r="H728" s="215">
        <v>0</v>
      </c>
      <c r="I728" s="215">
        <v>0</v>
      </c>
      <c r="J728" s="215">
        <v>0</v>
      </c>
      <c r="K728" s="215">
        <v>0</v>
      </c>
      <c r="L728" s="215">
        <v>0</v>
      </c>
      <c r="M728" s="215">
        <v>0</v>
      </c>
      <c r="N728" s="215">
        <v>0</v>
      </c>
      <c r="O728" s="215">
        <v>0</v>
      </c>
      <c r="P728" s="215">
        <v>0</v>
      </c>
      <c r="Q728" s="215">
        <v>0</v>
      </c>
    </row>
    <row r="729" spans="2:17" x14ac:dyDescent="0.25">
      <c r="B729" s="259">
        <f t="shared" si="11"/>
        <v>0</v>
      </c>
      <c r="D729" s="2" t="s">
        <v>1553</v>
      </c>
      <c r="E729" s="215">
        <v>0</v>
      </c>
      <c r="F729" s="215">
        <v>0</v>
      </c>
      <c r="G729" s="215">
        <v>0</v>
      </c>
      <c r="H729" s="215">
        <v>0</v>
      </c>
      <c r="I729" s="215">
        <v>0</v>
      </c>
      <c r="J729" s="215">
        <v>0</v>
      </c>
      <c r="K729" s="215">
        <v>0</v>
      </c>
      <c r="L729" s="215">
        <v>0</v>
      </c>
      <c r="M729" s="215">
        <v>0</v>
      </c>
      <c r="N729" s="215">
        <v>0</v>
      </c>
      <c r="O729" s="215">
        <v>0</v>
      </c>
      <c r="P729" s="215">
        <v>0</v>
      </c>
      <c r="Q729" s="215">
        <v>0</v>
      </c>
    </row>
    <row r="730" spans="2:17" x14ac:dyDescent="0.25">
      <c r="B730" s="259">
        <f t="shared" si="11"/>
        <v>0</v>
      </c>
      <c r="D730" s="2" t="s">
        <v>1554</v>
      </c>
      <c r="E730" s="215">
        <v>0</v>
      </c>
      <c r="F730" s="215">
        <v>0</v>
      </c>
      <c r="G730" s="215">
        <v>0</v>
      </c>
      <c r="H730" s="215">
        <v>0</v>
      </c>
      <c r="I730" s="215">
        <v>0</v>
      </c>
      <c r="J730" s="215">
        <v>0</v>
      </c>
      <c r="K730" s="215">
        <v>0</v>
      </c>
      <c r="L730" s="215">
        <v>0</v>
      </c>
      <c r="M730" s="215">
        <v>0</v>
      </c>
      <c r="N730" s="215">
        <v>0</v>
      </c>
      <c r="O730" s="215">
        <v>0</v>
      </c>
      <c r="P730" s="215">
        <v>0</v>
      </c>
      <c r="Q730" s="215">
        <v>0</v>
      </c>
    </row>
    <row r="731" spans="2:17" x14ac:dyDescent="0.25">
      <c r="B731" s="259">
        <f t="shared" si="11"/>
        <v>0</v>
      </c>
      <c r="D731" s="2" t="s">
        <v>1555</v>
      </c>
      <c r="E731" s="215">
        <v>0</v>
      </c>
      <c r="F731" s="215">
        <v>0</v>
      </c>
      <c r="G731" s="215">
        <v>0</v>
      </c>
      <c r="H731" s="215">
        <v>0</v>
      </c>
      <c r="I731" s="215">
        <v>0</v>
      </c>
      <c r="J731" s="215">
        <v>0</v>
      </c>
      <c r="K731" s="215">
        <v>0</v>
      </c>
      <c r="L731" s="215">
        <v>0</v>
      </c>
      <c r="M731" s="215">
        <v>0</v>
      </c>
      <c r="N731" s="215">
        <v>0</v>
      </c>
      <c r="O731" s="215">
        <v>0</v>
      </c>
      <c r="P731" s="215">
        <v>0</v>
      </c>
      <c r="Q731" s="215">
        <v>0</v>
      </c>
    </row>
    <row r="732" spans="2:17" x14ac:dyDescent="0.25">
      <c r="B732" s="259">
        <f t="shared" si="11"/>
        <v>0</v>
      </c>
      <c r="D732" s="2" t="s">
        <v>1556</v>
      </c>
      <c r="E732" s="215">
        <v>0</v>
      </c>
      <c r="F732" s="215">
        <v>0</v>
      </c>
      <c r="G732" s="215">
        <v>0</v>
      </c>
      <c r="H732" s="215">
        <v>0</v>
      </c>
      <c r="I732" s="215">
        <v>0</v>
      </c>
      <c r="J732" s="215">
        <v>0</v>
      </c>
      <c r="K732" s="215">
        <v>0</v>
      </c>
      <c r="L732" s="215">
        <v>0</v>
      </c>
      <c r="M732" s="215">
        <v>0</v>
      </c>
      <c r="N732" s="215">
        <v>0</v>
      </c>
      <c r="O732" s="215">
        <v>0</v>
      </c>
      <c r="P732" s="215">
        <v>0</v>
      </c>
      <c r="Q732" s="215">
        <v>0</v>
      </c>
    </row>
    <row r="733" spans="2:17" x14ac:dyDescent="0.25">
      <c r="B733" s="259">
        <f t="shared" si="11"/>
        <v>0</v>
      </c>
      <c r="D733" s="2" t="s">
        <v>1557</v>
      </c>
      <c r="E733" s="215">
        <v>0</v>
      </c>
      <c r="F733" s="215">
        <v>0</v>
      </c>
      <c r="G733" s="215">
        <v>0</v>
      </c>
      <c r="H733" s="215">
        <v>0</v>
      </c>
      <c r="I733" s="215">
        <v>0</v>
      </c>
      <c r="J733" s="215">
        <v>0</v>
      </c>
      <c r="K733" s="215">
        <v>0</v>
      </c>
      <c r="L733" s="215">
        <v>0</v>
      </c>
      <c r="M733" s="215">
        <v>0</v>
      </c>
      <c r="N733" s="215">
        <v>0</v>
      </c>
      <c r="O733" s="215">
        <v>0</v>
      </c>
      <c r="P733" s="215">
        <v>0</v>
      </c>
      <c r="Q733" s="215">
        <v>0</v>
      </c>
    </row>
    <row r="734" spans="2:17" x14ac:dyDescent="0.25">
      <c r="B734" s="259">
        <f t="shared" si="11"/>
        <v>3767378.2733333334</v>
      </c>
      <c r="D734" s="2" t="s">
        <v>773</v>
      </c>
      <c r="E734" s="215">
        <v>2296489.86</v>
      </c>
      <c r="F734" s="215">
        <v>2352050.7000000002</v>
      </c>
      <c r="G734" s="215">
        <v>2951865.53</v>
      </c>
      <c r="H734" s="215">
        <v>2984045.3000000003</v>
      </c>
      <c r="I734" s="215">
        <v>3287597.0799999996</v>
      </c>
      <c r="J734" s="215">
        <v>4016902.7299999995</v>
      </c>
      <c r="K734" s="215">
        <v>3850723.4099999997</v>
      </c>
      <c r="L734" s="215">
        <v>3795630.1799999997</v>
      </c>
      <c r="M734" s="215">
        <v>3997751.2899999996</v>
      </c>
      <c r="N734" s="215">
        <v>4625776.3899999997</v>
      </c>
      <c r="O734" s="215">
        <v>4661190.0599999996</v>
      </c>
      <c r="P734" s="215">
        <v>5002854.5599999996</v>
      </c>
      <c r="Q734" s="215">
        <v>5067814.2399999993</v>
      </c>
    </row>
    <row r="735" spans="2:17" x14ac:dyDescent="0.25">
      <c r="B735" s="259">
        <f t="shared" si="11"/>
        <v>1499830.2241666664</v>
      </c>
      <c r="D735" s="2" t="s">
        <v>775</v>
      </c>
      <c r="E735" s="215">
        <v>1336724.8999999999</v>
      </c>
      <c r="F735" s="215">
        <v>1359015.3199999998</v>
      </c>
      <c r="G735" s="215">
        <v>1387051.18</v>
      </c>
      <c r="H735" s="215">
        <v>1392918.77</v>
      </c>
      <c r="I735" s="215">
        <v>1408128.1599999997</v>
      </c>
      <c r="J735" s="215">
        <v>1420512.5</v>
      </c>
      <c r="K735" s="215">
        <v>1435589.02</v>
      </c>
      <c r="L735" s="215">
        <v>1443873.07</v>
      </c>
      <c r="M735" s="215">
        <v>1467330.5999999999</v>
      </c>
      <c r="N735" s="215">
        <v>1473053.19</v>
      </c>
      <c r="O735" s="215">
        <v>1482191.1600000001</v>
      </c>
      <c r="P735" s="215">
        <v>1484925.7700000003</v>
      </c>
      <c r="Q735" s="215">
        <v>3150023.0000000005</v>
      </c>
    </row>
    <row r="736" spans="2:17" x14ac:dyDescent="0.25">
      <c r="B736" s="259">
        <f t="shared" si="11"/>
        <v>3346338.7329166676</v>
      </c>
      <c r="D736" s="2" t="s">
        <v>777</v>
      </c>
      <c r="E736" s="215">
        <v>1617272.27</v>
      </c>
      <c r="F736" s="215">
        <v>2483014.1700000004</v>
      </c>
      <c r="G736" s="215">
        <v>2706420.9600000004</v>
      </c>
      <c r="H736" s="215">
        <v>2800688.8800000004</v>
      </c>
      <c r="I736" s="215">
        <v>3084403.2800000003</v>
      </c>
      <c r="J736" s="215">
        <v>3141807.4200000004</v>
      </c>
      <c r="K736" s="215">
        <v>3325259.35</v>
      </c>
      <c r="L736" s="215">
        <v>3463423.87</v>
      </c>
      <c r="M736" s="215">
        <v>3738606.07</v>
      </c>
      <c r="N736" s="215">
        <v>4024670.7600000002</v>
      </c>
      <c r="O736" s="215">
        <v>4112295.0500000003</v>
      </c>
      <c r="P736" s="215">
        <v>4160661.36</v>
      </c>
      <c r="Q736" s="215">
        <v>4612354.9800000004</v>
      </c>
    </row>
    <row r="737" spans="2:18" x14ac:dyDescent="0.25">
      <c r="B737" s="259">
        <f t="shared" si="11"/>
        <v>3624502.8591666664</v>
      </c>
      <c r="D737" s="2" t="s">
        <v>779</v>
      </c>
      <c r="E737" s="215">
        <v>2702727.8899999997</v>
      </c>
      <c r="F737" s="215">
        <v>2516158.09</v>
      </c>
      <c r="G737" s="215">
        <v>1606136.17</v>
      </c>
      <c r="H737" s="215">
        <v>1557137.9299999997</v>
      </c>
      <c r="I737" s="215">
        <v>2728763.0199999996</v>
      </c>
      <c r="J737" s="215">
        <v>3523088.7299999995</v>
      </c>
      <c r="K737" s="215">
        <v>4341408.62</v>
      </c>
      <c r="L737" s="215">
        <v>4452167.84</v>
      </c>
      <c r="M737" s="215">
        <v>4720549.8899999997</v>
      </c>
      <c r="N737" s="215">
        <v>4681190.3699999992</v>
      </c>
      <c r="O737" s="215">
        <v>5217587.38</v>
      </c>
      <c r="P737" s="215">
        <v>5035755.79</v>
      </c>
      <c r="Q737" s="215">
        <v>3525453.07</v>
      </c>
    </row>
    <row r="738" spans="2:18" x14ac:dyDescent="0.25">
      <c r="B738" s="259">
        <f t="shared" si="11"/>
        <v>9261.4049999999825</v>
      </c>
      <c r="D738" s="2" t="s">
        <v>781</v>
      </c>
      <c r="E738" s="215">
        <v>144034.18</v>
      </c>
      <c r="F738" s="215">
        <v>3329.9799999999814</v>
      </c>
      <c r="G738" s="215">
        <v>3329.9799999999814</v>
      </c>
      <c r="H738" s="215">
        <v>3329.9799999999814</v>
      </c>
      <c r="I738" s="215">
        <v>3329.9799999999814</v>
      </c>
      <c r="J738" s="215">
        <v>3329.9799999999814</v>
      </c>
      <c r="K738" s="215">
        <v>3329.9799999999814</v>
      </c>
      <c r="L738" s="215">
        <v>3329.9799999999814</v>
      </c>
      <c r="M738" s="215">
        <v>3329.9799999999814</v>
      </c>
      <c r="N738" s="215">
        <v>3329.9799999999814</v>
      </c>
      <c r="O738" s="215">
        <v>3329.9799999999814</v>
      </c>
      <c r="P738" s="215">
        <v>3879.9799999999814</v>
      </c>
      <c r="Q738" s="215">
        <v>3879.9799999999814</v>
      </c>
    </row>
    <row r="739" spans="2:18" x14ac:dyDescent="0.25">
      <c r="B739" s="259">
        <f t="shared" si="11"/>
        <v>0</v>
      </c>
      <c r="D739" s="2" t="s">
        <v>1558</v>
      </c>
      <c r="E739" s="215">
        <v>0</v>
      </c>
      <c r="F739" s="215">
        <v>0</v>
      </c>
      <c r="G739" s="215">
        <v>0</v>
      </c>
      <c r="H739" s="215">
        <v>0</v>
      </c>
      <c r="I739" s="215">
        <v>0</v>
      </c>
      <c r="J739" s="215">
        <v>0</v>
      </c>
      <c r="K739" s="215">
        <v>0</v>
      </c>
      <c r="L739" s="215">
        <v>0</v>
      </c>
      <c r="M739" s="215">
        <v>0</v>
      </c>
      <c r="N739" s="215">
        <v>0</v>
      </c>
      <c r="O739" s="215">
        <v>0</v>
      </c>
      <c r="P739" s="215">
        <v>0</v>
      </c>
      <c r="Q739" s="215">
        <v>0</v>
      </c>
    </row>
    <row r="740" spans="2:18" x14ac:dyDescent="0.25">
      <c r="B740" s="259">
        <f t="shared" si="11"/>
        <v>2878547.9120833329</v>
      </c>
      <c r="D740" s="2" t="s">
        <v>783</v>
      </c>
      <c r="E740" s="215">
        <v>2093226.5499999998</v>
      </c>
      <c r="F740" s="215">
        <v>2645460.3699999996</v>
      </c>
      <c r="G740" s="215">
        <v>2645460.3699999996</v>
      </c>
      <c r="H740" s="215">
        <v>2672839.6799999997</v>
      </c>
      <c r="I740" s="215">
        <v>2704778.0699999994</v>
      </c>
      <c r="J740" s="215">
        <v>2715410.8199999994</v>
      </c>
      <c r="K740" s="215">
        <v>2715433.3099999996</v>
      </c>
      <c r="L740" s="215">
        <v>2760616.76</v>
      </c>
      <c r="M740" s="215">
        <v>2764422.4299999997</v>
      </c>
      <c r="N740" s="215">
        <v>2764424.7899999996</v>
      </c>
      <c r="O740" s="215">
        <v>3447000.4599999995</v>
      </c>
      <c r="P740" s="215">
        <v>3488070.9699999997</v>
      </c>
      <c r="Q740" s="215">
        <v>4344087.2799999993</v>
      </c>
    </row>
    <row r="741" spans="2:18" x14ac:dyDescent="0.25">
      <c r="B741" s="259">
        <f t="shared" si="11"/>
        <v>186784.52875000003</v>
      </c>
      <c r="D741" s="2" t="s">
        <v>1071</v>
      </c>
      <c r="E741" s="215">
        <v>0</v>
      </c>
      <c r="F741" s="215">
        <v>0</v>
      </c>
      <c r="G741" s="215">
        <v>0</v>
      </c>
      <c r="H741" s="215">
        <v>0</v>
      </c>
      <c r="I741" s="215">
        <v>0</v>
      </c>
      <c r="J741" s="215">
        <v>249046.18</v>
      </c>
      <c r="K741" s="215">
        <v>250065.38</v>
      </c>
      <c r="L741" s="215">
        <v>250899.25</v>
      </c>
      <c r="M741" s="215">
        <v>250899.25</v>
      </c>
      <c r="N741" s="215">
        <v>250899.25</v>
      </c>
      <c r="O741" s="215">
        <v>395623.54</v>
      </c>
      <c r="P741" s="215">
        <v>395623.54</v>
      </c>
      <c r="Q741" s="215">
        <v>396715.91</v>
      </c>
    </row>
    <row r="742" spans="2:18" x14ac:dyDescent="0.25">
      <c r="B742" s="259">
        <f t="shared" si="11"/>
        <v>2032922.0599999998</v>
      </c>
      <c r="D742" s="2" t="s">
        <v>785</v>
      </c>
      <c r="E742" s="215">
        <v>2032922.06</v>
      </c>
      <c r="F742" s="215">
        <v>2032922.06</v>
      </c>
      <c r="G742" s="215">
        <v>2032922.06</v>
      </c>
      <c r="H742" s="215">
        <v>2032922.06</v>
      </c>
      <c r="I742" s="215">
        <v>2032922.06</v>
      </c>
      <c r="J742" s="215">
        <v>2032922.06</v>
      </c>
      <c r="K742" s="215">
        <v>2032922.06</v>
      </c>
      <c r="L742" s="215">
        <v>2032922.06</v>
      </c>
      <c r="M742" s="215">
        <v>2032922.06</v>
      </c>
      <c r="N742" s="215">
        <v>2032922.06</v>
      </c>
      <c r="O742" s="215">
        <v>2032922.06</v>
      </c>
      <c r="P742" s="215">
        <v>2032922.06</v>
      </c>
      <c r="Q742" s="215">
        <v>2032922.06</v>
      </c>
    </row>
    <row r="743" spans="2:18" x14ac:dyDescent="0.25">
      <c r="B743" s="259">
        <f t="shared" si="11"/>
        <v>1753853.1379166662</v>
      </c>
      <c r="D743" s="2" t="s">
        <v>787</v>
      </c>
      <c r="E743" s="215">
        <v>1357.49</v>
      </c>
      <c r="F743" s="215">
        <v>1823937.5799999996</v>
      </c>
      <c r="G743" s="215">
        <v>1830567.6199999996</v>
      </c>
      <c r="H743" s="215">
        <v>1830567.6199999996</v>
      </c>
      <c r="I743" s="215">
        <v>1830567.6199999996</v>
      </c>
      <c r="J743" s="215">
        <v>1830567.6199999996</v>
      </c>
      <c r="K743" s="215">
        <v>1830567.6199999996</v>
      </c>
      <c r="L743" s="215">
        <v>1830567.6199999996</v>
      </c>
      <c r="M743" s="215">
        <v>1830714.5799999996</v>
      </c>
      <c r="N743" s="215">
        <v>1830714.5799999996</v>
      </c>
      <c r="O743" s="215">
        <v>1830714.5799999996</v>
      </c>
      <c r="P743" s="215">
        <v>1830714.5799999996</v>
      </c>
      <c r="Q743" s="215">
        <v>1830714.5799999996</v>
      </c>
    </row>
    <row r="744" spans="2:18" x14ac:dyDescent="0.25">
      <c r="B744" s="259">
        <f t="shared" si="11"/>
        <v>0</v>
      </c>
      <c r="D744" s="2" t="s">
        <v>1559</v>
      </c>
      <c r="E744" s="215">
        <v>0</v>
      </c>
      <c r="F744" s="215">
        <v>0</v>
      </c>
      <c r="G744" s="215">
        <v>0</v>
      </c>
      <c r="H744" s="215">
        <v>0</v>
      </c>
      <c r="I744" s="215">
        <v>0</v>
      </c>
      <c r="J744" s="215">
        <v>0</v>
      </c>
      <c r="K744" s="215">
        <v>0</v>
      </c>
      <c r="L744" s="215">
        <v>0</v>
      </c>
      <c r="M744" s="215">
        <v>0</v>
      </c>
      <c r="N744" s="215">
        <v>0</v>
      </c>
      <c r="O744" s="215">
        <v>0</v>
      </c>
      <c r="P744" s="215">
        <v>0</v>
      </c>
      <c r="Q744" s="215">
        <v>0</v>
      </c>
    </row>
    <row r="745" spans="2:18" x14ac:dyDescent="0.25">
      <c r="B745" s="259">
        <f t="shared" si="11"/>
        <v>0</v>
      </c>
      <c r="D745" s="2" t="s">
        <v>1560</v>
      </c>
      <c r="E745" s="215">
        <v>0</v>
      </c>
      <c r="F745" s="215">
        <v>0</v>
      </c>
      <c r="G745" s="215">
        <v>0</v>
      </c>
      <c r="H745" s="215">
        <v>0</v>
      </c>
      <c r="I745" s="215">
        <v>0</v>
      </c>
      <c r="J745" s="215">
        <v>0</v>
      </c>
      <c r="K745" s="215">
        <v>0</v>
      </c>
      <c r="L745" s="215">
        <v>0</v>
      </c>
      <c r="M745" s="215">
        <v>0</v>
      </c>
      <c r="N745" s="215">
        <v>0</v>
      </c>
      <c r="O745" s="215">
        <v>0</v>
      </c>
      <c r="P745" s="215">
        <v>0</v>
      </c>
      <c r="Q745" s="215">
        <v>0</v>
      </c>
    </row>
    <row r="746" spans="2:18" x14ac:dyDescent="0.25">
      <c r="B746" s="259">
        <f t="shared" si="11"/>
        <v>711016.60375000013</v>
      </c>
      <c r="D746" s="2" t="s">
        <v>965</v>
      </c>
      <c r="E746" s="215">
        <v>0</v>
      </c>
      <c r="F746" s="215">
        <v>718917.51</v>
      </c>
      <c r="G746" s="215">
        <v>744122.07</v>
      </c>
      <c r="H746" s="215">
        <v>744122.07</v>
      </c>
      <c r="I746" s="215">
        <v>744122.07</v>
      </c>
      <c r="J746" s="215">
        <v>744122.07</v>
      </c>
      <c r="K746" s="215">
        <v>744122.07</v>
      </c>
      <c r="L746" s="215">
        <v>744122.07</v>
      </c>
      <c r="M746" s="215">
        <v>744122.07</v>
      </c>
      <c r="N746" s="215">
        <v>744122.07</v>
      </c>
      <c r="O746" s="215">
        <v>744122.07</v>
      </c>
      <c r="P746" s="215">
        <v>744122.07</v>
      </c>
      <c r="Q746" s="215">
        <v>744122.07</v>
      </c>
    </row>
    <row r="747" spans="2:18" ht="15.75" thickBot="1" x14ac:dyDescent="0.3">
      <c r="B747" s="302">
        <f>SUM(B6:B746)</f>
        <v>1161585864.978333</v>
      </c>
      <c r="D747" s="2" t="s">
        <v>32</v>
      </c>
      <c r="E747" s="215">
        <f>SUM(E6:E746)</f>
        <v>747773979.55000043</v>
      </c>
      <c r="F747" s="215">
        <f t="shared" ref="F747:Q747" si="12">SUM(F6:F746)</f>
        <v>802080974.53999984</v>
      </c>
      <c r="G747" s="215">
        <f t="shared" si="12"/>
        <v>851971780.31000018</v>
      </c>
      <c r="H747" s="215">
        <f t="shared" si="12"/>
        <v>901538332.8599999</v>
      </c>
      <c r="I747" s="215">
        <f t="shared" si="12"/>
        <v>940560542.25000036</v>
      </c>
      <c r="J747" s="215">
        <f t="shared" si="12"/>
        <v>995857562.09000003</v>
      </c>
      <c r="K747" s="215">
        <f t="shared" si="12"/>
        <v>1074374584.4099994</v>
      </c>
      <c r="L747" s="215">
        <f t="shared" si="12"/>
        <v>1171692024.9299994</v>
      </c>
      <c r="M747" s="215">
        <f t="shared" si="12"/>
        <v>1243225996.099999</v>
      </c>
      <c r="N747" s="215">
        <f t="shared" si="12"/>
        <v>1432829355.9199989</v>
      </c>
      <c r="O747" s="215">
        <f t="shared" si="12"/>
        <v>1552284721.9999998</v>
      </c>
      <c r="P747" s="215">
        <f t="shared" si="12"/>
        <v>1637612920.5499992</v>
      </c>
      <c r="Q747" s="215">
        <f t="shared" si="12"/>
        <v>1922229188.0099995</v>
      </c>
    </row>
    <row r="748" spans="2:18" ht="15.75" thickTop="1" x14ac:dyDescent="0.25">
      <c r="B748" s="215">
        <f>'Rev Req Comparison'!$D$8+'Rev Req Comparison'!$I$8</f>
        <v>1161585864.9783335</v>
      </c>
      <c r="C748" t="s">
        <v>1561</v>
      </c>
      <c r="D748" s="366"/>
      <c r="E748" s="215"/>
      <c r="Q748" s="215">
        <f>E747</f>
        <v>747773979.55000043</v>
      </c>
      <c r="R748" s="368">
        <v>44926</v>
      </c>
    </row>
    <row r="749" spans="2:18" x14ac:dyDescent="0.25">
      <c r="B749" s="215">
        <f>B747-B748</f>
        <v>0</v>
      </c>
      <c r="C749" t="s">
        <v>1562</v>
      </c>
      <c r="D749" s="366"/>
      <c r="E749" s="215"/>
      <c r="Q749" s="215">
        <f>Q747-Q748</f>
        <v>1174455208.4599991</v>
      </c>
      <c r="R749" t="s">
        <v>1563</v>
      </c>
    </row>
    <row r="750" spans="2:18" x14ac:dyDescent="0.25">
      <c r="E750" s="215"/>
      <c r="Q750" s="3">
        <f>-'Source Data - Act v Plan by WBS'!H454</f>
        <v>1174390719.3526733</v>
      </c>
      <c r="R750" t="s">
        <v>1561</v>
      </c>
    </row>
    <row r="751" spans="2:18" x14ac:dyDescent="0.25">
      <c r="Q751" s="3">
        <f>Q749-Q750</f>
        <v>64489.107325792313</v>
      </c>
      <c r="R751" t="s">
        <v>1565</v>
      </c>
    </row>
    <row r="752" spans="2:18" x14ac:dyDescent="0.25">
      <c r="Q752" s="3"/>
    </row>
    <row r="753" spans="17:17" x14ac:dyDescent="0.25">
      <c r="Q753" s="3"/>
    </row>
  </sheetData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96" zoomScaleNormal="96" workbookViewId="0">
      <selection activeCell="B14" sqref="B14"/>
    </sheetView>
  </sheetViews>
  <sheetFormatPr defaultRowHeight="15" x14ac:dyDescent="0.25"/>
  <cols>
    <col min="1" max="1" width="35.42578125" customWidth="1"/>
    <col min="2" max="2" width="17.85546875" customWidth="1"/>
    <col min="3" max="4" width="14.5703125" bestFit="1" customWidth="1"/>
    <col min="5" max="5" width="14" customWidth="1"/>
    <col min="6" max="7" width="14.42578125" bestFit="1" customWidth="1"/>
    <col min="8" max="8" width="33.7109375" bestFit="1" customWidth="1"/>
    <col min="9" max="10" width="16.85546875" bestFit="1" customWidth="1"/>
    <col min="11" max="11" width="19.7109375" bestFit="1" customWidth="1"/>
    <col min="12" max="12" width="7.7109375" customWidth="1"/>
    <col min="13" max="13" width="20.42578125" bestFit="1" customWidth="1"/>
  </cols>
  <sheetData>
    <row r="1" spans="1:14" x14ac:dyDescent="0.25">
      <c r="A1" s="231" t="s">
        <v>185</v>
      </c>
      <c r="B1" t="s">
        <v>823</v>
      </c>
    </row>
    <row r="2" spans="1:14" x14ac:dyDescent="0.25">
      <c r="B2" s="247">
        <f>'Att D Table'!K10+B28</f>
        <v>0</v>
      </c>
      <c r="C2" s="247">
        <f>'Att D Table'!L10+C28</f>
        <v>779493.89759981632</v>
      </c>
      <c r="D2" s="247">
        <f>'Att D Table'!M10+D28</f>
        <v>-779493.89759972692</v>
      </c>
      <c r="G2" s="213"/>
      <c r="H2" s="213"/>
      <c r="I2" s="213"/>
      <c r="J2" s="213"/>
      <c r="K2" s="213"/>
      <c r="L2" s="213"/>
    </row>
    <row r="3" spans="1:14" ht="63" x14ac:dyDescent="0.25">
      <c r="A3" s="231" t="s">
        <v>167</v>
      </c>
      <c r="B3" s="315" t="s">
        <v>1145</v>
      </c>
      <c r="C3" s="214" t="s">
        <v>809</v>
      </c>
      <c r="D3" s="214" t="s">
        <v>170</v>
      </c>
      <c r="G3" s="213"/>
      <c r="H3" s="269" t="s">
        <v>819</v>
      </c>
      <c r="I3" s="270" t="s">
        <v>825</v>
      </c>
      <c r="J3" s="270" t="s">
        <v>824</v>
      </c>
      <c r="K3" s="271" t="s">
        <v>171</v>
      </c>
      <c r="L3" s="213"/>
    </row>
    <row r="4" spans="1:14" ht="15.75" x14ac:dyDescent="0.25">
      <c r="A4" s="2" t="s">
        <v>872</v>
      </c>
      <c r="B4" s="254">
        <v>-34462242.745508127</v>
      </c>
      <c r="C4" s="254">
        <v>-167082331.01708764</v>
      </c>
      <c r="D4" s="254">
        <v>132620088.2715795</v>
      </c>
      <c r="G4" s="213"/>
      <c r="H4" s="272" t="s">
        <v>872</v>
      </c>
      <c r="I4" s="273">
        <f>-VLOOKUP($H4,$A:$D,2,FALSE)</f>
        <v>34462242.745508127</v>
      </c>
      <c r="J4" s="273">
        <f t="shared" ref="J4:J27" si="0">-VLOOKUP($H4,$A:$D,3,FALSE)</f>
        <v>167082331.01708764</v>
      </c>
      <c r="K4" s="274">
        <f>I4-J4</f>
        <v>-132620088.2715795</v>
      </c>
      <c r="L4" s="213"/>
      <c r="N4" s="267"/>
    </row>
    <row r="5" spans="1:14" ht="15.75" x14ac:dyDescent="0.25">
      <c r="A5" s="2" t="s">
        <v>1</v>
      </c>
      <c r="B5" s="266">
        <v>-617924.75170522952</v>
      </c>
      <c r="C5" s="266">
        <v>-12558883.900882704</v>
      </c>
      <c r="D5" s="266">
        <v>11940959.149177475</v>
      </c>
      <c r="G5" s="213"/>
      <c r="H5" s="272" t="s">
        <v>1</v>
      </c>
      <c r="I5" s="275">
        <f t="shared" ref="I5" si="1">-VLOOKUP(H5,$A:$D,2,FALSE)</f>
        <v>617924.75170522952</v>
      </c>
      <c r="J5" s="275">
        <f t="shared" si="0"/>
        <v>12558883.900882704</v>
      </c>
      <c r="K5" s="276">
        <f t="shared" ref="K5:K27" si="2">I5-J5</f>
        <v>-11940959.149177475</v>
      </c>
      <c r="L5" s="213"/>
    </row>
    <row r="6" spans="1:14" ht="15.75" x14ac:dyDescent="0.25">
      <c r="A6" s="2" t="s">
        <v>2</v>
      </c>
      <c r="B6" s="254">
        <v>-2741448.25</v>
      </c>
      <c r="C6" s="254">
        <v>-32512440.305859655</v>
      </c>
      <c r="D6" s="254">
        <v>29770992.055859651</v>
      </c>
      <c r="G6" s="213"/>
      <c r="H6" s="272" t="s">
        <v>2</v>
      </c>
      <c r="I6" s="275">
        <f t="shared" ref="I6" si="3">-VLOOKUP(H6,$A:$D,2,FALSE)</f>
        <v>2741448.25</v>
      </c>
      <c r="J6" s="275">
        <f t="shared" si="0"/>
        <v>32512440.305859655</v>
      </c>
      <c r="K6" s="276">
        <f t="shared" si="2"/>
        <v>-29770992.055859655</v>
      </c>
      <c r="L6" s="213"/>
    </row>
    <row r="7" spans="1:14" ht="15.75" x14ac:dyDescent="0.25">
      <c r="A7" s="2" t="s">
        <v>3</v>
      </c>
      <c r="B7" s="254">
        <v>-5820359.6636258261</v>
      </c>
      <c r="C7" s="254">
        <v>-16673797.357688457</v>
      </c>
      <c r="D7" s="254">
        <v>10853437.694062632</v>
      </c>
      <c r="G7" s="213"/>
      <c r="H7" s="272" t="s">
        <v>3</v>
      </c>
      <c r="I7" s="275">
        <f t="shared" ref="I7" si="4">-VLOOKUP(H7,$A:$D,2,FALSE)</f>
        <v>5820359.6636258261</v>
      </c>
      <c r="J7" s="275">
        <f t="shared" si="0"/>
        <v>16673797.357688457</v>
      </c>
      <c r="K7" s="276">
        <f t="shared" si="2"/>
        <v>-10853437.694062632</v>
      </c>
      <c r="L7" s="213"/>
    </row>
    <row r="8" spans="1:14" ht="15.75" x14ac:dyDescent="0.25">
      <c r="A8" s="2" t="s">
        <v>4</v>
      </c>
      <c r="B8" s="266">
        <v>14562652.299999999</v>
      </c>
      <c r="C8" s="266">
        <v>6382400.0000000037</v>
      </c>
      <c r="D8" s="266">
        <v>8180252.2999999952</v>
      </c>
      <c r="G8" s="213"/>
      <c r="H8" s="272" t="s">
        <v>4</v>
      </c>
      <c r="I8" s="275">
        <f t="shared" ref="I8" si="5">-VLOOKUP(H8,$A:$D,2,FALSE)</f>
        <v>-14562652.299999999</v>
      </c>
      <c r="J8" s="275">
        <f t="shared" si="0"/>
        <v>-6382400.0000000037</v>
      </c>
      <c r="K8" s="276">
        <f t="shared" si="2"/>
        <v>-8180252.2999999952</v>
      </c>
      <c r="L8" s="213"/>
    </row>
    <row r="9" spans="1:14" ht="15.75" x14ac:dyDescent="0.25">
      <c r="A9" s="2" t="s">
        <v>5</v>
      </c>
      <c r="B9" s="266">
        <v>198563.8</v>
      </c>
      <c r="C9" s="266">
        <v>3005100</v>
      </c>
      <c r="D9" s="266">
        <v>-2806536.2</v>
      </c>
      <c r="G9" s="213"/>
      <c r="H9" s="272" t="s">
        <v>5</v>
      </c>
      <c r="I9" s="275">
        <f t="shared" ref="I9" si="6">-VLOOKUP(H9,$A:$D,2,FALSE)</f>
        <v>-198563.8</v>
      </c>
      <c r="J9" s="275">
        <f t="shared" si="0"/>
        <v>-3005100</v>
      </c>
      <c r="K9" s="276">
        <f t="shared" si="2"/>
        <v>2806536.2</v>
      </c>
      <c r="L9" s="213"/>
    </row>
    <row r="10" spans="1:14" ht="15.75" x14ac:dyDescent="0.25">
      <c r="A10" s="2" t="s">
        <v>6</v>
      </c>
      <c r="B10" s="254">
        <v>-83378955.872942969</v>
      </c>
      <c r="C10" s="254">
        <v>-4503420.9951020703</v>
      </c>
      <c r="D10" s="254">
        <v>-78875534.877840891</v>
      </c>
      <c r="G10" s="213"/>
      <c r="H10" s="272" t="s">
        <v>6</v>
      </c>
      <c r="I10" s="275">
        <f t="shared" ref="I10" si="7">-VLOOKUP(H10,$A:$D,2,FALSE)</f>
        <v>83378955.872942969</v>
      </c>
      <c r="J10" s="275">
        <f t="shared" si="0"/>
        <v>4503420.9951020703</v>
      </c>
      <c r="K10" s="276">
        <f t="shared" si="2"/>
        <v>78875534.877840906</v>
      </c>
      <c r="L10" s="213"/>
    </row>
    <row r="11" spans="1:14" ht="15.75" x14ac:dyDescent="0.25">
      <c r="A11" s="2" t="s">
        <v>7</v>
      </c>
      <c r="B11" s="254">
        <v>-84839700.385496676</v>
      </c>
      <c r="C11" s="254">
        <v>-16270357.265479326</v>
      </c>
      <c r="D11" s="254">
        <v>-68569343.12001735</v>
      </c>
      <c r="G11" s="213"/>
      <c r="H11" s="272" t="s">
        <v>7</v>
      </c>
      <c r="I11" s="275">
        <f t="shared" ref="I11" si="8">-VLOOKUP(H11,$A:$D,2,FALSE)</f>
        <v>84839700.385496676</v>
      </c>
      <c r="J11" s="275">
        <f t="shared" si="0"/>
        <v>16270357.265479326</v>
      </c>
      <c r="K11" s="276">
        <f t="shared" si="2"/>
        <v>68569343.12001735</v>
      </c>
      <c r="L11" s="213"/>
    </row>
    <row r="12" spans="1:14" ht="15.75" x14ac:dyDescent="0.25">
      <c r="A12" s="2" t="s">
        <v>10</v>
      </c>
      <c r="B12" s="266">
        <v>-92570410.728071377</v>
      </c>
      <c r="C12" s="266">
        <v>-59029849.163552389</v>
      </c>
      <c r="D12" s="266">
        <v>-33540561.564518977</v>
      </c>
      <c r="G12" s="213"/>
      <c r="H12" s="272" t="s">
        <v>10</v>
      </c>
      <c r="I12" s="275">
        <f t="shared" ref="I12" si="9">-VLOOKUP(H12,$A:$D,2,FALSE)</f>
        <v>92570410.728071377</v>
      </c>
      <c r="J12" s="275">
        <f t="shared" si="0"/>
        <v>59029849.163552389</v>
      </c>
      <c r="K12" s="276">
        <f t="shared" si="2"/>
        <v>33540561.564518988</v>
      </c>
      <c r="L12" s="213"/>
    </row>
    <row r="13" spans="1:14" ht="15.75" x14ac:dyDescent="0.25">
      <c r="A13" s="2" t="s">
        <v>11</v>
      </c>
      <c r="B13" s="266">
        <v>-18678693.869571436</v>
      </c>
      <c r="C13" s="266">
        <v>-20923806.861923188</v>
      </c>
      <c r="D13" s="266">
        <v>2245112.9923517527</v>
      </c>
      <c r="G13" s="213"/>
      <c r="H13" s="272" t="s">
        <v>11</v>
      </c>
      <c r="I13" s="275">
        <f t="shared" ref="I13" si="10">-VLOOKUP(H13,$A:$D,2,FALSE)</f>
        <v>18678693.869571436</v>
      </c>
      <c r="J13" s="275">
        <f t="shared" si="0"/>
        <v>20923806.861923188</v>
      </c>
      <c r="K13" s="276">
        <f t="shared" si="2"/>
        <v>-2245112.9923517518</v>
      </c>
      <c r="L13" s="213"/>
    </row>
    <row r="14" spans="1:14" ht="15.75" x14ac:dyDescent="0.25">
      <c r="A14" s="2" t="s">
        <v>12</v>
      </c>
      <c r="B14" s="266">
        <v>-203325688.47999999</v>
      </c>
      <c r="C14" s="266">
        <v>-40119811.454329111</v>
      </c>
      <c r="D14" s="266">
        <v>-163205877.02567089</v>
      </c>
      <c r="G14" s="213"/>
      <c r="H14" s="272" t="s">
        <v>12</v>
      </c>
      <c r="I14" s="275">
        <f t="shared" ref="I14" si="11">-VLOOKUP(H14,$A:$D,2,FALSE)</f>
        <v>203325688.47999999</v>
      </c>
      <c r="J14" s="275">
        <f t="shared" si="0"/>
        <v>40119811.454329111</v>
      </c>
      <c r="K14" s="276">
        <f t="shared" si="2"/>
        <v>163205877.02567089</v>
      </c>
      <c r="L14" s="213"/>
    </row>
    <row r="15" spans="1:14" ht="15.75" x14ac:dyDescent="0.25">
      <c r="A15" s="2" t="s">
        <v>822</v>
      </c>
      <c r="B15" s="266">
        <v>-1442703.39398975</v>
      </c>
      <c r="C15" s="266">
        <v>-7165996.3759999918</v>
      </c>
      <c r="D15" s="266">
        <v>5723292.9820102416</v>
      </c>
      <c r="G15" s="213"/>
      <c r="H15" s="272" t="s">
        <v>822</v>
      </c>
      <c r="I15" s="275">
        <f t="shared" ref="I15" si="12">-VLOOKUP(H15,$A:$D,2,FALSE)</f>
        <v>1442703.39398975</v>
      </c>
      <c r="J15" s="275">
        <f t="shared" si="0"/>
        <v>7165996.3759999918</v>
      </c>
      <c r="K15" s="276">
        <f t="shared" si="2"/>
        <v>-5723292.9820102416</v>
      </c>
      <c r="L15" s="213"/>
    </row>
    <row r="16" spans="1:14" ht="15.75" x14ac:dyDescent="0.25">
      <c r="A16" s="2" t="s">
        <v>13</v>
      </c>
      <c r="B16" s="266">
        <v>-14280358.702547446</v>
      </c>
      <c r="C16" s="266">
        <v>-24475978.043454606</v>
      </c>
      <c r="D16" s="266">
        <v>10195619.340907168</v>
      </c>
      <c r="G16" s="213"/>
      <c r="H16" s="272" t="s">
        <v>13</v>
      </c>
      <c r="I16" s="275">
        <f t="shared" ref="I16" si="13">-VLOOKUP(H16,$A:$D,2,FALSE)</f>
        <v>14280358.702547446</v>
      </c>
      <c r="J16" s="275">
        <f t="shared" si="0"/>
        <v>24475978.043454606</v>
      </c>
      <c r="K16" s="276">
        <f t="shared" si="2"/>
        <v>-10195619.34090716</v>
      </c>
      <c r="L16" s="213"/>
    </row>
    <row r="17" spans="1:12" ht="15.75" x14ac:dyDescent="0.25">
      <c r="A17" s="2" t="s">
        <v>15</v>
      </c>
      <c r="B17" s="266">
        <v>-158669103.47773042</v>
      </c>
      <c r="C17" s="266">
        <v>-177412055.06673956</v>
      </c>
      <c r="D17" s="266">
        <v>18742951.589009125</v>
      </c>
      <c r="G17" s="213"/>
      <c r="H17" s="272" t="s">
        <v>15</v>
      </c>
      <c r="I17" s="275">
        <f t="shared" ref="I17" si="14">-VLOOKUP(H17,$A:$D,2,FALSE)</f>
        <v>158669103.47773042</v>
      </c>
      <c r="J17" s="275">
        <f t="shared" si="0"/>
        <v>177412055.06673956</v>
      </c>
      <c r="K17" s="276">
        <f t="shared" si="2"/>
        <v>-18742951.589009136</v>
      </c>
      <c r="L17" s="213"/>
    </row>
    <row r="18" spans="1:12" ht="15.75" x14ac:dyDescent="0.25">
      <c r="A18" s="2" t="s">
        <v>19</v>
      </c>
      <c r="B18" s="266">
        <v>-3100110.6847722479</v>
      </c>
      <c r="C18" s="266">
        <v>-13216826.700870501</v>
      </c>
      <c r="D18" s="266">
        <v>10116716.016098252</v>
      </c>
      <c r="G18" s="213"/>
      <c r="H18" s="272" t="s">
        <v>19</v>
      </c>
      <c r="I18" s="275">
        <f t="shared" ref="I18" si="15">-VLOOKUP(H18,$A:$D,2,FALSE)</f>
        <v>3100110.6847722479</v>
      </c>
      <c r="J18" s="275">
        <f t="shared" si="0"/>
        <v>13216826.700870501</v>
      </c>
      <c r="K18" s="276">
        <f t="shared" si="2"/>
        <v>-10116716.016098253</v>
      </c>
      <c r="L18" s="213"/>
    </row>
    <row r="19" spans="1:12" ht="15.75" x14ac:dyDescent="0.25">
      <c r="A19" s="2" t="s">
        <v>20</v>
      </c>
      <c r="B19" s="266">
        <v>-3197291.1599999997</v>
      </c>
      <c r="C19" s="266">
        <v>-576037.5544989194</v>
      </c>
      <c r="D19" s="266">
        <v>-2621253.6055010799</v>
      </c>
      <c r="G19" s="213"/>
      <c r="H19" s="272" t="s">
        <v>20</v>
      </c>
      <c r="I19" s="275">
        <f t="shared" ref="I19" si="16">-VLOOKUP(H19,$A:$D,2,FALSE)</f>
        <v>3197291.1599999997</v>
      </c>
      <c r="J19" s="275">
        <f t="shared" si="0"/>
        <v>576037.5544989194</v>
      </c>
      <c r="K19" s="276">
        <f t="shared" si="2"/>
        <v>2621253.6055010804</v>
      </c>
      <c r="L19" s="213"/>
    </row>
    <row r="20" spans="1:12" ht="15.75" x14ac:dyDescent="0.25">
      <c r="A20" s="2" t="s">
        <v>21</v>
      </c>
      <c r="B20" s="266">
        <v>-110540.0559775251</v>
      </c>
      <c r="C20" s="266">
        <v>0</v>
      </c>
      <c r="D20" s="266">
        <v>-110540.0559775251</v>
      </c>
      <c r="G20" s="213"/>
      <c r="H20" s="272" t="s">
        <v>21</v>
      </c>
      <c r="I20" s="275">
        <f t="shared" ref="I20" si="17">-VLOOKUP(H20,$A:$D,2,FALSE)</f>
        <v>110540.0559775251</v>
      </c>
      <c r="J20" s="275">
        <f t="shared" si="0"/>
        <v>0</v>
      </c>
      <c r="K20" s="276">
        <f t="shared" si="2"/>
        <v>110540.0559775251</v>
      </c>
      <c r="L20" s="213"/>
    </row>
    <row r="21" spans="1:12" ht="15.75" x14ac:dyDescent="0.25">
      <c r="A21" s="2" t="s">
        <v>23</v>
      </c>
      <c r="B21" s="254">
        <v>-22456528.470758755</v>
      </c>
      <c r="C21" s="254">
        <v>-9797538.9733354431</v>
      </c>
      <c r="D21" s="254">
        <v>-12658989.497423312</v>
      </c>
      <c r="G21" s="213"/>
      <c r="H21" s="272" t="s">
        <v>25</v>
      </c>
      <c r="I21" s="275">
        <f t="shared" ref="I21" si="18">-VLOOKUP(H21,$A:$D,2,FALSE)</f>
        <v>63783669.408559777</v>
      </c>
      <c r="J21" s="275">
        <f t="shared" si="0"/>
        <v>49664371.494003989</v>
      </c>
      <c r="K21" s="276">
        <f t="shared" si="2"/>
        <v>14119297.914555788</v>
      </c>
      <c r="L21" s="213"/>
    </row>
    <row r="22" spans="1:12" ht="15.75" x14ac:dyDescent="0.25">
      <c r="A22" s="2" t="s">
        <v>24</v>
      </c>
      <c r="B22" s="254">
        <v>-37414039.473461226</v>
      </c>
      <c r="C22" s="254">
        <v>-143932.33533800021</v>
      </c>
      <c r="D22" s="254">
        <v>-37270107.138123222</v>
      </c>
      <c r="G22" s="213"/>
      <c r="H22" s="272" t="s">
        <v>26</v>
      </c>
      <c r="I22" s="275">
        <f t="shared" ref="I22" si="19">-VLOOKUP(H22,$A:$D,2,FALSE)</f>
        <v>21621499.400905468</v>
      </c>
      <c r="J22" s="275">
        <f t="shared" si="0"/>
        <v>12515349.617285645</v>
      </c>
      <c r="K22" s="276">
        <f t="shared" si="2"/>
        <v>9106149.7836198229</v>
      </c>
      <c r="L22" s="213"/>
    </row>
    <row r="23" spans="1:12" ht="15.75" x14ac:dyDescent="0.25">
      <c r="A23" s="2" t="s">
        <v>25</v>
      </c>
      <c r="B23" s="254">
        <v>-63783669.408559777</v>
      </c>
      <c r="C23" s="254">
        <v>-49664371.494003989</v>
      </c>
      <c r="D23" s="254">
        <v>-14119297.914555788</v>
      </c>
      <c r="G23" s="213"/>
      <c r="H23" s="272" t="s">
        <v>23</v>
      </c>
      <c r="I23" s="275">
        <f t="shared" ref="I23" si="20">-VLOOKUP(H23,$A:$D,2,FALSE)</f>
        <v>22456528.470758755</v>
      </c>
      <c r="J23" s="275">
        <f t="shared" si="0"/>
        <v>9797538.9733354431</v>
      </c>
      <c r="K23" s="276">
        <f t="shared" si="2"/>
        <v>12658989.497423312</v>
      </c>
      <c r="L23" s="213"/>
    </row>
    <row r="24" spans="1:12" ht="15.75" x14ac:dyDescent="0.25">
      <c r="A24" s="2" t="s">
        <v>26</v>
      </c>
      <c r="B24" s="266">
        <v>-21621499.400905468</v>
      </c>
      <c r="C24" s="266">
        <v>-12515349.617285645</v>
      </c>
      <c r="D24" s="266">
        <v>-9106149.7836198173</v>
      </c>
      <c r="G24" s="213"/>
      <c r="H24" s="272" t="s">
        <v>24</v>
      </c>
      <c r="I24" s="275">
        <f t="shared" ref="I24" si="21">-VLOOKUP(H24,$A:$D,2,FALSE)</f>
        <v>37414039.473461226</v>
      </c>
      <c r="J24" s="275">
        <f t="shared" si="0"/>
        <v>143932.33533800021</v>
      </c>
      <c r="K24" s="276">
        <f t="shared" si="2"/>
        <v>37270107.138123229</v>
      </c>
      <c r="L24" s="213"/>
    </row>
    <row r="25" spans="1:12" ht="15.75" x14ac:dyDescent="0.25">
      <c r="A25" s="2" t="s">
        <v>31</v>
      </c>
      <c r="B25" s="266">
        <v>-1258562.3289936027</v>
      </c>
      <c r="C25" s="266">
        <v>-4266596.526499996</v>
      </c>
      <c r="D25" s="266">
        <v>3008034.1975063933</v>
      </c>
      <c r="G25" s="213"/>
      <c r="H25" s="272" t="s">
        <v>31</v>
      </c>
      <c r="I25" s="275">
        <f t="shared" ref="I25" si="22">-VLOOKUP(H25,$A:$D,2,FALSE)</f>
        <v>1258562.3289936027</v>
      </c>
      <c r="J25" s="275">
        <f t="shared" si="0"/>
        <v>4266596.526499996</v>
      </c>
      <c r="K25" s="276">
        <f t="shared" si="2"/>
        <v>-3008034.1975063933</v>
      </c>
      <c r="L25" s="213"/>
    </row>
    <row r="26" spans="1:12" ht="15.75" x14ac:dyDescent="0.25">
      <c r="A26" s="2" t="s">
        <v>28</v>
      </c>
      <c r="B26" s="254">
        <v>-44028432.891698539</v>
      </c>
      <c r="C26" s="254">
        <v>-9047247.2370254043</v>
      </c>
      <c r="D26" s="254">
        <v>-34981185.654673137</v>
      </c>
      <c r="G26" s="213"/>
      <c r="H26" s="272" t="s">
        <v>28</v>
      </c>
      <c r="I26" s="275">
        <f t="shared" ref="I26" si="23">-VLOOKUP(H26,$A:$D,2,FALSE)</f>
        <v>44028432.891698539</v>
      </c>
      <c r="J26" s="275">
        <f t="shared" si="0"/>
        <v>9047247.2370254043</v>
      </c>
      <c r="K26" s="276">
        <f t="shared" si="2"/>
        <v>34981185.654673137</v>
      </c>
      <c r="L26" s="213"/>
    </row>
    <row r="27" spans="1:12" ht="15.75" x14ac:dyDescent="0.25">
      <c r="A27" s="2" t="s">
        <v>29</v>
      </c>
      <c r="B27" s="266">
        <v>-19661839.260000002</v>
      </c>
      <c r="C27" s="266">
        <v>-10173066.606914049</v>
      </c>
      <c r="D27" s="266">
        <v>-9488772.6530859526</v>
      </c>
      <c r="G27" s="213"/>
      <c r="H27" s="272" t="s">
        <v>29</v>
      </c>
      <c r="I27" s="275">
        <f t="shared" ref="I27" si="24">-VLOOKUP(H27,$A:$D,2,FALSE)</f>
        <v>19661839.260000002</v>
      </c>
      <c r="J27" s="275">
        <f t="shared" si="0"/>
        <v>10173066.606914049</v>
      </c>
      <c r="K27" s="276">
        <f t="shared" si="2"/>
        <v>9488772.6530859526</v>
      </c>
      <c r="L27" s="213"/>
    </row>
    <row r="28" spans="1:12" ht="15.75" x14ac:dyDescent="0.25">
      <c r="A28" s="2" t="s">
        <v>32</v>
      </c>
      <c r="B28" s="255">
        <v>-902698887.35631657</v>
      </c>
      <c r="C28" s="255">
        <v>-678742194.85387051</v>
      </c>
      <c r="D28" s="255">
        <v>-223956692.50244579</v>
      </c>
      <c r="G28" s="213"/>
      <c r="H28" s="277" t="s">
        <v>826</v>
      </c>
      <c r="I28" s="278">
        <f>SUM(I4:I27)</f>
        <v>902698887.35631657</v>
      </c>
      <c r="J28" s="278">
        <f>SUM(J4:J27)</f>
        <v>678742194.85387051</v>
      </c>
      <c r="K28" s="279">
        <f>SUM(K4:K27)</f>
        <v>223956692.50244582</v>
      </c>
      <c r="L28" s="213"/>
    </row>
    <row r="29" spans="1:12" x14ac:dyDescent="0.25">
      <c r="G29" s="213"/>
      <c r="H29" s="213"/>
      <c r="I29" s="213"/>
      <c r="J29" s="213"/>
      <c r="K29" s="213"/>
      <c r="L29" s="213"/>
    </row>
    <row r="30" spans="1:12" x14ac:dyDescent="0.25">
      <c r="G30" s="213"/>
      <c r="H30" s="213"/>
      <c r="I30" s="213"/>
      <c r="J30" s="213"/>
      <c r="K30" s="268">
        <f>D28+K28</f>
        <v>0</v>
      </c>
      <c r="L30" s="213"/>
    </row>
    <row r="31" spans="1:12" x14ac:dyDescent="0.25">
      <c r="G31" s="213"/>
      <c r="H31" s="213"/>
      <c r="I31" s="213"/>
      <c r="J31" s="213"/>
      <c r="K31" s="213"/>
      <c r="L31" s="213"/>
    </row>
    <row r="32" spans="1:12" x14ac:dyDescent="0.25">
      <c r="G32" s="213"/>
      <c r="L32" s="213"/>
    </row>
    <row r="33" spans="7:12" x14ac:dyDescent="0.25">
      <c r="G33" s="213"/>
      <c r="L33" s="213"/>
    </row>
  </sheetData>
  <printOptions horizontalCentered="1"/>
  <pageMargins left="0.7" right="0.7" top="0.75" bottom="0.75" header="0.3" footer="0.3"/>
  <pageSetup scale="43" orientation="portrait" horizontalDpi="1200" verticalDpi="1200" r:id="rId2"/>
  <customProperties>
    <customPr name="_pios_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C37" sqref="C37"/>
    </sheetView>
  </sheetViews>
  <sheetFormatPr defaultRowHeight="15" x14ac:dyDescent="0.25"/>
  <cols>
    <col min="1" max="1" width="41.140625" bestFit="1" customWidth="1"/>
    <col min="2" max="2" width="17.85546875" bestFit="1" customWidth="1"/>
    <col min="3" max="4" width="16" bestFit="1" customWidth="1"/>
    <col min="5" max="5" width="14" customWidth="1"/>
    <col min="6" max="7" width="14.42578125" bestFit="1" customWidth="1"/>
    <col min="8" max="8" width="12.5703125" bestFit="1" customWidth="1"/>
    <col min="9" max="9" width="12.28515625" bestFit="1" customWidth="1"/>
    <col min="10" max="10" width="12.5703125" bestFit="1" customWidth="1"/>
    <col min="11" max="11" width="41.28515625" bestFit="1" customWidth="1"/>
    <col min="12" max="12" width="44" bestFit="1" customWidth="1"/>
    <col min="13" max="13" width="20.42578125" bestFit="1" customWidth="1"/>
  </cols>
  <sheetData>
    <row r="1" spans="1:4" x14ac:dyDescent="0.25">
      <c r="A1" s="231" t="s">
        <v>185</v>
      </c>
      <c r="B1" t="s">
        <v>823</v>
      </c>
    </row>
    <row r="2" spans="1:4" x14ac:dyDescent="0.25">
      <c r="B2" s="247">
        <f>'Att D Table'!K10+B47</f>
        <v>0</v>
      </c>
      <c r="C2" s="247">
        <f>'Att D Table'!L10+C47</f>
        <v>779493.89759981632</v>
      </c>
      <c r="D2" s="247">
        <f>'Att D Table'!M10+D47</f>
        <v>-779493.89759972692</v>
      </c>
    </row>
    <row r="3" spans="1:4" ht="45" x14ac:dyDescent="0.25">
      <c r="A3" s="231" t="s">
        <v>167</v>
      </c>
      <c r="B3" s="214" t="s">
        <v>1145</v>
      </c>
      <c r="C3" s="214" t="s">
        <v>809</v>
      </c>
      <c r="D3" s="214" t="s">
        <v>170</v>
      </c>
    </row>
    <row r="4" spans="1:4" x14ac:dyDescent="0.25">
      <c r="A4" s="2" t="s">
        <v>810</v>
      </c>
      <c r="B4" s="3">
        <v>-183919.46000000002</v>
      </c>
      <c r="C4" s="3">
        <v>-1246624.0000000009</v>
      </c>
      <c r="D4" s="3">
        <v>1062704.540000001</v>
      </c>
    </row>
    <row r="5" spans="1:4" x14ac:dyDescent="0.25">
      <c r="A5" s="245" t="s">
        <v>26</v>
      </c>
      <c r="B5" s="3"/>
      <c r="C5" s="3"/>
      <c r="D5" s="3"/>
    </row>
    <row r="6" spans="1:4" x14ac:dyDescent="0.25">
      <c r="A6" s="246" t="s">
        <v>26</v>
      </c>
      <c r="B6" s="3">
        <v>-103105.77</v>
      </c>
      <c r="C6" s="3">
        <v>-1246624.0000000009</v>
      </c>
      <c r="D6" s="3">
        <v>1143518.2300000009</v>
      </c>
    </row>
    <row r="7" spans="1:4" x14ac:dyDescent="0.25">
      <c r="A7" s="245" t="s">
        <v>41</v>
      </c>
      <c r="B7" s="3"/>
      <c r="C7" s="3"/>
      <c r="D7" s="3"/>
    </row>
    <row r="8" spans="1:4" x14ac:dyDescent="0.25">
      <c r="A8" s="246" t="s">
        <v>872</v>
      </c>
      <c r="B8" s="3">
        <v>-80813.69</v>
      </c>
      <c r="C8" s="3">
        <v>0</v>
      </c>
      <c r="D8" s="3">
        <v>-80813.69</v>
      </c>
    </row>
    <row r="9" spans="1:4" x14ac:dyDescent="0.25">
      <c r="A9" s="2" t="s">
        <v>108</v>
      </c>
      <c r="B9" s="3">
        <v>-659536234.60935724</v>
      </c>
      <c r="C9" s="3">
        <v>-473357791.7231679</v>
      </c>
      <c r="D9" s="3">
        <v>-186178442.88618931</v>
      </c>
    </row>
    <row r="10" spans="1:4" x14ac:dyDescent="0.25">
      <c r="A10" s="245" t="s">
        <v>821</v>
      </c>
      <c r="B10" s="3"/>
      <c r="C10" s="3"/>
      <c r="D10" s="3"/>
    </row>
    <row r="11" spans="1:4" x14ac:dyDescent="0.25">
      <c r="A11" s="246" t="s">
        <v>4</v>
      </c>
      <c r="B11" s="3">
        <v>14562652.299999999</v>
      </c>
      <c r="C11" s="3">
        <v>6382400.0000000037</v>
      </c>
      <c r="D11" s="3">
        <v>8180252.2999999952</v>
      </c>
    </row>
    <row r="12" spans="1:4" x14ac:dyDescent="0.25">
      <c r="A12" s="246" t="s">
        <v>6</v>
      </c>
      <c r="B12" s="3">
        <v>-82732671.985983774</v>
      </c>
      <c r="C12" s="3">
        <v>-4503420.9951020703</v>
      </c>
      <c r="D12" s="3">
        <v>-78229250.990881711</v>
      </c>
    </row>
    <row r="13" spans="1:4" x14ac:dyDescent="0.25">
      <c r="A13" s="246" t="s">
        <v>23</v>
      </c>
      <c r="B13" s="3">
        <v>-22456528.470758755</v>
      </c>
      <c r="C13" s="3">
        <v>-9797538.9733354431</v>
      </c>
      <c r="D13" s="3">
        <v>-12658989.497423312</v>
      </c>
    </row>
    <row r="14" spans="1:4" x14ac:dyDescent="0.25">
      <c r="A14" s="245" t="s">
        <v>26</v>
      </c>
      <c r="B14" s="3"/>
      <c r="C14" s="3"/>
      <c r="D14" s="3"/>
    </row>
    <row r="15" spans="1:4" x14ac:dyDescent="0.25">
      <c r="A15" s="246" t="s">
        <v>26</v>
      </c>
      <c r="B15" s="3">
        <v>-13550368.83379147</v>
      </c>
      <c r="C15" s="3">
        <v>4608067.8804107169</v>
      </c>
      <c r="D15" s="3">
        <v>-18158436.714202184</v>
      </c>
    </row>
    <row r="16" spans="1:4" x14ac:dyDescent="0.25">
      <c r="A16" s="245" t="s">
        <v>45</v>
      </c>
      <c r="B16" s="3"/>
      <c r="C16" s="3"/>
      <c r="D16" s="3"/>
    </row>
    <row r="17" spans="1:4" x14ac:dyDescent="0.25">
      <c r="A17" s="246" t="s">
        <v>1</v>
      </c>
      <c r="B17" s="3">
        <v>-617924.75170522952</v>
      </c>
      <c r="C17" s="3">
        <v>-12558883.900882704</v>
      </c>
      <c r="D17" s="3">
        <v>11940959.149177475</v>
      </c>
    </row>
    <row r="18" spans="1:4" x14ac:dyDescent="0.25">
      <c r="A18" s="246" t="s">
        <v>12</v>
      </c>
      <c r="B18" s="3">
        <v>-203325688.47999999</v>
      </c>
      <c r="C18" s="3">
        <v>-40119811.454329111</v>
      </c>
      <c r="D18" s="3">
        <v>-163205877.02567089</v>
      </c>
    </row>
    <row r="19" spans="1:4" x14ac:dyDescent="0.25">
      <c r="A19" s="246" t="s">
        <v>26</v>
      </c>
      <c r="B19" s="3">
        <v>-1635.29</v>
      </c>
      <c r="C19" s="3">
        <v>0</v>
      </c>
      <c r="D19" s="3">
        <v>-1635.29</v>
      </c>
    </row>
    <row r="20" spans="1:4" x14ac:dyDescent="0.25">
      <c r="A20" s="246" t="s">
        <v>29</v>
      </c>
      <c r="B20" s="3">
        <v>-19661839.260000002</v>
      </c>
      <c r="C20" s="3">
        <v>-10173066.606914049</v>
      </c>
      <c r="D20" s="3">
        <v>-9488772.6530859526</v>
      </c>
    </row>
    <row r="21" spans="1:4" x14ac:dyDescent="0.25">
      <c r="A21" s="246" t="s">
        <v>28</v>
      </c>
      <c r="B21" s="3">
        <v>-44028432.891698539</v>
      </c>
      <c r="C21" s="3">
        <v>-9047247.2370254043</v>
      </c>
      <c r="D21" s="3">
        <v>-34981185.654673137</v>
      </c>
    </row>
    <row r="22" spans="1:4" x14ac:dyDescent="0.25">
      <c r="A22" s="245" t="s">
        <v>41</v>
      </c>
      <c r="B22" s="3"/>
      <c r="C22" s="3"/>
      <c r="D22" s="3"/>
    </row>
    <row r="23" spans="1:4" x14ac:dyDescent="0.25">
      <c r="A23" s="246" t="s">
        <v>10</v>
      </c>
      <c r="B23" s="3">
        <v>-92570410.728071377</v>
      </c>
      <c r="C23" s="3">
        <v>-59029849.163552389</v>
      </c>
      <c r="D23" s="3">
        <v>-33540561.564518977</v>
      </c>
    </row>
    <row r="24" spans="1:4" x14ac:dyDescent="0.25">
      <c r="A24" s="246" t="s">
        <v>822</v>
      </c>
      <c r="B24" s="3">
        <v>-1442703.39398975</v>
      </c>
      <c r="C24" s="3">
        <v>-7165996.3759999918</v>
      </c>
      <c r="D24" s="3">
        <v>5723292.9820102416</v>
      </c>
    </row>
    <row r="25" spans="1:4" x14ac:dyDescent="0.25">
      <c r="A25" s="246" t="s">
        <v>15</v>
      </c>
      <c r="B25" s="3">
        <v>-158669103.47773042</v>
      </c>
      <c r="C25" s="3">
        <v>-177412055.06673956</v>
      </c>
      <c r="D25" s="3">
        <v>18742951.589009125</v>
      </c>
    </row>
    <row r="26" spans="1:4" x14ac:dyDescent="0.25">
      <c r="A26" s="246" t="s">
        <v>19</v>
      </c>
      <c r="B26" s="3">
        <v>-3100110.6847722479</v>
      </c>
      <c r="C26" s="3">
        <v>-13216826.700870501</v>
      </c>
      <c r="D26" s="3">
        <v>10116716.016098252</v>
      </c>
    </row>
    <row r="27" spans="1:4" x14ac:dyDescent="0.25">
      <c r="A27" s="246" t="s">
        <v>31</v>
      </c>
      <c r="B27" s="3">
        <v>-1258562.3289936027</v>
      </c>
      <c r="C27" s="3">
        <v>-4266596.526499996</v>
      </c>
      <c r="D27" s="3">
        <v>3008034.1975063933</v>
      </c>
    </row>
    <row r="28" spans="1:4" x14ac:dyDescent="0.25">
      <c r="A28" s="246" t="s">
        <v>2</v>
      </c>
      <c r="B28" s="3">
        <v>-2741448.25</v>
      </c>
      <c r="C28" s="3">
        <v>-32512440.305859655</v>
      </c>
      <c r="D28" s="3">
        <v>29770992.055859651</v>
      </c>
    </row>
    <row r="29" spans="1:4" x14ac:dyDescent="0.25">
      <c r="A29" s="246" t="s">
        <v>872</v>
      </c>
      <c r="B29" s="3">
        <v>-27941458.081862036</v>
      </c>
      <c r="C29" s="3">
        <v>-104544526.2964678</v>
      </c>
      <c r="D29" s="3">
        <v>76603068.214605749</v>
      </c>
    </row>
    <row r="30" spans="1:4" x14ac:dyDescent="0.25">
      <c r="A30" s="2" t="s">
        <v>159</v>
      </c>
      <c r="B30" s="3">
        <v>-242978733.28695914</v>
      </c>
      <c r="C30" s="3">
        <v>-204137779.13070267</v>
      </c>
      <c r="D30" s="3">
        <v>-38840954.156256482</v>
      </c>
    </row>
    <row r="31" spans="1:4" x14ac:dyDescent="0.25">
      <c r="A31" s="245" t="s">
        <v>821</v>
      </c>
      <c r="B31" s="3"/>
      <c r="C31" s="3"/>
      <c r="D31" s="3"/>
    </row>
    <row r="32" spans="1:4" x14ac:dyDescent="0.25">
      <c r="A32" s="246" t="s">
        <v>5</v>
      </c>
      <c r="B32" s="3">
        <v>198563.8</v>
      </c>
      <c r="C32" s="3">
        <v>3005100</v>
      </c>
      <c r="D32" s="3">
        <v>-2806536.2</v>
      </c>
    </row>
    <row r="33" spans="1:4" x14ac:dyDescent="0.25">
      <c r="A33" s="246" t="s">
        <v>6</v>
      </c>
      <c r="B33" s="3">
        <v>-646283.88695918606</v>
      </c>
      <c r="C33" s="3">
        <v>0</v>
      </c>
      <c r="D33" s="3">
        <v>-646283.88695918606</v>
      </c>
    </row>
    <row r="34" spans="1:4" x14ac:dyDescent="0.25">
      <c r="A34" s="246" t="s">
        <v>7</v>
      </c>
      <c r="B34" s="3">
        <v>-84839700.385496676</v>
      </c>
      <c r="C34" s="3">
        <v>-16270357.265479326</v>
      </c>
      <c r="D34" s="3">
        <v>-68569343.12001735</v>
      </c>
    </row>
    <row r="35" spans="1:4" x14ac:dyDescent="0.25">
      <c r="A35" s="246" t="s">
        <v>24</v>
      </c>
      <c r="B35" s="3">
        <v>-37414039.473461226</v>
      </c>
      <c r="C35" s="3">
        <v>-143932.33533800021</v>
      </c>
      <c r="D35" s="3">
        <v>-37270107.138123222</v>
      </c>
    </row>
    <row r="36" spans="1:4" x14ac:dyDescent="0.25">
      <c r="A36" s="245" t="s">
        <v>26</v>
      </c>
      <c r="B36" s="3"/>
      <c r="C36" s="3"/>
      <c r="D36" s="3"/>
    </row>
    <row r="37" spans="1:4" x14ac:dyDescent="0.25">
      <c r="A37" s="246" t="s">
        <v>26</v>
      </c>
      <c r="B37" s="3">
        <v>-7966389.5071139969</v>
      </c>
      <c r="C37" s="3">
        <v>-15876793.497696357</v>
      </c>
      <c r="D37" s="3">
        <v>7910403.99058236</v>
      </c>
    </row>
    <row r="38" spans="1:4" x14ac:dyDescent="0.25">
      <c r="A38" s="245" t="s">
        <v>45</v>
      </c>
      <c r="B38" s="3"/>
      <c r="C38" s="3"/>
      <c r="D38" s="3"/>
    </row>
    <row r="39" spans="1:4" x14ac:dyDescent="0.25">
      <c r="A39" s="246" t="s">
        <v>21</v>
      </c>
      <c r="B39" s="3">
        <v>-110540.0559775251</v>
      </c>
      <c r="C39" s="3">
        <v>0</v>
      </c>
      <c r="D39" s="3">
        <v>-110540.0559775251</v>
      </c>
    </row>
    <row r="40" spans="1:4" x14ac:dyDescent="0.25">
      <c r="A40" s="245" t="s">
        <v>41</v>
      </c>
      <c r="B40" s="3"/>
      <c r="C40" s="3"/>
      <c r="D40" s="3"/>
    </row>
    <row r="41" spans="1:4" x14ac:dyDescent="0.25">
      <c r="A41" s="246" t="s">
        <v>11</v>
      </c>
      <c r="B41" s="3">
        <v>-18678693.869571436</v>
      </c>
      <c r="C41" s="3">
        <v>-20923806.861923188</v>
      </c>
      <c r="D41" s="3">
        <v>2245112.9923517527</v>
      </c>
    </row>
    <row r="42" spans="1:4" x14ac:dyDescent="0.25">
      <c r="A42" s="246" t="s">
        <v>13</v>
      </c>
      <c r="B42" s="3">
        <v>-14280358.702547446</v>
      </c>
      <c r="C42" s="3">
        <v>-24475978.043454606</v>
      </c>
      <c r="D42" s="3">
        <v>10195619.340907168</v>
      </c>
    </row>
    <row r="43" spans="1:4" x14ac:dyDescent="0.25">
      <c r="A43" s="246" t="s">
        <v>20</v>
      </c>
      <c r="B43" s="3">
        <v>-3197291.1599999997</v>
      </c>
      <c r="C43" s="3">
        <v>-576037.5544989194</v>
      </c>
      <c r="D43" s="3">
        <v>-2621253.6055010799</v>
      </c>
    </row>
    <row r="44" spans="1:4" x14ac:dyDescent="0.25">
      <c r="A44" s="246" t="s">
        <v>872</v>
      </c>
      <c r="B44" s="3">
        <v>-6439970.9736460894</v>
      </c>
      <c r="C44" s="3">
        <v>-62537804.720619835</v>
      </c>
      <c r="D44" s="3">
        <v>56097833.746973746</v>
      </c>
    </row>
    <row r="45" spans="1:4" x14ac:dyDescent="0.25">
      <c r="A45" s="246" t="s">
        <v>25</v>
      </c>
      <c r="B45" s="3">
        <v>-63783669.408559777</v>
      </c>
      <c r="C45" s="3">
        <v>-49664371.494003989</v>
      </c>
      <c r="D45" s="3">
        <v>-14119297.914555788</v>
      </c>
    </row>
    <row r="46" spans="1:4" x14ac:dyDescent="0.25">
      <c r="A46" s="246" t="s">
        <v>3</v>
      </c>
      <c r="B46" s="3">
        <v>-5820359.6636258261</v>
      </c>
      <c r="C46" s="3">
        <v>-16673797.357688457</v>
      </c>
      <c r="D46" s="3">
        <v>10853437.694062632</v>
      </c>
    </row>
    <row r="47" spans="1:4" x14ac:dyDescent="0.25">
      <c r="A47" s="2" t="s">
        <v>32</v>
      </c>
      <c r="B47" s="3">
        <v>-902698887.35631657</v>
      </c>
      <c r="C47" s="3">
        <v>-678742194.85387051</v>
      </c>
      <c r="D47" s="3">
        <v>-223956692.50244579</v>
      </c>
    </row>
  </sheetData>
  <printOptions horizontalCentered="1"/>
  <pageMargins left="0.7" right="0.7" top="0.75" bottom="0.75" header="0.3" footer="0.3"/>
  <pageSetup scale="98" orientation="portrait" horizontalDpi="1200" verticalDpi="1200" r:id="rId2"/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C36" sqref="C36"/>
    </sheetView>
  </sheetViews>
  <sheetFormatPr defaultRowHeight="15" x14ac:dyDescent="0.25"/>
  <cols>
    <col min="1" max="1" width="39.140625" customWidth="1"/>
    <col min="2" max="2" width="17.85546875" customWidth="1"/>
    <col min="3" max="4" width="16" customWidth="1"/>
  </cols>
  <sheetData>
    <row r="1" spans="1:4" x14ac:dyDescent="0.25">
      <c r="A1" s="231" t="s">
        <v>185</v>
      </c>
      <c r="B1" t="s">
        <v>823</v>
      </c>
    </row>
    <row r="3" spans="1:4" ht="45" x14ac:dyDescent="0.25">
      <c r="A3" s="231" t="s">
        <v>167</v>
      </c>
      <c r="B3" s="214" t="s">
        <v>1145</v>
      </c>
      <c r="C3" s="214" t="s">
        <v>809</v>
      </c>
      <c r="D3" s="214" t="s">
        <v>170</v>
      </c>
    </row>
    <row r="4" spans="1:4" x14ac:dyDescent="0.25">
      <c r="A4" s="2" t="s">
        <v>808</v>
      </c>
      <c r="B4" s="3">
        <v>-214700937.46258667</v>
      </c>
      <c r="C4" s="3">
        <v>-101518135.91797721</v>
      </c>
      <c r="D4" s="3">
        <v>-113182801.54460949</v>
      </c>
    </row>
    <row r="5" spans="1:4" x14ac:dyDescent="0.25">
      <c r="A5" s="245" t="s">
        <v>2</v>
      </c>
      <c r="B5" s="3">
        <v>-2741448.25</v>
      </c>
      <c r="C5" s="3">
        <v>-32512440.305859655</v>
      </c>
      <c r="D5" s="3">
        <v>29770992.055859651</v>
      </c>
    </row>
    <row r="6" spans="1:4" x14ac:dyDescent="0.25">
      <c r="A6" s="245" t="s">
        <v>3</v>
      </c>
      <c r="B6" s="3">
        <v>-5820359.6636258261</v>
      </c>
      <c r="C6" s="3">
        <v>-16673797.357688457</v>
      </c>
      <c r="D6" s="3">
        <v>10853437.694062632</v>
      </c>
    </row>
    <row r="7" spans="1:4" x14ac:dyDescent="0.25">
      <c r="A7" s="245" t="s">
        <v>12</v>
      </c>
      <c r="B7" s="3">
        <v>-203325688.47999999</v>
      </c>
      <c r="C7" s="3">
        <v>-40119811.454329111</v>
      </c>
      <c r="D7" s="3">
        <v>-163205877.02567089</v>
      </c>
    </row>
    <row r="8" spans="1:4" x14ac:dyDescent="0.25">
      <c r="A8" s="245" t="s">
        <v>822</v>
      </c>
      <c r="B8" s="3">
        <v>-1442703.39398975</v>
      </c>
      <c r="C8" s="3">
        <v>-7165996.3759999918</v>
      </c>
      <c r="D8" s="3">
        <v>5723292.9820102416</v>
      </c>
    </row>
    <row r="9" spans="1:4" x14ac:dyDescent="0.25">
      <c r="A9" s="245" t="s">
        <v>21</v>
      </c>
      <c r="B9" s="3">
        <v>-110540.0559775251</v>
      </c>
      <c r="C9" s="3">
        <v>0</v>
      </c>
      <c r="D9" s="3">
        <v>-110540.0559775251</v>
      </c>
    </row>
    <row r="10" spans="1:4" x14ac:dyDescent="0.25">
      <c r="A10" s="245" t="s">
        <v>26</v>
      </c>
      <c r="B10" s="3">
        <v>-1635.29</v>
      </c>
      <c r="C10" s="3">
        <v>0</v>
      </c>
      <c r="D10" s="3">
        <v>-1635.29</v>
      </c>
    </row>
    <row r="11" spans="1:4" x14ac:dyDescent="0.25">
      <c r="A11" s="245" t="s">
        <v>31</v>
      </c>
      <c r="B11" s="3">
        <v>-1258562.3289936027</v>
      </c>
      <c r="C11" s="3">
        <v>-4266596.526499996</v>
      </c>
      <c r="D11" s="3">
        <v>3008034.1975063933</v>
      </c>
    </row>
    <row r="12" spans="1:4" x14ac:dyDescent="0.25">
      <c r="A12" s="245" t="s">
        <v>808</v>
      </c>
      <c r="B12" s="3"/>
      <c r="C12" s="3">
        <v>-779493.89760000783</v>
      </c>
      <c r="D12" s="3">
        <v>779493.89760000783</v>
      </c>
    </row>
    <row r="13" spans="1:4" x14ac:dyDescent="0.25">
      <c r="A13" s="2" t="s">
        <v>848</v>
      </c>
      <c r="B13" s="3">
        <v>-21619864.110905468</v>
      </c>
      <c r="C13" s="3">
        <v>-12515349.617285645</v>
      </c>
      <c r="D13" s="3">
        <v>-9104514.4936198201</v>
      </c>
    </row>
    <row r="14" spans="1:4" x14ac:dyDescent="0.25">
      <c r="A14" s="245" t="s">
        <v>26</v>
      </c>
      <c r="B14" s="3">
        <v>-21619864.110905468</v>
      </c>
      <c r="C14" s="3">
        <v>-12515349.617285645</v>
      </c>
      <c r="D14" s="3">
        <v>-9104514.4936198201</v>
      </c>
    </row>
    <row r="15" spans="1:4" x14ac:dyDescent="0.25">
      <c r="A15" s="2" t="s">
        <v>851</v>
      </c>
      <c r="B15" s="3">
        <v>-158669103.47773042</v>
      </c>
      <c r="C15" s="3">
        <v>-177412055.06673956</v>
      </c>
      <c r="D15" s="3">
        <v>18742951.589009125</v>
      </c>
    </row>
    <row r="16" spans="1:4" x14ac:dyDescent="0.25">
      <c r="A16" s="245" t="s">
        <v>15</v>
      </c>
      <c r="B16" s="3">
        <v>-158669103.47773042</v>
      </c>
      <c r="C16" s="3">
        <v>-177412055.06673956</v>
      </c>
      <c r="D16" s="3">
        <v>18742951.589009125</v>
      </c>
    </row>
    <row r="17" spans="1:4" x14ac:dyDescent="0.25">
      <c r="A17" s="2" t="s">
        <v>850</v>
      </c>
      <c r="B17" s="3">
        <v>-90626548.156742528</v>
      </c>
      <c r="C17" s="3">
        <v>-7918559.9684375096</v>
      </c>
      <c r="D17" s="3">
        <v>-82707988.18830502</v>
      </c>
    </row>
    <row r="18" spans="1:4" x14ac:dyDescent="0.25">
      <c r="A18" s="245" t="s">
        <v>4</v>
      </c>
      <c r="B18" s="3">
        <v>14562652.299999999</v>
      </c>
      <c r="C18" s="3">
        <v>6382400.0000000037</v>
      </c>
      <c r="D18" s="3">
        <v>8180252.2999999952</v>
      </c>
    </row>
    <row r="19" spans="1:4" x14ac:dyDescent="0.25">
      <c r="A19" s="245" t="s">
        <v>6</v>
      </c>
      <c r="B19" s="3">
        <v>-82732671.985983774</v>
      </c>
      <c r="C19" s="3">
        <v>-4503420.9951020703</v>
      </c>
      <c r="D19" s="3">
        <v>-78229250.990881711</v>
      </c>
    </row>
    <row r="20" spans="1:4" x14ac:dyDescent="0.25">
      <c r="A20" s="245" t="s">
        <v>23</v>
      </c>
      <c r="B20" s="3">
        <v>-22456528.470758755</v>
      </c>
      <c r="C20" s="3">
        <v>-9797538.9733354431</v>
      </c>
      <c r="D20" s="3">
        <v>-12658989.497423312</v>
      </c>
    </row>
    <row r="21" spans="1:4" x14ac:dyDescent="0.25">
      <c r="A21" s="2" t="s">
        <v>849</v>
      </c>
      <c r="B21" s="3">
        <v>-122701459.94591708</v>
      </c>
      <c r="C21" s="3">
        <v>-13409189.600817326</v>
      </c>
      <c r="D21" s="3">
        <v>-109292270.34509975</v>
      </c>
    </row>
    <row r="22" spans="1:4" x14ac:dyDescent="0.25">
      <c r="A22" s="245" t="s">
        <v>5</v>
      </c>
      <c r="B22" s="3">
        <v>198563.8</v>
      </c>
      <c r="C22" s="3">
        <v>3005100</v>
      </c>
      <c r="D22" s="3">
        <v>-2806536.2</v>
      </c>
    </row>
    <row r="23" spans="1:4" x14ac:dyDescent="0.25">
      <c r="A23" s="245" t="s">
        <v>6</v>
      </c>
      <c r="B23" s="3">
        <v>-646283.88695918606</v>
      </c>
      <c r="C23" s="3">
        <v>0</v>
      </c>
      <c r="D23" s="3">
        <v>-646283.88695918606</v>
      </c>
    </row>
    <row r="24" spans="1:4" x14ac:dyDescent="0.25">
      <c r="A24" s="245" t="s">
        <v>7</v>
      </c>
      <c r="B24" s="3">
        <v>-84839700.385496676</v>
      </c>
      <c r="C24" s="3">
        <v>-16270357.265479326</v>
      </c>
      <c r="D24" s="3">
        <v>-68569343.12001735</v>
      </c>
    </row>
    <row r="25" spans="1:4" x14ac:dyDescent="0.25">
      <c r="A25" s="245" t="s">
        <v>24</v>
      </c>
      <c r="B25" s="3">
        <v>-37414039.473461226</v>
      </c>
      <c r="C25" s="3">
        <v>-143932.33533800021</v>
      </c>
      <c r="D25" s="3">
        <v>-37270107.138123222</v>
      </c>
    </row>
    <row r="26" spans="1:4" x14ac:dyDescent="0.25">
      <c r="A26" s="2" t="s">
        <v>853</v>
      </c>
      <c r="B26" s="3">
        <v>-3100110.6847722479</v>
      </c>
      <c r="C26" s="3">
        <v>-13216826.700870501</v>
      </c>
      <c r="D26" s="3">
        <v>10116716.016098252</v>
      </c>
    </row>
    <row r="27" spans="1:4" x14ac:dyDescent="0.25">
      <c r="A27" s="245" t="s">
        <v>19</v>
      </c>
      <c r="B27" s="3">
        <v>-3100110.6847722479</v>
      </c>
      <c r="C27" s="3">
        <v>-13216826.700870501</v>
      </c>
      <c r="D27" s="3">
        <v>10116716.016098252</v>
      </c>
    </row>
    <row r="28" spans="1:4" x14ac:dyDescent="0.25">
      <c r="A28" s="2" t="s">
        <v>846</v>
      </c>
      <c r="B28" s="3">
        <v>-111249104.59764281</v>
      </c>
      <c r="C28" s="3">
        <v>-79953656.025475577</v>
      </c>
      <c r="D28" s="3">
        <v>-31295448.572167225</v>
      </c>
    </row>
    <row r="29" spans="1:4" x14ac:dyDescent="0.25">
      <c r="A29" s="245" t="s">
        <v>10</v>
      </c>
      <c r="B29" s="3">
        <v>-92570410.728071377</v>
      </c>
      <c r="C29" s="3">
        <v>-59029849.163552389</v>
      </c>
      <c r="D29" s="3">
        <v>-33540561.564518977</v>
      </c>
    </row>
    <row r="30" spans="1:4" x14ac:dyDescent="0.25">
      <c r="A30" s="245" t="s">
        <v>11</v>
      </c>
      <c r="B30" s="3">
        <v>-18678693.869571436</v>
      </c>
      <c r="C30" s="3">
        <v>-20923806.861923188</v>
      </c>
      <c r="D30" s="3">
        <v>2245112.9923517527</v>
      </c>
    </row>
    <row r="31" spans="1:4" x14ac:dyDescent="0.25">
      <c r="A31" s="2" t="s">
        <v>844</v>
      </c>
      <c r="B31" s="3">
        <v>-34462242.745508127</v>
      </c>
      <c r="C31" s="3">
        <v>-167082331.01708764</v>
      </c>
      <c r="D31" s="3">
        <v>132620088.2715795</v>
      </c>
    </row>
    <row r="32" spans="1:4" x14ac:dyDescent="0.25">
      <c r="A32" s="245" t="s">
        <v>872</v>
      </c>
      <c r="B32" s="3">
        <v>-34462242.745508127</v>
      </c>
      <c r="C32" s="3">
        <v>-167082331.01708764</v>
      </c>
      <c r="D32" s="3">
        <v>132620088.2715795</v>
      </c>
    </row>
    <row r="33" spans="1:4" x14ac:dyDescent="0.25">
      <c r="A33" s="2" t="s">
        <v>852</v>
      </c>
      <c r="B33" s="3">
        <v>-14280358.702547446</v>
      </c>
      <c r="C33" s="3">
        <v>-24475978.043454606</v>
      </c>
      <c r="D33" s="3">
        <v>10195619.340907168</v>
      </c>
    </row>
    <row r="34" spans="1:4" x14ac:dyDescent="0.25">
      <c r="A34" s="245" t="s">
        <v>13</v>
      </c>
      <c r="B34" s="3">
        <v>-14280358.702547446</v>
      </c>
      <c r="C34" s="3">
        <v>-24475978.043454606</v>
      </c>
      <c r="D34" s="3">
        <v>10195619.340907168</v>
      </c>
    </row>
    <row r="35" spans="1:4" x14ac:dyDescent="0.25">
      <c r="A35" s="2" t="s">
        <v>854</v>
      </c>
      <c r="B35" s="3">
        <v>-3197291.1599999997</v>
      </c>
      <c r="C35" s="3">
        <v>-576037.5544989194</v>
      </c>
      <c r="D35" s="3">
        <v>-2621253.6055010799</v>
      </c>
    </row>
    <row r="36" spans="1:4" x14ac:dyDescent="0.25">
      <c r="A36" s="245" t="s">
        <v>20</v>
      </c>
      <c r="B36" s="3">
        <v>-3197291.1599999997</v>
      </c>
      <c r="C36" s="3">
        <v>-576037.5544989194</v>
      </c>
      <c r="D36" s="3">
        <v>-2621253.6055010799</v>
      </c>
    </row>
    <row r="37" spans="1:4" x14ac:dyDescent="0.25">
      <c r="A37" s="2" t="s">
        <v>847</v>
      </c>
      <c r="B37" s="3">
        <v>-63783669.408559777</v>
      </c>
      <c r="C37" s="3">
        <v>-49664371.494003989</v>
      </c>
      <c r="D37" s="3">
        <v>-14119297.914555788</v>
      </c>
    </row>
    <row r="38" spans="1:4" x14ac:dyDescent="0.25">
      <c r="A38" s="245" t="s">
        <v>25</v>
      </c>
      <c r="B38" s="3">
        <v>-63783669.408559777</v>
      </c>
      <c r="C38" s="3">
        <v>-49664371.494003989</v>
      </c>
      <c r="D38" s="3">
        <v>-14119297.914555788</v>
      </c>
    </row>
    <row r="39" spans="1:4" x14ac:dyDescent="0.25">
      <c r="A39" s="2" t="s">
        <v>845</v>
      </c>
      <c r="B39" s="3">
        <v>-617924.75170522952</v>
      </c>
      <c r="C39" s="3">
        <v>-12558883.900882704</v>
      </c>
      <c r="D39" s="3">
        <v>11940959.149177475</v>
      </c>
    </row>
    <row r="40" spans="1:4" x14ac:dyDescent="0.25">
      <c r="A40" s="245" t="s">
        <v>1</v>
      </c>
      <c r="B40" s="3">
        <v>-617924.75170522952</v>
      </c>
      <c r="C40" s="3">
        <v>-12558883.900882704</v>
      </c>
      <c r="D40" s="3">
        <v>11940959.149177475</v>
      </c>
    </row>
    <row r="41" spans="1:4" x14ac:dyDescent="0.25">
      <c r="A41" s="2" t="s">
        <v>855</v>
      </c>
      <c r="B41" s="3">
        <v>-44028432.891698539</v>
      </c>
      <c r="C41" s="3">
        <v>-9047247.2370254043</v>
      </c>
      <c r="D41" s="3">
        <v>-34981185.654673137</v>
      </c>
    </row>
    <row r="42" spans="1:4" x14ac:dyDescent="0.25">
      <c r="A42" s="245" t="s">
        <v>28</v>
      </c>
      <c r="B42" s="3">
        <v>-44028432.891698539</v>
      </c>
      <c r="C42" s="3">
        <v>-9047247.2370254043</v>
      </c>
      <c r="D42" s="3">
        <v>-34981185.654673137</v>
      </c>
    </row>
    <row r="43" spans="1:4" x14ac:dyDescent="0.25">
      <c r="A43" s="2" t="s">
        <v>856</v>
      </c>
      <c r="B43" s="3">
        <v>-19661839.260000002</v>
      </c>
      <c r="C43" s="3">
        <v>-10173066.606914049</v>
      </c>
      <c r="D43" s="3">
        <v>-9488772.6530859526</v>
      </c>
    </row>
    <row r="44" spans="1:4" x14ac:dyDescent="0.25">
      <c r="A44" s="245" t="s">
        <v>29</v>
      </c>
      <c r="B44" s="3">
        <v>-19661839.260000002</v>
      </c>
      <c r="C44" s="3">
        <v>-10173066.606914049</v>
      </c>
      <c r="D44" s="3">
        <v>-9488772.6530859526</v>
      </c>
    </row>
    <row r="45" spans="1:4" x14ac:dyDescent="0.25">
      <c r="A45" s="2" t="s">
        <v>32</v>
      </c>
      <c r="B45" s="3">
        <v>-902698887.35631633</v>
      </c>
      <c r="C45" s="3">
        <v>-679521688.75147069</v>
      </c>
      <c r="D45" s="3">
        <v>-223177198.60484579</v>
      </c>
    </row>
    <row r="46" spans="1:4" x14ac:dyDescent="0.25">
      <c r="B46" s="257"/>
      <c r="C46" s="257"/>
      <c r="D46" s="257"/>
    </row>
    <row r="47" spans="1:4" x14ac:dyDescent="0.25">
      <c r="B47" s="257"/>
      <c r="C47" s="257"/>
      <c r="D47" s="257"/>
    </row>
    <row r="48" spans="1:4" x14ac:dyDescent="0.25">
      <c r="B48" s="257"/>
      <c r="C48" s="257"/>
      <c r="D48" s="257"/>
    </row>
  </sheetData>
  <pageMargins left="0.7" right="0.7" top="0.75" bottom="0.75" header="0.3" footer="0.3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opLeftCell="A10" zoomScale="85" zoomScaleNormal="85" workbookViewId="0">
      <selection activeCell="E8" sqref="E8"/>
    </sheetView>
  </sheetViews>
  <sheetFormatPr defaultRowHeight="15" x14ac:dyDescent="0.25"/>
  <cols>
    <col min="2" max="2" width="15.7109375" customWidth="1"/>
    <col min="3" max="3" width="12" bestFit="1" customWidth="1"/>
    <col min="4" max="4" width="15.5703125" bestFit="1" customWidth="1"/>
    <col min="5" max="5" width="14.28515625" bestFit="1" customWidth="1"/>
    <col min="6" max="6" width="16.5703125" bestFit="1" customWidth="1"/>
    <col min="7" max="7" width="12.85546875" bestFit="1" customWidth="1"/>
    <col min="8" max="8" width="16.42578125" bestFit="1" customWidth="1"/>
  </cols>
  <sheetData>
    <row r="2" spans="2:15" x14ac:dyDescent="0.25">
      <c r="B2" t="s">
        <v>828</v>
      </c>
    </row>
    <row r="4" spans="2:15" x14ac:dyDescent="0.25">
      <c r="C4" s="282"/>
      <c r="D4" s="282"/>
      <c r="E4" s="282"/>
      <c r="F4" s="282"/>
      <c r="G4" s="282"/>
      <c r="H4" s="282"/>
    </row>
    <row r="5" spans="2:15" x14ac:dyDescent="0.25">
      <c r="B5" s="283" t="s">
        <v>829</v>
      </c>
      <c r="C5" s="283" t="s">
        <v>830</v>
      </c>
      <c r="D5" s="283">
        <v>2022</v>
      </c>
      <c r="E5" s="283">
        <v>2023</v>
      </c>
      <c r="F5" s="283">
        <v>2024</v>
      </c>
      <c r="G5" s="283">
        <v>2025</v>
      </c>
      <c r="H5" s="283" t="s">
        <v>831</v>
      </c>
    </row>
    <row r="6" spans="2:15" x14ac:dyDescent="0.25">
      <c r="B6" s="284"/>
      <c r="C6" s="284"/>
      <c r="D6" s="284"/>
      <c r="E6" s="284"/>
      <c r="F6" s="284"/>
      <c r="G6" s="284"/>
      <c r="H6" s="284"/>
    </row>
    <row r="7" spans="2:15" x14ac:dyDescent="0.25">
      <c r="B7" s="284" t="s">
        <v>832</v>
      </c>
      <c r="C7" s="285">
        <v>0</v>
      </c>
      <c r="D7" s="285">
        <v>-40119811.454329111</v>
      </c>
      <c r="E7" s="285">
        <v>0</v>
      </c>
      <c r="F7" s="285">
        <v>-256428722.37744194</v>
      </c>
      <c r="G7" s="285">
        <v>-254417.050227406</v>
      </c>
      <c r="H7" s="285">
        <v>-296802950.88199842</v>
      </c>
    </row>
    <row r="8" spans="2:15" x14ac:dyDescent="0.25">
      <c r="B8" s="284" t="s">
        <v>833</v>
      </c>
      <c r="C8" s="286">
        <v>0</v>
      </c>
      <c r="D8" s="286">
        <v>0</v>
      </c>
      <c r="E8" s="286">
        <v>-40119811.454329111</v>
      </c>
      <c r="F8" s="286">
        <v>-256683139.42766923</v>
      </c>
      <c r="G8" s="286"/>
      <c r="H8" s="285">
        <v>-296802950.88199842</v>
      </c>
    </row>
    <row r="9" spans="2:15" ht="15.75" thickBot="1" x14ac:dyDescent="0.3">
      <c r="B9" s="284" t="s">
        <v>834</v>
      </c>
      <c r="C9" s="287">
        <f>C7-C8</f>
        <v>0</v>
      </c>
      <c r="D9" s="287">
        <f t="shared" ref="D9:H9" si="0">D7-D8</f>
        <v>-40119811.454329111</v>
      </c>
      <c r="E9" s="287">
        <f t="shared" si="0"/>
        <v>40119811.454329111</v>
      </c>
      <c r="F9" s="287">
        <f t="shared" si="0"/>
        <v>254417.05022728443</v>
      </c>
      <c r="G9" s="287">
        <f t="shared" si="0"/>
        <v>-254417.050227406</v>
      </c>
      <c r="H9" s="287">
        <f t="shared" si="0"/>
        <v>0</v>
      </c>
    </row>
    <row r="10" spans="2:15" ht="15.75" thickTop="1" x14ac:dyDescent="0.25">
      <c r="B10" s="284"/>
      <c r="C10" s="291"/>
      <c r="D10" s="291"/>
      <c r="E10" s="291"/>
      <c r="F10" s="291"/>
      <c r="G10" s="291"/>
      <c r="H10" s="291"/>
    </row>
    <row r="11" spans="2:15" x14ac:dyDescent="0.25">
      <c r="B11" s="284"/>
      <c r="C11" s="291"/>
      <c r="D11" s="291"/>
      <c r="E11" s="291"/>
      <c r="F11" s="291"/>
      <c r="G11" s="291"/>
      <c r="H11" s="291"/>
    </row>
    <row r="15" spans="2:15" x14ac:dyDescent="0.25">
      <c r="D15" s="288" t="s">
        <v>835</v>
      </c>
      <c r="O15" s="249" t="s">
        <v>836</v>
      </c>
    </row>
    <row r="16" spans="2:15" x14ac:dyDescent="0.25">
      <c r="D16" s="289" t="s">
        <v>837</v>
      </c>
    </row>
    <row r="17" spans="4:15" x14ac:dyDescent="0.25">
      <c r="D17" s="289" t="s">
        <v>838</v>
      </c>
    </row>
    <row r="18" spans="4:15" x14ac:dyDescent="0.25">
      <c r="D18" s="289" t="s">
        <v>839</v>
      </c>
      <c r="O18" s="290">
        <v>2.5100000000000001E-2</v>
      </c>
    </row>
    <row r="19" spans="4:15" x14ac:dyDescent="0.25">
      <c r="D19" s="289" t="s">
        <v>840</v>
      </c>
      <c r="O19" s="290">
        <v>1.54E-2</v>
      </c>
    </row>
    <row r="20" spans="4:15" x14ac:dyDescent="0.25">
      <c r="D20" s="289" t="s">
        <v>841</v>
      </c>
    </row>
    <row r="21" spans="4:15" x14ac:dyDescent="0.25">
      <c r="D21" s="68" t="s">
        <v>842</v>
      </c>
    </row>
    <row r="29" spans="4:15" x14ac:dyDescent="0.25">
      <c r="E29" t="s">
        <v>843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13" workbookViewId="0">
      <selection activeCell="D13" sqref="D13"/>
    </sheetView>
  </sheetViews>
  <sheetFormatPr defaultColWidth="9.28515625" defaultRowHeight="12.75" x14ac:dyDescent="0.2"/>
  <cols>
    <col min="1" max="1" width="4.28515625" style="134" bestFit="1" customWidth="1"/>
    <col min="2" max="2" width="58.7109375" style="134" customWidth="1"/>
    <col min="3" max="3" width="15" style="134" bestFit="1" customWidth="1"/>
    <col min="4" max="4" width="15.28515625" style="134" bestFit="1" customWidth="1"/>
    <col min="5" max="6" width="16.42578125" style="134" bestFit="1" customWidth="1"/>
    <col min="7" max="9" width="15.28515625" style="134" bestFit="1" customWidth="1"/>
    <col min="10" max="10" width="16.85546875" style="134" bestFit="1" customWidth="1"/>
    <col min="11" max="16384" width="9.28515625" style="134"/>
  </cols>
  <sheetData>
    <row r="1" spans="1:10" x14ac:dyDescent="0.2">
      <c r="A1" s="133" t="s">
        <v>128</v>
      </c>
      <c r="E1" s="135" t="s">
        <v>129</v>
      </c>
    </row>
    <row r="2" spans="1:10" x14ac:dyDescent="0.2">
      <c r="A2" s="133" t="s">
        <v>130</v>
      </c>
    </row>
    <row r="3" spans="1:10" x14ac:dyDescent="0.2">
      <c r="A3" s="133" t="s">
        <v>131</v>
      </c>
    </row>
    <row r="4" spans="1:10" x14ac:dyDescent="0.2">
      <c r="A4" s="133"/>
    </row>
    <row r="5" spans="1:10" x14ac:dyDescent="0.2">
      <c r="A5" s="136" t="s">
        <v>132</v>
      </c>
    </row>
    <row r="7" spans="1:10" ht="15" x14ac:dyDescent="0.25">
      <c r="A7" s="137" t="s">
        <v>133</v>
      </c>
      <c r="B7" s="137" t="s">
        <v>134</v>
      </c>
      <c r="C7" s="137">
        <v>2022</v>
      </c>
      <c r="D7" s="137">
        <v>2023</v>
      </c>
      <c r="E7" s="137">
        <v>2024</v>
      </c>
      <c r="F7" s="138"/>
    </row>
    <row r="8" spans="1:10" ht="15" x14ac:dyDescent="0.25">
      <c r="F8" s="138"/>
    </row>
    <row r="9" spans="1:10" ht="15" x14ac:dyDescent="0.25">
      <c r="A9" s="311">
        <f>ROW()</f>
        <v>9</v>
      </c>
      <c r="B9" s="306" t="s">
        <v>67</v>
      </c>
      <c r="C9" s="140">
        <v>2.6200000000000001E-2</v>
      </c>
      <c r="D9" s="140">
        <v>2.5499999999999998E-2</v>
      </c>
      <c r="E9" s="140">
        <v>2.5499999999999998E-2</v>
      </c>
      <c r="F9" s="141"/>
      <c r="G9" s="141"/>
      <c r="H9" s="141"/>
    </row>
    <row r="10" spans="1:10" ht="15" x14ac:dyDescent="0.25">
      <c r="A10" s="311">
        <f>ROW()</f>
        <v>10</v>
      </c>
      <c r="B10" s="306" t="s">
        <v>68</v>
      </c>
      <c r="C10" s="140">
        <v>7.2300000000000003E-2</v>
      </c>
      <c r="D10" s="140">
        <v>7.1599999999999997E-2</v>
      </c>
      <c r="E10" s="140">
        <v>7.1599999999999997E-2</v>
      </c>
      <c r="F10" s="141"/>
      <c r="G10" s="141"/>
      <c r="H10" s="141"/>
    </row>
    <row r="11" spans="1:10" ht="15" x14ac:dyDescent="0.25">
      <c r="A11" s="311">
        <f>ROW()</f>
        <v>11</v>
      </c>
      <c r="B11" s="306" t="s">
        <v>69</v>
      </c>
      <c r="C11" s="140">
        <v>0.21</v>
      </c>
      <c r="D11" s="140">
        <v>0.21</v>
      </c>
      <c r="E11" s="140">
        <v>0.21</v>
      </c>
      <c r="F11" s="141"/>
      <c r="G11" s="141"/>
      <c r="H11" s="141"/>
    </row>
    <row r="12" spans="1:10" ht="15" x14ac:dyDescent="0.25">
      <c r="A12" s="311">
        <f>ROW()</f>
        <v>12</v>
      </c>
      <c r="B12" s="306" t="s">
        <v>70</v>
      </c>
      <c r="C12" s="140">
        <v>0.752355</v>
      </c>
      <c r="D12" s="140">
        <v>0.752355</v>
      </c>
      <c r="E12" s="140">
        <v>0.752355</v>
      </c>
      <c r="F12" s="141"/>
      <c r="G12" s="141"/>
      <c r="H12" s="141"/>
    </row>
    <row r="13" spans="1:10" ht="15" x14ac:dyDescent="0.25">
      <c r="A13" s="311">
        <f>ROW()</f>
        <v>13</v>
      </c>
      <c r="B13" s="306" t="s">
        <v>110</v>
      </c>
      <c r="C13" s="142">
        <v>466843558.72516948</v>
      </c>
      <c r="D13" s="142">
        <v>682036404.07630312</v>
      </c>
      <c r="E13" s="142">
        <v>1388026490.6517072</v>
      </c>
      <c r="F13" s="143"/>
      <c r="G13" s="143"/>
      <c r="H13" s="143"/>
      <c r="I13" s="143"/>
      <c r="J13" s="143"/>
    </row>
    <row r="14" spans="1:10" ht="15" x14ac:dyDescent="0.25">
      <c r="A14" s="311">
        <f>ROW()</f>
        <v>14</v>
      </c>
      <c r="B14" s="306"/>
      <c r="C14" s="142"/>
      <c r="D14" s="142"/>
      <c r="E14" s="142"/>
      <c r="F14" s="141"/>
      <c r="G14" s="141"/>
      <c r="H14" s="141"/>
      <c r="I14" s="141"/>
      <c r="J14" s="141"/>
    </row>
    <row r="15" spans="1:10" ht="15" x14ac:dyDescent="0.25">
      <c r="A15" s="311">
        <f>ROW()</f>
        <v>15</v>
      </c>
      <c r="B15" s="306" t="s">
        <v>135</v>
      </c>
      <c r="C15" s="142">
        <v>-7056541.818855999</v>
      </c>
      <c r="D15" s="142">
        <v>-30022505.538783982</v>
      </c>
      <c r="E15" s="142">
        <v>-72434981.631290019</v>
      </c>
      <c r="F15" s="143"/>
      <c r="G15" s="143"/>
      <c r="H15" s="143"/>
      <c r="I15" s="143"/>
      <c r="J15" s="143"/>
    </row>
    <row r="16" spans="1:10" ht="15" x14ac:dyDescent="0.25">
      <c r="A16" s="311">
        <f>ROW()</f>
        <v>16</v>
      </c>
      <c r="B16" s="306" t="s">
        <v>136</v>
      </c>
      <c r="C16" s="144">
        <v>1731154.2774910009</v>
      </c>
      <c r="D16" s="144">
        <v>6205711.5625445591</v>
      </c>
      <c r="E16" s="144">
        <v>15652329.743660886</v>
      </c>
      <c r="F16" s="143"/>
      <c r="G16" s="143"/>
      <c r="H16" s="143"/>
      <c r="I16" s="143"/>
      <c r="J16" s="143"/>
    </row>
    <row r="17" spans="1:9" ht="15" x14ac:dyDescent="0.25">
      <c r="A17" s="311">
        <f>ROW()</f>
        <v>17</v>
      </c>
      <c r="B17" s="306" t="s">
        <v>137</v>
      </c>
      <c r="C17" s="145">
        <f>SUM(C15:C16)</f>
        <v>-5325387.5413649976</v>
      </c>
      <c r="D17" s="145">
        <f>SUM(D15:D16)</f>
        <v>-23816793.976239424</v>
      </c>
      <c r="E17" s="145">
        <f>SUM(E15:E16)</f>
        <v>-56782651.887629136</v>
      </c>
      <c r="F17" s="141"/>
      <c r="G17" s="141"/>
      <c r="H17" s="141"/>
    </row>
    <row r="18" spans="1:9" ht="15" x14ac:dyDescent="0.25">
      <c r="A18" s="311">
        <f>ROW()</f>
        <v>18</v>
      </c>
      <c r="B18" s="306" t="s">
        <v>138</v>
      </c>
      <c r="C18" s="144">
        <f>C13*C9*C11</f>
        <v>2568573.2601058823</v>
      </c>
      <c r="D18" s="144">
        <f>D13*D9*D11</f>
        <v>3652304.9438286028</v>
      </c>
      <c r="E18" s="144">
        <f>E13*E9*E11</f>
        <v>7432881.8574398914</v>
      </c>
      <c r="F18" s="141"/>
      <c r="G18" s="141"/>
      <c r="H18" s="141"/>
    </row>
    <row r="19" spans="1:9" ht="15" x14ac:dyDescent="0.25">
      <c r="A19" s="311">
        <f>ROW()</f>
        <v>19</v>
      </c>
      <c r="B19" s="306" t="s">
        <v>139</v>
      </c>
      <c r="C19" s="145">
        <f>SUM(C17:C18)</f>
        <v>-2756814.2812591153</v>
      </c>
      <c r="D19" s="145">
        <f>SUM(D17:D18)</f>
        <v>-20164489.032410823</v>
      </c>
      <c r="E19" s="145">
        <f>SUM(E17:E18)</f>
        <v>-49349770.030189246</v>
      </c>
      <c r="F19" s="141"/>
      <c r="G19" s="141"/>
      <c r="H19" s="141"/>
    </row>
    <row r="20" spans="1:9" ht="15" x14ac:dyDescent="0.25">
      <c r="A20" s="311">
        <f>ROW()</f>
        <v>20</v>
      </c>
      <c r="B20" s="306" t="s">
        <v>140</v>
      </c>
      <c r="C20" s="144">
        <f>C13*C10</f>
        <v>33752789.295829758</v>
      </c>
      <c r="D20" s="144">
        <f>D13*D10</f>
        <v>48833806.531863302</v>
      </c>
      <c r="E20" s="144">
        <f>E13*E10</f>
        <v>99382696.730662227</v>
      </c>
      <c r="F20" s="141"/>
      <c r="G20" s="141"/>
      <c r="H20" s="141"/>
    </row>
    <row r="21" spans="1:9" ht="15" x14ac:dyDescent="0.25">
      <c r="A21" s="311">
        <f>ROW()</f>
        <v>21</v>
      </c>
      <c r="B21" s="306" t="s">
        <v>65</v>
      </c>
      <c r="C21" s="146">
        <f>C20-C19</f>
        <v>36509603.57708887</v>
      </c>
      <c r="D21" s="146">
        <f>D20-D19</f>
        <v>68998295.564274132</v>
      </c>
      <c r="E21" s="146">
        <f>E20-E19</f>
        <v>148732466.76085147</v>
      </c>
      <c r="F21" s="141"/>
      <c r="G21" s="141"/>
      <c r="H21" s="141"/>
    </row>
    <row r="22" spans="1:9" ht="15.75" thickBot="1" x14ac:dyDescent="0.3">
      <c r="A22" s="311">
        <f>ROW()</f>
        <v>22</v>
      </c>
      <c r="B22" s="306" t="s">
        <v>141</v>
      </c>
      <c r="C22" s="147">
        <f>C21/C12</f>
        <v>48527096.353568286</v>
      </c>
      <c r="D22" s="147">
        <f>D21/D12</f>
        <v>91709758.776474044</v>
      </c>
      <c r="E22" s="147">
        <f>E21/E12</f>
        <v>197689211.5568468</v>
      </c>
      <c r="F22" s="141"/>
      <c r="G22" s="141"/>
      <c r="H22" s="141"/>
      <c r="I22" s="148"/>
    </row>
    <row r="23" spans="1:9" ht="15.75" thickTop="1" x14ac:dyDescent="0.25">
      <c r="A23" s="311">
        <f>ROW()</f>
        <v>23</v>
      </c>
      <c r="B23" s="306" t="s">
        <v>142</v>
      </c>
      <c r="C23" s="142">
        <v>0</v>
      </c>
      <c r="D23" s="142">
        <f>D22</f>
        <v>91709758.776474044</v>
      </c>
      <c r="E23" s="142">
        <f>E22</f>
        <v>197689211.5568468</v>
      </c>
      <c r="F23" s="141"/>
      <c r="G23" s="141"/>
      <c r="H23" s="141"/>
      <c r="I23" s="148"/>
    </row>
    <row r="24" spans="1:9" ht="15" x14ac:dyDescent="0.25">
      <c r="A24" s="311">
        <f>ROW()</f>
        <v>24</v>
      </c>
      <c r="B24" s="306"/>
      <c r="C24" s="149"/>
      <c r="D24" s="142"/>
      <c r="E24" s="142"/>
      <c r="F24" s="141"/>
      <c r="G24" s="141"/>
      <c r="H24" s="141"/>
    </row>
    <row r="25" spans="1:9" ht="15.75" thickBot="1" x14ac:dyDescent="0.3">
      <c r="A25" s="311">
        <f>ROW()</f>
        <v>25</v>
      </c>
      <c r="B25" s="306" t="s">
        <v>143</v>
      </c>
      <c r="C25" s="150">
        <f>C23</f>
        <v>0</v>
      </c>
      <c r="D25" s="151">
        <f>D23-C23</f>
        <v>91709758.776474044</v>
      </c>
      <c r="E25" s="151">
        <f>E23-D23</f>
        <v>105979452.78037275</v>
      </c>
      <c r="F25" s="141"/>
      <c r="G25" s="141"/>
      <c r="H25" s="141"/>
    </row>
    <row r="26" spans="1:9" ht="15.75" thickTop="1" x14ac:dyDescent="0.25">
      <c r="A26" s="306"/>
      <c r="B26" s="306"/>
      <c r="C26" s="312"/>
      <c r="D26" s="312"/>
      <c r="E26" s="312"/>
    </row>
    <row r="27" spans="1:9" ht="15" x14ac:dyDescent="0.25">
      <c r="A27" s="306"/>
      <c r="B27" s="306"/>
      <c r="C27" s="312"/>
      <c r="D27" s="312"/>
      <c r="E27" s="312"/>
    </row>
    <row r="28" spans="1:9" ht="15" x14ac:dyDescent="0.25">
      <c r="A28" s="306"/>
      <c r="B28" s="306" t="s">
        <v>869</v>
      </c>
      <c r="C28" s="313">
        <f>C22</f>
        <v>48527096.353568286</v>
      </c>
      <c r="D28" s="313">
        <f>D25-C28</f>
        <v>43182662.422905758</v>
      </c>
      <c r="E28" s="313">
        <f>E25</f>
        <v>105979452.78037275</v>
      </c>
      <c r="F28" s="158">
        <f>SUM(C28:E28)</f>
        <v>197689211.5568468</v>
      </c>
      <c r="G28" s="305">
        <f>F28-E23</f>
        <v>0</v>
      </c>
    </row>
    <row r="29" spans="1:9" ht="15" x14ac:dyDescent="0.25">
      <c r="A29" s="306"/>
      <c r="B29" s="306" t="s">
        <v>870</v>
      </c>
      <c r="C29" s="307">
        <f>D29</f>
        <v>5.0000000000000001E-3</v>
      </c>
      <c r="D29" s="307">
        <f>'STR RR Recalc (Table 1)'!G22</f>
        <v>5.0000000000000001E-3</v>
      </c>
      <c r="E29" s="307">
        <f>D29</f>
        <v>5.0000000000000001E-3</v>
      </c>
      <c r="F29" s="138"/>
    </row>
    <row r="30" spans="1:9" ht="15" x14ac:dyDescent="0.25">
      <c r="A30" s="306"/>
      <c r="B30" s="306" t="s">
        <v>871</v>
      </c>
      <c r="C30" s="308">
        <f>D30</f>
        <v>4532676.7554964293</v>
      </c>
      <c r="D30" s="309">
        <f>D13*D29/D12</f>
        <v>4532676.7554964293</v>
      </c>
      <c r="E30" s="309">
        <f>E13*E29/E12</f>
        <v>9224544.8667963073</v>
      </c>
      <c r="F30" s="138"/>
    </row>
    <row r="31" spans="1:9" ht="15" x14ac:dyDescent="0.25">
      <c r="A31" s="306"/>
      <c r="B31" s="306"/>
      <c r="C31" s="310">
        <f>C30/C22</f>
        <v>9.3405068427572083E-2</v>
      </c>
      <c r="D31" s="310">
        <f>D30/D28</f>
        <v>0.10496519902145084</v>
      </c>
      <c r="E31" s="310">
        <f>E30/E28</f>
        <v>8.7040880329065831E-2</v>
      </c>
      <c r="F31" s="138"/>
    </row>
    <row r="32" spans="1:9" ht="15" x14ac:dyDescent="0.25">
      <c r="B32" s="138"/>
      <c r="C32" s="138"/>
      <c r="D32" s="138"/>
      <c r="E32" s="138"/>
      <c r="F32" s="138"/>
    </row>
    <row r="33" spans="2:6" ht="15" x14ac:dyDescent="0.25">
      <c r="B33" s="138"/>
      <c r="C33" s="138"/>
      <c r="D33" s="138"/>
      <c r="E33" s="138"/>
      <c r="F33" s="138"/>
    </row>
    <row r="34" spans="2:6" ht="15" x14ac:dyDescent="0.25">
      <c r="B34" s="138"/>
      <c r="C34" s="138"/>
      <c r="D34" s="138"/>
      <c r="E34" s="138"/>
      <c r="F34" s="138"/>
    </row>
    <row r="35" spans="2:6" ht="15" x14ac:dyDescent="0.25">
      <c r="B35" s="138"/>
      <c r="C35" s="138"/>
      <c r="D35" s="138"/>
      <c r="E35" s="138"/>
      <c r="F35" s="138"/>
    </row>
    <row r="36" spans="2:6" ht="15" x14ac:dyDescent="0.25">
      <c r="B36" s="138"/>
      <c r="C36" s="138"/>
      <c r="D36" s="138"/>
      <c r="E36" s="138"/>
      <c r="F36" s="138"/>
    </row>
    <row r="37" spans="2:6" ht="15" x14ac:dyDescent="0.25">
      <c r="B37" s="138"/>
      <c r="C37" s="138"/>
      <c r="D37" s="138"/>
      <c r="E37" s="138"/>
      <c r="F37" s="138"/>
    </row>
    <row r="38" spans="2:6" ht="15" x14ac:dyDescent="0.25">
      <c r="B38" s="138"/>
      <c r="C38" s="138"/>
      <c r="D38" s="138"/>
      <c r="E38" s="138"/>
      <c r="F38" s="138"/>
    </row>
    <row r="39" spans="2:6" ht="15" x14ac:dyDescent="0.25">
      <c r="B39" s="138"/>
      <c r="C39" s="138"/>
      <c r="D39" s="138"/>
      <c r="E39" s="138"/>
      <c r="F39" s="138"/>
    </row>
    <row r="40" spans="2:6" ht="15" x14ac:dyDescent="0.25">
      <c r="B40" s="138"/>
      <c r="C40" s="138"/>
      <c r="D40" s="138"/>
      <c r="E40" s="138"/>
      <c r="F40" s="138"/>
    </row>
    <row r="41" spans="2:6" ht="15" x14ac:dyDescent="0.25">
      <c r="B41" s="138"/>
      <c r="C41" s="138"/>
      <c r="D41" s="138"/>
      <c r="E41" s="138"/>
      <c r="F41" s="138"/>
    </row>
    <row r="42" spans="2:6" ht="15" x14ac:dyDescent="0.25">
      <c r="B42" s="138"/>
      <c r="C42" s="138"/>
      <c r="D42" s="138"/>
      <c r="E42" s="138"/>
      <c r="F42" s="138"/>
    </row>
    <row r="43" spans="2:6" ht="15" x14ac:dyDescent="0.25">
      <c r="B43" s="138"/>
      <c r="C43" s="138"/>
      <c r="D43" s="138"/>
      <c r="E43" s="138"/>
      <c r="F43" s="138"/>
    </row>
    <row r="44" spans="2:6" ht="15" x14ac:dyDescent="0.25">
      <c r="B44" s="138"/>
      <c r="C44" s="138"/>
      <c r="D44" s="138"/>
      <c r="E44" s="138"/>
      <c r="F44" s="138"/>
    </row>
    <row r="45" spans="2:6" ht="15" x14ac:dyDescent="0.25">
      <c r="B45" s="138"/>
      <c r="C45" s="138"/>
      <c r="D45" s="138"/>
      <c r="E45" s="138"/>
      <c r="F45" s="138"/>
    </row>
    <row r="46" spans="2:6" ht="15" x14ac:dyDescent="0.25">
      <c r="B46" s="138"/>
      <c r="C46" s="138"/>
      <c r="D46" s="138"/>
      <c r="E46" s="138"/>
      <c r="F46" s="138"/>
    </row>
    <row r="47" spans="2:6" ht="15" x14ac:dyDescent="0.25">
      <c r="B47" s="138"/>
      <c r="C47" s="138"/>
      <c r="D47" s="138"/>
      <c r="E47" s="138"/>
      <c r="F47" s="138"/>
    </row>
    <row r="48" spans="2:6" ht="15" x14ac:dyDescent="0.25">
      <c r="B48" s="138"/>
      <c r="C48" s="138"/>
      <c r="D48" s="138"/>
      <c r="E48" s="138"/>
      <c r="F48" s="138"/>
    </row>
    <row r="49" spans="2:6" ht="15" x14ac:dyDescent="0.25">
      <c r="B49" s="138"/>
      <c r="C49" s="138"/>
      <c r="D49" s="138"/>
      <c r="E49" s="138"/>
      <c r="F49" s="138"/>
    </row>
    <row r="50" spans="2:6" ht="15" x14ac:dyDescent="0.25">
      <c r="B50" s="138"/>
      <c r="C50" s="138"/>
      <c r="D50" s="138"/>
      <c r="E50" s="138"/>
      <c r="F50" s="138"/>
    </row>
    <row r="51" spans="2:6" ht="15" x14ac:dyDescent="0.25">
      <c r="B51" s="138"/>
      <c r="C51" s="138"/>
      <c r="D51" s="138"/>
      <c r="E51" s="138"/>
      <c r="F51" s="138"/>
    </row>
    <row r="52" spans="2:6" ht="15" x14ac:dyDescent="0.25">
      <c r="B52" s="138"/>
      <c r="C52" s="138"/>
      <c r="D52" s="138"/>
      <c r="E52" s="138"/>
      <c r="F52" s="138"/>
    </row>
    <row r="53" spans="2:6" ht="15" x14ac:dyDescent="0.25">
      <c r="B53" s="138"/>
      <c r="C53" s="138"/>
      <c r="D53" s="138"/>
      <c r="E53" s="138"/>
      <c r="F53" s="138"/>
    </row>
    <row r="54" spans="2:6" ht="15" x14ac:dyDescent="0.25">
      <c r="B54" s="138"/>
      <c r="C54" s="138"/>
      <c r="D54" s="138"/>
      <c r="E54" s="138"/>
      <c r="F54" s="138"/>
    </row>
    <row r="55" spans="2:6" ht="15" x14ac:dyDescent="0.25">
      <c r="B55" s="138"/>
      <c r="C55" s="138"/>
      <c r="D55" s="138"/>
      <c r="E55" s="138"/>
      <c r="F55" s="138"/>
    </row>
    <row r="56" spans="2:6" ht="15" x14ac:dyDescent="0.25">
      <c r="B56" s="138"/>
      <c r="C56" s="138"/>
      <c r="D56" s="138"/>
      <c r="E56" s="138"/>
      <c r="F56" s="138"/>
    </row>
    <row r="57" spans="2:6" ht="15" x14ac:dyDescent="0.25">
      <c r="B57" s="138"/>
      <c r="C57" s="138"/>
      <c r="D57" s="138"/>
      <c r="E57" s="138"/>
      <c r="F57" s="138"/>
    </row>
    <row r="58" spans="2:6" ht="15" x14ac:dyDescent="0.25">
      <c r="B58" s="138"/>
      <c r="C58" s="138"/>
      <c r="D58" s="138"/>
      <c r="E58" s="138"/>
      <c r="F58" s="138"/>
    </row>
    <row r="59" spans="2:6" ht="15" x14ac:dyDescent="0.25">
      <c r="B59" s="138"/>
      <c r="C59" s="138"/>
      <c r="D59" s="138"/>
      <c r="E59" s="138"/>
      <c r="F59" s="138"/>
    </row>
    <row r="60" spans="2:6" ht="15" x14ac:dyDescent="0.25">
      <c r="B60" s="138"/>
      <c r="C60" s="138"/>
      <c r="D60" s="138"/>
      <c r="E60" s="138"/>
      <c r="F60" s="138"/>
    </row>
    <row r="61" spans="2:6" ht="15" x14ac:dyDescent="0.25">
      <c r="B61" s="138"/>
      <c r="C61" s="138"/>
      <c r="D61" s="138"/>
      <c r="E61" s="138"/>
      <c r="F61" s="138"/>
    </row>
    <row r="62" spans="2:6" ht="15" x14ac:dyDescent="0.25">
      <c r="B62" s="138"/>
      <c r="C62" s="138"/>
      <c r="D62" s="138"/>
      <c r="E62" s="138"/>
      <c r="F62" s="138"/>
    </row>
    <row r="63" spans="2:6" ht="15" x14ac:dyDescent="0.25">
      <c r="B63" s="138"/>
      <c r="C63" s="138"/>
      <c r="D63" s="138"/>
      <c r="E63" s="138"/>
      <c r="F63" s="138"/>
    </row>
    <row r="64" spans="2:6" ht="15" x14ac:dyDescent="0.25">
      <c r="B64" s="138"/>
      <c r="C64" s="138"/>
      <c r="D64" s="138"/>
      <c r="E64" s="138"/>
      <c r="F64" s="138"/>
    </row>
    <row r="65" spans="2:6" ht="15" x14ac:dyDescent="0.25">
      <c r="B65" s="138"/>
      <c r="C65" s="138"/>
      <c r="D65" s="138"/>
      <c r="E65" s="138"/>
      <c r="F65" s="138"/>
    </row>
    <row r="66" spans="2:6" ht="15" x14ac:dyDescent="0.25">
      <c r="B66" s="138"/>
      <c r="C66" s="138"/>
      <c r="D66" s="138"/>
      <c r="E66" s="138"/>
      <c r="F66" s="138"/>
    </row>
    <row r="67" spans="2:6" ht="15" x14ac:dyDescent="0.25">
      <c r="B67" s="138"/>
      <c r="C67" s="138"/>
      <c r="D67" s="138"/>
      <c r="E67" s="138"/>
      <c r="F67" s="138"/>
    </row>
    <row r="68" spans="2:6" ht="15" x14ac:dyDescent="0.25">
      <c r="B68" s="138"/>
      <c r="C68" s="138"/>
      <c r="D68" s="138"/>
      <c r="E68" s="138"/>
      <c r="F68" s="138"/>
    </row>
    <row r="69" spans="2:6" ht="15" x14ac:dyDescent="0.25">
      <c r="B69" s="138"/>
      <c r="C69" s="138"/>
      <c r="D69" s="138"/>
      <c r="E69" s="138"/>
      <c r="F69" s="138"/>
    </row>
    <row r="70" spans="2:6" ht="15" x14ac:dyDescent="0.25">
      <c r="B70" s="138"/>
      <c r="C70" s="138"/>
      <c r="D70" s="138"/>
      <c r="E70" s="138"/>
      <c r="F70" s="138"/>
    </row>
    <row r="71" spans="2:6" ht="15" x14ac:dyDescent="0.25">
      <c r="B71" s="138"/>
      <c r="C71" s="138"/>
      <c r="D71" s="138"/>
      <c r="E71" s="138"/>
      <c r="F71" s="138"/>
    </row>
    <row r="72" spans="2:6" ht="15" x14ac:dyDescent="0.25">
      <c r="B72" s="138"/>
      <c r="C72" s="138"/>
      <c r="D72" s="138"/>
      <c r="E72" s="138"/>
      <c r="F72" s="138"/>
    </row>
    <row r="73" spans="2:6" ht="15" x14ac:dyDescent="0.25">
      <c r="B73" s="138"/>
      <c r="C73" s="138"/>
      <c r="D73" s="138"/>
      <c r="E73" s="138"/>
      <c r="F73" s="138"/>
    </row>
    <row r="74" spans="2:6" ht="15" x14ac:dyDescent="0.25">
      <c r="B74" s="138"/>
      <c r="C74" s="138"/>
      <c r="D74" s="138"/>
      <c r="E74" s="138"/>
      <c r="F74" s="138"/>
    </row>
  </sheetData>
  <pageMargins left="0.7" right="0.7" top="0.75" bottom="0.75" header="0.3" footer="0.3"/>
  <pageSetup orientation="portrait" horizontalDpi="4294967293" verticalDpi="90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C33" sqref="C33"/>
    </sheetView>
  </sheetViews>
  <sheetFormatPr defaultColWidth="9.28515625" defaultRowHeight="12.75" x14ac:dyDescent="0.2"/>
  <cols>
    <col min="1" max="1" width="6.28515625" style="134" customWidth="1"/>
    <col min="2" max="2" width="53.7109375" style="134" bestFit="1" customWidth="1"/>
    <col min="3" max="5" width="15.7109375" style="134" bestFit="1" customWidth="1"/>
    <col min="6" max="6" width="15.28515625" style="134" bestFit="1" customWidth="1"/>
    <col min="7" max="10" width="15" style="134" bestFit="1" customWidth="1"/>
    <col min="11" max="11" width="5.140625" style="134" bestFit="1" customWidth="1"/>
    <col min="12" max="16384" width="9.28515625" style="134"/>
  </cols>
  <sheetData>
    <row r="1" spans="1:11" x14ac:dyDescent="0.2">
      <c r="A1" s="133" t="s">
        <v>128</v>
      </c>
      <c r="E1" s="135" t="s">
        <v>129</v>
      </c>
    </row>
    <row r="2" spans="1:11" x14ac:dyDescent="0.2">
      <c r="A2" s="133" t="s">
        <v>130</v>
      </c>
    </row>
    <row r="3" spans="1:11" x14ac:dyDescent="0.2">
      <c r="A3" s="133" t="s">
        <v>131</v>
      </c>
    </row>
    <row r="4" spans="1:11" x14ac:dyDescent="0.2">
      <c r="A4" s="133"/>
    </row>
    <row r="5" spans="1:11" x14ac:dyDescent="0.2">
      <c r="A5" s="136" t="s">
        <v>144</v>
      </c>
    </row>
    <row r="7" spans="1:11" ht="15" x14ac:dyDescent="0.25">
      <c r="A7" s="137" t="s">
        <v>133</v>
      </c>
      <c r="B7" s="137" t="s">
        <v>134</v>
      </c>
      <c r="C7" s="137">
        <v>2022</v>
      </c>
      <c r="D7" s="137">
        <v>2023</v>
      </c>
      <c r="E7" s="137">
        <v>2024</v>
      </c>
      <c r="F7" s="138"/>
    </row>
    <row r="8" spans="1:11" ht="15" x14ac:dyDescent="0.25">
      <c r="F8" s="138"/>
    </row>
    <row r="9" spans="1:11" ht="15" x14ac:dyDescent="0.25">
      <c r="A9" s="139">
        <f>ROW()</f>
        <v>9</v>
      </c>
      <c r="B9" s="134" t="s">
        <v>67</v>
      </c>
      <c r="C9" s="152">
        <v>2.6200000000000001E-2</v>
      </c>
      <c r="D9" s="152">
        <v>2.5499999999999998E-2</v>
      </c>
      <c r="E9" s="152">
        <v>2.5499999999999998E-2</v>
      </c>
      <c r="F9" s="138"/>
    </row>
    <row r="10" spans="1:11" ht="15" x14ac:dyDescent="0.25">
      <c r="A10" s="139">
        <f>ROW()</f>
        <v>10</v>
      </c>
      <c r="B10" s="134" t="s">
        <v>68</v>
      </c>
      <c r="C10" s="152">
        <v>7.2300000000000003E-2</v>
      </c>
      <c r="D10" s="152">
        <v>7.1599999999999997E-2</v>
      </c>
      <c r="E10" s="152">
        <v>7.1599999999999997E-2</v>
      </c>
      <c r="F10" s="138"/>
    </row>
    <row r="11" spans="1:11" ht="15" x14ac:dyDescent="0.25">
      <c r="A11" s="139">
        <f>ROW()</f>
        <v>11</v>
      </c>
      <c r="B11" s="134" t="s">
        <v>69</v>
      </c>
      <c r="C11" s="152">
        <v>0.21</v>
      </c>
      <c r="D11" s="152">
        <v>0.21</v>
      </c>
      <c r="E11" s="152">
        <v>0.21</v>
      </c>
      <c r="F11" s="138"/>
    </row>
    <row r="12" spans="1:11" ht="15" x14ac:dyDescent="0.25">
      <c r="A12" s="139">
        <f>ROW()</f>
        <v>12</v>
      </c>
      <c r="B12" s="134" t="s">
        <v>70</v>
      </c>
      <c r="C12" s="152">
        <v>0.75480100000000006</v>
      </c>
      <c r="D12" s="152">
        <v>0.75480100000000006</v>
      </c>
      <c r="E12" s="152">
        <v>0.75480100000000006</v>
      </c>
      <c r="F12" s="138"/>
    </row>
    <row r="13" spans="1:11" ht="15" x14ac:dyDescent="0.25">
      <c r="A13" s="139">
        <f>ROW()</f>
        <v>13</v>
      </c>
      <c r="B13" s="134" t="s">
        <v>110</v>
      </c>
      <c r="C13" s="153">
        <v>263916344.05486456</v>
      </c>
      <c r="D13" s="153">
        <v>334493403.3409487</v>
      </c>
      <c r="E13" s="153">
        <v>644810592.53539729</v>
      </c>
      <c r="F13" s="143"/>
      <c r="G13" s="143"/>
      <c r="H13" s="143"/>
      <c r="I13" s="154"/>
      <c r="J13" s="154"/>
    </row>
    <row r="14" spans="1:11" ht="15" x14ac:dyDescent="0.25">
      <c r="A14" s="139">
        <f>ROW()</f>
        <v>14</v>
      </c>
      <c r="C14" s="153"/>
      <c r="D14" s="155"/>
      <c r="E14" s="155"/>
      <c r="F14" s="138"/>
      <c r="I14" s="154"/>
      <c r="J14" s="154"/>
    </row>
    <row r="15" spans="1:11" ht="15" x14ac:dyDescent="0.25">
      <c r="A15" s="139">
        <f>ROW()</f>
        <v>15</v>
      </c>
      <c r="B15" s="134" t="s">
        <v>135</v>
      </c>
      <c r="C15" s="153">
        <v>-4562846.2311439998</v>
      </c>
      <c r="D15" s="153">
        <v>-15825245.001215998</v>
      </c>
      <c r="E15" s="153">
        <v>-35109891.338709995</v>
      </c>
      <c r="F15" s="143"/>
      <c r="G15" s="143"/>
      <c r="H15" s="143"/>
      <c r="I15" s="143"/>
      <c r="J15" s="143"/>
      <c r="K15" s="143"/>
    </row>
    <row r="16" spans="1:11" ht="15" x14ac:dyDescent="0.25">
      <c r="A16" s="139">
        <f>ROW()</f>
        <v>16</v>
      </c>
      <c r="B16" s="134" t="s">
        <v>136</v>
      </c>
      <c r="C16" s="144">
        <v>1296670.5468090023</v>
      </c>
      <c r="D16" s="144">
        <v>3645192.0389554403</v>
      </c>
      <c r="E16" s="144">
        <v>7766732.2376391236</v>
      </c>
      <c r="F16" s="143"/>
      <c r="G16" s="143"/>
      <c r="H16" s="143"/>
      <c r="I16" s="143"/>
      <c r="J16" s="143"/>
    </row>
    <row r="17" spans="1:10" ht="15" x14ac:dyDescent="0.25">
      <c r="A17" s="139">
        <f>ROW()</f>
        <v>17</v>
      </c>
      <c r="B17" s="134" t="s">
        <v>137</v>
      </c>
      <c r="C17" s="145">
        <f>SUM(C15:C16)</f>
        <v>-3266175.6843349976</v>
      </c>
      <c r="D17" s="145">
        <f>SUM(D15:D16)</f>
        <v>-12180052.962260557</v>
      </c>
      <c r="E17" s="145">
        <f>SUM(E15:E16)</f>
        <v>-27343159.101070873</v>
      </c>
      <c r="F17" s="138"/>
      <c r="I17" s="154"/>
      <c r="J17" s="154"/>
    </row>
    <row r="18" spans="1:10" ht="15" x14ac:dyDescent="0.25">
      <c r="A18" s="139">
        <f>ROW()</f>
        <v>18</v>
      </c>
      <c r="B18" s="134" t="s">
        <v>138</v>
      </c>
      <c r="C18" s="144">
        <f>C13*C9*C11</f>
        <v>1452067.7249898647</v>
      </c>
      <c r="D18" s="144">
        <f>D13*D9*D11</f>
        <v>1791212.1748907804</v>
      </c>
      <c r="E18" s="144">
        <f>E13*E9*E11</f>
        <v>3452960.7230270519</v>
      </c>
      <c r="F18" s="138"/>
      <c r="I18" s="154"/>
      <c r="J18" s="154"/>
    </row>
    <row r="19" spans="1:10" ht="15" x14ac:dyDescent="0.25">
      <c r="A19" s="139">
        <f>ROW()</f>
        <v>19</v>
      </c>
      <c r="B19" s="134" t="s">
        <v>139</v>
      </c>
      <c r="C19" s="145">
        <f>SUM(C17:C18)</f>
        <v>-1814107.9593451328</v>
      </c>
      <c r="D19" s="145">
        <f>SUM(D17:D18)</f>
        <v>-10388840.787369777</v>
      </c>
      <c r="E19" s="145">
        <f>SUM(E17:E18)</f>
        <v>-23890198.378043823</v>
      </c>
      <c r="F19" s="138"/>
      <c r="I19" s="154"/>
      <c r="J19" s="154"/>
    </row>
    <row r="20" spans="1:10" ht="15" x14ac:dyDescent="0.25">
      <c r="A20" s="139">
        <f>ROW()</f>
        <v>20</v>
      </c>
      <c r="B20" s="134" t="s">
        <v>140</v>
      </c>
      <c r="C20" s="144">
        <f>C13*C10</f>
        <v>19081151.675166707</v>
      </c>
      <c r="D20" s="144">
        <f>D13*D10</f>
        <v>23949727.679211926</v>
      </c>
      <c r="E20" s="144">
        <f>E13*E10</f>
        <v>46168438.425534442</v>
      </c>
      <c r="F20" s="138"/>
      <c r="I20" s="154"/>
      <c r="J20" s="154"/>
    </row>
    <row r="21" spans="1:10" ht="15" x14ac:dyDescent="0.25">
      <c r="A21" s="139">
        <f>ROW()</f>
        <v>21</v>
      </c>
      <c r="B21" s="134" t="s">
        <v>65</v>
      </c>
      <c r="C21" s="146">
        <f>C20-C19</f>
        <v>20895259.63451184</v>
      </c>
      <c r="D21" s="146">
        <f>D20-D19</f>
        <v>34338568.466581702</v>
      </c>
      <c r="E21" s="146">
        <f>E20-E19</f>
        <v>70058636.803578258</v>
      </c>
      <c r="F21" s="138"/>
      <c r="I21" s="154"/>
      <c r="J21" s="154"/>
    </row>
    <row r="22" spans="1:10" ht="15" x14ac:dyDescent="0.25">
      <c r="A22" s="139">
        <f>ROW()</f>
        <v>22</v>
      </c>
      <c r="B22" s="134" t="s">
        <v>141</v>
      </c>
      <c r="C22" s="156">
        <f>C21/C12</f>
        <v>27683137.190480456</v>
      </c>
      <c r="D22" s="156">
        <f>D21/D12</f>
        <v>45493538.650030538</v>
      </c>
      <c r="E22" s="156">
        <f>E21/E12</f>
        <v>92817360.872042105</v>
      </c>
      <c r="F22" s="138"/>
      <c r="I22" s="154"/>
      <c r="J22" s="154"/>
    </row>
    <row r="23" spans="1:10" ht="15" x14ac:dyDescent="0.25">
      <c r="A23" s="139">
        <f>ROW()</f>
        <v>23</v>
      </c>
      <c r="B23" s="134" t="s">
        <v>142</v>
      </c>
      <c r="C23" s="146">
        <v>0</v>
      </c>
      <c r="D23" s="146">
        <f>D22</f>
        <v>45493538.650030538</v>
      </c>
      <c r="E23" s="146">
        <f>E22</f>
        <v>92817360.872042105</v>
      </c>
      <c r="F23" s="138"/>
    </row>
    <row r="24" spans="1:10" ht="15" x14ac:dyDescent="0.25">
      <c r="A24" s="139">
        <f>ROW()</f>
        <v>24</v>
      </c>
      <c r="C24" s="149"/>
      <c r="D24" s="142"/>
      <c r="E24" s="142"/>
      <c r="F24" s="138"/>
    </row>
    <row r="25" spans="1:10" ht="15.75" thickBot="1" x14ac:dyDescent="0.3">
      <c r="A25" s="139">
        <f>ROW()</f>
        <v>25</v>
      </c>
      <c r="B25" s="134" t="s">
        <v>143</v>
      </c>
      <c r="C25" s="150">
        <f>C23</f>
        <v>0</v>
      </c>
      <c r="D25" s="151">
        <f>D23-C23</f>
        <v>45493538.650030538</v>
      </c>
      <c r="E25" s="151">
        <f>E23-D23</f>
        <v>47323822.222011566</v>
      </c>
      <c r="F25" s="138"/>
    </row>
    <row r="26" spans="1:10" ht="15.75" thickTop="1" x14ac:dyDescent="0.25">
      <c r="F26" s="138"/>
    </row>
    <row r="27" spans="1:10" ht="15" x14ac:dyDescent="0.25">
      <c r="B27" s="157"/>
      <c r="C27" s="158"/>
      <c r="D27" s="158"/>
      <c r="E27" s="158"/>
      <c r="F27" s="138"/>
    </row>
    <row r="28" spans="1:10" ht="15" x14ac:dyDescent="0.25">
      <c r="B28" s="306" t="s">
        <v>869</v>
      </c>
      <c r="C28" s="313">
        <f>C22</f>
        <v>27683137.190480456</v>
      </c>
      <c r="D28" s="313">
        <f>D25-C28</f>
        <v>17810401.459550083</v>
      </c>
      <c r="E28" s="313">
        <f>E25</f>
        <v>47323822.222011566</v>
      </c>
      <c r="F28" s="158">
        <f>SUM(C28:E28)</f>
        <v>92817360.872042105</v>
      </c>
      <c r="G28" s="305">
        <f>F28-E23</f>
        <v>0</v>
      </c>
    </row>
    <row r="29" spans="1:10" ht="15" x14ac:dyDescent="0.25">
      <c r="B29" s="306" t="s">
        <v>870</v>
      </c>
      <c r="C29" s="307">
        <f>D29</f>
        <v>5.0000000000000001E-3</v>
      </c>
      <c r="D29" s="307">
        <f>'STR RR Recalc (Table 1)'!G22</f>
        <v>5.0000000000000001E-3</v>
      </c>
      <c r="E29" s="307">
        <f>D29</f>
        <v>5.0000000000000001E-3</v>
      </c>
      <c r="F29" s="138"/>
    </row>
    <row r="30" spans="1:10" ht="15" x14ac:dyDescent="0.25">
      <c r="B30" s="306" t="s">
        <v>871</v>
      </c>
      <c r="C30" s="308">
        <f>D30</f>
        <v>2215772.1263018246</v>
      </c>
      <c r="D30" s="309">
        <f>D13*D29/D12</f>
        <v>2215772.1263018246</v>
      </c>
      <c r="E30" s="309">
        <f>E13*E29/E12</f>
        <v>4271394.6625362001</v>
      </c>
      <c r="F30" s="138"/>
    </row>
    <row r="31" spans="1:10" ht="15" x14ac:dyDescent="0.25">
      <c r="B31" s="306"/>
      <c r="C31" s="310">
        <f>C30/C22</f>
        <v>8.0040499422289954E-2</v>
      </c>
      <c r="D31" s="310">
        <f>D30/D28</f>
        <v>0.12440888159282393</v>
      </c>
      <c r="E31" s="310">
        <f>E30/E28</f>
        <v>9.0258868831382372E-2</v>
      </c>
      <c r="F31" s="138"/>
    </row>
    <row r="32" spans="1:10" x14ac:dyDescent="0.2">
      <c r="C32" s="158"/>
      <c r="D32" s="158"/>
      <c r="E32" s="158"/>
      <c r="F32" s="158"/>
    </row>
    <row r="33" spans="3:6" x14ac:dyDescent="0.2">
      <c r="C33" s="158"/>
      <c r="D33" s="158"/>
      <c r="E33" s="158"/>
      <c r="F33" s="158"/>
    </row>
    <row r="34" spans="3:6" x14ac:dyDescent="0.2">
      <c r="C34" s="158"/>
      <c r="D34" s="158"/>
      <c r="E34" s="158"/>
      <c r="F34" s="158"/>
    </row>
    <row r="35" spans="3:6" x14ac:dyDescent="0.2">
      <c r="C35" s="158"/>
      <c r="D35" s="158"/>
      <c r="E35" s="158"/>
      <c r="F35" s="158"/>
    </row>
    <row r="36" spans="3:6" x14ac:dyDescent="0.2">
      <c r="C36" s="158"/>
      <c r="D36" s="158"/>
      <c r="E36" s="158"/>
      <c r="F36" s="158"/>
    </row>
    <row r="37" spans="3:6" x14ac:dyDescent="0.2">
      <c r="C37" s="158"/>
      <c r="D37" s="158"/>
      <c r="E37" s="158"/>
      <c r="F37" s="158"/>
    </row>
    <row r="38" spans="3:6" x14ac:dyDescent="0.2">
      <c r="C38" s="158"/>
      <c r="D38" s="158"/>
      <c r="E38" s="158"/>
      <c r="F38" s="158"/>
    </row>
    <row r="39" spans="3:6" x14ac:dyDescent="0.2">
      <c r="C39" s="158"/>
      <c r="D39" s="158"/>
      <c r="E39" s="158"/>
      <c r="F39" s="158"/>
    </row>
    <row r="41" spans="3:6" x14ac:dyDescent="0.2">
      <c r="C41" s="159"/>
      <c r="D41" s="159"/>
      <c r="E41" s="159"/>
      <c r="F41" s="159"/>
    </row>
    <row r="42" spans="3:6" x14ac:dyDescent="0.2">
      <c r="C42" s="159"/>
      <c r="D42" s="159"/>
      <c r="E42" s="159"/>
      <c r="F42" s="159"/>
    </row>
    <row r="43" spans="3:6" x14ac:dyDescent="0.2">
      <c r="C43" s="159"/>
      <c r="D43" s="159"/>
      <c r="E43" s="159"/>
      <c r="F43" s="159"/>
    </row>
    <row r="44" spans="3:6" x14ac:dyDescent="0.2">
      <c r="C44" s="159"/>
      <c r="D44" s="159"/>
      <c r="E44" s="159"/>
      <c r="F44" s="159"/>
    </row>
    <row r="45" spans="3:6" x14ac:dyDescent="0.2">
      <c r="C45" s="159"/>
      <c r="D45" s="159"/>
      <c r="E45" s="159"/>
      <c r="F45" s="159"/>
    </row>
    <row r="46" spans="3:6" x14ac:dyDescent="0.2">
      <c r="C46" s="159"/>
      <c r="D46" s="159"/>
      <c r="E46" s="159"/>
      <c r="F46" s="159"/>
    </row>
    <row r="47" spans="3:6" x14ac:dyDescent="0.2">
      <c r="C47" s="159"/>
      <c r="D47" s="159"/>
      <c r="E47" s="159"/>
      <c r="F47" s="159"/>
    </row>
    <row r="48" spans="3:6" x14ac:dyDescent="0.2">
      <c r="C48" s="159"/>
      <c r="D48" s="159"/>
      <c r="E48" s="159"/>
      <c r="F48" s="159"/>
    </row>
    <row r="49" spans="3:6" x14ac:dyDescent="0.2">
      <c r="C49" s="159"/>
      <c r="D49" s="159"/>
      <c r="E49" s="159"/>
      <c r="F49" s="159"/>
    </row>
    <row r="50" spans="3:6" x14ac:dyDescent="0.2">
      <c r="C50" s="159"/>
      <c r="D50" s="159"/>
      <c r="E50" s="159"/>
      <c r="F50" s="159"/>
    </row>
    <row r="51" spans="3:6" x14ac:dyDescent="0.2">
      <c r="C51" s="159"/>
      <c r="D51" s="159"/>
      <c r="E51" s="159"/>
      <c r="F51" s="159"/>
    </row>
    <row r="52" spans="3:6" x14ac:dyDescent="0.2">
      <c r="C52" s="159"/>
      <c r="D52" s="159"/>
      <c r="E52" s="159"/>
      <c r="F52" s="159"/>
    </row>
    <row r="53" spans="3:6" x14ac:dyDescent="0.2">
      <c r="C53" s="159"/>
      <c r="D53" s="159"/>
      <c r="E53" s="159"/>
      <c r="F53" s="159"/>
    </row>
    <row r="54" spans="3:6" x14ac:dyDescent="0.2">
      <c r="C54" s="154"/>
    </row>
    <row r="55" spans="3:6" x14ac:dyDescent="0.2">
      <c r="C55" s="154"/>
    </row>
    <row r="56" spans="3:6" x14ac:dyDescent="0.2">
      <c r="C56" s="154"/>
    </row>
  </sheetData>
  <pageMargins left="0.7" right="0.7" top="0.75" bottom="0.75" header="0.3" footer="0.3"/>
  <pageSetup orientation="portrait" horizontalDpi="4294967293" verticalDpi="0" r:id="rId1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workbookViewId="0">
      <pane xSplit="2" ySplit="5" topLeftCell="C39" activePane="bottomRight" state="frozen"/>
      <selection activeCell="I36" sqref="I36"/>
      <selection pane="topRight" activeCell="I36" sqref="I36"/>
      <selection pane="bottomLeft" activeCell="I36" sqref="I36"/>
      <selection pane="bottomRight" activeCell="H63" sqref="H63"/>
    </sheetView>
  </sheetViews>
  <sheetFormatPr defaultRowHeight="15" x14ac:dyDescent="0.25"/>
  <cols>
    <col min="2" max="2" width="41.5703125" bestFit="1" customWidth="1"/>
    <col min="3" max="3" width="25.42578125" bestFit="1" customWidth="1"/>
    <col min="4" max="4" width="9.140625" bestFit="1" customWidth="1"/>
    <col min="5" max="5" width="19.85546875" bestFit="1" customWidth="1"/>
    <col min="7" max="7" width="41.5703125" bestFit="1" customWidth="1"/>
    <col min="8" max="8" width="25.42578125" bestFit="1" customWidth="1"/>
    <col min="9" max="9" width="9.140625" bestFit="1" customWidth="1"/>
    <col min="10" max="10" width="17.140625" customWidth="1"/>
  </cols>
  <sheetData>
    <row r="2" spans="1:10" ht="18.75" x14ac:dyDescent="0.3">
      <c r="B2" s="66" t="s">
        <v>37</v>
      </c>
      <c r="F2" s="67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1587</v>
      </c>
      <c r="F5" s="68"/>
      <c r="G5" s="13" t="s">
        <v>0</v>
      </c>
      <c r="H5" s="13" t="s">
        <v>39</v>
      </c>
      <c r="I5" s="13" t="s">
        <v>40</v>
      </c>
      <c r="J5" s="13" t="s">
        <v>1587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2585143.9233339997</v>
      </c>
      <c r="F6" s="67"/>
      <c r="G6" t="s">
        <v>872</v>
      </c>
      <c r="H6" t="s">
        <v>41</v>
      </c>
      <c r="I6" t="s">
        <v>42</v>
      </c>
      <c r="J6" s="7">
        <v>1335304.8533326667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15089799.116666663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11040154.186666667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163258.24333333335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5006137.7654166659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5736257.5908333333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-14236237.534166669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-1568587.6816666666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79257830.225416675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20101.651250000003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2832.6887500000003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118640878.05041665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9261.4049999999825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5179821.9019085001</v>
      </c>
      <c r="F19" s="67"/>
      <c r="G19" t="s">
        <v>9</v>
      </c>
      <c r="H19" t="s">
        <v>41</v>
      </c>
      <c r="I19" t="s">
        <v>42</v>
      </c>
      <c r="J19" s="7">
        <v>2675534.3339248337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105587700.83374995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23739315.732083339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54183824.50166665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277146.53916666663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19090948.870416671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-3595.8600000000006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160280782.9966667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-29641.090000000007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6522851.8203169974</v>
      </c>
      <c r="F28" s="67"/>
      <c r="G28" t="s">
        <v>17</v>
      </c>
      <c r="H28" t="s">
        <v>41</v>
      </c>
      <c r="I28" t="s">
        <v>42</v>
      </c>
      <c r="J28" s="7">
        <v>3369249.8180163321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232924.97000000003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154464.00999999998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2677726.1862499998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1560532.325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506294.4120833333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14435849.020000001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26095020.657266743</v>
      </c>
      <c r="F36" s="67"/>
      <c r="G36" t="s">
        <v>85</v>
      </c>
      <c r="H36" t="s">
        <v>85</v>
      </c>
      <c r="I36" t="s">
        <v>42</v>
      </c>
      <c r="J36" s="7">
        <v>13478865.689816581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30932629.891666666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4413164.9916666672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34271524.095000081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48534662.120833345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60557014.25833334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71143812.659166664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21865008.785833333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16843979.2794035</v>
      </c>
      <c r="F44" s="67"/>
      <c r="G44" t="s">
        <v>26</v>
      </c>
      <c r="H44" t="s">
        <v>45</v>
      </c>
      <c r="I44" t="s">
        <v>42</v>
      </c>
      <c r="J44" s="7">
        <v>8700423.6314298343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19188087.734583333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1541876.3087499999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13985814.217697</v>
      </c>
      <c r="F47" s="67"/>
      <c r="G47" t="s">
        <v>26</v>
      </c>
      <c r="H47" t="s">
        <v>41</v>
      </c>
      <c r="I47" t="s">
        <v>42</v>
      </c>
      <c r="J47" s="7">
        <v>7224095.1206363337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117039704.04416665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3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9432203.7058333326</v>
      </c>
    </row>
    <row r="50" spans="1:13" s="8" customFormat="1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17787799.592916667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3" s="8" customFormat="1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2842664.0216666665</v>
      </c>
    </row>
    <row r="52" spans="1:13" s="8" customFormat="1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3" s="8" customFormat="1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3" s="8" customFormat="1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3" s="8" customFormat="1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3" s="8" customFormat="1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3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2061746.6195833334</v>
      </c>
      <c r="F57" s="67"/>
      <c r="G57" t="s">
        <v>31</v>
      </c>
      <c r="H57" t="s">
        <v>41</v>
      </c>
      <c r="I57" t="s">
        <v>43</v>
      </c>
      <c r="J57" s="7">
        <v>0</v>
      </c>
      <c r="K57" s="8"/>
      <c r="L57" s="8"/>
      <c r="M57" s="8"/>
    </row>
    <row r="58" spans="1:13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1834414.8974999997</v>
      </c>
      <c r="F58" s="67"/>
      <c r="G58" t="s">
        <v>28</v>
      </c>
      <c r="H58" t="s">
        <v>45</v>
      </c>
      <c r="I58" t="s">
        <v>43</v>
      </c>
      <c r="J58" s="7">
        <v>0</v>
      </c>
      <c r="K58" s="8"/>
      <c r="L58" s="8"/>
      <c r="M58" s="8"/>
    </row>
    <row r="59" spans="1:13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  <c r="K59" s="8"/>
      <c r="L59" s="8"/>
      <c r="M59" s="8"/>
    </row>
    <row r="60" spans="1:13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6530908.2300000004</v>
      </c>
      <c r="F60" s="67"/>
      <c r="G60" t="s">
        <v>29</v>
      </c>
      <c r="H60" t="s">
        <v>45</v>
      </c>
      <c r="I60" t="s">
        <v>43</v>
      </c>
      <c r="J60" s="7">
        <v>0</v>
      </c>
      <c r="K60" s="8"/>
      <c r="L60" s="8"/>
      <c r="M60" s="8"/>
    </row>
    <row r="61" spans="1:13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1158287.94120375</v>
      </c>
      <c r="F61" s="67"/>
      <c r="G61" t="s">
        <v>30</v>
      </c>
      <c r="H61" t="s">
        <v>45</v>
      </c>
      <c r="I61" t="s">
        <v>42</v>
      </c>
      <c r="J61" s="7">
        <v>598290.67754625005</v>
      </c>
      <c r="K61" s="8"/>
      <c r="L61" s="8"/>
      <c r="M61" s="8"/>
    </row>
    <row r="62" spans="1:13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796097147.51363051</v>
      </c>
      <c r="F62" s="72"/>
      <c r="G62" s="69" t="s">
        <v>32</v>
      </c>
      <c r="H62" s="70"/>
      <c r="I62" s="70"/>
      <c r="J62" s="71">
        <f>SUM(J6:J61)</f>
        <v>365488717.46470284</v>
      </c>
      <c r="K62" s="8"/>
      <c r="L62" s="8"/>
      <c r="M62" s="8"/>
    </row>
    <row r="63" spans="1:13" x14ac:dyDescent="0.25">
      <c r="B63" s="9"/>
      <c r="C63" s="8"/>
      <c r="D63" s="8"/>
      <c r="E63" s="10"/>
      <c r="F63" s="8"/>
      <c r="G63" s="9"/>
      <c r="H63" s="8"/>
      <c r="I63" s="8"/>
      <c r="J63" s="10"/>
      <c r="K63" s="8"/>
      <c r="L63" s="8"/>
      <c r="M63" s="8"/>
    </row>
    <row r="64" spans="1:13" x14ac:dyDescent="0.25">
      <c r="B64" s="9"/>
      <c r="C64" s="8"/>
      <c r="D64" s="8"/>
      <c r="E64" s="10"/>
      <c r="F64" s="8"/>
      <c r="G64" s="9"/>
      <c r="H64" s="8"/>
      <c r="I64" s="8"/>
      <c r="J64" s="10"/>
    </row>
    <row r="65" spans="2:10" x14ac:dyDescent="0.25">
      <c r="B65" s="9"/>
      <c r="C65" s="8"/>
      <c r="D65" s="8"/>
      <c r="E65" s="10"/>
      <c r="F65" s="8"/>
      <c r="G65" s="9"/>
      <c r="H65" s="8"/>
      <c r="I65" s="8"/>
      <c r="J65" s="10"/>
    </row>
    <row r="66" spans="2:10" x14ac:dyDescent="0.25">
      <c r="B66" s="9"/>
      <c r="C66" s="8"/>
      <c r="D66" s="8"/>
      <c r="E66" s="10"/>
      <c r="F66" s="8"/>
      <c r="G66" s="9"/>
      <c r="H66" s="8"/>
      <c r="I66" s="8"/>
      <c r="J66" s="10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xSplit="2" ySplit="5" topLeftCell="E6" activePane="bottomRight" state="frozen"/>
      <selection activeCell="I36" sqref="I36"/>
      <selection pane="topRight" activeCell="I36" sqref="I36"/>
      <selection pane="bottomLeft" activeCell="I36" sqref="I36"/>
      <selection pane="bottomRight" activeCell="J6" sqref="J6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8554687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85546875" bestFit="1" customWidth="1"/>
  </cols>
  <sheetData>
    <row r="1" spans="1:10" x14ac:dyDescent="0.25">
      <c r="B1" s="4"/>
      <c r="F1" s="67"/>
    </row>
    <row r="2" spans="1:10" ht="18.75" x14ac:dyDescent="0.3">
      <c r="B2" s="66" t="s">
        <v>37</v>
      </c>
      <c r="C2" s="73"/>
      <c r="D2" s="73"/>
      <c r="E2" s="73"/>
      <c r="F2" s="74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E4" s="5"/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1588</v>
      </c>
      <c r="F5" s="68"/>
      <c r="G5" s="13" t="s">
        <v>0</v>
      </c>
      <c r="H5" s="13" t="s">
        <v>39</v>
      </c>
      <c r="I5" s="13" t="s">
        <v>40</v>
      </c>
      <c r="J5" s="13" t="s">
        <v>1588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188944.70831136056</v>
      </c>
      <c r="F6" s="67"/>
      <c r="G6" t="s">
        <v>872</v>
      </c>
      <c r="H6" t="s">
        <v>41</v>
      </c>
      <c r="I6" t="s">
        <v>42</v>
      </c>
      <c r="J6" s="7">
        <v>97595.64399582865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479223.53495273483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325156.86525246024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1713.3318589166668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89858.451288883618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127484.82421287484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-414628.32214930793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-52607.404029384103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2261286.2438486847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634.7029489966045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285.57772366386803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3263642.4379582289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1067.5246145833332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1015983.7057397708</v>
      </c>
      <c r="F19" s="67"/>
      <c r="G19" t="s">
        <v>9</v>
      </c>
      <c r="H19" t="s">
        <v>41</v>
      </c>
      <c r="I19" t="s">
        <v>42</v>
      </c>
      <c r="J19" s="7">
        <v>524786.24533661804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2790029.4703639331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627814.93933698232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177488.0274752673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1991.4332651684733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471735.11641573103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-328.52681395833332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4536779.9114811895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-8031.040493055556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1625896.3801376768</v>
      </c>
      <c r="F28" s="67"/>
      <c r="G28" t="s">
        <v>17</v>
      </c>
      <c r="H28" t="s">
        <v>41</v>
      </c>
      <c r="I28" t="s">
        <v>42</v>
      </c>
      <c r="J28" s="7">
        <v>839824.5481875838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57803.900114562501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54708.101222222227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79875.919268406564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2530.2505838263887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20370.790299451386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1378362.3740106877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2367588.9134471864</v>
      </c>
      <c r="F36" s="67"/>
      <c r="G36" t="s">
        <v>85</v>
      </c>
      <c r="H36" t="s">
        <v>85</v>
      </c>
      <c r="I36" t="s">
        <v>42</v>
      </c>
      <c r="J36" s="7">
        <v>1222931.1251442397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681643.62735216203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48583.297369701584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942974.88288525585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819483.89911246474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1303797.2430099526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2529677.1644083103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950232.76538122701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2253405.2480796594</v>
      </c>
      <c r="F44" s="67"/>
      <c r="G44" t="s">
        <v>26</v>
      </c>
      <c r="H44" t="s">
        <v>45</v>
      </c>
      <c r="I44" t="s">
        <v>42</v>
      </c>
      <c r="J44" s="7">
        <v>1163951.8160387201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1501951.6569591404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80787.15298742603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2139622.1529673613</v>
      </c>
      <c r="F47" s="67"/>
      <c r="G47" t="s">
        <v>26</v>
      </c>
      <c r="H47" t="s">
        <v>41</v>
      </c>
      <c r="I47" t="s">
        <v>42</v>
      </c>
      <c r="J47" s="7">
        <v>1105179.4135588161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4852789.2262072265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0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332860.85802441637</v>
      </c>
    </row>
    <row r="50" spans="1:10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558451.24263954291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0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59887.78265254166</v>
      </c>
    </row>
    <row r="52" spans="1:10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0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0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0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0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0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23249.906689138377</v>
      </c>
      <c r="F57" s="67"/>
      <c r="G57" t="s">
        <v>31</v>
      </c>
      <c r="H57" t="s">
        <v>41</v>
      </c>
      <c r="I57" t="s">
        <v>43</v>
      </c>
      <c r="J57" s="7">
        <v>0</v>
      </c>
    </row>
    <row r="58" spans="1:10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2068.0370027919971</v>
      </c>
      <c r="F58" s="67"/>
      <c r="G58" t="s">
        <v>28</v>
      </c>
      <c r="H58" t="s">
        <v>45</v>
      </c>
      <c r="I58" t="s">
        <v>43</v>
      </c>
      <c r="J58" s="7">
        <v>0</v>
      </c>
    </row>
    <row r="59" spans="1:10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</row>
    <row r="60" spans="1:10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36730.138531472228</v>
      </c>
      <c r="F60" s="67"/>
      <c r="G60" t="s">
        <v>29</v>
      </c>
      <c r="H60" t="s">
        <v>45</v>
      </c>
      <c r="I60" t="s">
        <v>43</v>
      </c>
      <c r="J60" s="7">
        <v>0</v>
      </c>
    </row>
    <row r="61" spans="1:10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199416.3005986122</v>
      </c>
      <c r="F61" s="67"/>
      <c r="G61" t="s">
        <v>30</v>
      </c>
      <c r="H61" t="s">
        <v>45</v>
      </c>
      <c r="I61" t="s">
        <v>42</v>
      </c>
      <c r="J61" s="7">
        <v>103004.53743386005</v>
      </c>
    </row>
    <row r="62" spans="1:10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32353171.102767024</v>
      </c>
      <c r="F62" s="72"/>
      <c r="G62" s="69" t="s">
        <v>32</v>
      </c>
      <c r="H62" s="70"/>
      <c r="I62" s="70"/>
      <c r="J62" s="71">
        <f>SUM(J6:J61)</f>
        <v>13494376.952434788</v>
      </c>
    </row>
    <row r="63" spans="1:10" x14ac:dyDescent="0.25">
      <c r="B63" s="9"/>
      <c r="E63" s="11"/>
      <c r="G63" s="9"/>
      <c r="J63" s="11"/>
    </row>
    <row r="64" spans="1:10" x14ac:dyDescent="0.25">
      <c r="B64" s="9"/>
      <c r="E64" s="11"/>
      <c r="G64" s="9"/>
      <c r="J64" s="11"/>
    </row>
    <row r="65" spans="2:10" x14ac:dyDescent="0.25">
      <c r="B65" s="9"/>
      <c r="E65" s="11"/>
      <c r="G65" s="9"/>
      <c r="J65" s="11"/>
    </row>
    <row r="66" spans="2:10" x14ac:dyDescent="0.25">
      <c r="B66" s="9"/>
      <c r="E66" s="11"/>
      <c r="G66" s="9"/>
      <c r="J66" s="11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  <c r="F1" s="67"/>
    </row>
    <row r="2" spans="1:10" ht="18.75" x14ac:dyDescent="0.3">
      <c r="B2" s="66" t="s">
        <v>37</v>
      </c>
      <c r="C2" s="73"/>
      <c r="D2" s="73"/>
      <c r="E2" s="73"/>
      <c r="F2" s="74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875</v>
      </c>
      <c r="F5" s="68"/>
      <c r="G5" s="13" t="s">
        <v>0</v>
      </c>
      <c r="H5" s="13" t="s">
        <v>39</v>
      </c>
      <c r="I5" s="13" t="s">
        <v>40</v>
      </c>
      <c r="J5" s="13" t="s">
        <v>875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454726.98588401458</v>
      </c>
      <c r="F6" s="67"/>
      <c r="G6" t="s">
        <v>872</v>
      </c>
      <c r="H6" t="s">
        <v>41</v>
      </c>
      <c r="I6" t="s">
        <v>42</v>
      </c>
      <c r="J6" s="7">
        <v>234880.21139231935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686458.46548178222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799247.73928539664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7953.1627200601843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107382.38246529897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264050.65786646964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-60662.983759304043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-31370.699667204364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799870.02381538227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615.79252405677221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65.394046855606078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4462663.8953570956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6830.9920522102666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379675.07577025512</v>
      </c>
      <c r="F19" s="67"/>
      <c r="G19" t="s">
        <v>9</v>
      </c>
      <c r="H19" t="s">
        <v>41</v>
      </c>
      <c r="I19" t="s">
        <v>42</v>
      </c>
      <c r="J19" s="7">
        <v>196113.63483067774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1400751.509383799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949428.75361364952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1055058.2659856556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-20644.571249068267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729457.39143396297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-16.704245347448644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1655045.275893853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-756.94879326502291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208436.04056009062</v>
      </c>
      <c r="F28" s="67"/>
      <c r="G28" t="s">
        <v>17</v>
      </c>
      <c r="H28" t="s">
        <v>41</v>
      </c>
      <c r="I28" t="s">
        <v>42</v>
      </c>
      <c r="J28" s="7">
        <v>107663.50533025003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6969.7947312774413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-102.42049783094808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126527.70782320583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16464.086238965152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10175.062828016216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-12983.695394158094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2472789.0014670389</v>
      </c>
      <c r="F36" s="67"/>
      <c r="G36" t="s">
        <v>85</v>
      </c>
      <c r="H36" t="s">
        <v>85</v>
      </c>
      <c r="I36" t="s">
        <v>42</v>
      </c>
      <c r="J36" s="7">
        <v>1277270.1454347488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-526431.16332908382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-352034.83110481821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686173.00898094219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1890061.7372362106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2815729.3854248286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2619136.8856605999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1073249.3370517879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784066.42161520582</v>
      </c>
      <c r="F44" s="67"/>
      <c r="G44" t="s">
        <v>26</v>
      </c>
      <c r="H44" t="s">
        <v>45</v>
      </c>
      <c r="I44" t="s">
        <v>42</v>
      </c>
      <c r="J44" s="7">
        <v>404993.96906602837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794756.55402615387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117642.96385471657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274664.76931139099</v>
      </c>
      <c r="F47" s="67"/>
      <c r="G47" t="s">
        <v>26</v>
      </c>
      <c r="H47" t="s">
        <v>41</v>
      </c>
      <c r="I47" t="s">
        <v>42</v>
      </c>
      <c r="J47" s="7">
        <v>141872.64244382738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3064190.2691187928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0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453855.06613024208</v>
      </c>
    </row>
    <row r="50" spans="1:10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399848.02949220315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0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100282.88726583292</v>
      </c>
    </row>
    <row r="52" spans="1:10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0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0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0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0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0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34077.986262483762</v>
      </c>
      <c r="F57" s="67"/>
      <c r="G57" t="s">
        <v>31</v>
      </c>
      <c r="H57" t="s">
        <v>41</v>
      </c>
      <c r="I57" t="s">
        <v>43</v>
      </c>
      <c r="J57" s="7">
        <v>0</v>
      </c>
    </row>
    <row r="58" spans="1:10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262480.79237658833</v>
      </c>
      <c r="F58" s="67"/>
      <c r="G58" t="s">
        <v>28</v>
      </c>
      <c r="H58" t="s">
        <v>45</v>
      </c>
      <c r="I58" t="s">
        <v>43</v>
      </c>
      <c r="J58" s="7">
        <v>0</v>
      </c>
    </row>
    <row r="59" spans="1:10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</row>
    <row r="60" spans="1:10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109217.79629341209</v>
      </c>
      <c r="F60" s="67"/>
      <c r="G60" t="s">
        <v>29</v>
      </c>
      <c r="H60" t="s">
        <v>45</v>
      </c>
      <c r="I60" t="s">
        <v>43</v>
      </c>
      <c r="J60" s="7">
        <v>0</v>
      </c>
    </row>
    <row r="61" spans="1:10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96472.838539197008</v>
      </c>
      <c r="F61" s="67"/>
      <c r="G61" t="s">
        <v>30</v>
      </c>
      <c r="H61" t="s">
        <v>45</v>
      </c>
      <c r="I61" t="s">
        <v>42</v>
      </c>
      <c r="J61" s="7">
        <v>49831.132554520023</v>
      </c>
    </row>
    <row r="62" spans="1:10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17872129.362987526</v>
      </c>
      <c r="F62" s="72"/>
      <c r="G62" s="69" t="s">
        <v>32</v>
      </c>
      <c r="H62" s="70"/>
      <c r="I62" s="70"/>
      <c r="J62" s="71">
        <f>SUM(J6:J61)</f>
        <v>15712042.045893749</v>
      </c>
    </row>
    <row r="63" spans="1:10" x14ac:dyDescent="0.25">
      <c r="A63" s="26"/>
      <c r="B63" s="9"/>
      <c r="E63" s="11"/>
      <c r="G63" s="9"/>
      <c r="J63" s="11"/>
    </row>
    <row r="64" spans="1:10" x14ac:dyDescent="0.25">
      <c r="A64" s="26"/>
      <c r="B64" s="9"/>
      <c r="E64" s="11"/>
      <c r="G64" s="9"/>
      <c r="J64" s="11"/>
    </row>
    <row r="65" spans="1:10" x14ac:dyDescent="0.25">
      <c r="A65" s="26"/>
      <c r="B65" s="9"/>
      <c r="E65" s="11"/>
      <c r="G65" s="9"/>
      <c r="J65" s="11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pane xSplit="2" ySplit="5" topLeftCell="F6" activePane="bottomRight" state="frozen"/>
      <selection activeCell="I36" sqref="I36"/>
      <selection pane="topRight" activeCell="I36" sqref="I36"/>
      <selection pane="bottomLeft" activeCell="I36" sqref="I36"/>
      <selection pane="bottomRight" activeCell="G6" sqref="G6:G60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</row>
    <row r="2" spans="1:10" ht="18.75" x14ac:dyDescent="0.3">
      <c r="B2" s="66" t="s">
        <v>37</v>
      </c>
      <c r="C2" s="73"/>
      <c r="D2" s="73"/>
      <c r="E2" s="73"/>
      <c r="F2" s="74"/>
      <c r="G2" s="66" t="s">
        <v>38</v>
      </c>
    </row>
    <row r="3" spans="1:10" x14ac:dyDescent="0.25">
      <c r="F3" s="67"/>
    </row>
    <row r="4" spans="1:10" x14ac:dyDescent="0.25">
      <c r="A4" s="61" t="s">
        <v>52</v>
      </c>
      <c r="F4" s="67"/>
    </row>
    <row r="5" spans="1:10" x14ac:dyDescent="0.25">
      <c r="A5" s="19" t="s">
        <v>54</v>
      </c>
      <c r="B5" s="13" t="s">
        <v>0</v>
      </c>
      <c r="C5" s="13" t="s">
        <v>39</v>
      </c>
      <c r="D5" s="13" t="s">
        <v>40</v>
      </c>
      <c r="E5" s="13" t="s">
        <v>874</v>
      </c>
      <c r="F5" s="68"/>
      <c r="G5" s="13" t="s">
        <v>0</v>
      </c>
      <c r="H5" s="13" t="s">
        <v>39</v>
      </c>
      <c r="I5" s="13" t="s">
        <v>40</v>
      </c>
      <c r="J5" s="13" t="s">
        <v>874</v>
      </c>
    </row>
    <row r="6" spans="1:10" x14ac:dyDescent="0.25">
      <c r="A6" s="26">
        <v>1</v>
      </c>
      <c r="B6" t="s">
        <v>872</v>
      </c>
      <c r="C6" t="s">
        <v>41</v>
      </c>
      <c r="D6" t="s">
        <v>42</v>
      </c>
      <c r="E6" s="7">
        <v>184822.5372357915</v>
      </c>
      <c r="F6" s="67"/>
      <c r="G6" t="s">
        <v>872</v>
      </c>
      <c r="H6" t="s">
        <v>41</v>
      </c>
      <c r="I6" t="s">
        <v>42</v>
      </c>
      <c r="J6" s="7">
        <v>95466.418232500146</v>
      </c>
    </row>
    <row r="7" spans="1:10" s="8" customFormat="1" x14ac:dyDescent="0.25">
      <c r="A7" s="26">
        <f>A6+1</f>
        <v>2</v>
      </c>
      <c r="B7" t="s">
        <v>872</v>
      </c>
      <c r="C7" t="s">
        <v>41</v>
      </c>
      <c r="D7" t="s">
        <v>43</v>
      </c>
      <c r="E7" s="7">
        <v>748941.05452572461</v>
      </c>
      <c r="F7" s="67"/>
      <c r="G7" t="s">
        <v>872</v>
      </c>
      <c r="H7" t="s">
        <v>41</v>
      </c>
      <c r="I7" t="s">
        <v>43</v>
      </c>
      <c r="J7" s="7">
        <v>0</v>
      </c>
    </row>
    <row r="8" spans="1:10" s="8" customFormat="1" x14ac:dyDescent="0.25">
      <c r="A8" s="26">
        <f t="shared" ref="A8:A62" si="0">A7+1</f>
        <v>3</v>
      </c>
      <c r="B8" t="s">
        <v>872</v>
      </c>
      <c r="C8" t="s">
        <v>41</v>
      </c>
      <c r="D8" t="s">
        <v>44</v>
      </c>
      <c r="E8" s="7">
        <v>0</v>
      </c>
      <c r="F8" s="67"/>
      <c r="G8" t="s">
        <v>872</v>
      </c>
      <c r="H8" t="s">
        <v>41</v>
      </c>
      <c r="I8" t="s">
        <v>44</v>
      </c>
      <c r="J8" s="7">
        <v>636646.70544048306</v>
      </c>
    </row>
    <row r="9" spans="1:10" s="8" customFormat="1" x14ac:dyDescent="0.25">
      <c r="A9" s="26">
        <f t="shared" si="0"/>
        <v>4</v>
      </c>
      <c r="B9" t="s">
        <v>1</v>
      </c>
      <c r="C9" t="s">
        <v>45</v>
      </c>
      <c r="D9" t="s">
        <v>43</v>
      </c>
      <c r="E9" s="7">
        <v>14509.210332333334</v>
      </c>
      <c r="F9" s="67"/>
      <c r="G9" t="s">
        <v>1</v>
      </c>
      <c r="H9" t="s">
        <v>45</v>
      </c>
      <c r="I9" t="s">
        <v>43</v>
      </c>
      <c r="J9" s="7">
        <v>0</v>
      </c>
    </row>
    <row r="10" spans="1:10" s="8" customFormat="1" x14ac:dyDescent="0.25">
      <c r="A10" s="26">
        <f t="shared" si="0"/>
        <v>5</v>
      </c>
      <c r="B10" t="s">
        <v>2</v>
      </c>
      <c r="C10" t="s">
        <v>41</v>
      </c>
      <c r="D10" t="s">
        <v>43</v>
      </c>
      <c r="E10" s="7">
        <v>169609.75651247142</v>
      </c>
      <c r="F10" s="67"/>
      <c r="G10" t="s">
        <v>2</v>
      </c>
      <c r="H10" t="s">
        <v>41</v>
      </c>
      <c r="I10" t="s">
        <v>43</v>
      </c>
      <c r="J10" s="7">
        <v>0</v>
      </c>
    </row>
    <row r="11" spans="1:10" s="8" customFormat="1" x14ac:dyDescent="0.25">
      <c r="A11" s="26">
        <f t="shared" si="0"/>
        <v>6</v>
      </c>
      <c r="B11" t="s">
        <v>3</v>
      </c>
      <c r="C11" t="s">
        <v>41</v>
      </c>
      <c r="D11" t="s">
        <v>44</v>
      </c>
      <c r="E11" s="7">
        <v>0</v>
      </c>
      <c r="F11" s="67"/>
      <c r="G11" t="s">
        <v>3</v>
      </c>
      <c r="H11" t="s">
        <v>41</v>
      </c>
      <c r="I11" t="s">
        <v>44</v>
      </c>
      <c r="J11" s="7">
        <v>181980.89940942632</v>
      </c>
    </row>
    <row r="12" spans="1:10" s="8" customFormat="1" x14ac:dyDescent="0.25">
      <c r="A12" s="26">
        <f t="shared" si="0"/>
        <v>7</v>
      </c>
      <c r="B12" t="s">
        <v>4</v>
      </c>
      <c r="C12" t="s">
        <v>46</v>
      </c>
      <c r="D12" t="s">
        <v>43</v>
      </c>
      <c r="E12" s="7">
        <v>-631668.08080489072</v>
      </c>
      <c r="F12" s="67"/>
      <c r="G12" t="s">
        <v>4</v>
      </c>
      <c r="H12" t="s">
        <v>46</v>
      </c>
      <c r="I12" t="s">
        <v>43</v>
      </c>
      <c r="J12" s="7">
        <v>0</v>
      </c>
    </row>
    <row r="13" spans="1:10" s="8" customFormat="1" x14ac:dyDescent="0.25">
      <c r="A13" s="26">
        <f t="shared" si="0"/>
        <v>8</v>
      </c>
      <c r="B13" t="s">
        <v>5</v>
      </c>
      <c r="C13" t="s">
        <v>46</v>
      </c>
      <c r="D13" t="s">
        <v>44</v>
      </c>
      <c r="E13" s="7">
        <v>0</v>
      </c>
      <c r="F13" s="67"/>
      <c r="G13" t="s">
        <v>5</v>
      </c>
      <c r="H13" t="s">
        <v>46</v>
      </c>
      <c r="I13" t="s">
        <v>44</v>
      </c>
      <c r="J13" s="7">
        <v>-53328.032734999993</v>
      </c>
    </row>
    <row r="14" spans="1:10" s="8" customFormat="1" x14ac:dyDescent="0.25">
      <c r="A14" s="26">
        <f t="shared" si="0"/>
        <v>9</v>
      </c>
      <c r="B14" t="s">
        <v>6</v>
      </c>
      <c r="C14" t="s">
        <v>46</v>
      </c>
      <c r="D14" t="s">
        <v>43</v>
      </c>
      <c r="E14" s="7">
        <v>3262097.4905843786</v>
      </c>
      <c r="F14" s="67"/>
      <c r="G14" t="s">
        <v>6</v>
      </c>
      <c r="H14" t="s">
        <v>46</v>
      </c>
      <c r="I14" t="s">
        <v>43</v>
      </c>
      <c r="J14" s="7">
        <v>0</v>
      </c>
    </row>
    <row r="15" spans="1:10" s="8" customFormat="1" x14ac:dyDescent="0.25">
      <c r="A15" s="26">
        <f t="shared" si="0"/>
        <v>10</v>
      </c>
      <c r="B15" t="s">
        <v>6</v>
      </c>
      <c r="C15" t="s">
        <v>46</v>
      </c>
      <c r="D15" t="s">
        <v>44</v>
      </c>
      <c r="E15" s="7">
        <v>0</v>
      </c>
      <c r="F15" s="67"/>
      <c r="G15" t="s">
        <v>6</v>
      </c>
      <c r="H15" t="s">
        <v>46</v>
      </c>
      <c r="I15" t="s">
        <v>44</v>
      </c>
      <c r="J15" s="7">
        <v>833.44953175874252</v>
      </c>
    </row>
    <row r="16" spans="1:10" s="8" customFormat="1" x14ac:dyDescent="0.25">
      <c r="A16" s="26">
        <f t="shared" si="0"/>
        <v>11</v>
      </c>
      <c r="B16" t="s">
        <v>7</v>
      </c>
      <c r="C16" t="s">
        <v>46</v>
      </c>
      <c r="D16" t="s">
        <v>43</v>
      </c>
      <c r="E16" s="7">
        <v>204.80034065348721</v>
      </c>
      <c r="F16" s="67"/>
      <c r="G16" t="s">
        <v>7</v>
      </c>
      <c r="H16" t="s">
        <v>46</v>
      </c>
      <c r="I16" t="s">
        <v>43</v>
      </c>
      <c r="J16" s="7">
        <v>0</v>
      </c>
    </row>
    <row r="17" spans="1:10" s="8" customFormat="1" x14ac:dyDescent="0.25">
      <c r="A17" s="26">
        <f t="shared" si="0"/>
        <v>12</v>
      </c>
      <c r="B17" t="s">
        <v>7</v>
      </c>
      <c r="C17" t="s">
        <v>46</v>
      </c>
      <c r="D17" t="s">
        <v>44</v>
      </c>
      <c r="E17" s="7">
        <v>0</v>
      </c>
      <c r="F17" s="67"/>
      <c r="G17" t="s">
        <v>7</v>
      </c>
      <c r="H17" t="s">
        <v>46</v>
      </c>
      <c r="I17" t="s">
        <v>44</v>
      </c>
      <c r="J17" s="7">
        <v>4530169.9028064189</v>
      </c>
    </row>
    <row r="18" spans="1:10" s="8" customFormat="1" x14ac:dyDescent="0.25">
      <c r="A18" s="26">
        <f t="shared" si="0"/>
        <v>13</v>
      </c>
      <c r="B18" t="s">
        <v>8</v>
      </c>
      <c r="C18" t="s">
        <v>41</v>
      </c>
      <c r="D18" t="s">
        <v>43</v>
      </c>
      <c r="E18" s="7">
        <v>770.07891666666524</v>
      </c>
      <c r="F18" s="67"/>
      <c r="G18" t="s">
        <v>8</v>
      </c>
      <c r="H18" t="s">
        <v>41</v>
      </c>
      <c r="I18" t="s">
        <v>43</v>
      </c>
      <c r="J18" s="7">
        <v>0</v>
      </c>
    </row>
    <row r="19" spans="1:10" s="8" customFormat="1" x14ac:dyDescent="0.25">
      <c r="A19" s="26">
        <f t="shared" si="0"/>
        <v>14</v>
      </c>
      <c r="B19" t="s">
        <v>9</v>
      </c>
      <c r="C19" t="s">
        <v>41</v>
      </c>
      <c r="D19" t="s">
        <v>42</v>
      </c>
      <c r="E19" s="7">
        <v>1133177.3872265001</v>
      </c>
      <c r="F19" s="67"/>
      <c r="G19" t="s">
        <v>9</v>
      </c>
      <c r="H19" t="s">
        <v>41</v>
      </c>
      <c r="I19" t="s">
        <v>42</v>
      </c>
      <c r="J19" s="7">
        <v>585320.31860683346</v>
      </c>
    </row>
    <row r="20" spans="1:10" s="8" customFormat="1" x14ac:dyDescent="0.25">
      <c r="A20" s="26">
        <f t="shared" si="0"/>
        <v>15</v>
      </c>
      <c r="B20" t="s">
        <v>10</v>
      </c>
      <c r="C20" t="s">
        <v>41</v>
      </c>
      <c r="D20" t="s">
        <v>43</v>
      </c>
      <c r="E20" s="7">
        <v>3739639.2920287163</v>
      </c>
      <c r="F20" s="67"/>
      <c r="G20" t="s">
        <v>10</v>
      </c>
      <c r="H20" t="s">
        <v>41</v>
      </c>
      <c r="I20" t="s">
        <v>43</v>
      </c>
      <c r="J20" s="7">
        <v>0</v>
      </c>
    </row>
    <row r="21" spans="1:10" s="8" customFormat="1" x14ac:dyDescent="0.25">
      <c r="A21" s="26">
        <f t="shared" si="0"/>
        <v>16</v>
      </c>
      <c r="B21" t="s">
        <v>11</v>
      </c>
      <c r="C21" t="s">
        <v>41</v>
      </c>
      <c r="D21" t="s">
        <v>44</v>
      </c>
      <c r="E21" s="7">
        <v>0</v>
      </c>
      <c r="F21" s="67"/>
      <c r="G21" t="s">
        <v>11</v>
      </c>
      <c r="H21" t="s">
        <v>41</v>
      </c>
      <c r="I21" t="s">
        <v>44</v>
      </c>
      <c r="J21" s="7">
        <v>943299.32068860729</v>
      </c>
    </row>
    <row r="22" spans="1:10" s="8" customFormat="1" x14ac:dyDescent="0.25">
      <c r="A22" s="26">
        <f t="shared" si="0"/>
        <v>17</v>
      </c>
      <c r="B22" t="s">
        <v>12</v>
      </c>
      <c r="C22" t="s">
        <v>45</v>
      </c>
      <c r="D22" t="s">
        <v>43</v>
      </c>
      <c r="E22" s="7">
        <v>1229545.2780046598</v>
      </c>
      <c r="F22" s="67"/>
      <c r="G22" t="s">
        <v>12</v>
      </c>
      <c r="H22" t="s">
        <v>45</v>
      </c>
      <c r="I22" t="s">
        <v>43</v>
      </c>
      <c r="J22" s="7">
        <v>0</v>
      </c>
    </row>
    <row r="23" spans="1:10" s="8" customFormat="1" x14ac:dyDescent="0.25">
      <c r="A23" s="26">
        <f t="shared" si="0"/>
        <v>18</v>
      </c>
      <c r="B23" t="s">
        <v>822</v>
      </c>
      <c r="C23" t="s">
        <v>41</v>
      </c>
      <c r="D23" t="s">
        <v>43</v>
      </c>
      <c r="E23" s="7">
        <v>9665.3951794521654</v>
      </c>
      <c r="F23" s="67"/>
      <c r="G23" t="s">
        <v>822</v>
      </c>
      <c r="H23" t="s">
        <v>41</v>
      </c>
      <c r="I23" t="s">
        <v>43</v>
      </c>
      <c r="J23" s="7">
        <v>0</v>
      </c>
    </row>
    <row r="24" spans="1:10" s="8" customFormat="1" x14ac:dyDescent="0.25">
      <c r="A24" s="26">
        <f t="shared" si="0"/>
        <v>19</v>
      </c>
      <c r="B24" t="s">
        <v>13</v>
      </c>
      <c r="C24" t="s">
        <v>41</v>
      </c>
      <c r="D24" t="s">
        <v>44</v>
      </c>
      <c r="E24" s="7">
        <v>0</v>
      </c>
      <c r="F24" s="67"/>
      <c r="G24" t="s">
        <v>13</v>
      </c>
      <c r="H24" t="s">
        <v>41</v>
      </c>
      <c r="I24" t="s">
        <v>44</v>
      </c>
      <c r="J24" s="7">
        <v>656078.70053785166</v>
      </c>
    </row>
    <row r="25" spans="1:10" s="8" customFormat="1" x14ac:dyDescent="0.25">
      <c r="A25" s="26">
        <f t="shared" si="0"/>
        <v>20</v>
      </c>
      <c r="B25" t="s">
        <v>14</v>
      </c>
      <c r="C25" t="s">
        <v>45</v>
      </c>
      <c r="D25" t="s">
        <v>43</v>
      </c>
      <c r="E25" s="7">
        <v>-265.55426099999994</v>
      </c>
      <c r="F25" s="67"/>
      <c r="G25" t="s">
        <v>14</v>
      </c>
      <c r="H25" t="s">
        <v>45</v>
      </c>
      <c r="I25" t="s">
        <v>43</v>
      </c>
      <c r="J25" s="7">
        <v>0</v>
      </c>
    </row>
    <row r="26" spans="1:10" s="8" customFormat="1" x14ac:dyDescent="0.25">
      <c r="A26" s="26">
        <f t="shared" si="0"/>
        <v>21</v>
      </c>
      <c r="B26" t="s">
        <v>15</v>
      </c>
      <c r="C26" t="s">
        <v>41</v>
      </c>
      <c r="D26" t="s">
        <v>43</v>
      </c>
      <c r="E26" s="7">
        <v>6109532.7676543705</v>
      </c>
      <c r="F26" s="67"/>
      <c r="G26" t="s">
        <v>15</v>
      </c>
      <c r="H26" t="s">
        <v>41</v>
      </c>
      <c r="I26" t="s">
        <v>43</v>
      </c>
      <c r="J26" s="7">
        <v>0</v>
      </c>
    </row>
    <row r="27" spans="1:10" s="8" customFormat="1" x14ac:dyDescent="0.25">
      <c r="A27" s="26">
        <f t="shared" si="0"/>
        <v>22</v>
      </c>
      <c r="B27" t="s">
        <v>16</v>
      </c>
      <c r="C27" t="s">
        <v>41</v>
      </c>
      <c r="D27" t="s">
        <v>43</v>
      </c>
      <c r="E27" s="7">
        <v>-6422.2361666666666</v>
      </c>
      <c r="F27" s="67"/>
      <c r="G27" t="s">
        <v>16</v>
      </c>
      <c r="H27" t="s">
        <v>41</v>
      </c>
      <c r="I27" t="s">
        <v>43</v>
      </c>
      <c r="J27" s="7">
        <v>0</v>
      </c>
    </row>
    <row r="28" spans="1:10" s="8" customFormat="1" x14ac:dyDescent="0.25">
      <c r="A28" s="26">
        <f t="shared" si="0"/>
        <v>23</v>
      </c>
      <c r="B28" t="s">
        <v>17</v>
      </c>
      <c r="C28" t="s">
        <v>41</v>
      </c>
      <c r="D28" t="s">
        <v>42</v>
      </c>
      <c r="E28" s="7">
        <v>1249098.8130698481</v>
      </c>
      <c r="F28" s="67"/>
      <c r="G28" t="s">
        <v>17</v>
      </c>
      <c r="H28" t="s">
        <v>41</v>
      </c>
      <c r="I28" t="s">
        <v>42</v>
      </c>
      <c r="J28" s="7">
        <v>645197.23344190209</v>
      </c>
    </row>
    <row r="29" spans="1:10" s="8" customFormat="1" x14ac:dyDescent="0.25">
      <c r="A29" s="26">
        <f t="shared" si="0"/>
        <v>24</v>
      </c>
      <c r="B29" t="s">
        <v>17</v>
      </c>
      <c r="C29" t="s">
        <v>41</v>
      </c>
      <c r="D29" t="s">
        <v>43</v>
      </c>
      <c r="E29" s="7">
        <v>38082.094586500003</v>
      </c>
      <c r="F29" s="67"/>
      <c r="G29" t="s">
        <v>17</v>
      </c>
      <c r="H29" t="s">
        <v>41</v>
      </c>
      <c r="I29" t="s">
        <v>43</v>
      </c>
      <c r="J29" s="7">
        <v>0</v>
      </c>
    </row>
    <row r="30" spans="1:10" s="8" customFormat="1" x14ac:dyDescent="0.25">
      <c r="A30" s="26">
        <f t="shared" si="0"/>
        <v>25</v>
      </c>
      <c r="B30" t="s">
        <v>17</v>
      </c>
      <c r="C30" t="s">
        <v>41</v>
      </c>
      <c r="D30" t="s">
        <v>44</v>
      </c>
      <c r="E30" s="7">
        <v>0</v>
      </c>
      <c r="F30" s="67"/>
      <c r="G30" t="s">
        <v>17</v>
      </c>
      <c r="H30" t="s">
        <v>41</v>
      </c>
      <c r="I30" t="s">
        <v>44</v>
      </c>
      <c r="J30" s="7">
        <v>36381.202666666672</v>
      </c>
    </row>
    <row r="31" spans="1:10" s="8" customFormat="1" x14ac:dyDescent="0.25">
      <c r="A31" s="26">
        <f t="shared" si="0"/>
        <v>26</v>
      </c>
      <c r="B31" t="s">
        <v>18</v>
      </c>
      <c r="C31" t="s">
        <v>45</v>
      </c>
      <c r="D31" t="s">
        <v>43</v>
      </c>
      <c r="E31" s="7">
        <v>0</v>
      </c>
      <c r="F31" s="67"/>
      <c r="G31" t="s">
        <v>18</v>
      </c>
      <c r="H31" t="s">
        <v>45</v>
      </c>
      <c r="I31" t="s">
        <v>43</v>
      </c>
      <c r="J31" s="7">
        <v>0</v>
      </c>
    </row>
    <row r="32" spans="1:10" s="8" customFormat="1" x14ac:dyDescent="0.25">
      <c r="A32" s="26">
        <f t="shared" si="0"/>
        <v>27</v>
      </c>
      <c r="B32" t="s">
        <v>19</v>
      </c>
      <c r="C32" t="s">
        <v>41</v>
      </c>
      <c r="D32" t="s">
        <v>43</v>
      </c>
      <c r="E32" s="7">
        <v>111013.69658944389</v>
      </c>
      <c r="F32" s="67"/>
      <c r="G32" t="s">
        <v>19</v>
      </c>
      <c r="H32" t="s">
        <v>41</v>
      </c>
      <c r="I32" t="s">
        <v>43</v>
      </c>
      <c r="J32" s="7">
        <v>0</v>
      </c>
    </row>
    <row r="33" spans="1:10" s="8" customFormat="1" x14ac:dyDescent="0.25">
      <c r="A33" s="26">
        <f t="shared" si="0"/>
        <v>28</v>
      </c>
      <c r="B33" t="s">
        <v>20</v>
      </c>
      <c r="C33" t="s">
        <v>41</v>
      </c>
      <c r="D33" t="s">
        <v>44</v>
      </c>
      <c r="E33" s="7">
        <v>0</v>
      </c>
      <c r="F33" s="67"/>
      <c r="G33" t="s">
        <v>20</v>
      </c>
      <c r="H33" t="s">
        <v>41</v>
      </c>
      <c r="I33" t="s">
        <v>44</v>
      </c>
      <c r="J33" s="7">
        <v>9050.9312311666654</v>
      </c>
    </row>
    <row r="34" spans="1:10" s="8" customFormat="1" x14ac:dyDescent="0.25">
      <c r="A34" s="26">
        <f t="shared" si="0"/>
        <v>29</v>
      </c>
      <c r="B34" t="s">
        <v>21</v>
      </c>
      <c r="C34" t="s">
        <v>45</v>
      </c>
      <c r="D34" t="s">
        <v>44</v>
      </c>
      <c r="E34" s="7">
        <v>0</v>
      </c>
      <c r="F34" s="67"/>
      <c r="G34" t="s">
        <v>21</v>
      </c>
      <c r="H34" t="s">
        <v>45</v>
      </c>
      <c r="I34" t="s">
        <v>44</v>
      </c>
      <c r="J34" s="7">
        <v>15917.254481833334</v>
      </c>
    </row>
    <row r="35" spans="1:10" s="8" customFormat="1" x14ac:dyDescent="0.25">
      <c r="A35" s="26">
        <f t="shared" si="0"/>
        <v>30</v>
      </c>
      <c r="B35" t="s">
        <v>22</v>
      </c>
      <c r="C35" t="s">
        <v>45</v>
      </c>
      <c r="D35" t="s">
        <v>43</v>
      </c>
      <c r="E35" s="7">
        <v>1788962.5898035003</v>
      </c>
      <c r="F35" s="67"/>
      <c r="G35" t="s">
        <v>22</v>
      </c>
      <c r="H35" t="s">
        <v>45</v>
      </c>
      <c r="I35" t="s">
        <v>43</v>
      </c>
      <c r="J35" s="7">
        <v>0</v>
      </c>
    </row>
    <row r="36" spans="1:10" s="8" customFormat="1" x14ac:dyDescent="0.25">
      <c r="A36" s="26">
        <f t="shared" si="0"/>
        <v>31</v>
      </c>
      <c r="B36" t="s">
        <v>85</v>
      </c>
      <c r="C36" t="s">
        <v>85</v>
      </c>
      <c r="D36" t="s">
        <v>42</v>
      </c>
      <c r="E36" s="7">
        <v>4592681.6547855409</v>
      </c>
      <c r="F36" s="67"/>
      <c r="G36" t="s">
        <v>85</v>
      </c>
      <c r="H36" t="s">
        <v>85</v>
      </c>
      <c r="I36" t="s">
        <v>42</v>
      </c>
      <c r="J36" s="7">
        <v>2372258.6770093348</v>
      </c>
    </row>
    <row r="37" spans="1:10" s="8" customFormat="1" x14ac:dyDescent="0.25">
      <c r="A37" s="26">
        <f t="shared" si="0"/>
        <v>32</v>
      </c>
      <c r="B37" t="s">
        <v>85</v>
      </c>
      <c r="C37" t="s">
        <v>85</v>
      </c>
      <c r="D37" t="s">
        <v>43</v>
      </c>
      <c r="E37" s="7">
        <v>2629068.0996477022</v>
      </c>
      <c r="F37" s="67"/>
      <c r="G37" t="s">
        <v>85</v>
      </c>
      <c r="H37" t="s">
        <v>85</v>
      </c>
      <c r="I37" t="s">
        <v>43</v>
      </c>
      <c r="J37" s="7">
        <v>0</v>
      </c>
    </row>
    <row r="38" spans="1:10" s="8" customFormat="1" x14ac:dyDescent="0.25">
      <c r="A38" s="26">
        <f t="shared" si="0"/>
        <v>33</v>
      </c>
      <c r="B38" t="s">
        <v>85</v>
      </c>
      <c r="C38" t="s">
        <v>85</v>
      </c>
      <c r="D38" t="s">
        <v>44</v>
      </c>
      <c r="E38" s="7">
        <v>0</v>
      </c>
      <c r="F38" s="67"/>
      <c r="G38" t="s">
        <v>85</v>
      </c>
      <c r="H38" t="s">
        <v>85</v>
      </c>
      <c r="I38" t="s">
        <v>44</v>
      </c>
      <c r="J38" s="7">
        <v>189844.33453256963</v>
      </c>
    </row>
    <row r="39" spans="1:10" s="8" customFormat="1" x14ac:dyDescent="0.25">
      <c r="A39" s="26">
        <f t="shared" si="0"/>
        <v>34</v>
      </c>
      <c r="B39" t="s">
        <v>23</v>
      </c>
      <c r="C39" t="s">
        <v>46</v>
      </c>
      <c r="D39" t="s">
        <v>43</v>
      </c>
      <c r="E39" s="7">
        <v>1633228.3674291214</v>
      </c>
      <c r="F39" s="67"/>
      <c r="G39" t="s">
        <v>23</v>
      </c>
      <c r="H39" t="s">
        <v>46</v>
      </c>
      <c r="I39" t="s">
        <v>43</v>
      </c>
      <c r="J39" s="7">
        <v>0</v>
      </c>
    </row>
    <row r="40" spans="1:10" s="8" customFormat="1" x14ac:dyDescent="0.25">
      <c r="A40" s="26">
        <f t="shared" si="0"/>
        <v>35</v>
      </c>
      <c r="B40" t="s">
        <v>24</v>
      </c>
      <c r="C40" t="s">
        <v>46</v>
      </c>
      <c r="D40" t="s">
        <v>44</v>
      </c>
      <c r="E40" s="7">
        <v>0</v>
      </c>
      <c r="F40" s="67"/>
      <c r="G40" t="s">
        <v>24</v>
      </c>
      <c r="H40" t="s">
        <v>46</v>
      </c>
      <c r="I40" t="s">
        <v>44</v>
      </c>
      <c r="J40" s="7">
        <v>1326797.8207572035</v>
      </c>
    </row>
    <row r="41" spans="1:10" s="8" customFormat="1" x14ac:dyDescent="0.25">
      <c r="A41" s="26">
        <f t="shared" si="0"/>
        <v>36</v>
      </c>
      <c r="B41" t="s">
        <v>25</v>
      </c>
      <c r="C41" t="s">
        <v>41</v>
      </c>
      <c r="D41" t="s">
        <v>44</v>
      </c>
      <c r="E41" s="7">
        <v>0</v>
      </c>
      <c r="F41" s="67"/>
      <c r="G41" t="s">
        <v>25</v>
      </c>
      <c r="H41" t="s">
        <v>41</v>
      </c>
      <c r="I41" t="s">
        <v>44</v>
      </c>
      <c r="J41" s="7">
        <v>1884037.7668192282</v>
      </c>
    </row>
    <row r="42" spans="1:10" s="8" customFormat="1" x14ac:dyDescent="0.25">
      <c r="A42" s="26">
        <f t="shared" si="0"/>
        <v>37</v>
      </c>
      <c r="B42" t="s">
        <v>50</v>
      </c>
      <c r="C42" t="s">
        <v>50</v>
      </c>
      <c r="D42" t="s">
        <v>43</v>
      </c>
      <c r="E42" s="7">
        <v>3424141.0999305411</v>
      </c>
      <c r="F42" s="67"/>
      <c r="G42" t="s">
        <v>50</v>
      </c>
      <c r="H42" t="s">
        <v>50</v>
      </c>
      <c r="I42" t="s">
        <v>43</v>
      </c>
      <c r="J42" s="7">
        <v>0</v>
      </c>
    </row>
    <row r="43" spans="1:10" s="8" customFormat="1" x14ac:dyDescent="0.25">
      <c r="A43" s="26">
        <f t="shared" si="0"/>
        <v>38</v>
      </c>
      <c r="B43" t="s">
        <v>50</v>
      </c>
      <c r="C43" t="s">
        <v>50</v>
      </c>
      <c r="D43" t="s">
        <v>44</v>
      </c>
      <c r="E43" s="7">
        <v>0</v>
      </c>
      <c r="F43" s="67"/>
      <c r="G43" t="s">
        <v>50</v>
      </c>
      <c r="H43" t="s">
        <v>50</v>
      </c>
      <c r="I43" t="s">
        <v>44</v>
      </c>
      <c r="J43" s="7">
        <v>1025279.7349748376</v>
      </c>
    </row>
    <row r="44" spans="1:10" s="8" customFormat="1" x14ac:dyDescent="0.25">
      <c r="A44" s="26">
        <f t="shared" si="0"/>
        <v>39</v>
      </c>
      <c r="B44" t="s">
        <v>26</v>
      </c>
      <c r="C44" t="s">
        <v>45</v>
      </c>
      <c r="D44" t="s">
        <v>42</v>
      </c>
      <c r="E44" s="7">
        <v>2411041.2971608536</v>
      </c>
      <c r="F44" s="67"/>
      <c r="G44" t="s">
        <v>26</v>
      </c>
      <c r="H44" t="s">
        <v>45</v>
      </c>
      <c r="I44" t="s">
        <v>42</v>
      </c>
      <c r="J44" s="7">
        <v>1245375.5926796887</v>
      </c>
    </row>
    <row r="45" spans="1:10" s="8" customFormat="1" x14ac:dyDescent="0.25">
      <c r="A45" s="26">
        <f t="shared" si="0"/>
        <v>40</v>
      </c>
      <c r="B45" t="s">
        <v>26</v>
      </c>
      <c r="C45" t="s">
        <v>45</v>
      </c>
      <c r="D45" t="s">
        <v>43</v>
      </c>
      <c r="E45" s="7">
        <v>1754983.0134382478</v>
      </c>
      <c r="F45" s="67"/>
      <c r="G45" t="s">
        <v>26</v>
      </c>
      <c r="H45" t="s">
        <v>45</v>
      </c>
      <c r="I45" t="s">
        <v>43</v>
      </c>
      <c r="J45" s="7">
        <v>0</v>
      </c>
    </row>
    <row r="46" spans="1:10" s="8" customFormat="1" x14ac:dyDescent="0.25">
      <c r="A46" s="26">
        <f t="shared" si="0"/>
        <v>41</v>
      </c>
      <c r="B46" t="s">
        <v>26</v>
      </c>
      <c r="C46" t="s">
        <v>45</v>
      </c>
      <c r="D46" t="s">
        <v>44</v>
      </c>
      <c r="E46" s="7">
        <v>0</v>
      </c>
      <c r="F46" s="67"/>
      <c r="G46" t="s">
        <v>26</v>
      </c>
      <c r="H46" t="s">
        <v>45</v>
      </c>
      <c r="I46" t="s">
        <v>44</v>
      </c>
      <c r="J46" s="7">
        <v>111473.39759622494</v>
      </c>
    </row>
    <row r="47" spans="1:10" s="8" customFormat="1" x14ac:dyDescent="0.25">
      <c r="A47" s="26">
        <f t="shared" si="0"/>
        <v>42</v>
      </c>
      <c r="B47" t="s">
        <v>26</v>
      </c>
      <c r="C47" t="s">
        <v>41</v>
      </c>
      <c r="D47" t="s">
        <v>42</v>
      </c>
      <c r="E47" s="7">
        <v>2209168.5681625456</v>
      </c>
      <c r="F47" s="67"/>
      <c r="G47" t="s">
        <v>26</v>
      </c>
      <c r="H47" t="s">
        <v>41</v>
      </c>
      <c r="I47" t="s">
        <v>42</v>
      </c>
      <c r="J47" s="7">
        <v>1141102.2358449546</v>
      </c>
    </row>
    <row r="48" spans="1:10" s="8" customFormat="1" x14ac:dyDescent="0.25">
      <c r="A48" s="26">
        <f t="shared" si="0"/>
        <v>43</v>
      </c>
      <c r="B48" t="s">
        <v>26</v>
      </c>
      <c r="C48" t="s">
        <v>41</v>
      </c>
      <c r="D48" t="s">
        <v>43</v>
      </c>
      <c r="E48" s="7">
        <v>5869773.7732337695</v>
      </c>
      <c r="F48" s="67"/>
      <c r="G48" t="s">
        <v>26</v>
      </c>
      <c r="H48" t="s">
        <v>41</v>
      </c>
      <c r="I48" t="s">
        <v>43</v>
      </c>
      <c r="J48" s="7">
        <v>0</v>
      </c>
    </row>
    <row r="49" spans="1:11" s="8" customFormat="1" x14ac:dyDescent="0.25">
      <c r="A49" s="26">
        <f t="shared" si="0"/>
        <v>44</v>
      </c>
      <c r="B49" t="s">
        <v>26</v>
      </c>
      <c r="C49" t="s">
        <v>41</v>
      </c>
      <c r="D49" t="s">
        <v>44</v>
      </c>
      <c r="E49" s="7">
        <v>0</v>
      </c>
      <c r="F49" s="67"/>
      <c r="G49" t="s">
        <v>26</v>
      </c>
      <c r="H49" t="s">
        <v>41</v>
      </c>
      <c r="I49" t="s">
        <v>44</v>
      </c>
      <c r="J49" s="7">
        <v>424467.40941272851</v>
      </c>
    </row>
    <row r="50" spans="1:11" s="8" customFormat="1" x14ac:dyDescent="0.25">
      <c r="A50" s="26">
        <f t="shared" si="0"/>
        <v>45</v>
      </c>
      <c r="B50" t="s">
        <v>26</v>
      </c>
      <c r="C50" t="s">
        <v>46</v>
      </c>
      <c r="D50" t="s">
        <v>43</v>
      </c>
      <c r="E50" s="7">
        <v>662284.22906773898</v>
      </c>
      <c r="F50" s="67"/>
      <c r="G50" t="s">
        <v>26</v>
      </c>
      <c r="H50" t="s">
        <v>46</v>
      </c>
      <c r="I50" t="s">
        <v>43</v>
      </c>
      <c r="J50" s="7">
        <v>0</v>
      </c>
    </row>
    <row r="51" spans="1:11" s="8" customFormat="1" x14ac:dyDescent="0.25">
      <c r="A51" s="26">
        <f t="shared" si="0"/>
        <v>46</v>
      </c>
      <c r="B51" t="s">
        <v>26</v>
      </c>
      <c r="C51" t="s">
        <v>46</v>
      </c>
      <c r="D51" t="s">
        <v>44</v>
      </c>
      <c r="E51" s="7">
        <v>0</v>
      </c>
      <c r="F51" s="67"/>
      <c r="G51" t="s">
        <v>26</v>
      </c>
      <c r="H51" t="s">
        <v>46</v>
      </c>
      <c r="I51" t="s">
        <v>44</v>
      </c>
      <c r="J51" s="7">
        <v>79361.339720143093</v>
      </c>
    </row>
    <row r="52" spans="1:11" s="8" customFormat="1" x14ac:dyDescent="0.25">
      <c r="A52" s="26">
        <f t="shared" si="0"/>
        <v>47</v>
      </c>
      <c r="B52" t="s">
        <v>27</v>
      </c>
      <c r="C52" t="s">
        <v>45</v>
      </c>
      <c r="D52" t="s">
        <v>43</v>
      </c>
      <c r="E52" s="7">
        <v>0</v>
      </c>
      <c r="F52" s="67"/>
      <c r="G52" t="s">
        <v>27</v>
      </c>
      <c r="H52" t="s">
        <v>45</v>
      </c>
      <c r="I52" t="s">
        <v>43</v>
      </c>
      <c r="J52" s="7">
        <v>0</v>
      </c>
    </row>
    <row r="53" spans="1:11" s="8" customFormat="1" x14ac:dyDescent="0.25">
      <c r="A53" s="26">
        <f t="shared" si="0"/>
        <v>48</v>
      </c>
      <c r="B53" t="s">
        <v>27</v>
      </c>
      <c r="C53" t="s">
        <v>45</v>
      </c>
      <c r="D53" t="s">
        <v>44</v>
      </c>
      <c r="E53" s="7">
        <v>0</v>
      </c>
      <c r="F53" s="67"/>
      <c r="G53" t="s">
        <v>27</v>
      </c>
      <c r="H53" t="s">
        <v>45</v>
      </c>
      <c r="I53" t="s">
        <v>44</v>
      </c>
      <c r="J53" s="7">
        <v>0</v>
      </c>
    </row>
    <row r="54" spans="1:11" s="8" customFormat="1" x14ac:dyDescent="0.25">
      <c r="A54" s="26">
        <f t="shared" si="0"/>
        <v>49</v>
      </c>
      <c r="B54" t="s">
        <v>27</v>
      </c>
      <c r="C54" t="s">
        <v>41</v>
      </c>
      <c r="D54" t="s">
        <v>42</v>
      </c>
      <c r="E54" s="7">
        <v>0</v>
      </c>
      <c r="F54" s="67"/>
      <c r="G54" t="s">
        <v>27</v>
      </c>
      <c r="H54" t="s">
        <v>41</v>
      </c>
      <c r="I54" t="s">
        <v>42</v>
      </c>
      <c r="J54" s="7">
        <v>0</v>
      </c>
    </row>
    <row r="55" spans="1:11" s="8" customFormat="1" x14ac:dyDescent="0.25">
      <c r="A55" s="26">
        <f t="shared" si="0"/>
        <v>50</v>
      </c>
      <c r="B55" t="s">
        <v>27</v>
      </c>
      <c r="C55" t="s">
        <v>41</v>
      </c>
      <c r="D55" t="s">
        <v>43</v>
      </c>
      <c r="E55" s="7">
        <v>0</v>
      </c>
      <c r="F55" s="67"/>
      <c r="G55" t="s">
        <v>27</v>
      </c>
      <c r="H55" t="s">
        <v>41</v>
      </c>
      <c r="I55" t="s">
        <v>43</v>
      </c>
      <c r="J55" s="7">
        <v>0</v>
      </c>
    </row>
    <row r="56" spans="1:11" s="8" customFormat="1" x14ac:dyDescent="0.25">
      <c r="A56" s="26">
        <f t="shared" si="0"/>
        <v>51</v>
      </c>
      <c r="B56" t="s">
        <v>27</v>
      </c>
      <c r="C56" t="s">
        <v>41</v>
      </c>
      <c r="D56" t="s">
        <v>44</v>
      </c>
      <c r="E56" s="7">
        <v>0</v>
      </c>
      <c r="F56" s="67"/>
      <c r="G56" t="s">
        <v>27</v>
      </c>
      <c r="H56" t="s">
        <v>41</v>
      </c>
      <c r="I56" t="s">
        <v>44</v>
      </c>
      <c r="J56" s="7">
        <v>0</v>
      </c>
    </row>
    <row r="57" spans="1:11" x14ac:dyDescent="0.25">
      <c r="A57" s="26">
        <f t="shared" si="0"/>
        <v>52</v>
      </c>
      <c r="B57" t="s">
        <v>31</v>
      </c>
      <c r="C57" t="s">
        <v>41</v>
      </c>
      <c r="D57" t="s">
        <v>43</v>
      </c>
      <c r="E57" s="7">
        <v>49182.104828243551</v>
      </c>
      <c r="F57" s="67"/>
      <c r="G57" t="s">
        <v>31</v>
      </c>
      <c r="H57" t="s">
        <v>41</v>
      </c>
      <c r="I57" t="s">
        <v>43</v>
      </c>
      <c r="J57" s="7">
        <v>0</v>
      </c>
      <c r="K57" s="8"/>
    </row>
    <row r="58" spans="1:11" x14ac:dyDescent="0.25">
      <c r="A58" s="26">
        <f t="shared" si="0"/>
        <v>53</v>
      </c>
      <c r="B58" t="s">
        <v>28</v>
      </c>
      <c r="C58" t="s">
        <v>45</v>
      </c>
      <c r="D58" t="s">
        <v>43</v>
      </c>
      <c r="E58" s="7">
        <v>49632.888067007923</v>
      </c>
      <c r="F58" s="67"/>
      <c r="G58" t="s">
        <v>28</v>
      </c>
      <c r="H58" t="s">
        <v>45</v>
      </c>
      <c r="I58" t="s">
        <v>43</v>
      </c>
      <c r="J58" s="7">
        <v>0</v>
      </c>
      <c r="K58" s="8"/>
    </row>
    <row r="59" spans="1:11" x14ac:dyDescent="0.25">
      <c r="A59" s="26">
        <f t="shared" si="0"/>
        <v>54</v>
      </c>
      <c r="B59" t="s">
        <v>873</v>
      </c>
      <c r="C59" t="s">
        <v>45</v>
      </c>
      <c r="D59" t="s">
        <v>42</v>
      </c>
      <c r="E59" s="7">
        <v>0</v>
      </c>
      <c r="F59" s="67"/>
      <c r="G59" t="s">
        <v>873</v>
      </c>
      <c r="H59" t="s">
        <v>45</v>
      </c>
      <c r="I59" t="s">
        <v>42</v>
      </c>
      <c r="J59" s="7">
        <v>0</v>
      </c>
      <c r="K59" s="8"/>
    </row>
    <row r="60" spans="1:11" x14ac:dyDescent="0.25">
      <c r="A60" s="26">
        <f t="shared" si="0"/>
        <v>55</v>
      </c>
      <c r="B60" t="s">
        <v>29</v>
      </c>
      <c r="C60" t="s">
        <v>45</v>
      </c>
      <c r="D60" t="s">
        <v>43</v>
      </c>
      <c r="E60" s="7">
        <v>168872.81168816669</v>
      </c>
      <c r="F60" s="67"/>
      <c r="G60" t="s">
        <v>29</v>
      </c>
      <c r="H60" t="s">
        <v>45</v>
      </c>
      <c r="I60" t="s">
        <v>43</v>
      </c>
      <c r="J60" s="7">
        <v>0</v>
      </c>
      <c r="K60" s="8"/>
    </row>
    <row r="61" spans="1:11" x14ac:dyDescent="0.25">
      <c r="A61" s="26">
        <f t="shared" si="0"/>
        <v>56</v>
      </c>
      <c r="B61" t="s">
        <v>30</v>
      </c>
      <c r="C61" t="s">
        <v>45</v>
      </c>
      <c r="D61" t="s">
        <v>42</v>
      </c>
      <c r="E61" s="7">
        <v>241726.87243741119</v>
      </c>
      <c r="F61" s="67"/>
      <c r="G61" t="s">
        <v>30</v>
      </c>
      <c r="H61" t="s">
        <v>45</v>
      </c>
      <c r="I61" t="s">
        <v>42</v>
      </c>
      <c r="J61" s="7">
        <v>124859.22467725546</v>
      </c>
      <c r="K61" s="8"/>
    </row>
    <row r="62" spans="1:11" ht="15.75" thickBot="1" x14ac:dyDescent="0.3">
      <c r="A62" s="26">
        <f t="shared" si="0"/>
        <v>57</v>
      </c>
      <c r="B62" s="69" t="s">
        <v>32</v>
      </c>
      <c r="C62" s="70"/>
      <c r="D62" s="70"/>
      <c r="E62" s="71">
        <f>SUM(E6:E61)</f>
        <v>44847101.151235342</v>
      </c>
      <c r="F62" s="72"/>
      <c r="G62" s="69" t="s">
        <v>32</v>
      </c>
      <c r="H62" s="70"/>
      <c r="I62" s="70"/>
      <c r="J62" s="71">
        <f>SUM(J6:J61)</f>
        <v>18207871.838364616</v>
      </c>
      <c r="K62" s="8"/>
    </row>
    <row r="63" spans="1:11" x14ac:dyDescent="0.25">
      <c r="B63" s="9"/>
      <c r="C63" s="8"/>
      <c r="D63" s="8"/>
      <c r="E63" s="10"/>
      <c r="F63" s="8"/>
      <c r="G63" s="9"/>
      <c r="H63" s="8"/>
      <c r="I63" s="8"/>
      <c r="J63" s="10"/>
    </row>
    <row r="64" spans="1:11" x14ac:dyDescent="0.25">
      <c r="B64" s="9"/>
      <c r="C64" s="8"/>
      <c r="D64" s="8"/>
      <c r="E64" s="10"/>
      <c r="F64" s="8"/>
      <c r="G64" s="9"/>
      <c r="H64" s="8"/>
      <c r="I64" s="8"/>
      <c r="J64" s="10"/>
    </row>
    <row r="65" spans="2:10" x14ac:dyDescent="0.25">
      <c r="B65" s="9"/>
      <c r="C65" s="8"/>
      <c r="D65" s="8"/>
      <c r="E65" s="10"/>
      <c r="F65" s="8"/>
      <c r="G65" s="9"/>
      <c r="H65" s="8"/>
      <c r="I65" s="8"/>
      <c r="J65" s="10"/>
    </row>
    <row r="66" spans="2:10" x14ac:dyDescent="0.25">
      <c r="B66" s="9"/>
      <c r="C66" s="8"/>
      <c r="D66" s="8"/>
      <c r="E66" s="10"/>
      <c r="F66" s="8"/>
      <c r="G66" s="9"/>
      <c r="H66" s="8"/>
      <c r="I66" s="8"/>
      <c r="J66" s="10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4" topLeftCell="A5" activePane="bottomLeft" state="frozen"/>
      <selection pane="bottomLeft" activeCell="F1" sqref="F1:G2"/>
    </sheetView>
  </sheetViews>
  <sheetFormatPr defaultColWidth="8.85546875" defaultRowHeight="12.75" x14ac:dyDescent="0.2"/>
  <cols>
    <col min="1" max="1" width="8.85546875" style="28"/>
    <col min="2" max="2" width="35" style="28" customWidth="1"/>
    <col min="3" max="3" width="16.85546875" style="28" bestFit="1" customWidth="1"/>
    <col min="4" max="4" width="5" style="43" customWidth="1"/>
    <col min="5" max="5" width="30.85546875" style="28" bestFit="1" customWidth="1"/>
    <col min="6" max="6" width="18.42578125" style="28" bestFit="1" customWidth="1"/>
    <col min="7" max="16384" width="8.85546875" style="28"/>
  </cols>
  <sheetData>
    <row r="1" spans="1:10" x14ac:dyDescent="0.2">
      <c r="B1" s="32" t="s">
        <v>86</v>
      </c>
      <c r="E1" s="28" t="s">
        <v>33</v>
      </c>
      <c r="F1" s="39" t="s">
        <v>34</v>
      </c>
      <c r="G1" s="40">
        <v>0.34060000000000001</v>
      </c>
    </row>
    <row r="2" spans="1:10" ht="15" x14ac:dyDescent="0.25">
      <c r="B2" s="32" t="s">
        <v>1147</v>
      </c>
      <c r="E2" s="41"/>
      <c r="F2" s="39" t="s">
        <v>35</v>
      </c>
      <c r="G2" s="40">
        <v>0.65939999999999999</v>
      </c>
    </row>
    <row r="3" spans="1:10" ht="15" x14ac:dyDescent="0.25">
      <c r="A3" s="61" t="s">
        <v>52</v>
      </c>
    </row>
    <row r="4" spans="1:10" ht="15" x14ac:dyDescent="0.25">
      <c r="A4" s="19" t="s">
        <v>54</v>
      </c>
      <c r="B4" s="78"/>
      <c r="C4" s="29" t="s">
        <v>88</v>
      </c>
      <c r="D4" s="79"/>
      <c r="E4" s="78"/>
      <c r="F4" s="29" t="s">
        <v>89</v>
      </c>
    </row>
    <row r="5" spans="1:10" ht="15" x14ac:dyDescent="0.25">
      <c r="A5" s="26">
        <v>1</v>
      </c>
      <c r="B5" s="32" t="s">
        <v>87</v>
      </c>
      <c r="D5" s="46"/>
      <c r="E5" s="32" t="s">
        <v>87</v>
      </c>
    </row>
    <row r="6" spans="1:10" ht="15.75" thickBot="1" x14ac:dyDescent="0.3">
      <c r="A6" s="26">
        <f>A5+1</f>
        <v>2</v>
      </c>
      <c r="B6" s="28" t="s">
        <v>71</v>
      </c>
      <c r="C6" s="48">
        <v>-3978749.3539995141</v>
      </c>
      <c r="D6" s="47"/>
      <c r="E6" s="28" t="s">
        <v>72</v>
      </c>
      <c r="F6" s="30">
        <f>-C6</f>
        <v>3978749.3539995141</v>
      </c>
    </row>
    <row r="7" spans="1:10" ht="15.75" thickTop="1" x14ac:dyDescent="0.25">
      <c r="A7" s="26">
        <f t="shared" ref="A7:A28" si="0">A6+1</f>
        <v>3</v>
      </c>
      <c r="C7" s="30"/>
      <c r="D7" s="47"/>
      <c r="F7" s="30"/>
    </row>
    <row r="8" spans="1:10" ht="15" x14ac:dyDescent="0.25">
      <c r="A8" s="26">
        <f t="shared" si="0"/>
        <v>4</v>
      </c>
      <c r="C8" s="30"/>
      <c r="D8" s="47"/>
      <c r="F8" s="30"/>
    </row>
    <row r="9" spans="1:10" ht="15" x14ac:dyDescent="0.25">
      <c r="A9" s="26">
        <f t="shared" si="0"/>
        <v>5</v>
      </c>
      <c r="B9" s="32" t="s">
        <v>35</v>
      </c>
      <c r="C9" s="30"/>
      <c r="D9" s="47"/>
      <c r="E9" s="32" t="s">
        <v>35</v>
      </c>
      <c r="F9" s="30"/>
    </row>
    <row r="10" spans="1:10" ht="15" x14ac:dyDescent="0.25">
      <c r="A10" s="26">
        <f t="shared" si="0"/>
        <v>6</v>
      </c>
      <c r="B10" s="28" t="s">
        <v>73</v>
      </c>
      <c r="C10" s="30">
        <v>-3386251.983635236</v>
      </c>
      <c r="D10" s="47"/>
      <c r="E10" s="28" t="s">
        <v>74</v>
      </c>
      <c r="F10" s="30">
        <f>-C10</f>
        <v>3386251.983635236</v>
      </c>
    </row>
    <row r="11" spans="1:10" ht="15" x14ac:dyDescent="0.25">
      <c r="A11" s="26">
        <f t="shared" si="0"/>
        <v>7</v>
      </c>
      <c r="B11" s="28" t="s">
        <v>75</v>
      </c>
      <c r="C11" s="30">
        <v>857168.71318748628</v>
      </c>
      <c r="D11" s="47"/>
      <c r="E11" s="28" t="s">
        <v>75</v>
      </c>
      <c r="F11" s="30">
        <f>-C11</f>
        <v>-857168.71318748628</v>
      </c>
    </row>
    <row r="12" spans="1:10" ht="15" x14ac:dyDescent="0.25">
      <c r="A12" s="26">
        <f t="shared" si="0"/>
        <v>8</v>
      </c>
      <c r="B12" s="28" t="s">
        <v>76</v>
      </c>
      <c r="C12" s="33">
        <f>C6*G2</f>
        <v>-2623587.3240272794</v>
      </c>
      <c r="D12" s="47"/>
      <c r="E12" s="28" t="s">
        <v>76</v>
      </c>
      <c r="F12" s="35">
        <f>-C12</f>
        <v>2623587.3240272794</v>
      </c>
    </row>
    <row r="13" spans="1:10" ht="15" x14ac:dyDescent="0.25">
      <c r="A13" s="26">
        <f t="shared" si="0"/>
        <v>9</v>
      </c>
      <c r="B13" s="28" t="s">
        <v>77</v>
      </c>
      <c r="C13" s="30">
        <f>SUM(C10:C12)</f>
        <v>-5152670.594475029</v>
      </c>
      <c r="D13" s="47"/>
      <c r="E13" s="28" t="s">
        <v>90</v>
      </c>
      <c r="F13" s="30">
        <f>SUM(F10:F12)</f>
        <v>5152670.594475029</v>
      </c>
    </row>
    <row r="14" spans="1:10" ht="15" x14ac:dyDescent="0.25">
      <c r="A14" s="26">
        <f t="shared" si="0"/>
        <v>10</v>
      </c>
      <c r="D14" s="47"/>
      <c r="F14" s="30"/>
    </row>
    <row r="15" spans="1:10" ht="15" x14ac:dyDescent="0.25">
      <c r="A15" s="26">
        <f t="shared" si="0"/>
        <v>11</v>
      </c>
      <c r="B15" s="28" t="s">
        <v>78</v>
      </c>
      <c r="C15" s="36">
        <f>C13*-0.21</f>
        <v>1082060.8248397561</v>
      </c>
      <c r="D15" s="47"/>
      <c r="E15" s="28" t="s">
        <v>47</v>
      </c>
      <c r="F15" s="31">
        <v>-17870599.545940101</v>
      </c>
      <c r="H15"/>
      <c r="I15"/>
      <c r="J15"/>
    </row>
    <row r="16" spans="1:10" ht="15" x14ac:dyDescent="0.25">
      <c r="A16" s="26">
        <f t="shared" si="0"/>
        <v>12</v>
      </c>
      <c r="B16" s="28" t="s">
        <v>79</v>
      </c>
      <c r="C16" s="34">
        <v>1173382.9652480222</v>
      </c>
      <c r="D16" s="47"/>
      <c r="E16" s="28" t="s">
        <v>79</v>
      </c>
      <c r="F16" s="44">
        <v>-1173382.9652480222</v>
      </c>
    </row>
    <row r="17" spans="1:6" ht="15.75" thickBot="1" x14ac:dyDescent="0.3">
      <c r="A17" s="26">
        <f t="shared" si="0"/>
        <v>13</v>
      </c>
      <c r="B17" s="28" t="s">
        <v>80</v>
      </c>
      <c r="C17" s="44">
        <v>-44573.157189539634</v>
      </c>
      <c r="D17" s="47"/>
      <c r="E17" s="28" t="s">
        <v>93</v>
      </c>
      <c r="F17" s="50">
        <f>SUM(F13:F16)</f>
        <v>-13891311.916713094</v>
      </c>
    </row>
    <row r="18" spans="1:6" ht="15.75" thickBot="1" x14ac:dyDescent="0.3">
      <c r="A18" s="26">
        <f t="shared" si="0"/>
        <v>14</v>
      </c>
      <c r="B18" s="28" t="s">
        <v>91</v>
      </c>
      <c r="C18" s="49">
        <f>SUM(C13:C17)</f>
        <v>-2941799.9615767905</v>
      </c>
      <c r="D18" s="47"/>
      <c r="F18" s="37"/>
    </row>
    <row r="19" spans="1:6" ht="15" x14ac:dyDescent="0.25">
      <c r="A19" s="26">
        <f t="shared" si="0"/>
        <v>15</v>
      </c>
      <c r="C19" s="37"/>
      <c r="D19" s="47"/>
      <c r="F19" s="37"/>
    </row>
    <row r="20" spans="1:6" ht="15" x14ac:dyDescent="0.25">
      <c r="A20" s="26">
        <f t="shared" si="0"/>
        <v>16</v>
      </c>
      <c r="B20" s="32" t="s">
        <v>34</v>
      </c>
      <c r="C20" s="30"/>
      <c r="D20" s="47"/>
      <c r="E20" s="32" t="s">
        <v>34</v>
      </c>
      <c r="F20" s="30"/>
    </row>
    <row r="21" spans="1:6" ht="15" x14ac:dyDescent="0.25">
      <c r="A21" s="26">
        <f t="shared" si="0"/>
        <v>17</v>
      </c>
      <c r="B21" s="28" t="s">
        <v>81</v>
      </c>
      <c r="C21" s="30">
        <v>-383506.64321593056</v>
      </c>
      <c r="D21" s="47"/>
      <c r="E21" s="28" t="s">
        <v>82</v>
      </c>
      <c r="F21" s="30">
        <f>-C21</f>
        <v>383506.64321593056</v>
      </c>
    </row>
    <row r="22" spans="1:6" ht="15" x14ac:dyDescent="0.25">
      <c r="A22" s="26">
        <f t="shared" si="0"/>
        <v>18</v>
      </c>
      <c r="B22" s="28" t="s">
        <v>83</v>
      </c>
      <c r="C22" s="33">
        <f>C6*G1</f>
        <v>-1355162.0299722345</v>
      </c>
      <c r="D22" s="47"/>
      <c r="E22" s="28" t="s">
        <v>83</v>
      </c>
      <c r="F22" s="33">
        <f>-C22</f>
        <v>1355162.0299722345</v>
      </c>
    </row>
    <row r="23" spans="1:6" ht="15.75" thickBot="1" x14ac:dyDescent="0.3">
      <c r="A23" s="26">
        <f t="shared" si="0"/>
        <v>19</v>
      </c>
      <c r="B23" s="28" t="s">
        <v>77</v>
      </c>
      <c r="C23" s="38">
        <f>C21+C22</f>
        <v>-1738668.6731881651</v>
      </c>
      <c r="D23" s="47"/>
      <c r="E23" s="28" t="s">
        <v>90</v>
      </c>
      <c r="F23" s="51">
        <f>F21+F22</f>
        <v>1738668.6731881651</v>
      </c>
    </row>
    <row r="24" spans="1:6" ht="15" x14ac:dyDescent="0.25">
      <c r="A24" s="26">
        <f t="shared" si="0"/>
        <v>20</v>
      </c>
      <c r="C24" s="30"/>
      <c r="D24" s="47"/>
      <c r="F24" s="30"/>
    </row>
    <row r="25" spans="1:6" ht="15" x14ac:dyDescent="0.25">
      <c r="A25" s="26">
        <f t="shared" si="0"/>
        <v>21</v>
      </c>
      <c r="B25" s="28" t="s">
        <v>78</v>
      </c>
      <c r="C25" s="36">
        <f>C23*-0.21</f>
        <v>365120.42136951466</v>
      </c>
      <c r="D25" s="47"/>
      <c r="E25" s="28" t="s">
        <v>47</v>
      </c>
      <c r="F25" s="31">
        <v>-10697927.190460086</v>
      </c>
    </row>
    <row r="26" spans="1:6" ht="15" x14ac:dyDescent="0.25">
      <c r="A26" s="26">
        <f t="shared" si="0"/>
        <v>22</v>
      </c>
      <c r="B26" s="28" t="s">
        <v>79</v>
      </c>
      <c r="C26" s="34">
        <v>34611.028251983225</v>
      </c>
      <c r="D26" s="47"/>
      <c r="E26" s="28" t="s">
        <v>79</v>
      </c>
      <c r="F26" s="44">
        <v>56827.410818460281</v>
      </c>
    </row>
    <row r="27" spans="1:6" ht="15.75" thickBot="1" x14ac:dyDescent="0.3">
      <c r="A27" s="26">
        <f t="shared" si="0"/>
        <v>23</v>
      </c>
      <c r="B27" s="28" t="s">
        <v>80</v>
      </c>
      <c r="C27" s="44">
        <v>-85992.295310460031</v>
      </c>
      <c r="D27" s="47"/>
      <c r="E27" s="28" t="s">
        <v>94</v>
      </c>
      <c r="F27" s="50">
        <f>SUM(F23:F26)</f>
        <v>-8902431.1064534616</v>
      </c>
    </row>
    <row r="28" spans="1:6" ht="15.75" thickBot="1" x14ac:dyDescent="0.3">
      <c r="A28" s="26">
        <f t="shared" si="0"/>
        <v>24</v>
      </c>
      <c r="B28" s="28" t="s">
        <v>92</v>
      </c>
      <c r="C28" s="49">
        <f>SUM(C23:C27)</f>
        <v>-1424929.5188771272</v>
      </c>
      <c r="D28" s="47"/>
      <c r="E28" s="30"/>
      <c r="F28" s="30"/>
    </row>
    <row r="29" spans="1:6" ht="15" x14ac:dyDescent="0.25">
      <c r="C29" s="30"/>
      <c r="D29" s="31"/>
      <c r="E29" s="30"/>
      <c r="F29" s="30"/>
    </row>
    <row r="30" spans="1:6" ht="15" x14ac:dyDescent="0.25">
      <c r="C30" s="30"/>
      <c r="D30" s="31"/>
      <c r="E30" s="30"/>
      <c r="F30" s="30"/>
    </row>
    <row r="31" spans="1:6" ht="15" x14ac:dyDescent="0.25">
      <c r="C31" s="30"/>
      <c r="D31" s="31"/>
      <c r="E31" s="30"/>
      <c r="F31" s="30"/>
    </row>
    <row r="32" spans="1:6" ht="15" x14ac:dyDescent="0.25">
      <c r="C32" s="30"/>
      <c r="D32" s="31"/>
    </row>
    <row r="33" spans="3:5" ht="15" x14ac:dyDescent="0.25">
      <c r="C33" s="30"/>
      <c r="D33" s="31"/>
      <c r="E33" s="39"/>
    </row>
    <row r="34" spans="3:5" x14ac:dyDescent="0.2">
      <c r="E34" s="39"/>
    </row>
    <row r="36" spans="3:5" x14ac:dyDescent="0.2">
      <c r="D36" s="42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2"/>
  <sheetViews>
    <sheetView workbookViewId="0"/>
  </sheetViews>
  <sheetFormatPr defaultRowHeight="15" x14ac:dyDescent="0.25"/>
  <cols>
    <col min="1" max="1" width="36.42578125" bestFit="1" customWidth="1"/>
    <col min="2" max="2" width="9.140625" customWidth="1"/>
    <col min="34" max="34" width="14.5703125" bestFit="1" customWidth="1"/>
  </cols>
  <sheetData>
    <row r="3" spans="1:34" x14ac:dyDescent="0.25">
      <c r="B3" s="62" t="s">
        <v>1148</v>
      </c>
      <c r="C3" s="62"/>
    </row>
    <row r="4" spans="1:34" x14ac:dyDescent="0.25">
      <c r="A4" s="249" t="s">
        <v>109</v>
      </c>
      <c r="B4" s="249" t="s">
        <v>108</v>
      </c>
      <c r="C4" s="249" t="s">
        <v>159</v>
      </c>
    </row>
    <row r="5" spans="1:34" x14ac:dyDescent="0.25">
      <c r="A5" s="296"/>
      <c r="B5" s="295" t="s">
        <v>860</v>
      </c>
      <c r="C5" s="295"/>
    </row>
    <row r="6" spans="1:34" x14ac:dyDescent="0.25">
      <c r="A6" s="8"/>
      <c r="B6" s="297"/>
      <c r="C6" s="297"/>
    </row>
    <row r="7" spans="1:34" x14ac:dyDescent="0.25">
      <c r="A7" t="s">
        <v>857</v>
      </c>
      <c r="B7" s="298">
        <f>B15</f>
        <v>5.5200000000000005</v>
      </c>
      <c r="C7" s="298">
        <f>C15</f>
        <v>2.7055349262500004</v>
      </c>
    </row>
    <row r="8" spans="1:34" x14ac:dyDescent="0.25">
      <c r="A8" t="s">
        <v>866</v>
      </c>
      <c r="B8" s="301">
        <v>5.44</v>
      </c>
      <c r="C8" s="301">
        <v>2.56</v>
      </c>
    </row>
    <row r="9" spans="1:34" ht="15.75" thickBot="1" x14ac:dyDescent="0.3">
      <c r="A9" t="s">
        <v>858</v>
      </c>
      <c r="B9" s="302">
        <f>B7-B8</f>
        <v>8.0000000000000071E-2</v>
      </c>
      <c r="C9" s="302">
        <f>C7-C8</f>
        <v>0.14553492625000031</v>
      </c>
    </row>
    <row r="10" spans="1:34" ht="15.75" thickTop="1" x14ac:dyDescent="0.25"/>
    <row r="12" spans="1:34" x14ac:dyDescent="0.25">
      <c r="A12" t="s">
        <v>861</v>
      </c>
      <c r="B12" s="293">
        <v>5.7</v>
      </c>
      <c r="C12" s="293">
        <v>3</v>
      </c>
    </row>
    <row r="13" spans="1:34" x14ac:dyDescent="0.25">
      <c r="A13" t="s">
        <v>862</v>
      </c>
      <c r="B13" s="294">
        <f>-B22</f>
        <v>-0.18</v>
      </c>
      <c r="C13" s="294">
        <f>-C22</f>
        <v>-9.0000000000000011E-2</v>
      </c>
    </row>
    <row r="14" spans="1:34" x14ac:dyDescent="0.25">
      <c r="A14" t="s">
        <v>859</v>
      </c>
      <c r="B14" s="294">
        <v>0</v>
      </c>
      <c r="C14" s="294">
        <f>-AH17</f>
        <v>-0.20446507375</v>
      </c>
    </row>
    <row r="15" spans="1:34" x14ac:dyDescent="0.25">
      <c r="A15" t="s">
        <v>857</v>
      </c>
      <c r="B15" s="303">
        <f>SUM(B12:B14)</f>
        <v>5.5200000000000005</v>
      </c>
      <c r="C15" s="303">
        <f>SUM(C12:C14)</f>
        <v>2.7055349262500004</v>
      </c>
    </row>
    <row r="16" spans="1:34" x14ac:dyDescent="0.25">
      <c r="B16" s="257"/>
      <c r="C16" s="257"/>
      <c r="AH16" s="7">
        <f>((23672419+229226655)+(2*(235433950+234717518+234018643+233746177+233024439+232559079+231853491+231199065+230638085+229940901)))/24</f>
        <v>204465073.75</v>
      </c>
    </row>
    <row r="17" spans="1:34" x14ac:dyDescent="0.25">
      <c r="B17" s="257"/>
      <c r="C17" s="257"/>
      <c r="AH17" s="3">
        <f>AH16/1000000000</f>
        <v>0.20446507375</v>
      </c>
    </row>
    <row r="18" spans="1:34" x14ac:dyDescent="0.25">
      <c r="A18" t="s">
        <v>172</v>
      </c>
      <c r="B18" s="257"/>
      <c r="C18" s="257"/>
    </row>
    <row r="19" spans="1:34" x14ac:dyDescent="0.25">
      <c r="A19" s="245" t="s">
        <v>36</v>
      </c>
      <c r="B19" s="298">
        <f>ROUND(246714212/1000000000,2)</f>
        <v>0.25</v>
      </c>
      <c r="C19" s="298">
        <f>ROUND(114495479/1000000000,2)</f>
        <v>0.11</v>
      </c>
    </row>
    <row r="20" spans="1:34" x14ac:dyDescent="0.25">
      <c r="A20" s="245" t="s">
        <v>863</v>
      </c>
      <c r="B20" s="299">
        <f>ROUND(-42580472/1000000000,2)</f>
        <v>-0.04</v>
      </c>
      <c r="C20" s="299">
        <f>ROUND(-14578075/1000000000,2)</f>
        <v>-0.01</v>
      </c>
    </row>
    <row r="21" spans="1:34" x14ac:dyDescent="0.25">
      <c r="A21" s="245" t="s">
        <v>864</v>
      </c>
      <c r="B21" s="299">
        <f>ROUND(-27689187/1000000000,2)</f>
        <v>-0.03</v>
      </c>
      <c r="C21" s="299">
        <f>ROUND(-13425119/1000000000,2)</f>
        <v>-0.01</v>
      </c>
    </row>
    <row r="22" spans="1:34" x14ac:dyDescent="0.25">
      <c r="A22" s="2" t="s">
        <v>865</v>
      </c>
      <c r="B22" s="300">
        <f t="shared" ref="B22:C22" si="0">SUM(B19:B21)</f>
        <v>0.18</v>
      </c>
      <c r="C22" s="300">
        <f t="shared" si="0"/>
        <v>9.0000000000000011E-2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workbookViewId="0">
      <selection activeCell="F8" sqref="F8"/>
    </sheetView>
  </sheetViews>
  <sheetFormatPr defaultColWidth="8.7109375" defaultRowHeight="15" x14ac:dyDescent="0.2"/>
  <cols>
    <col min="1" max="1" width="8.7109375" style="82"/>
    <col min="2" max="2" width="4.28515625" style="82" customWidth="1"/>
    <col min="3" max="3" width="24.5703125" style="82" customWidth="1"/>
    <col min="4" max="4" width="8.42578125" style="82" customWidth="1"/>
    <col min="5" max="6" width="12.28515625" style="82" bestFit="1" customWidth="1"/>
    <col min="7" max="7" width="12.85546875" style="82" bestFit="1" customWidth="1"/>
    <col min="8" max="10" width="12.28515625" style="82" bestFit="1" customWidth="1"/>
    <col min="11" max="16384" width="8.7109375" style="82"/>
  </cols>
  <sheetData>
    <row r="2" spans="2:10" x14ac:dyDescent="0.2">
      <c r="B2" s="132"/>
      <c r="C2" s="131"/>
      <c r="D2" s="130"/>
      <c r="E2" s="132"/>
      <c r="F2" s="131"/>
      <c r="G2" s="130"/>
      <c r="H2" s="132"/>
      <c r="I2" s="131"/>
      <c r="J2" s="130"/>
    </row>
    <row r="3" spans="2:10" ht="15.75" x14ac:dyDescent="0.25">
      <c r="B3" s="316" t="s">
        <v>1149</v>
      </c>
      <c r="C3" s="116"/>
      <c r="D3" s="95"/>
      <c r="E3" s="129" t="s">
        <v>108</v>
      </c>
      <c r="F3" s="128"/>
      <c r="G3" s="127"/>
      <c r="H3" s="129" t="s">
        <v>115</v>
      </c>
      <c r="I3" s="128"/>
      <c r="J3" s="127"/>
    </row>
    <row r="4" spans="2:10" ht="15.75" x14ac:dyDescent="0.25">
      <c r="B4" s="117"/>
      <c r="C4" s="116"/>
      <c r="D4" s="95"/>
      <c r="E4" s="126"/>
      <c r="F4" s="125"/>
      <c r="G4" s="124" t="s">
        <v>113</v>
      </c>
      <c r="H4" s="126"/>
      <c r="I4" s="125"/>
      <c r="J4" s="124" t="s">
        <v>113</v>
      </c>
    </row>
    <row r="5" spans="2:10" ht="15.75" x14ac:dyDescent="0.25">
      <c r="B5" s="123" t="s">
        <v>109</v>
      </c>
      <c r="C5" s="122"/>
      <c r="D5" s="121"/>
      <c r="E5" s="120" t="s">
        <v>127</v>
      </c>
      <c r="F5" s="119" t="s">
        <v>111</v>
      </c>
      <c r="G5" s="118" t="s">
        <v>114</v>
      </c>
      <c r="H5" s="120" t="s">
        <v>127</v>
      </c>
      <c r="I5" s="119" t="s">
        <v>111</v>
      </c>
      <c r="J5" s="118" t="s">
        <v>114</v>
      </c>
    </row>
    <row r="6" spans="2:10" x14ac:dyDescent="0.2">
      <c r="B6" s="117"/>
      <c r="C6" s="161" t="s">
        <v>147</v>
      </c>
      <c r="D6" s="95"/>
      <c r="E6" s="162" t="s">
        <v>148</v>
      </c>
      <c r="F6" s="161" t="s">
        <v>149</v>
      </c>
      <c r="G6" s="163" t="s">
        <v>150</v>
      </c>
      <c r="H6" s="162" t="s">
        <v>151</v>
      </c>
      <c r="I6" s="161" t="s">
        <v>152</v>
      </c>
      <c r="J6" s="163" t="s">
        <v>153</v>
      </c>
    </row>
    <row r="7" spans="2:10" x14ac:dyDescent="0.2">
      <c r="B7" s="117"/>
      <c r="C7" s="116"/>
      <c r="D7" s="95"/>
      <c r="E7" s="117"/>
      <c r="F7" s="116"/>
      <c r="G7" s="95"/>
      <c r="H7" s="117"/>
      <c r="I7" s="116"/>
      <c r="J7" s="95"/>
    </row>
    <row r="8" spans="2:10" x14ac:dyDescent="0.2">
      <c r="B8" s="97">
        <v>1</v>
      </c>
      <c r="C8" s="96" t="s">
        <v>110</v>
      </c>
      <c r="D8" s="95"/>
      <c r="E8" s="94">
        <f>'Rev Req Comparison'!C14/1000000</f>
        <v>682.03640407630314</v>
      </c>
      <c r="F8" s="93">
        <f>'Rev Req Comparison'!D14/1000000</f>
        <v>731.98053513116292</v>
      </c>
      <c r="G8" s="92">
        <f t="shared" ref="G8:G16" si="0">F8-E8</f>
        <v>49.944131054859781</v>
      </c>
      <c r="H8" s="94">
        <f>'Rev Req Comparison'!H14/1000000</f>
        <v>334.4934033409487</v>
      </c>
      <c r="I8" s="93">
        <f>'Rev Req Comparison'!I14/1000000</f>
        <v>327.37986735992092</v>
      </c>
      <c r="J8" s="92">
        <f t="shared" ref="J8:J16" si="1">I8-H8</f>
        <v>-7.1135359810277805</v>
      </c>
    </row>
    <row r="9" spans="2:10" x14ac:dyDescent="0.2">
      <c r="B9" s="97">
        <f>B8+1</f>
        <v>2</v>
      </c>
      <c r="C9" s="96" t="s">
        <v>118</v>
      </c>
      <c r="D9" s="95"/>
      <c r="E9" s="115">
        <f>'SEF-23'!D10</f>
        <v>7.1599999999999997E-2</v>
      </c>
      <c r="F9" s="114">
        <f>E9</f>
        <v>7.1599999999999997E-2</v>
      </c>
      <c r="G9" s="111">
        <f t="shared" si="0"/>
        <v>0</v>
      </c>
      <c r="H9" s="113">
        <f>'SEF-24'!D10</f>
        <v>7.1599999999999997E-2</v>
      </c>
      <c r="I9" s="112">
        <f>H9</f>
        <v>7.1599999999999997E-2</v>
      </c>
      <c r="J9" s="111">
        <f t="shared" si="1"/>
        <v>0</v>
      </c>
    </row>
    <row r="10" spans="2:10" x14ac:dyDescent="0.2">
      <c r="B10" s="97">
        <f t="shared" ref="B10:B23" si="2">B9+1</f>
        <v>3</v>
      </c>
      <c r="C10" s="96" t="s">
        <v>120</v>
      </c>
      <c r="D10" s="95"/>
      <c r="E10" s="107">
        <f>E8*E9</f>
        <v>48.833806531863303</v>
      </c>
      <c r="F10" s="106">
        <f>F8*F9</f>
        <v>52.409806315391265</v>
      </c>
      <c r="G10" s="105">
        <f t="shared" si="0"/>
        <v>3.575999783527962</v>
      </c>
      <c r="H10" s="107">
        <f>H8*H9</f>
        <v>23.949727679211925</v>
      </c>
      <c r="I10" s="106">
        <f>I8*I9</f>
        <v>23.440398502970336</v>
      </c>
      <c r="J10" s="105">
        <f t="shared" si="1"/>
        <v>-0.50932917624158947</v>
      </c>
    </row>
    <row r="11" spans="2:10" x14ac:dyDescent="0.2">
      <c r="B11" s="97">
        <f t="shared" si="2"/>
        <v>4</v>
      </c>
      <c r="C11" s="96" t="s">
        <v>53</v>
      </c>
      <c r="D11" s="95"/>
      <c r="E11" s="107">
        <f>-('Rev Req Comparison'!C17+'Rev Req Comparison'!C19)/1000000</f>
        <v>30.022505538783982</v>
      </c>
      <c r="F11" s="106">
        <f>-('Rev Req Comparison'!D17+'Rev Req Comparison'!D19)/1000000</f>
        <v>39.694430556760317</v>
      </c>
      <c r="G11" s="105">
        <f t="shared" si="0"/>
        <v>9.671925017976335</v>
      </c>
      <c r="H11" s="107">
        <f>-('Rev Req Comparison'!H17+'Rev Req Comparison'!H19)/1000000</f>
        <v>15.825245001215999</v>
      </c>
      <c r="I11" s="106">
        <f>-('Rev Req Comparison'!I17+'Rev Req Comparison'!I19)/1000000</f>
        <v>16.469203165176452</v>
      </c>
      <c r="J11" s="105">
        <f t="shared" si="1"/>
        <v>0.64395816396045369</v>
      </c>
    </row>
    <row r="12" spans="2:10" x14ac:dyDescent="0.2">
      <c r="B12" s="97">
        <f t="shared" si="2"/>
        <v>5</v>
      </c>
      <c r="C12" s="96" t="s">
        <v>116</v>
      </c>
      <c r="D12" s="95"/>
      <c r="E12" s="110">
        <f>-('Rev Req Comparison'!C18+'Rev Req Comparison'!C20+'Rev Req Comparison'!C23)/1000000</f>
        <v>-9.8580165063731613</v>
      </c>
      <c r="F12" s="109">
        <f>-('Rev Req Comparison'!D18+'Rev Req Comparison'!D20+'Rev Req Comparison'!D23)/1000000</f>
        <v>-15.548517640285038</v>
      </c>
      <c r="G12" s="108">
        <f t="shared" si="0"/>
        <v>-5.6905011339118765</v>
      </c>
      <c r="H12" s="110">
        <f>-('Rev Req Comparison'!H18+'Rev Req Comparison'!H20+'Rev Req Comparison'!H23)/1000000</f>
        <v>-5.4364042138462203</v>
      </c>
      <c r="I12" s="109">
        <f>-('Rev Req Comparison'!I18+'Rev Req Comparison'!I20+'Rev Req Comparison'!I23)/1000000</f>
        <v>-5.8905114300799832</v>
      </c>
      <c r="J12" s="108">
        <f t="shared" si="1"/>
        <v>-0.45410721623376293</v>
      </c>
    </row>
    <row r="13" spans="2:10" x14ac:dyDescent="0.2">
      <c r="B13" s="97">
        <f t="shared" si="2"/>
        <v>6</v>
      </c>
      <c r="C13" s="96" t="s">
        <v>117</v>
      </c>
      <c r="D13" s="95"/>
      <c r="E13" s="107">
        <f>SUM(E11:E12)</f>
        <v>20.16448903241082</v>
      </c>
      <c r="F13" s="106">
        <f>SUM(F11:F12)</f>
        <v>24.145912916475279</v>
      </c>
      <c r="G13" s="105">
        <f t="shared" si="0"/>
        <v>3.9814238840644585</v>
      </c>
      <c r="H13" s="107">
        <f>SUM(H11:H12)</f>
        <v>10.388840787369778</v>
      </c>
      <c r="I13" s="106">
        <f>SUM(I11:I12)</f>
        <v>10.57869173509647</v>
      </c>
      <c r="J13" s="105">
        <f t="shared" si="1"/>
        <v>0.18985094772669164</v>
      </c>
    </row>
    <row r="14" spans="2:10" x14ac:dyDescent="0.2">
      <c r="B14" s="97">
        <f t="shared" si="2"/>
        <v>7</v>
      </c>
      <c r="C14" s="96" t="s">
        <v>121</v>
      </c>
      <c r="D14" s="95"/>
      <c r="E14" s="107">
        <f>E10+E13</f>
        <v>68.998295564274116</v>
      </c>
      <c r="F14" s="106">
        <f>F10+F13</f>
        <v>76.555719231866547</v>
      </c>
      <c r="G14" s="105">
        <f t="shared" si="0"/>
        <v>7.5574236675924311</v>
      </c>
      <c r="H14" s="107">
        <f>H10+H13</f>
        <v>34.338568466581705</v>
      </c>
      <c r="I14" s="106">
        <f>I10+I13</f>
        <v>34.019090238066809</v>
      </c>
      <c r="J14" s="105">
        <f t="shared" si="1"/>
        <v>-0.31947822851489605</v>
      </c>
    </row>
    <row r="15" spans="2:10" x14ac:dyDescent="0.2">
      <c r="B15" s="97">
        <f t="shared" si="2"/>
        <v>8</v>
      </c>
      <c r="C15" s="96" t="s">
        <v>119</v>
      </c>
      <c r="D15" s="95"/>
      <c r="E15" s="104">
        <f>'Rev Req Comparison'!C34</f>
        <v>0.752355</v>
      </c>
      <c r="F15" s="103">
        <f>E15</f>
        <v>0.752355</v>
      </c>
      <c r="G15" s="102">
        <f t="shared" si="0"/>
        <v>0</v>
      </c>
      <c r="H15" s="104">
        <f>'Rev Req Comparison'!H34</f>
        <v>0.75480100000000006</v>
      </c>
      <c r="I15" s="103">
        <f>H15</f>
        <v>0.75480100000000006</v>
      </c>
      <c r="J15" s="102">
        <f t="shared" si="1"/>
        <v>0</v>
      </c>
    </row>
    <row r="16" spans="2:10" ht="15.75" thickBot="1" x14ac:dyDescent="0.25">
      <c r="B16" s="97">
        <f t="shared" si="2"/>
        <v>9</v>
      </c>
      <c r="C16" s="96" t="s">
        <v>122</v>
      </c>
      <c r="D16" s="95"/>
      <c r="E16" s="101">
        <f>E14/E15</f>
        <v>91.709758776474033</v>
      </c>
      <c r="F16" s="100">
        <f>F14/F15</f>
        <v>101.75478229275615</v>
      </c>
      <c r="G16" s="99">
        <f t="shared" si="0"/>
        <v>10.045023516282114</v>
      </c>
      <c r="H16" s="101">
        <f>ROUNDUP(H14/H15,1)</f>
        <v>45.5</v>
      </c>
      <c r="I16" s="100">
        <f>I14/I15</f>
        <v>45.07027711683849</v>
      </c>
      <c r="J16" s="99">
        <f t="shared" si="1"/>
        <v>-0.42972288316151008</v>
      </c>
    </row>
    <row r="17" spans="2:10" ht="15.75" thickTop="1" x14ac:dyDescent="0.2">
      <c r="B17" s="97">
        <f t="shared" si="2"/>
        <v>10</v>
      </c>
      <c r="C17" s="96" t="s">
        <v>146</v>
      </c>
      <c r="D17" s="95"/>
      <c r="E17" s="94"/>
      <c r="F17" s="93"/>
      <c r="G17" s="160" t="s">
        <v>145</v>
      </c>
      <c r="H17" s="94"/>
      <c r="I17" s="93"/>
      <c r="J17" s="92">
        <f>J23</f>
        <v>-2.2157721263018244</v>
      </c>
    </row>
    <row r="18" spans="2:10" x14ac:dyDescent="0.2">
      <c r="B18" s="164">
        <f t="shared" si="2"/>
        <v>11</v>
      </c>
      <c r="C18" s="165" t="s">
        <v>155</v>
      </c>
      <c r="D18" s="166"/>
      <c r="E18" s="167"/>
      <c r="F18" s="168"/>
      <c r="G18" s="169" t="s">
        <v>145</v>
      </c>
      <c r="H18" s="167"/>
      <c r="I18" s="168"/>
      <c r="J18" s="169" t="str">
        <f>IF(J16-J17&gt;0,"Below threshold",J16-J17)</f>
        <v>Below threshold</v>
      </c>
    </row>
    <row r="19" spans="2:10" x14ac:dyDescent="0.2">
      <c r="B19" s="97">
        <f t="shared" si="2"/>
        <v>12</v>
      </c>
      <c r="C19" s="96"/>
      <c r="D19" s="95"/>
      <c r="E19" s="94"/>
      <c r="F19" s="93"/>
      <c r="G19" s="92"/>
      <c r="H19" s="94"/>
      <c r="I19" s="93"/>
      <c r="J19" s="92"/>
    </row>
    <row r="20" spans="2:10" x14ac:dyDescent="0.2">
      <c r="B20" s="97">
        <f t="shared" si="2"/>
        <v>13</v>
      </c>
      <c r="C20" s="98" t="s">
        <v>126</v>
      </c>
      <c r="D20" s="95"/>
      <c r="E20" s="94"/>
      <c r="F20" s="93"/>
      <c r="G20" s="92"/>
      <c r="H20" s="94"/>
      <c r="I20" s="93"/>
      <c r="J20" s="92"/>
    </row>
    <row r="21" spans="2:10" x14ac:dyDescent="0.2">
      <c r="B21" s="97">
        <f t="shared" si="2"/>
        <v>14</v>
      </c>
      <c r="C21" s="96" t="s">
        <v>125</v>
      </c>
      <c r="D21" s="95"/>
      <c r="F21" s="93"/>
      <c r="G21" s="92">
        <f>'SEF-23'!D13/1000000</f>
        <v>682.03640407630314</v>
      </c>
      <c r="I21" s="93"/>
      <c r="J21" s="92">
        <f>'SEF-24'!D13/1000000</f>
        <v>334.4934033409487</v>
      </c>
    </row>
    <row r="22" spans="2:10" x14ac:dyDescent="0.2">
      <c r="B22" s="97">
        <f t="shared" si="2"/>
        <v>15</v>
      </c>
      <c r="C22" s="96" t="s">
        <v>124</v>
      </c>
      <c r="D22" s="95"/>
      <c r="F22" s="93"/>
      <c r="G22" s="81">
        <v>5.0000000000000001E-3</v>
      </c>
      <c r="I22" s="93"/>
      <c r="J22" s="81">
        <f>G22</f>
        <v>5.0000000000000001E-3</v>
      </c>
    </row>
    <row r="23" spans="2:10" x14ac:dyDescent="0.2">
      <c r="B23" s="97">
        <f t="shared" si="2"/>
        <v>16</v>
      </c>
      <c r="C23" s="96" t="s">
        <v>154</v>
      </c>
      <c r="D23" s="95"/>
      <c r="F23" s="93"/>
      <c r="G23" s="92">
        <f>-G21*G22/E15</f>
        <v>-4.5326767554964293</v>
      </c>
      <c r="I23" s="93"/>
      <c r="J23" s="92">
        <f>-J21*J22/H15</f>
        <v>-2.2157721263018244</v>
      </c>
    </row>
    <row r="24" spans="2:10" x14ac:dyDescent="0.2">
      <c r="B24" s="91"/>
      <c r="C24" s="90"/>
      <c r="D24" s="89"/>
      <c r="E24" s="88"/>
      <c r="F24" s="87"/>
      <c r="G24" s="304"/>
      <c r="H24" s="88"/>
      <c r="I24" s="87"/>
      <c r="J24" s="304"/>
    </row>
    <row r="25" spans="2:10" x14ac:dyDescent="0.2">
      <c r="E25" s="83"/>
      <c r="F25" s="83"/>
      <c r="G25" s="83"/>
      <c r="H25" s="83"/>
      <c r="I25" s="83"/>
      <c r="J25" s="83"/>
    </row>
    <row r="26" spans="2:10" x14ac:dyDescent="0.2">
      <c r="E26" s="83"/>
      <c r="F26" s="83"/>
      <c r="G26" s="83"/>
      <c r="H26" s="83"/>
      <c r="I26" s="83"/>
      <c r="J26" s="83"/>
    </row>
    <row r="27" spans="2:10" x14ac:dyDescent="0.2">
      <c r="E27" s="83"/>
      <c r="F27" s="83"/>
      <c r="G27" s="83"/>
      <c r="H27" s="83"/>
      <c r="I27" s="83"/>
      <c r="J27" s="83"/>
    </row>
    <row r="28" spans="2:10" x14ac:dyDescent="0.2">
      <c r="D28" s="86" t="s">
        <v>123</v>
      </c>
      <c r="E28" s="85">
        <f>'Rev Req Comparison'!C29/1000000-E16</f>
        <v>0</v>
      </c>
      <c r="F28" s="85">
        <f>'Rev Req Comparison'!D29/1000000-F16</f>
        <v>0</v>
      </c>
      <c r="G28" s="85">
        <f>'Rev Req Comparison'!E29/1000000-G16</f>
        <v>0</v>
      </c>
      <c r="H28" s="85">
        <f>'Rev Req Comparison'!H29/1000000-H16</f>
        <v>-6.461349969463015E-3</v>
      </c>
      <c r="I28" s="85">
        <f>'Rev Req Comparison'!I29/1000000-I16</f>
        <v>0</v>
      </c>
      <c r="J28" s="84">
        <f>'Rev Req Comparison'!J29/1000000-J16</f>
        <v>6.4613499694448628E-3</v>
      </c>
    </row>
    <row r="29" spans="2:10" x14ac:dyDescent="0.2">
      <c r="E29" s="83"/>
      <c r="F29" s="83"/>
      <c r="G29" s="83"/>
      <c r="H29" s="83"/>
      <c r="I29" s="83"/>
      <c r="J29" s="83"/>
    </row>
    <row r="30" spans="2:10" x14ac:dyDescent="0.2">
      <c r="E30" s="83"/>
      <c r="F30" s="83"/>
      <c r="G30" s="83"/>
      <c r="H30" s="83"/>
      <c r="I30" s="83"/>
      <c r="J30" s="83"/>
    </row>
    <row r="31" spans="2:10" x14ac:dyDescent="0.2">
      <c r="E31" s="83"/>
      <c r="F31" s="83"/>
      <c r="G31" s="83"/>
      <c r="H31" s="83"/>
      <c r="I31" s="83"/>
      <c r="J31" s="83"/>
    </row>
    <row r="32" spans="2:10" x14ac:dyDescent="0.2">
      <c r="E32" s="83"/>
      <c r="F32" s="83"/>
      <c r="G32" s="83"/>
      <c r="H32" s="83"/>
      <c r="I32" s="83"/>
      <c r="J32" s="8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showGridLines="0" workbookViewId="0">
      <selection activeCell="N27" sqref="N27"/>
    </sheetView>
  </sheetViews>
  <sheetFormatPr defaultRowHeight="15.75" x14ac:dyDescent="0.25"/>
  <cols>
    <col min="2" max="2" width="5.42578125" style="171" customWidth="1"/>
    <col min="3" max="3" width="15.28515625" bestFit="1" customWidth="1"/>
    <col min="4" max="4" width="14.140625" bestFit="1" customWidth="1"/>
    <col min="5" max="5" width="14.140625" customWidth="1"/>
  </cols>
  <sheetData>
    <row r="2" spans="2:5" x14ac:dyDescent="0.25">
      <c r="B2" s="184"/>
      <c r="C2" s="208"/>
      <c r="D2" s="203"/>
      <c r="E2" s="203"/>
    </row>
    <row r="3" spans="2:5" x14ac:dyDescent="0.25">
      <c r="B3" s="187"/>
      <c r="C3" s="8"/>
      <c r="D3" s="386" t="s">
        <v>1593</v>
      </c>
      <c r="E3" s="204"/>
    </row>
    <row r="4" spans="2:5" x14ac:dyDescent="0.25">
      <c r="B4" s="187"/>
      <c r="C4" s="8"/>
      <c r="D4" s="386" t="s">
        <v>1594</v>
      </c>
      <c r="E4" s="384">
        <v>2023</v>
      </c>
    </row>
    <row r="5" spans="2:5" x14ac:dyDescent="0.25">
      <c r="B5" s="389" t="s">
        <v>112</v>
      </c>
      <c r="C5" s="388"/>
      <c r="D5" s="384" t="s">
        <v>36</v>
      </c>
      <c r="E5" s="384" t="s">
        <v>1591</v>
      </c>
    </row>
    <row r="6" spans="2:5" x14ac:dyDescent="0.25">
      <c r="B6" s="197" t="s">
        <v>52</v>
      </c>
      <c r="C6" s="119" t="s">
        <v>109</v>
      </c>
      <c r="D6" s="118" t="s">
        <v>1589</v>
      </c>
      <c r="E6" s="118" t="s">
        <v>1592</v>
      </c>
    </row>
    <row r="7" spans="2:5" x14ac:dyDescent="0.25">
      <c r="B7" s="187"/>
      <c r="C7" s="96"/>
      <c r="D7" s="387" t="s">
        <v>1590</v>
      </c>
      <c r="E7" s="124"/>
    </row>
    <row r="8" spans="2:5" x14ac:dyDescent="0.25">
      <c r="B8" s="199">
        <v>1</v>
      </c>
      <c r="C8" s="170" t="s">
        <v>108</v>
      </c>
      <c r="D8" s="204"/>
      <c r="E8" s="204"/>
    </row>
    <row r="9" spans="2:5" x14ac:dyDescent="0.25">
      <c r="B9" s="199">
        <v>2</v>
      </c>
      <c r="C9" s="96" t="s">
        <v>127</v>
      </c>
      <c r="D9" s="205">
        <f>'Rev Req Comparison'!C8/1000000</f>
        <v>728.95232259723787</v>
      </c>
      <c r="E9" s="205">
        <f>'Att D Table'!AP13/1000000</f>
        <v>659.25163422224443</v>
      </c>
    </row>
    <row r="10" spans="2:5" x14ac:dyDescent="0.25">
      <c r="B10" s="199">
        <v>3</v>
      </c>
      <c r="C10" s="96" t="s">
        <v>111</v>
      </c>
      <c r="D10" s="205">
        <f>'Rev Req Comparison'!D8/1000000</f>
        <v>796.09714751363049</v>
      </c>
      <c r="E10" s="205">
        <f>'Att D Table'!AO13/1000000</f>
        <v>886.41200119709197</v>
      </c>
    </row>
    <row r="11" spans="2:5" x14ac:dyDescent="0.25">
      <c r="B11" s="199">
        <v>4</v>
      </c>
      <c r="C11" s="96" t="s">
        <v>157</v>
      </c>
      <c r="D11" s="206">
        <f>D10-D9</f>
        <v>67.144824916392622</v>
      </c>
      <c r="E11" s="206">
        <f>E10-E9</f>
        <v>227.16036697484753</v>
      </c>
    </row>
    <row r="12" spans="2:5" x14ac:dyDescent="0.25">
      <c r="B12" s="199">
        <v>5</v>
      </c>
      <c r="C12" s="96"/>
      <c r="D12" s="206"/>
      <c r="E12" s="206"/>
    </row>
    <row r="13" spans="2:5" x14ac:dyDescent="0.25">
      <c r="B13" s="199">
        <v>6</v>
      </c>
      <c r="C13" s="170" t="s">
        <v>115</v>
      </c>
      <c r="D13" s="205"/>
      <c r="E13" s="205"/>
    </row>
    <row r="14" spans="2:5" x14ac:dyDescent="0.25">
      <c r="B14" s="199">
        <v>7</v>
      </c>
      <c r="C14" s="96" t="s">
        <v>127</v>
      </c>
      <c r="D14" s="205">
        <f>'Rev Req Comparison'!H8/1000000</f>
        <v>358.87490813276202</v>
      </c>
      <c r="E14" s="205">
        <f>'Att D Table'!AU13/1000000</f>
        <v>251.63346784310616</v>
      </c>
    </row>
    <row r="15" spans="2:5" x14ac:dyDescent="0.25">
      <c r="B15" s="199">
        <v>8</v>
      </c>
      <c r="C15" s="96" t="s">
        <v>111</v>
      </c>
      <c r="D15" s="205">
        <f>'Rev Req Comparison'!I8/1000000</f>
        <v>365.48871746470292</v>
      </c>
      <c r="E15" s="205">
        <f>'Att D Table'!AT13/1000000</f>
        <v>287.97871815558307</v>
      </c>
    </row>
    <row r="16" spans="2:5" x14ac:dyDescent="0.25">
      <c r="B16" s="199">
        <v>9</v>
      </c>
      <c r="C16" s="96" t="s">
        <v>157</v>
      </c>
      <c r="D16" s="206">
        <f>D15-D14</f>
        <v>6.6138093319408995</v>
      </c>
      <c r="E16" s="206">
        <f>E15-E14</f>
        <v>36.345250312476907</v>
      </c>
    </row>
    <row r="17" spans="2:5" x14ac:dyDescent="0.25">
      <c r="B17" s="199">
        <v>10</v>
      </c>
      <c r="C17" s="8"/>
      <c r="D17" s="206"/>
      <c r="E17" s="206"/>
    </row>
    <row r="18" spans="2:5" x14ac:dyDescent="0.25">
      <c r="B18" s="199">
        <v>11</v>
      </c>
      <c r="C18" s="170" t="s">
        <v>156</v>
      </c>
      <c r="D18" s="190"/>
      <c r="E18" s="190"/>
    </row>
    <row r="19" spans="2:5" x14ac:dyDescent="0.25">
      <c r="B19" s="199">
        <v>12</v>
      </c>
      <c r="C19" s="96" t="s">
        <v>127</v>
      </c>
      <c r="D19" s="200">
        <f>D9+D14</f>
        <v>1087.8272307299999</v>
      </c>
      <c r="E19" s="385">
        <f>-'Source Data - Act v Plan by WBS'!I454/1000000</f>
        <v>910.88510206535113</v>
      </c>
    </row>
    <row r="20" spans="2:5" x14ac:dyDescent="0.25">
      <c r="B20" s="199">
        <v>13</v>
      </c>
      <c r="C20" s="96" t="s">
        <v>111</v>
      </c>
      <c r="D20" s="200">
        <f>D10+D15</f>
        <v>1161.5858649783333</v>
      </c>
      <c r="E20" s="200">
        <f>-'Source Data - Act v Plan by WBS'!H454/1000000</f>
        <v>1174.3907193526734</v>
      </c>
    </row>
    <row r="21" spans="2:5" x14ac:dyDescent="0.25">
      <c r="B21" s="199">
        <v>14</v>
      </c>
      <c r="C21" s="96" t="s">
        <v>157</v>
      </c>
      <c r="D21" s="206">
        <f>D20-D19</f>
        <v>73.758634248333465</v>
      </c>
      <c r="E21" s="206">
        <f>E20-E19</f>
        <v>263.50561728732225</v>
      </c>
    </row>
    <row r="22" spans="2:5" x14ac:dyDescent="0.25">
      <c r="B22" s="193"/>
      <c r="C22" s="209"/>
      <c r="D22" s="207"/>
      <c r="E22" s="207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9"/>
  <sheetViews>
    <sheetView showGridLines="0" workbookViewId="0">
      <selection activeCell="J11" sqref="J11"/>
    </sheetView>
  </sheetViews>
  <sheetFormatPr defaultColWidth="9.140625" defaultRowHeight="15" x14ac:dyDescent="0.2"/>
  <cols>
    <col min="1" max="1" width="9.140625" style="171"/>
    <col min="2" max="2" width="2.85546875" style="171" customWidth="1"/>
    <col min="3" max="3" width="6" style="171" bestFit="1" customWidth="1"/>
    <col min="4" max="4" width="57.5703125" style="171" customWidth="1"/>
    <col min="5" max="5" width="12.85546875" style="171" customWidth="1"/>
    <col min="6" max="7" width="11.42578125" style="171" customWidth="1"/>
    <col min="8" max="8" width="12.5703125" style="171" bestFit="1" customWidth="1"/>
    <col min="9" max="9" width="3" style="171" customWidth="1"/>
    <col min="10" max="16384" width="9.140625" style="171"/>
  </cols>
  <sheetData>
    <row r="2" spans="3:10" x14ac:dyDescent="0.2">
      <c r="C2" s="184"/>
      <c r="D2" s="185"/>
      <c r="E2" s="185"/>
      <c r="F2" s="185"/>
      <c r="G2" s="185"/>
      <c r="H2" s="186"/>
    </row>
    <row r="3" spans="3:10" ht="15.75" x14ac:dyDescent="0.25">
      <c r="C3" s="187" t="s">
        <v>166</v>
      </c>
      <c r="D3" s="188"/>
      <c r="E3" s="188"/>
      <c r="F3" s="189" t="s">
        <v>158</v>
      </c>
      <c r="G3" s="189"/>
      <c r="H3" s="196"/>
    </row>
    <row r="4" spans="3:10" ht="15.75" x14ac:dyDescent="0.25">
      <c r="C4" s="197" t="s">
        <v>52</v>
      </c>
      <c r="D4" s="177" t="s">
        <v>109</v>
      </c>
      <c r="E4" s="177"/>
      <c r="F4" s="177" t="s">
        <v>108</v>
      </c>
      <c r="G4" s="177" t="s">
        <v>159</v>
      </c>
      <c r="H4" s="211" t="s">
        <v>156</v>
      </c>
    </row>
    <row r="5" spans="3:10" ht="15.75" x14ac:dyDescent="0.25">
      <c r="C5" s="198"/>
      <c r="D5" s="178"/>
      <c r="E5" s="178"/>
      <c r="F5" s="178"/>
      <c r="G5" s="178"/>
      <c r="H5" s="190"/>
    </row>
    <row r="6" spans="3:10" x14ac:dyDescent="0.2">
      <c r="C6" s="199">
        <v>1</v>
      </c>
      <c r="D6" s="188" t="s">
        <v>160</v>
      </c>
      <c r="E6" s="188"/>
      <c r="F6" s="191">
        <f>'Rev Req Comparison'!E8/1000000</f>
        <v>6.3900279309816721</v>
      </c>
      <c r="G6" s="191">
        <f>'Rev Req Comparison'!J8/1000000</f>
        <v>0.62738224799247433</v>
      </c>
      <c r="H6" s="200">
        <f>SUM(F6:G6)</f>
        <v>7.0174101789741465</v>
      </c>
    </row>
    <row r="7" spans="3:10" x14ac:dyDescent="0.2">
      <c r="C7" s="199">
        <v>2</v>
      </c>
      <c r="D7" s="188" t="s">
        <v>161</v>
      </c>
      <c r="E7" s="188"/>
      <c r="F7" s="192">
        <f>('Rev Req Comparison'!E9+'Rev Req Comparison'!E12)/1000000</f>
        <v>-0.68402953404939038</v>
      </c>
      <c r="G7" s="192">
        <f>('Rev Req Comparison'!J9+'Rev Req Comparison'!J12)/1000000</f>
        <v>-1.5922708647756734E-2</v>
      </c>
      <c r="H7" s="212">
        <f>SUM(F7:G7)</f>
        <v>-0.69995224269714706</v>
      </c>
    </row>
    <row r="8" spans="3:10" x14ac:dyDescent="0.2">
      <c r="C8" s="199">
        <v>3</v>
      </c>
      <c r="D8" s="188" t="s">
        <v>162</v>
      </c>
      <c r="E8" s="188"/>
      <c r="F8" s="192">
        <f>('Rev Req Comparison'!E10+'Rev Req Comparison'!E13)/1000000</f>
        <v>-0.95292334123655364</v>
      </c>
      <c r="G8" s="192">
        <f>('Rev Req Comparison'!J10+'Rev Req Comparison'!J13)/1000000</f>
        <v>-1.2862455773091526</v>
      </c>
      <c r="H8" s="212">
        <f t="shared" ref="H8:H10" si="0">SUM(F8:G8)</f>
        <v>-2.2391689185457064</v>
      </c>
    </row>
    <row r="9" spans="3:10" x14ac:dyDescent="0.2">
      <c r="C9" s="199">
        <v>4</v>
      </c>
      <c r="D9" s="188" t="s">
        <v>165</v>
      </c>
      <c r="E9" s="188"/>
      <c r="F9" s="192">
        <f>-'Rev Req Comparison'!E21/1000000</f>
        <v>5.6474333338161316</v>
      </c>
      <c r="G9" s="192">
        <f>-'Rev Req Comparison'!J21/1000000</f>
        <v>0.20105691771511372</v>
      </c>
      <c r="H9" s="212">
        <f t="shared" si="0"/>
        <v>5.8484902515312456</v>
      </c>
    </row>
    <row r="10" spans="3:10" x14ac:dyDescent="0.2">
      <c r="C10" s="199">
        <v>5</v>
      </c>
      <c r="D10" s="188" t="s">
        <v>163</v>
      </c>
      <c r="E10" s="188"/>
      <c r="F10" s="192">
        <f>-'Rev Req Comparison'!E23/1000000</f>
        <v>-0.35548487322975775</v>
      </c>
      <c r="G10" s="192">
        <f>-'Rev Req Comparison'!J23/1000000</f>
        <v>5.0467587057256173E-2</v>
      </c>
      <c r="H10" s="212">
        <f t="shared" si="0"/>
        <v>-0.30501728617250157</v>
      </c>
    </row>
    <row r="11" spans="3:10" ht="15.75" thickBot="1" x14ac:dyDescent="0.25">
      <c r="C11" s="199">
        <v>6</v>
      </c>
      <c r="D11" s="188" t="s">
        <v>164</v>
      </c>
      <c r="E11" s="188"/>
      <c r="F11" s="180">
        <f>SUM(F6:F10)</f>
        <v>10.045023516282102</v>
      </c>
      <c r="G11" s="180">
        <f>SUM(G6:G10)</f>
        <v>-0.42326153319206505</v>
      </c>
      <c r="H11" s="201">
        <f>SUM(H6:H10)</f>
        <v>9.6217619830900372</v>
      </c>
      <c r="J11" s="171">
        <f>H11/(('Rev Req Comparison'!C29+'Rev Req Comparison'!H29)/1000000)</f>
        <v>7.0127775086776672E-2</v>
      </c>
    </row>
    <row r="12" spans="3:10" ht="15.75" thickTop="1" x14ac:dyDescent="0.2">
      <c r="C12" s="193"/>
      <c r="D12" s="194"/>
      <c r="E12" s="194"/>
      <c r="F12" s="195"/>
      <c r="G12" s="195"/>
      <c r="H12" s="202"/>
    </row>
    <row r="13" spans="3:10" x14ac:dyDescent="0.2">
      <c r="F13" s="179"/>
      <c r="G13" s="179"/>
      <c r="H13" s="179"/>
    </row>
    <row r="14" spans="3:10" x14ac:dyDescent="0.2">
      <c r="E14" s="181" t="s">
        <v>123</v>
      </c>
      <c r="F14" s="182">
        <f>'Rev Req Comparison'!E29/1000000-F11</f>
        <v>0</v>
      </c>
      <c r="G14" s="182"/>
      <c r="H14" s="183">
        <f>'Rev Req Comparison'!J29/1000000-G11</f>
        <v>0</v>
      </c>
    </row>
    <row r="15" spans="3:10" x14ac:dyDescent="0.2">
      <c r="F15" s="179"/>
      <c r="G15" s="179"/>
      <c r="H15" s="179"/>
    </row>
    <row r="16" spans="3:10" x14ac:dyDescent="0.2">
      <c r="F16" s="179"/>
      <c r="G16" s="179"/>
      <c r="H16" s="179"/>
    </row>
    <row r="17" spans="6:8" x14ac:dyDescent="0.2">
      <c r="F17" s="179"/>
      <c r="G17" s="179"/>
      <c r="H17" s="179"/>
    </row>
    <row r="18" spans="6:8" x14ac:dyDescent="0.2">
      <c r="F18" s="179"/>
      <c r="G18" s="179"/>
      <c r="H18" s="179"/>
    </row>
    <row r="19" spans="6:8" x14ac:dyDescent="0.2">
      <c r="F19" s="179"/>
      <c r="G19" s="179"/>
      <c r="H19" s="179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1" sqref="C31"/>
    </sheetView>
  </sheetViews>
  <sheetFormatPr defaultRowHeight="15" x14ac:dyDescent="0.25"/>
  <cols>
    <col min="2" max="2" width="41.5703125" bestFit="1" customWidth="1"/>
    <col min="3" max="3" width="15.28515625" bestFit="1" customWidth="1"/>
    <col min="4" max="5" width="14.28515625" bestFit="1" customWidth="1"/>
    <col min="6" max="6" width="3.5703125" customWidth="1"/>
    <col min="7" max="7" width="14.28515625" bestFit="1" customWidth="1"/>
    <col min="16" max="16" width="41.5703125" bestFit="1" customWidth="1"/>
  </cols>
  <sheetData>
    <row r="1" spans="1:16" ht="15.75" x14ac:dyDescent="0.25">
      <c r="B1" s="45" t="s">
        <v>876</v>
      </c>
    </row>
    <row r="2" spans="1:16" x14ac:dyDescent="0.25">
      <c r="A2" s="61" t="s">
        <v>52</v>
      </c>
    </row>
    <row r="3" spans="1:16" x14ac:dyDescent="0.25">
      <c r="A3" s="19" t="s">
        <v>54</v>
      </c>
      <c r="B3" s="1" t="s">
        <v>84</v>
      </c>
      <c r="C3" s="13" t="s">
        <v>36</v>
      </c>
      <c r="D3" s="13" t="s">
        <v>48</v>
      </c>
      <c r="E3" s="13" t="s">
        <v>49</v>
      </c>
      <c r="G3" s="14" t="s">
        <v>51</v>
      </c>
    </row>
    <row r="4" spans="1:16" x14ac:dyDescent="0.25">
      <c r="A4" s="26">
        <v>1</v>
      </c>
      <c r="B4" t="s">
        <v>872</v>
      </c>
      <c r="C4" s="7">
        <f>SUMIF('2023 YE Gross Plant Detail'!$B$6:$B$61,'Electric Closings Summary'!$B4,'2023 YE Gross Plant Detail'!$E$6:$E$61)</f>
        <v>17674943.040000662</v>
      </c>
      <c r="D4" s="7">
        <f>SUMIF('2023 YE Accum Depr Detail'!$B$6:$B$61,'Electric Closings Summary'!$B4,'2023 YE Accum Depr Detail'!$E$6:$E$61)</f>
        <v>668168.24326409539</v>
      </c>
      <c r="E4" s="7">
        <f>SUMIF('2023 YE Def Tax Detail'!$B$6:$B$61,'Electric Closings Summary'!$B4,'2023 YE Def Tax Detail'!$E$6:$E$61)</f>
        <v>1141185.4513657968</v>
      </c>
      <c r="G4" s="7">
        <f>SUMIF('2023 YE Depr Expense'!$B$6:$B$62,'Electric Closings Summary'!$B4,'2023 YE Depr Expense'!$E$6:$E$62)</f>
        <v>933763.59176151617</v>
      </c>
    </row>
    <row r="5" spans="1:16" x14ac:dyDescent="0.25">
      <c r="A5" s="26">
        <f>A4+1</f>
        <v>2</v>
      </c>
      <c r="B5" t="s">
        <v>1</v>
      </c>
      <c r="C5" s="7">
        <f>SUMIF('2023 YE Gross Plant Detail'!$B$6:$B$61,'Electric Closings Summary'!$B5,'2023 YE Gross Plant Detail'!$E$6:$E$61)</f>
        <v>163258.24333333335</v>
      </c>
      <c r="D5" s="7">
        <f>SUMIF('2023 YE Accum Depr Detail'!$B$6:$B$61,'Electric Closings Summary'!$B5,'2023 YE Accum Depr Detail'!$E$6:$E$61)</f>
        <v>1713.3318589166668</v>
      </c>
      <c r="E5" s="7">
        <f>SUMIF('2023 YE Def Tax Detail'!$B$6:$B$61,'Electric Closings Summary'!$B5,'2023 YE Def Tax Detail'!$E$6:$E$61)</f>
        <v>7953.1627200601843</v>
      </c>
      <c r="G5" s="7">
        <f>SUMIF('2023 YE Depr Expense'!$B$6:$B$62,'Electric Closings Summary'!$B5,'2023 YE Depr Expense'!$E$6:$E$62)</f>
        <v>14509.210332333334</v>
      </c>
    </row>
    <row r="6" spans="1:16" x14ac:dyDescent="0.25">
      <c r="A6" s="26">
        <f t="shared" ref="A6:A31" si="0">A5+1</f>
        <v>3</v>
      </c>
      <c r="B6" t="s">
        <v>2</v>
      </c>
      <c r="C6" s="7">
        <f>SUMIF('2023 YE Gross Plant Detail'!$B$6:$B$61,'Electric Closings Summary'!$B6,'2023 YE Gross Plant Detail'!$E$6:$E$61)</f>
        <v>5006137.7654166659</v>
      </c>
      <c r="D6" s="7">
        <f>SUMIF('2023 YE Accum Depr Detail'!$B$6:$B$61,'Electric Closings Summary'!$B6,'2023 YE Accum Depr Detail'!$E$6:$E$61)</f>
        <v>89858.451288883618</v>
      </c>
      <c r="E6" s="7">
        <f>SUMIF('2023 YE Def Tax Detail'!$B$6:$B$61,'Electric Closings Summary'!$B6,'2023 YE Def Tax Detail'!$E$6:$E$61)</f>
        <v>107382.38246529897</v>
      </c>
      <c r="G6" s="7">
        <f>SUMIF('2023 YE Depr Expense'!$B$6:$B$62,'Electric Closings Summary'!$B6,'2023 YE Depr Expense'!$E$6:$E$62)</f>
        <v>169609.75651247142</v>
      </c>
    </row>
    <row r="7" spans="1:16" x14ac:dyDescent="0.25">
      <c r="A7" s="26">
        <f t="shared" si="0"/>
        <v>4</v>
      </c>
      <c r="B7" t="s">
        <v>4</v>
      </c>
      <c r="C7" s="7">
        <f>SUMIF('2023 YE Gross Plant Detail'!$B$6:$B$61,'Electric Closings Summary'!$B7,'2023 YE Gross Plant Detail'!$E$6:$E$61)</f>
        <v>-14236237.534166669</v>
      </c>
      <c r="D7" s="7">
        <f>SUMIF('2023 YE Accum Depr Detail'!$B$6:$B$61,'Electric Closings Summary'!$B7,'2023 YE Accum Depr Detail'!$E$6:$E$61)</f>
        <v>-414628.32214930793</v>
      </c>
      <c r="E7" s="7">
        <f>SUMIF('2023 YE Def Tax Detail'!$B$6:$B$61,'Electric Closings Summary'!$B7,'2023 YE Def Tax Detail'!$E$6:$E$61)</f>
        <v>-60662.983759304043</v>
      </c>
      <c r="G7" s="7">
        <f>SUMIF('2023 YE Depr Expense'!$B$6:$B$62,'Electric Closings Summary'!$B7,'2023 YE Depr Expense'!$E$6:$E$62)</f>
        <v>-631668.08080489072</v>
      </c>
      <c r="P7" s="2"/>
    </row>
    <row r="8" spans="1:16" x14ac:dyDescent="0.25">
      <c r="A8" s="26">
        <f t="shared" si="0"/>
        <v>5</v>
      </c>
      <c r="B8" t="s">
        <v>6</v>
      </c>
      <c r="C8" s="7">
        <f>SUMIF('2023 YE Gross Plant Detail'!$B$6:$B$61,'Electric Closings Summary'!$B8,'2023 YE Gross Plant Detail'!$E$6:$E$61)</f>
        <v>79257830.225416675</v>
      </c>
      <c r="D8" s="7">
        <f>SUMIF('2023 YE Accum Depr Detail'!$B$6:$B$61,'Electric Closings Summary'!$B8,'2023 YE Accum Depr Detail'!$E$6:$E$61)</f>
        <v>2261286.2438486847</v>
      </c>
      <c r="E8" s="7">
        <f>SUMIF('2023 YE Def Tax Detail'!$B$6:$B$61,'Electric Closings Summary'!$B8,'2023 YE Def Tax Detail'!$E$6:$E$61)</f>
        <v>799870.02381538227</v>
      </c>
      <c r="G8" s="7">
        <f>SUMIF('2023 YE Depr Expense'!$B$6:$B$62,'Electric Closings Summary'!$B8,'2023 YE Depr Expense'!$E$6:$E$62)</f>
        <v>3262097.4905843786</v>
      </c>
      <c r="P8" s="2"/>
    </row>
    <row r="9" spans="1:16" x14ac:dyDescent="0.25">
      <c r="A9" s="26">
        <f t="shared" si="0"/>
        <v>6</v>
      </c>
      <c r="B9" t="s">
        <v>7</v>
      </c>
      <c r="C9" s="7">
        <f>SUMIF('2023 YE Gross Plant Detail'!$B$6:$B$61,'Electric Closings Summary'!$B9,'2023 YE Gross Plant Detail'!$E$6:$E$61)</f>
        <v>2832.6887500000003</v>
      </c>
      <c r="D9" s="7">
        <f>SUMIF('2023 YE Accum Depr Detail'!$B$6:$B$61,'Electric Closings Summary'!$B9,'2023 YE Accum Depr Detail'!$E$6:$E$61)</f>
        <v>285.57772366386803</v>
      </c>
      <c r="E9" s="7">
        <f>SUMIF('2023 YE Def Tax Detail'!$B$6:$B$61,'Electric Closings Summary'!$B9,'2023 YE Def Tax Detail'!$E$6:$E$61)</f>
        <v>65.394046855606078</v>
      </c>
      <c r="G9" s="7">
        <f>SUMIF('2023 YE Depr Expense'!$B$6:$B$62,'Electric Closings Summary'!$B9,'2023 YE Depr Expense'!$E$6:$E$62)</f>
        <v>204.80034065348721</v>
      </c>
      <c r="P9" s="2"/>
    </row>
    <row r="10" spans="1:16" x14ac:dyDescent="0.25">
      <c r="A10" s="26">
        <f t="shared" si="0"/>
        <v>7</v>
      </c>
      <c r="B10" t="s">
        <v>8</v>
      </c>
      <c r="C10" s="7">
        <f>SUMIF('2023 YE Gross Plant Detail'!$B$6:$B$61,'Electric Closings Summary'!$B10,'2023 YE Gross Plant Detail'!$E$6:$E$61)</f>
        <v>9261.4049999999825</v>
      </c>
      <c r="D10" s="7">
        <f>SUMIF('2023 YE Accum Depr Detail'!$B$6:$B$61,'Electric Closings Summary'!$B10,'2023 YE Accum Depr Detail'!$E$6:$E$61)</f>
        <v>1067.5246145833332</v>
      </c>
      <c r="E10" s="7">
        <f>SUMIF('2023 YE Def Tax Detail'!$B$6:$B$61,'Electric Closings Summary'!$B10,'2023 YE Def Tax Detail'!$E$6:$E$61)</f>
        <v>6830.9920522102666</v>
      </c>
      <c r="G10" s="7">
        <f>SUMIF('2023 YE Depr Expense'!$B$6:$B$62,'Electric Closings Summary'!$B10,'2023 YE Depr Expense'!$E$6:$E$62)</f>
        <v>770.07891666666524</v>
      </c>
      <c r="P10" s="2"/>
    </row>
    <row r="11" spans="1:16" x14ac:dyDescent="0.25">
      <c r="A11" s="26">
        <f t="shared" si="0"/>
        <v>8</v>
      </c>
      <c r="B11" t="s">
        <v>9</v>
      </c>
      <c r="C11" s="7">
        <f>SUMIF('2023 YE Gross Plant Detail'!$B$6:$B$61,'Electric Closings Summary'!$B11,'2023 YE Gross Plant Detail'!$E$6:$E$61)</f>
        <v>5179821.9019085001</v>
      </c>
      <c r="D11" s="7">
        <f>SUMIF('2023 YE Accum Depr Detail'!$B$6:$B$61,'Electric Closings Summary'!$B11,'2023 YE Accum Depr Detail'!$E$6:$E$61)</f>
        <v>1015983.7057397708</v>
      </c>
      <c r="E11" s="7">
        <f>SUMIF('2023 YE Def Tax Detail'!$B$6:$B$61,'Electric Closings Summary'!$B11,'2023 YE Def Tax Detail'!$E$6:$E$61)</f>
        <v>379675.07577025512</v>
      </c>
      <c r="G11" s="7">
        <f>SUMIF('2023 YE Depr Expense'!$B$6:$B$62,'Electric Closings Summary'!$B11,'2023 YE Depr Expense'!$E$6:$E$62)</f>
        <v>1133177.3872265001</v>
      </c>
      <c r="P11" s="2"/>
    </row>
    <row r="12" spans="1:16" x14ac:dyDescent="0.25">
      <c r="A12" s="26">
        <f t="shared" si="0"/>
        <v>9</v>
      </c>
      <c r="B12" t="s">
        <v>10</v>
      </c>
      <c r="C12" s="7">
        <f>SUMIF('2023 YE Gross Plant Detail'!$B$6:$B$61,'Electric Closings Summary'!$B12,'2023 YE Gross Plant Detail'!$E$6:$E$61)</f>
        <v>105587700.83374995</v>
      </c>
      <c r="D12" s="7">
        <f>SUMIF('2023 YE Accum Depr Detail'!$B$6:$B$61,'Electric Closings Summary'!$B12,'2023 YE Accum Depr Detail'!$E$6:$E$61)</f>
        <v>2790029.4703639331</v>
      </c>
      <c r="E12" s="7">
        <f>SUMIF('2023 YE Def Tax Detail'!$B$6:$B$61,'Electric Closings Summary'!$B12,'2023 YE Def Tax Detail'!$E$6:$E$61)</f>
        <v>1400751.509383799</v>
      </c>
      <c r="G12" s="7">
        <f>SUMIF('2023 YE Depr Expense'!$B$6:$B$62,'Electric Closings Summary'!$B12,'2023 YE Depr Expense'!$E$6:$E$62)</f>
        <v>3739639.2920287163</v>
      </c>
      <c r="P12" s="2"/>
    </row>
    <row r="13" spans="1:16" x14ac:dyDescent="0.25">
      <c r="A13" s="26">
        <f t="shared" si="0"/>
        <v>10</v>
      </c>
      <c r="B13" t="s">
        <v>12</v>
      </c>
      <c r="C13" s="7">
        <f>SUMIF('2023 YE Gross Plant Detail'!$B$6:$B$61,'Electric Closings Summary'!$B13,'2023 YE Gross Plant Detail'!$E$6:$E$61)</f>
        <v>54183824.50166665</v>
      </c>
      <c r="D13" s="7">
        <f>SUMIF('2023 YE Accum Depr Detail'!$B$6:$B$61,'Electric Closings Summary'!$B13,'2023 YE Accum Depr Detail'!$E$6:$E$61)</f>
        <v>177488.0274752673</v>
      </c>
      <c r="E13" s="7">
        <f>SUMIF('2023 YE Def Tax Detail'!$B$6:$B$61,'Electric Closings Summary'!$B13,'2023 YE Def Tax Detail'!$E$6:$E$61)</f>
        <v>1055058.2659856556</v>
      </c>
      <c r="G13" s="7">
        <f>SUMIF('2023 YE Depr Expense'!$B$6:$B$62,'Electric Closings Summary'!$B13,'2023 YE Depr Expense'!$E$6:$E$62)</f>
        <v>1229545.2780046598</v>
      </c>
      <c r="P13" s="2"/>
    </row>
    <row r="14" spans="1:16" x14ac:dyDescent="0.25">
      <c r="A14" s="26">
        <f t="shared" si="0"/>
        <v>11</v>
      </c>
      <c r="B14" t="s">
        <v>822</v>
      </c>
      <c r="C14" s="7">
        <f>SUMIF('2023 YE Gross Plant Detail'!$B$6:$B$61,'Electric Closings Summary'!$B14,'2023 YE Gross Plant Detail'!$E$6:$E$61)</f>
        <v>277146.53916666663</v>
      </c>
      <c r="D14" s="7">
        <f>SUMIF('2023 YE Accum Depr Detail'!$B$6:$B$61,'Electric Closings Summary'!$B14,'2023 YE Accum Depr Detail'!$E$6:$E$61)</f>
        <v>1991.4332651684733</v>
      </c>
      <c r="E14" s="7">
        <f>SUMIF('2023 YE Def Tax Detail'!$B$6:$B$61,'Electric Closings Summary'!$B14,'2023 YE Def Tax Detail'!$E$6:$E$61)</f>
        <v>-20644.571249068267</v>
      </c>
      <c r="G14" s="7">
        <f>SUMIF('2023 YE Depr Expense'!$B$6:$B$62,'Electric Closings Summary'!$B14,'2023 YE Depr Expense'!$E$6:$E$62)</f>
        <v>9665.3951794521654</v>
      </c>
      <c r="P14" s="2"/>
    </row>
    <row r="15" spans="1:16" x14ac:dyDescent="0.25">
      <c r="A15" s="26">
        <f t="shared" si="0"/>
        <v>12</v>
      </c>
      <c r="B15" t="s">
        <v>14</v>
      </c>
      <c r="C15" s="7">
        <f>SUMIF('2023 YE Gross Plant Detail'!$B$6:$B$61,'Electric Closings Summary'!$B15,'2023 YE Gross Plant Detail'!$E$6:$E$61)</f>
        <v>-3595.8600000000006</v>
      </c>
      <c r="D15" s="7">
        <f>SUMIF('2023 YE Accum Depr Detail'!$B$6:$B$61,'Electric Closings Summary'!$B15,'2023 YE Accum Depr Detail'!$E$6:$E$61)</f>
        <v>-328.52681395833332</v>
      </c>
      <c r="E15" s="7">
        <f>SUMIF('2023 YE Def Tax Detail'!$B$6:$B$61,'Electric Closings Summary'!$B15,'2023 YE Def Tax Detail'!$E$6:$E$61)</f>
        <v>-16.704245347448644</v>
      </c>
      <c r="G15" s="7">
        <f>SUMIF('2023 YE Depr Expense'!$B$6:$B$62,'Electric Closings Summary'!$B15,'2023 YE Depr Expense'!$E$6:$E$62)</f>
        <v>-265.55426099999994</v>
      </c>
      <c r="P15" s="2"/>
    </row>
    <row r="16" spans="1:16" x14ac:dyDescent="0.25">
      <c r="A16" s="26">
        <f t="shared" si="0"/>
        <v>13</v>
      </c>
      <c r="B16" t="s">
        <v>15</v>
      </c>
      <c r="C16" s="7">
        <f>SUMIF('2023 YE Gross Plant Detail'!$B$6:$B$61,'Electric Closings Summary'!$B16,'2023 YE Gross Plant Detail'!$E$6:$E$61)</f>
        <v>160280782.9966667</v>
      </c>
      <c r="D16" s="7">
        <f>SUMIF('2023 YE Accum Depr Detail'!$B$6:$B$61,'Electric Closings Summary'!$B16,'2023 YE Accum Depr Detail'!$E$6:$E$61)</f>
        <v>4536779.9114811895</v>
      </c>
      <c r="E16" s="7">
        <f>SUMIF('2023 YE Def Tax Detail'!$B$6:$B$61,'Electric Closings Summary'!$B16,'2023 YE Def Tax Detail'!$E$6:$E$61)</f>
        <v>1655045.275893853</v>
      </c>
      <c r="G16" s="7">
        <f>SUMIF('2023 YE Depr Expense'!$B$6:$B$62,'Electric Closings Summary'!$B16,'2023 YE Depr Expense'!$E$6:$E$62)</f>
        <v>6109532.7676543705</v>
      </c>
      <c r="P16" s="2"/>
    </row>
    <row r="17" spans="1:16" x14ac:dyDescent="0.25">
      <c r="A17" s="26">
        <f t="shared" si="0"/>
        <v>14</v>
      </c>
      <c r="B17" t="s">
        <v>16</v>
      </c>
      <c r="C17" s="7">
        <f>SUMIF('2023 YE Gross Plant Detail'!$B$6:$B$61,'Electric Closings Summary'!$B17,'2023 YE Gross Plant Detail'!$E$6:$E$61)</f>
        <v>-29641.090000000007</v>
      </c>
      <c r="D17" s="7">
        <f>SUMIF('2023 YE Accum Depr Detail'!$B$6:$B$61,'Electric Closings Summary'!$B17,'2023 YE Accum Depr Detail'!$E$6:$E$61)</f>
        <v>-8031.040493055556</v>
      </c>
      <c r="E17" s="7">
        <f>SUMIF('2023 YE Def Tax Detail'!$B$6:$B$61,'Electric Closings Summary'!$B17,'2023 YE Def Tax Detail'!$E$6:$E$61)</f>
        <v>-756.94879326502291</v>
      </c>
      <c r="G17" s="7">
        <f>SUMIF('2023 YE Depr Expense'!$B$6:$B$62,'Electric Closings Summary'!$B17,'2023 YE Depr Expense'!$E$6:$E$62)</f>
        <v>-6422.2361666666666</v>
      </c>
      <c r="P17" s="2"/>
    </row>
    <row r="18" spans="1:16" x14ac:dyDescent="0.25">
      <c r="A18" s="26">
        <f t="shared" si="0"/>
        <v>15</v>
      </c>
      <c r="B18" t="s">
        <v>17</v>
      </c>
      <c r="C18" s="7">
        <f>SUMIF('2023 YE Gross Plant Detail'!$B$6:$B$61,'Electric Closings Summary'!$B18,'2023 YE Gross Plant Detail'!$E$6:$E$61)</f>
        <v>6755776.7903169971</v>
      </c>
      <c r="D18" s="7">
        <f>SUMIF('2023 YE Accum Depr Detail'!$B$6:$B$61,'Electric Closings Summary'!$B18,'2023 YE Accum Depr Detail'!$E$6:$E$61)</f>
        <v>1683700.2802522394</v>
      </c>
      <c r="E18" s="7">
        <f>SUMIF('2023 YE Def Tax Detail'!$B$6:$B$61,'Electric Closings Summary'!$B18,'2023 YE Def Tax Detail'!$E$6:$E$61)</f>
        <v>215405.83529136807</v>
      </c>
      <c r="G18" s="7">
        <f>SUMIF('2023 YE Depr Expense'!$B$6:$B$62,'Electric Closings Summary'!$B18,'2023 YE Depr Expense'!$E$6:$E$62)</f>
        <v>1287180.9076563481</v>
      </c>
      <c r="P18" s="2"/>
    </row>
    <row r="19" spans="1:16" x14ac:dyDescent="0.25">
      <c r="A19" s="26">
        <f t="shared" si="0"/>
        <v>16</v>
      </c>
      <c r="B19" t="s">
        <v>18</v>
      </c>
      <c r="C19" s="7">
        <f>SUMIF('2023 YE Gross Plant Detail'!$B$6:$B$61,'Electric Closings Summary'!$B19,'2023 YE Gross Plant Detail'!$E$6:$E$61)</f>
        <v>0</v>
      </c>
      <c r="D19" s="7">
        <f>SUMIF('2023 YE Accum Depr Detail'!$B$6:$B$61,'Electric Closings Summary'!$B19,'2023 YE Accum Depr Detail'!$E$6:$E$61)</f>
        <v>0</v>
      </c>
      <c r="E19" s="7">
        <f>SUMIF('2023 YE Def Tax Detail'!$B$6:$B$61,'Electric Closings Summary'!$B19,'2023 YE Def Tax Detail'!$E$6:$E$61)</f>
        <v>0</v>
      </c>
      <c r="G19" s="7">
        <f>SUMIF('2023 YE Depr Expense'!$B$6:$B$62,'Electric Closings Summary'!$B19,'2023 YE Depr Expense'!$E$6:$E$62)</f>
        <v>0</v>
      </c>
      <c r="P19" s="2"/>
    </row>
    <row r="20" spans="1:16" x14ac:dyDescent="0.25">
      <c r="A20" s="26">
        <f t="shared" si="0"/>
        <v>17</v>
      </c>
      <c r="B20" t="s">
        <v>19</v>
      </c>
      <c r="C20" s="7">
        <f>SUMIF('2023 YE Gross Plant Detail'!$B$6:$B$61,'Electric Closings Summary'!$B20,'2023 YE Gross Plant Detail'!$E$6:$E$61)</f>
        <v>2677726.1862499998</v>
      </c>
      <c r="D20" s="7">
        <f>SUMIF('2023 YE Accum Depr Detail'!$B$6:$B$61,'Electric Closings Summary'!$B20,'2023 YE Accum Depr Detail'!$E$6:$E$61)</f>
        <v>79875.919268406564</v>
      </c>
      <c r="E20" s="7">
        <f>SUMIF('2023 YE Def Tax Detail'!$B$6:$B$61,'Electric Closings Summary'!$B20,'2023 YE Def Tax Detail'!$E$6:$E$61)</f>
        <v>126527.70782320583</v>
      </c>
      <c r="G20" s="7">
        <f>SUMIF('2023 YE Depr Expense'!$B$6:$B$62,'Electric Closings Summary'!$B20,'2023 YE Depr Expense'!$E$6:$E$62)</f>
        <v>111013.69658944389</v>
      </c>
      <c r="P20" s="2"/>
    </row>
    <row r="21" spans="1:16" x14ac:dyDescent="0.25">
      <c r="A21" s="26">
        <f t="shared" si="0"/>
        <v>18</v>
      </c>
      <c r="B21" t="s">
        <v>22</v>
      </c>
      <c r="C21" s="7">
        <f>SUMIF('2023 YE Gross Plant Detail'!$B$6:$B$61,'Electric Closings Summary'!$B21,'2023 YE Gross Plant Detail'!$E$6:$E$61)</f>
        <v>14435849.020000001</v>
      </c>
      <c r="D21" s="7">
        <f>SUMIF('2023 YE Accum Depr Detail'!$B$6:$B$61,'Electric Closings Summary'!$B21,'2023 YE Accum Depr Detail'!$E$6:$E$61)</f>
        <v>1378362.3740106877</v>
      </c>
      <c r="E21" s="7">
        <f>SUMIF('2023 YE Def Tax Detail'!$B$6:$B$61,'Electric Closings Summary'!$B21,'2023 YE Def Tax Detail'!$E$6:$E$61)</f>
        <v>-12983.695394158094</v>
      </c>
      <c r="G21" s="7">
        <f>SUMIF('2023 YE Depr Expense'!$B$6:$B$62,'Electric Closings Summary'!$B21,'2023 YE Depr Expense'!$E$6:$E$62)</f>
        <v>1788962.5898035003</v>
      </c>
      <c r="P21" s="2"/>
    </row>
    <row r="22" spans="1:16" x14ac:dyDescent="0.25">
      <c r="A22" s="26">
        <f t="shared" si="0"/>
        <v>19</v>
      </c>
      <c r="B22" t="s">
        <v>85</v>
      </c>
      <c r="C22" s="7">
        <f>SUMIF('2023 YE Gross Plant Detail'!$B$6:$B$61,'Electric Closings Summary'!$B22,'2023 YE Gross Plant Detail'!$E$6:$E$61)</f>
        <v>57027650.548933409</v>
      </c>
      <c r="D22" s="7">
        <f>SUMIF('2023 YE Accum Depr Detail'!$B$6:$B$61,'Electric Closings Summary'!$B22,'2023 YE Accum Depr Detail'!$E$6:$E$61)</f>
        <v>3049232.5407993486</v>
      </c>
      <c r="E22" s="7">
        <f>SUMIF('2023 YE Def Tax Detail'!$B$6:$B$61,'Electric Closings Summary'!$B22,'2023 YE Def Tax Detail'!$E$6:$E$61)</f>
        <v>1946357.8381379549</v>
      </c>
      <c r="G22" s="7">
        <f>SUMIF('2023 YE Depr Expense'!$B$6:$B$62,'Electric Closings Summary'!$B22,'2023 YE Depr Expense'!$E$6:$E$62)</f>
        <v>7221749.7544332426</v>
      </c>
      <c r="P22" s="2"/>
    </row>
    <row r="23" spans="1:16" x14ac:dyDescent="0.25">
      <c r="A23" s="26">
        <f t="shared" si="0"/>
        <v>20</v>
      </c>
      <c r="B23" t="s">
        <v>23</v>
      </c>
      <c r="C23" s="7">
        <f>SUMIF('2023 YE Gross Plant Detail'!$B$6:$B$61,'Electric Closings Summary'!$B23,'2023 YE Gross Plant Detail'!$E$6:$E$61)</f>
        <v>34271524.095000081</v>
      </c>
      <c r="D23" s="7">
        <f>SUMIF('2023 YE Accum Depr Detail'!$B$6:$B$61,'Electric Closings Summary'!$B23,'2023 YE Accum Depr Detail'!$E$6:$E$61)</f>
        <v>942974.88288525585</v>
      </c>
      <c r="E23" s="7">
        <f>SUMIF('2023 YE Def Tax Detail'!$B$6:$B$61,'Electric Closings Summary'!$B23,'2023 YE Def Tax Detail'!$E$6:$E$61)</f>
        <v>686173.00898094219</v>
      </c>
      <c r="G23" s="7">
        <f>SUMIF('2023 YE Depr Expense'!$B$6:$B$62,'Electric Closings Summary'!$B23,'2023 YE Depr Expense'!$E$6:$E$62)</f>
        <v>1633228.3674291214</v>
      </c>
      <c r="P23" s="2"/>
    </row>
    <row r="24" spans="1:16" x14ac:dyDescent="0.25">
      <c r="A24" s="26">
        <f t="shared" si="0"/>
        <v>21</v>
      </c>
      <c r="B24" t="s">
        <v>50</v>
      </c>
      <c r="C24" s="7">
        <f>SUMIF('2023 YE Gross Plant Detail'!$B$6:$B$61,'Electric Closings Summary'!$B24,'2023 YE Gross Plant Detail'!$E$6:$E$61)</f>
        <v>71143812.659166664</v>
      </c>
      <c r="D24" s="7">
        <f>SUMIF('2023 YE Accum Depr Detail'!$B$6:$B$61,'Electric Closings Summary'!$B24,'2023 YE Accum Depr Detail'!$E$6:$E$61)</f>
        <v>2529677.1644083103</v>
      </c>
      <c r="E24" s="7">
        <f>SUMIF('2023 YE Def Tax Detail'!$B$6:$B$61,'Electric Closings Summary'!$B24,'2023 YE Def Tax Detail'!$E$6:$E$61)</f>
        <v>2619136.8856605999</v>
      </c>
      <c r="G24" s="7">
        <f>SUMIF('2023 YE Depr Expense'!$B$6:$B$62,'Electric Closings Summary'!$B24,'2023 YE Depr Expense'!$E$6:$E$62)</f>
        <v>3424141.0999305411</v>
      </c>
      <c r="P24" s="2"/>
    </row>
    <row r="25" spans="1:16" x14ac:dyDescent="0.25">
      <c r="A25" s="26">
        <f t="shared" si="0"/>
        <v>22</v>
      </c>
      <c r="B25" s="8" t="s">
        <v>26</v>
      </c>
      <c r="C25" s="7">
        <f>SUMIF('2023 YE Gross Plant Detail'!$B$6:$B$61,'Electric Closings Summary'!$B25,'2023 YE Gross Plant Detail'!$E$6:$E$61)</f>
        <v>184845384.86876714</v>
      </c>
      <c r="D25" s="7">
        <f>SUMIF('2023 YE Accum Depr Detail'!$B$6:$B$61,'Electric Closings Summary'!$B25,'2023 YE Accum Depr Detail'!$E$6:$E$61)</f>
        <v>11306219.526852932</v>
      </c>
      <c r="E25" s="7">
        <f>SUMIF('2023 YE Def Tax Detail'!$B$6:$B$61,'Electric Closings Summary'!$B25,'2023 YE Def Tax Detail'!$E$6:$E$61)</f>
        <v>5317526.0435637468</v>
      </c>
      <c r="G25" s="7">
        <f>SUMIF('2023 YE Depr Expense'!$B$6:$B$62,'Electric Closings Summary'!$B25,'2023 YE Depr Expense'!$E$6:$E$62)</f>
        <v>12907250.881063156</v>
      </c>
      <c r="P25" s="2"/>
    </row>
    <row r="26" spans="1:16" x14ac:dyDescent="0.25">
      <c r="A26" s="26">
        <f t="shared" si="0"/>
        <v>23</v>
      </c>
      <c r="B26" s="77" t="s">
        <v>31</v>
      </c>
      <c r="C26" s="7">
        <f>SUMIF('2023 YE Gross Plant Detail'!$B$6:$B$61,'Electric Closings Summary'!$B26,'2023 YE Gross Plant Detail'!$E$6:$E$61)</f>
        <v>2061746.6195833334</v>
      </c>
      <c r="D26" s="7">
        <f>SUMIF('2023 YE Accum Depr Detail'!$B$6:$B$61,'Electric Closings Summary'!$B26,'2023 YE Accum Depr Detail'!$E$6:$E$61)</f>
        <v>23249.906689138377</v>
      </c>
      <c r="E26" s="7">
        <f>SUMIF('2023 YE Def Tax Detail'!$B$6:$B$61,'Electric Closings Summary'!$B26,'2023 YE Def Tax Detail'!$E$6:$E$61)</f>
        <v>34077.986262483762</v>
      </c>
      <c r="G26" s="7">
        <f>SUMIF('2023 YE Depr Expense'!$B$6:$B$62,'Electric Closings Summary'!$B26,'2023 YE Depr Expense'!$E$6:$E$62)</f>
        <v>49182.104828243551</v>
      </c>
      <c r="P26" s="2"/>
    </row>
    <row r="27" spans="1:16" x14ac:dyDescent="0.25">
      <c r="A27" s="26">
        <f t="shared" si="0"/>
        <v>24</v>
      </c>
      <c r="B27" t="s">
        <v>28</v>
      </c>
      <c r="C27" s="7">
        <f>SUMIF('2023 YE Gross Plant Detail'!$B$6:$B$61,'Electric Closings Summary'!$B27,'2023 YE Gross Plant Detail'!$E$6:$E$61)</f>
        <v>1834414.8974999997</v>
      </c>
      <c r="D27" s="7">
        <f>SUMIF('2023 YE Accum Depr Detail'!$B$6:$B$61,'Electric Closings Summary'!$B27,'2023 YE Accum Depr Detail'!$E$6:$E$61)</f>
        <v>2068.0370027919971</v>
      </c>
      <c r="E27" s="7">
        <f>SUMIF('2023 YE Def Tax Detail'!$B$6:$B$61,'Electric Closings Summary'!$B27,'2023 YE Def Tax Detail'!$E$6:$E$61)</f>
        <v>262480.79237658833</v>
      </c>
      <c r="G27" s="7">
        <f>SUMIF('2023 YE Depr Expense'!$B$6:$B$62,'Electric Closings Summary'!$B27,'2023 YE Depr Expense'!$E$6:$E$62)</f>
        <v>49632.888067007923</v>
      </c>
      <c r="P27" s="2"/>
    </row>
    <row r="28" spans="1:16" x14ac:dyDescent="0.25">
      <c r="A28" s="26">
        <f t="shared" si="0"/>
        <v>25</v>
      </c>
      <c r="B28" t="s">
        <v>873</v>
      </c>
      <c r="C28" s="7">
        <f>SUMIF('2023 YE Gross Plant Detail'!$B$6:$B$61,'Electric Closings Summary'!$B28,'2023 YE Gross Plant Detail'!$E$6:$E$61)</f>
        <v>0</v>
      </c>
      <c r="D28" s="7">
        <f>SUMIF('2023 YE Accum Depr Detail'!$B$6:$B$61,'Electric Closings Summary'!$B28,'2023 YE Accum Depr Detail'!$E$6:$E$61)</f>
        <v>0</v>
      </c>
      <c r="E28" s="7">
        <f>SUMIF('2023 YE Def Tax Detail'!$B$6:$B$61,'Electric Closings Summary'!$B28,'2023 YE Def Tax Detail'!$E$6:$E$61)</f>
        <v>0</v>
      </c>
      <c r="G28" s="7">
        <f>SUMIF('2023 YE Depr Expense'!$B$6:$B$62,'Electric Closings Summary'!$B28,'2023 YE Depr Expense'!$E$6:$E$62)</f>
        <v>0</v>
      </c>
      <c r="P28" s="2"/>
    </row>
    <row r="29" spans="1:16" x14ac:dyDescent="0.25">
      <c r="A29" s="26">
        <f t="shared" si="0"/>
        <v>26</v>
      </c>
      <c r="B29" t="s">
        <v>29</v>
      </c>
      <c r="C29" s="7">
        <f>SUMIF('2023 YE Gross Plant Detail'!$B$6:$B$61,'Electric Closings Summary'!$B29,'2023 YE Gross Plant Detail'!$E$6:$E$61)</f>
        <v>6530908.2300000004</v>
      </c>
      <c r="D29" s="7">
        <f>SUMIF('2023 YE Accum Depr Detail'!$B$6:$B$61,'Electric Closings Summary'!$B29,'2023 YE Accum Depr Detail'!$E$6:$E$61)</f>
        <v>36730.138531472228</v>
      </c>
      <c r="E29" s="7">
        <f>SUMIF('2023 YE Def Tax Detail'!$B$6:$B$61,'Electric Closings Summary'!$B29,'2023 YE Def Tax Detail'!$E$6:$E$61)</f>
        <v>109217.79629341209</v>
      </c>
      <c r="G29" s="7">
        <f>SUMIF('2023 YE Depr Expense'!$B$6:$B$62,'Electric Closings Summary'!$B29,'2023 YE Depr Expense'!$E$6:$E$62)</f>
        <v>168872.81168816669</v>
      </c>
      <c r="P29" s="2"/>
    </row>
    <row r="30" spans="1:16" x14ac:dyDescent="0.25">
      <c r="A30" s="26">
        <f t="shared" si="0"/>
        <v>27</v>
      </c>
      <c r="B30" s="6" t="s">
        <v>30</v>
      </c>
      <c r="C30" s="12">
        <f>SUMIF('2023 YE Gross Plant Detail'!$B$6:$B$61,'Electric Closings Summary'!$B30,'2023 YE Gross Plant Detail'!$E$6:$E$61)</f>
        <v>1158287.94120375</v>
      </c>
      <c r="D30" s="12">
        <f>SUMIF('2023 YE Accum Depr Detail'!$B$6:$B$61,'Electric Closings Summary'!$B30,'2023 YE Accum Depr Detail'!$E$6:$E$61)</f>
        <v>199416.3005986122</v>
      </c>
      <c r="E30" s="12">
        <f>SUMIF('2023 YE Def Tax Detail'!$B$6:$B$61,'Electric Closings Summary'!$B30,'2023 YE Def Tax Detail'!$E$6:$E$61)</f>
        <v>96472.838539197008</v>
      </c>
      <c r="F30" s="6"/>
      <c r="G30" s="12">
        <f>SUMIF('2023 YE Depr Expense'!$B$6:$B$62,'Electric Closings Summary'!$B30,'2023 YE Depr Expense'!$E$6:$E$62)</f>
        <v>241726.87243741119</v>
      </c>
      <c r="P30" s="2"/>
    </row>
    <row r="31" spans="1:16" x14ac:dyDescent="0.25">
      <c r="A31" s="26">
        <f t="shared" si="0"/>
        <v>28</v>
      </c>
      <c r="B31" s="77" t="s">
        <v>32</v>
      </c>
      <c r="C31" s="3">
        <f>SUM(C4:C30)</f>
        <v>796097147.51363051</v>
      </c>
      <c r="D31" s="3">
        <f t="shared" ref="D31:E31" si="1">SUM(D4:D30)</f>
        <v>32353171.102767028</v>
      </c>
      <c r="E31" s="3">
        <f t="shared" si="1"/>
        <v>17872129.362987526</v>
      </c>
      <c r="G31" s="3">
        <f>SUM(G4:G30)</f>
        <v>44847101.151235349</v>
      </c>
      <c r="P31" s="2"/>
    </row>
    <row r="32" spans="1:16" x14ac:dyDescent="0.25">
      <c r="G32" s="3">
        <f>G31-'2023 YE Depr Expense'!E62</f>
        <v>0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41.5703125" bestFit="1" customWidth="1"/>
    <col min="3" max="3" width="15.28515625" bestFit="1" customWidth="1"/>
    <col min="4" max="5" width="14.28515625" bestFit="1" customWidth="1"/>
    <col min="6" max="6" width="3.5703125" customWidth="1"/>
    <col min="7" max="7" width="14.28515625" bestFit="1" customWidth="1"/>
    <col min="16" max="16" width="41.5703125" bestFit="1" customWidth="1"/>
  </cols>
  <sheetData>
    <row r="1" spans="1:16" ht="15.75" x14ac:dyDescent="0.25">
      <c r="B1" s="45" t="s">
        <v>876</v>
      </c>
    </row>
    <row r="2" spans="1:16" x14ac:dyDescent="0.25">
      <c r="A2" s="61" t="s">
        <v>52</v>
      </c>
    </row>
    <row r="3" spans="1:16" x14ac:dyDescent="0.25">
      <c r="A3" s="19" t="s">
        <v>54</v>
      </c>
      <c r="B3" s="1" t="s">
        <v>84</v>
      </c>
      <c r="C3" s="13" t="s">
        <v>36</v>
      </c>
      <c r="D3" s="13" t="s">
        <v>48</v>
      </c>
      <c r="E3" s="13" t="s">
        <v>49</v>
      </c>
      <c r="G3" s="14" t="s">
        <v>51</v>
      </c>
    </row>
    <row r="4" spans="1:16" x14ac:dyDescent="0.25">
      <c r="A4" s="26">
        <v>1</v>
      </c>
      <c r="B4" t="s">
        <v>872</v>
      </c>
      <c r="C4" s="7">
        <f>SUMIF('2023 YE Gross Plant Detail'!$G$6:$G$61,'Gas Closings Summary'!$B4,'2023 YE Gross Plant Detail'!$J$6:$J$61)</f>
        <v>12375459.039999334</v>
      </c>
      <c r="D4" s="7">
        <f>SUMIF('2023 YE Accum Depr Detail'!$G$6:$G$61,'Gas Closings Summary'!$B4,'2023 YE Accum Depr Detail'!$J$6:$J$61)</f>
        <v>422752.50924828887</v>
      </c>
      <c r="E4" s="7">
        <f>SUMIF('2023 YE Def Tax Detail'!$G$6:$G$61,'Gas Closings Summary'!$B4,'2023 YE Def Tax Detail'!$J$6:$J$61)</f>
        <v>1034127.9506777159</v>
      </c>
      <c r="G4" s="7">
        <f>SUMIF('2023 YE Depr Expense'!$G$6:$G$62,'Gas Closings Summary'!$B4,'2023 YE Depr Expense'!$J$6:$J$62)</f>
        <v>732113.12367298314</v>
      </c>
    </row>
    <row r="5" spans="1:16" x14ac:dyDescent="0.25">
      <c r="A5" s="26">
        <f>A4+1</f>
        <v>2</v>
      </c>
      <c r="B5" t="s">
        <v>3</v>
      </c>
      <c r="C5" s="7">
        <f>SUMIF('2023 YE Gross Plant Detail'!$G$6:$G$61,'Gas Closings Summary'!$B5,'2023 YE Gross Plant Detail'!$J$6:$J$61)</f>
        <v>5736257.5908333333</v>
      </c>
      <c r="D5" s="7">
        <f>SUMIF('2023 YE Accum Depr Detail'!$G$6:$G$61,'Gas Closings Summary'!$B5,'2023 YE Accum Depr Detail'!$J$6:$J$61)</f>
        <v>127484.82421287484</v>
      </c>
      <c r="E5" s="7">
        <f>SUMIF('2023 YE Def Tax Detail'!$G$6:$G$61,'Gas Closings Summary'!$B5,'2023 YE Def Tax Detail'!$J$6:$J$61)</f>
        <v>264050.65786646964</v>
      </c>
      <c r="G5" s="7">
        <f>SUMIF('2023 YE Depr Expense'!$G$6:$G$62,'Gas Closings Summary'!$B5,'2023 YE Depr Expense'!$J$6:$J$62)</f>
        <v>181980.89940942632</v>
      </c>
    </row>
    <row r="6" spans="1:16" x14ac:dyDescent="0.25">
      <c r="A6" s="26">
        <f t="shared" ref="A6:A22" si="0">A5+1</f>
        <v>3</v>
      </c>
      <c r="B6" t="s">
        <v>5</v>
      </c>
      <c r="C6" s="7">
        <f>SUMIF('2023 YE Gross Plant Detail'!$G$6:$G$61,'Gas Closings Summary'!$B6,'2023 YE Gross Plant Detail'!$J$6:$J$61)</f>
        <v>-1568587.6816666666</v>
      </c>
      <c r="D6" s="7">
        <f>SUMIF('2023 YE Accum Depr Detail'!$G$6:$G$61,'Gas Closings Summary'!$B6,'2023 YE Accum Depr Detail'!$J$6:$J$61)</f>
        <v>-52607.404029384103</v>
      </c>
      <c r="E6" s="7">
        <f>SUMIF('2023 YE Def Tax Detail'!$G$6:$G$61,'Gas Closings Summary'!$B6,'2023 YE Def Tax Detail'!$J$6:$J$61)</f>
        <v>-31370.699667204364</v>
      </c>
      <c r="G6" s="7">
        <f>SUMIF('2023 YE Depr Expense'!$G$6:$G$62,'Gas Closings Summary'!$B6,'2023 YE Depr Expense'!$J$6:$J$62)</f>
        <v>-53328.032734999993</v>
      </c>
      <c r="P6" s="2"/>
    </row>
    <row r="7" spans="1:16" x14ac:dyDescent="0.25">
      <c r="A7" s="26">
        <f t="shared" si="0"/>
        <v>4</v>
      </c>
      <c r="B7" t="s">
        <v>6</v>
      </c>
      <c r="C7" s="7">
        <f>SUMIF('2023 YE Gross Plant Detail'!$G$6:$G$61,'Gas Closings Summary'!$B7,'2023 YE Gross Plant Detail'!$J$6:$J$61)</f>
        <v>20101.651250000003</v>
      </c>
      <c r="D7" s="7">
        <f>SUMIF('2023 YE Accum Depr Detail'!$G$6:$G$61,'Gas Closings Summary'!$B7,'2023 YE Accum Depr Detail'!$J$6:$J$61)</f>
        <v>634.7029489966045</v>
      </c>
      <c r="E7" s="7">
        <f>SUMIF('2023 YE Def Tax Detail'!$G$6:$G$61,'Gas Closings Summary'!$B7,'2023 YE Def Tax Detail'!$J$6:$J$61)</f>
        <v>615.79252405677221</v>
      </c>
      <c r="G7" s="7">
        <f>SUMIF('2023 YE Depr Expense'!$G$6:$G$62,'Gas Closings Summary'!$B7,'2023 YE Depr Expense'!$J$6:$J$62)</f>
        <v>833.44953175874252</v>
      </c>
      <c r="P7" s="2"/>
    </row>
    <row r="8" spans="1:16" x14ac:dyDescent="0.25">
      <c r="A8" s="26">
        <f t="shared" si="0"/>
        <v>5</v>
      </c>
      <c r="B8" t="s">
        <v>7</v>
      </c>
      <c r="C8" s="7">
        <f>SUMIF('2023 YE Gross Plant Detail'!$G$6:$G$61,'Gas Closings Summary'!$B8,'2023 YE Gross Plant Detail'!$J$6:$J$61)</f>
        <v>118640878.05041665</v>
      </c>
      <c r="D8" s="7">
        <f>SUMIF('2023 YE Accum Depr Detail'!$G$6:$G$61,'Gas Closings Summary'!$B8,'2023 YE Accum Depr Detail'!$J$6:$J$61)</f>
        <v>3263642.4379582289</v>
      </c>
      <c r="E8" s="7">
        <f>SUMIF('2023 YE Def Tax Detail'!$G$6:$G$61,'Gas Closings Summary'!$B8,'2023 YE Def Tax Detail'!$J$6:$J$61)</f>
        <v>4462663.8953570956</v>
      </c>
      <c r="G8" s="7">
        <f>SUMIF('2023 YE Depr Expense'!$G$6:$G$62,'Gas Closings Summary'!$B8,'2023 YE Depr Expense'!$J$6:$J$62)</f>
        <v>4530169.9028064189</v>
      </c>
      <c r="P8" s="2"/>
    </row>
    <row r="9" spans="1:16" x14ac:dyDescent="0.25">
      <c r="A9" s="26">
        <f t="shared" si="0"/>
        <v>6</v>
      </c>
      <c r="B9" t="s">
        <v>9</v>
      </c>
      <c r="C9" s="7">
        <f>SUMIF('2023 YE Gross Plant Detail'!$G$6:$G$61,'Gas Closings Summary'!$B9,'2023 YE Gross Plant Detail'!$J$6:$J$61)</f>
        <v>2675534.3339248337</v>
      </c>
      <c r="D9" s="7">
        <f>SUMIF('2023 YE Accum Depr Detail'!$G$6:$G$61,'Gas Closings Summary'!$B9,'2023 YE Accum Depr Detail'!$J$6:$J$61)</f>
        <v>524786.24533661804</v>
      </c>
      <c r="E9" s="7">
        <f>SUMIF('2023 YE Def Tax Detail'!$G$6:$G$61,'Gas Closings Summary'!$B9,'2023 YE Def Tax Detail'!$J$6:$J$61)</f>
        <v>196113.63483067774</v>
      </c>
      <c r="G9" s="7">
        <f>SUMIF('2023 YE Depr Expense'!$G$6:$G$62,'Gas Closings Summary'!$B9,'2023 YE Depr Expense'!$J$6:$J$62)</f>
        <v>585320.31860683346</v>
      </c>
      <c r="P9" s="2"/>
    </row>
    <row r="10" spans="1:16" x14ac:dyDescent="0.25">
      <c r="A10" s="26">
        <f t="shared" si="0"/>
        <v>7</v>
      </c>
      <c r="B10" t="s">
        <v>11</v>
      </c>
      <c r="C10" s="7">
        <f>SUMIF('2023 YE Gross Plant Detail'!$G$6:$G$61,'Gas Closings Summary'!$B10,'2023 YE Gross Plant Detail'!$J$6:$J$61)</f>
        <v>23739315.732083339</v>
      </c>
      <c r="D10" s="7">
        <f>SUMIF('2023 YE Accum Depr Detail'!$G$6:$G$61,'Gas Closings Summary'!$B10,'2023 YE Accum Depr Detail'!$J$6:$J$61)</f>
        <v>627814.93933698232</v>
      </c>
      <c r="E10" s="7">
        <f>SUMIF('2023 YE Def Tax Detail'!$G$6:$G$61,'Gas Closings Summary'!$B10,'2023 YE Def Tax Detail'!$J$6:$J$61)</f>
        <v>949428.75361364952</v>
      </c>
      <c r="G10" s="7">
        <f>SUMIF('2023 YE Depr Expense'!$G$6:$G$62,'Gas Closings Summary'!$B10,'2023 YE Depr Expense'!$J$6:$J$62)</f>
        <v>943299.32068860729</v>
      </c>
      <c r="P10" s="2"/>
    </row>
    <row r="11" spans="1:16" x14ac:dyDescent="0.25">
      <c r="A11" s="26">
        <f t="shared" si="0"/>
        <v>8</v>
      </c>
      <c r="B11" t="s">
        <v>13</v>
      </c>
      <c r="C11" s="7">
        <f>SUMIF('2023 YE Gross Plant Detail'!$G$6:$G$61,'Gas Closings Summary'!$B11,'2023 YE Gross Plant Detail'!$J$6:$J$61)</f>
        <v>19090948.870416671</v>
      </c>
      <c r="D11" s="7">
        <f>SUMIF('2023 YE Accum Depr Detail'!$G$6:$G$61,'Gas Closings Summary'!$B11,'2023 YE Accum Depr Detail'!$J$6:$J$61)</f>
        <v>471735.11641573103</v>
      </c>
      <c r="E11" s="7">
        <f>SUMIF('2023 YE Def Tax Detail'!$G$6:$G$61,'Gas Closings Summary'!$B11,'2023 YE Def Tax Detail'!$J$6:$J$61)</f>
        <v>729457.39143396297</v>
      </c>
      <c r="G11" s="7">
        <f>SUMIF('2023 YE Depr Expense'!$G$6:$G$62,'Gas Closings Summary'!$B11,'2023 YE Depr Expense'!$J$6:$J$62)</f>
        <v>656078.70053785166</v>
      </c>
      <c r="P11" s="2"/>
    </row>
    <row r="12" spans="1:16" x14ac:dyDescent="0.25">
      <c r="A12" s="26">
        <f t="shared" si="0"/>
        <v>9</v>
      </c>
      <c r="B12" t="s">
        <v>17</v>
      </c>
      <c r="C12" s="7">
        <f>SUMIF('2023 YE Gross Plant Detail'!$G$6:$G$61,'Gas Closings Summary'!$B12,'2023 YE Gross Plant Detail'!$J$6:$J$61)</f>
        <v>3523713.8280163319</v>
      </c>
      <c r="D12" s="7">
        <f>SUMIF('2023 YE Accum Depr Detail'!$G$6:$G$61,'Gas Closings Summary'!$B12,'2023 YE Accum Depr Detail'!$J$6:$J$61)</f>
        <v>894532.64940980601</v>
      </c>
      <c r="E12" s="7">
        <f>SUMIF('2023 YE Def Tax Detail'!$G$6:$G$61,'Gas Closings Summary'!$B12,'2023 YE Def Tax Detail'!$J$6:$J$61)</f>
        <v>107561.08483241909</v>
      </c>
      <c r="G12" s="7">
        <f>SUMIF('2023 YE Depr Expense'!$G$6:$G$62,'Gas Closings Summary'!$B12,'2023 YE Depr Expense'!$J$6:$J$62)</f>
        <v>681578.4361085688</v>
      </c>
      <c r="P12" s="2"/>
    </row>
    <row r="13" spans="1:16" x14ac:dyDescent="0.25">
      <c r="A13" s="26">
        <f t="shared" si="0"/>
        <v>10</v>
      </c>
      <c r="B13" t="s">
        <v>20</v>
      </c>
      <c r="C13" s="7">
        <f>SUMIF('2023 YE Gross Plant Detail'!$G$6:$G$61,'Gas Closings Summary'!$B13,'2023 YE Gross Plant Detail'!$J$6:$J$61)</f>
        <v>1560532.325</v>
      </c>
      <c r="D13" s="7">
        <f>SUMIF('2023 YE Accum Depr Detail'!$G$6:$G$61,'Gas Closings Summary'!$B13,'2023 YE Accum Depr Detail'!$J$6:$J$61)</f>
        <v>2530.2505838263887</v>
      </c>
      <c r="E13" s="7">
        <f>SUMIF('2023 YE Def Tax Detail'!$G$6:$G$61,'Gas Closings Summary'!$B13,'2023 YE Def Tax Detail'!$J$6:$J$61)</f>
        <v>16464.086238965152</v>
      </c>
      <c r="G13" s="7">
        <f>SUMIF('2023 YE Depr Expense'!$G$6:$G$62,'Gas Closings Summary'!$B13,'2023 YE Depr Expense'!$J$6:$J$62)</f>
        <v>9050.9312311666654</v>
      </c>
      <c r="P13" s="2"/>
    </row>
    <row r="14" spans="1:16" x14ac:dyDescent="0.25">
      <c r="A14" s="26">
        <f t="shared" si="0"/>
        <v>11</v>
      </c>
      <c r="B14" t="s">
        <v>21</v>
      </c>
      <c r="C14" s="7">
        <f>SUMIF('2023 YE Gross Plant Detail'!$G$6:$G$61,'Gas Closings Summary'!$B14,'2023 YE Gross Plant Detail'!$J$6:$J$61)</f>
        <v>506294.4120833333</v>
      </c>
      <c r="D14" s="7">
        <f>SUMIF('2023 YE Accum Depr Detail'!$G$6:$G$61,'Gas Closings Summary'!$B14,'2023 YE Accum Depr Detail'!$J$6:$J$61)</f>
        <v>20370.790299451386</v>
      </c>
      <c r="E14" s="7">
        <f>SUMIF('2023 YE Def Tax Detail'!$G$6:$G$61,'Gas Closings Summary'!$B14,'2023 YE Def Tax Detail'!$J$6:$J$61)</f>
        <v>10175.062828016216</v>
      </c>
      <c r="G14" s="7">
        <f>SUMIF('2023 YE Depr Expense'!$G$6:$G$62,'Gas Closings Summary'!$B14,'2023 YE Depr Expense'!$J$6:$J$62)</f>
        <v>15917.254481833334</v>
      </c>
      <c r="P14" s="2"/>
    </row>
    <row r="15" spans="1:16" x14ac:dyDescent="0.25">
      <c r="A15" s="26">
        <f t="shared" si="0"/>
        <v>12</v>
      </c>
      <c r="B15" t="s">
        <v>85</v>
      </c>
      <c r="C15" s="7">
        <f>SUMIF('2023 YE Gross Plant Detail'!$G$6:$G$61,'Gas Closings Summary'!$B15,'2023 YE Gross Plant Detail'!$J$6:$J$61)</f>
        <v>17892030.681483246</v>
      </c>
      <c r="D15" s="7">
        <f>SUMIF('2023 YE Accum Depr Detail'!$G$6:$G$61,'Gas Closings Summary'!$B15,'2023 YE Accum Depr Detail'!$J$6:$J$61)</f>
        <v>1271514.4225139413</v>
      </c>
      <c r="E15" s="7">
        <f>SUMIF('2023 YE Def Tax Detail'!$G$6:$G$61,'Gas Closings Summary'!$B15,'2023 YE Def Tax Detail'!$J$6:$J$61)</f>
        <v>925235.31432993058</v>
      </c>
      <c r="G15" s="7">
        <f>SUMIF('2023 YE Depr Expense'!$G$6:$G$62,'Gas Closings Summary'!$B15,'2023 YE Depr Expense'!$J$6:$J$62)</f>
        <v>2562103.0115419044</v>
      </c>
      <c r="P15" s="2"/>
    </row>
    <row r="16" spans="1:16" x14ac:dyDescent="0.25">
      <c r="A16" s="26">
        <f t="shared" si="0"/>
        <v>13</v>
      </c>
      <c r="B16" t="s">
        <v>24</v>
      </c>
      <c r="C16" s="7">
        <f>SUMIF('2023 YE Gross Plant Detail'!$G$6:$G$61,'Gas Closings Summary'!$B16,'2023 YE Gross Plant Detail'!$J$6:$J$61)</f>
        <v>48534662.120833345</v>
      </c>
      <c r="D16" s="7">
        <f>SUMIF('2023 YE Accum Depr Detail'!$G$6:$G$61,'Gas Closings Summary'!$B16,'2023 YE Accum Depr Detail'!$J$6:$J$61)</f>
        <v>819483.89911246474</v>
      </c>
      <c r="E16" s="7">
        <f>SUMIF('2023 YE Def Tax Detail'!$G$6:$G$61,'Gas Closings Summary'!$B16,'2023 YE Def Tax Detail'!$J$6:$J$61)</f>
        <v>1890061.7372362106</v>
      </c>
      <c r="G16" s="7">
        <f>SUMIF('2023 YE Depr Expense'!$G$6:$G$62,'Gas Closings Summary'!$B16,'2023 YE Depr Expense'!$J$6:$J$62)</f>
        <v>1326797.8207572035</v>
      </c>
      <c r="P16" s="2"/>
    </row>
    <row r="17" spans="1:16" x14ac:dyDescent="0.25">
      <c r="A17" s="26">
        <f t="shared" si="0"/>
        <v>14</v>
      </c>
      <c r="B17" t="s">
        <v>25</v>
      </c>
      <c r="C17" s="7">
        <f>SUMIF('2023 YE Gross Plant Detail'!$G$6:$G$61,'Gas Closings Summary'!$B17,'2023 YE Gross Plant Detail'!$J$6:$J$61)</f>
        <v>60557014.25833334</v>
      </c>
      <c r="D17" s="7">
        <f>SUMIF('2023 YE Accum Depr Detail'!$G$6:$G$61,'Gas Closings Summary'!$B17,'2023 YE Accum Depr Detail'!$J$6:$J$61)</f>
        <v>1303797.2430099526</v>
      </c>
      <c r="E17" s="7">
        <f>SUMIF('2023 YE Def Tax Detail'!$G$6:$G$61,'Gas Closings Summary'!$B17,'2023 YE Def Tax Detail'!$J$6:$J$61)</f>
        <v>2815729.3854248286</v>
      </c>
      <c r="G17" s="7">
        <f>SUMIF('2023 YE Depr Expense'!$G$6:$G$62,'Gas Closings Summary'!$B17,'2023 YE Depr Expense'!$J$6:$J$62)</f>
        <v>1884037.7668192282</v>
      </c>
      <c r="P17" s="2"/>
    </row>
    <row r="18" spans="1:16" x14ac:dyDescent="0.25">
      <c r="A18" s="26">
        <f t="shared" si="0"/>
        <v>15</v>
      </c>
      <c r="B18" t="s">
        <v>50</v>
      </c>
      <c r="C18" s="7">
        <f>SUMIF('2023 YE Gross Plant Detail'!$G$6:$G$61,'Gas Closings Summary'!$B18,'2023 YE Gross Plant Detail'!$J$6:$J$61)</f>
        <v>21865008.785833333</v>
      </c>
      <c r="D18" s="7">
        <f>SUMIF('2023 YE Accum Depr Detail'!$G$6:$G$61,'Gas Closings Summary'!$B18,'2023 YE Accum Depr Detail'!$J$6:$J$61)</f>
        <v>950232.76538122701</v>
      </c>
      <c r="E18" s="7">
        <f>SUMIF('2023 YE Def Tax Detail'!$G$6:$G$61,'Gas Closings Summary'!$B18,'2023 YE Def Tax Detail'!$J$6:$J$61)</f>
        <v>1073249.3370517879</v>
      </c>
      <c r="G18" s="7">
        <f>SUMIF('2023 YE Depr Expense'!$G$6:$G$62,'Gas Closings Summary'!$B18,'2023 YE Depr Expense'!$J$6:$J$62)</f>
        <v>1025279.7349748376</v>
      </c>
      <c r="P18" s="2"/>
    </row>
    <row r="19" spans="1:16" x14ac:dyDescent="0.25">
      <c r="A19" s="26">
        <f t="shared" si="0"/>
        <v>16</v>
      </c>
      <c r="B19" t="s">
        <v>26</v>
      </c>
      <c r="C19" s="7">
        <f>SUMIF('2023 YE Gross Plant Detail'!$G$6:$G$61,'Gas Closings Summary'!$B19,'2023 YE Gross Plant Detail'!$J$6:$J$61)</f>
        <v>29741262.788316168</v>
      </c>
      <c r="D19" s="7">
        <f>SUMIF('2023 YE Accum Depr Detail'!$G$6:$G$61,'Gas Closings Summary'!$B19,'2023 YE Accum Depr Detail'!$J$6:$J$61)</f>
        <v>2742667.0232619201</v>
      </c>
      <c r="E19" s="7">
        <f>SUMIF('2023 YE Def Tax Detail'!$G$6:$G$61,'Gas Closings Summary'!$B19,'2023 YE Def Tax Detail'!$J$6:$J$61)</f>
        <v>1218647.5287606472</v>
      </c>
      <c r="G19" s="7">
        <f>SUMIF('2023 YE Depr Expense'!$G$6:$G$62,'Gas Closings Summary'!$B19,'2023 YE Depr Expense'!$J$6:$J$62)</f>
        <v>3001779.9752537399</v>
      </c>
      <c r="P19" s="2"/>
    </row>
    <row r="20" spans="1:16" x14ac:dyDescent="0.25">
      <c r="A20" s="26">
        <f t="shared" si="0"/>
        <v>17</v>
      </c>
      <c r="B20" t="s">
        <v>873</v>
      </c>
      <c r="C20" s="7">
        <f>SUMIF('2023 YE Gross Plant Detail'!$G$6:$G$61,'Gas Closings Summary'!$B20,'2023 YE Gross Plant Detail'!$J$6:$J$61)</f>
        <v>0</v>
      </c>
      <c r="D20" s="7">
        <f>SUMIF('2023 YE Accum Depr Detail'!$G$6:$G$61,'Gas Closings Summary'!$B20,'2023 YE Accum Depr Detail'!$J$6:$J$61)</f>
        <v>0</v>
      </c>
      <c r="E20" s="7">
        <f>SUMIF('2023 YE Def Tax Detail'!$G$6:$G$61,'Gas Closings Summary'!$B20,'2023 YE Def Tax Detail'!$J$6:$J$61)</f>
        <v>0</v>
      </c>
      <c r="G20" s="7">
        <f>SUMIF('2023 YE Depr Expense'!$G$6:$G$62,'Gas Closings Summary'!$B20,'2023 YE Depr Expense'!$J$6:$J$62)</f>
        <v>0</v>
      </c>
      <c r="P20" s="2"/>
    </row>
    <row r="21" spans="1:16" x14ac:dyDescent="0.25">
      <c r="A21" s="26">
        <f t="shared" si="0"/>
        <v>18</v>
      </c>
      <c r="B21" s="6" t="s">
        <v>30</v>
      </c>
      <c r="C21" s="12">
        <f>SUMIF('2023 YE Gross Plant Detail'!$G$6:$G$61,'Gas Closings Summary'!$B21,'2023 YE Gross Plant Detail'!$J$6:$J$61)</f>
        <v>598290.67754625005</v>
      </c>
      <c r="D21" s="12">
        <f>SUMIF('2023 YE Accum Depr Detail'!$G$6:$G$61,'Gas Closings Summary'!$B21,'2023 YE Accum Depr Detail'!$J$6:$J$61)</f>
        <v>103004.53743386005</v>
      </c>
      <c r="E21" s="12">
        <f>SUMIF('2023 YE Def Tax Detail'!$G$6:$G$61,'Gas Closings Summary'!$B21,'2023 YE Def Tax Detail'!$J$6:$J$61)</f>
        <v>49831.132554520023</v>
      </c>
      <c r="G21" s="12">
        <f>SUMIF('2023 YE Depr Expense'!$G$6:$G$62,'Gas Closings Summary'!$B21,'2023 YE Depr Expense'!$J$6:$J$62)</f>
        <v>124859.22467725546</v>
      </c>
      <c r="P21" s="2"/>
    </row>
    <row r="22" spans="1:16" x14ac:dyDescent="0.25">
      <c r="A22" s="26">
        <f t="shared" si="0"/>
        <v>19</v>
      </c>
      <c r="B22" s="77" t="s">
        <v>107</v>
      </c>
      <c r="C22" s="3">
        <f>SUM(C4:C21)</f>
        <v>365488717.4647029</v>
      </c>
      <c r="D22" s="3">
        <f>SUM(D4:D21)</f>
        <v>13494376.952434786</v>
      </c>
      <c r="E22" s="3">
        <f>SUM(E4:E21)</f>
        <v>15712042.045893751</v>
      </c>
      <c r="G22" s="3">
        <f>SUM(G4:G21)</f>
        <v>18207871.838364616</v>
      </c>
      <c r="P22" s="2"/>
    </row>
    <row r="23" spans="1:16" x14ac:dyDescent="0.25">
      <c r="G23" s="3">
        <f>G22-'2023 YE Depr Expense'!J62</f>
        <v>0</v>
      </c>
      <c r="P23" s="2"/>
    </row>
    <row r="24" spans="1:16" x14ac:dyDescent="0.25">
      <c r="P24" s="2"/>
    </row>
    <row r="25" spans="1:16" x14ac:dyDescent="0.25">
      <c r="P25" s="2"/>
    </row>
    <row r="26" spans="1:16" x14ac:dyDescent="0.25">
      <c r="P26" s="2"/>
    </row>
    <row r="27" spans="1:16" x14ac:dyDescent="0.25">
      <c r="P27" s="2"/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zoomScale="90" zoomScaleNormal="90" workbookViewId="0">
      <selection activeCell="O8" sqref="O8"/>
    </sheetView>
  </sheetViews>
  <sheetFormatPr defaultColWidth="8.85546875" defaultRowHeight="15" x14ac:dyDescent="0.25"/>
  <cols>
    <col min="1" max="1" width="8.85546875" style="15"/>
    <col min="2" max="2" width="39.85546875" style="15" bestFit="1" customWidth="1"/>
    <col min="3" max="3" width="20.42578125" style="15" bestFit="1" customWidth="1"/>
    <col min="4" max="4" width="17.28515625" style="15" bestFit="1" customWidth="1"/>
    <col min="5" max="5" width="16.140625" style="15" bestFit="1" customWidth="1"/>
    <col min="6" max="6" width="5.140625" style="15" customWidth="1"/>
    <col min="7" max="7" width="39.85546875" style="15" bestFit="1" customWidth="1"/>
    <col min="8" max="8" width="20.42578125" style="15" bestFit="1" customWidth="1"/>
    <col min="9" max="9" width="17.28515625" style="15" bestFit="1" customWidth="1"/>
    <col min="10" max="10" width="15.7109375" style="15" bestFit="1" customWidth="1"/>
    <col min="11" max="11" width="7.85546875" style="15" bestFit="1" customWidth="1"/>
    <col min="12" max="12" width="17.7109375" style="15" bestFit="1" customWidth="1"/>
    <col min="13" max="14" width="11.5703125" style="15" customWidth="1"/>
    <col min="15" max="15" width="18.85546875" style="15" bestFit="1" customWidth="1"/>
    <col min="16" max="16384" width="8.85546875" style="15"/>
  </cols>
  <sheetData>
    <row r="2" spans="1:15" ht="18.75" x14ac:dyDescent="0.3">
      <c r="B2" s="65" t="s">
        <v>103</v>
      </c>
      <c r="C2" s="62"/>
      <c r="D2" s="16"/>
      <c r="E2" s="16"/>
      <c r="F2" s="63"/>
      <c r="G2" s="65" t="s">
        <v>104</v>
      </c>
      <c r="H2" s="62"/>
      <c r="I2" s="16"/>
      <c r="J2" s="16"/>
    </row>
    <row r="3" spans="1:15" ht="18.75" x14ac:dyDescent="0.3">
      <c r="B3" s="65"/>
      <c r="C3" s="62"/>
      <c r="D3" s="16"/>
      <c r="E3" s="16"/>
      <c r="F3" s="63"/>
      <c r="G3" s="65"/>
      <c r="H3" s="62"/>
      <c r="I3" s="16"/>
      <c r="J3" s="16"/>
    </row>
    <row r="4" spans="1:15" x14ac:dyDescent="0.25">
      <c r="C4" s="61" t="s">
        <v>102</v>
      </c>
      <c r="D4" s="16" t="s">
        <v>1146</v>
      </c>
      <c r="E4" s="17"/>
      <c r="F4" s="63"/>
      <c r="H4" s="61" t="s">
        <v>102</v>
      </c>
      <c r="I4" s="16" t="s">
        <v>1146</v>
      </c>
      <c r="J4" s="17"/>
    </row>
    <row r="5" spans="1:15" x14ac:dyDescent="0.25">
      <c r="A5" s="61" t="s">
        <v>52</v>
      </c>
      <c r="C5" s="18" t="s">
        <v>1212</v>
      </c>
      <c r="D5" s="18" t="s">
        <v>1212</v>
      </c>
      <c r="E5" s="18" t="s">
        <v>106</v>
      </c>
      <c r="F5" s="63"/>
      <c r="H5" s="18" t="s">
        <v>1212</v>
      </c>
      <c r="I5" s="18" t="s">
        <v>1212</v>
      </c>
      <c r="J5" s="18" t="s">
        <v>106</v>
      </c>
    </row>
    <row r="6" spans="1:15" x14ac:dyDescent="0.25">
      <c r="A6" s="19" t="s">
        <v>54</v>
      </c>
      <c r="B6" s="75"/>
      <c r="C6" s="19" t="s">
        <v>1210</v>
      </c>
      <c r="D6" s="19" t="s">
        <v>1211</v>
      </c>
      <c r="E6" s="19" t="s">
        <v>105</v>
      </c>
      <c r="F6" s="76"/>
      <c r="G6" s="75"/>
      <c r="H6" s="19" t="s">
        <v>1210</v>
      </c>
      <c r="I6" s="19" t="s">
        <v>1211</v>
      </c>
      <c r="J6" s="19" t="s">
        <v>105</v>
      </c>
      <c r="L6" s="20"/>
    </row>
    <row r="7" spans="1:15" x14ac:dyDescent="0.25">
      <c r="A7" s="26">
        <v>1</v>
      </c>
      <c r="B7" s="52" t="s">
        <v>95</v>
      </c>
      <c r="C7" s="18"/>
      <c r="D7" s="18"/>
      <c r="E7" s="18"/>
      <c r="F7" s="63"/>
      <c r="G7" s="52" t="s">
        <v>95</v>
      </c>
      <c r="H7" s="18"/>
      <c r="I7" s="18"/>
      <c r="J7" s="18"/>
      <c r="L7" s="20"/>
    </row>
    <row r="8" spans="1:15" x14ac:dyDescent="0.25">
      <c r="A8" s="26">
        <f>A7+1</f>
        <v>2</v>
      </c>
      <c r="B8" s="15" t="s">
        <v>55</v>
      </c>
      <c r="C8" s="173">
        <f>'2022 GRC SEF-23 Adds'!I96</f>
        <v>728952322.59723783</v>
      </c>
      <c r="D8" s="173">
        <f>'Electric Closings Summary'!C31</f>
        <v>796097147.51363051</v>
      </c>
      <c r="E8" s="173">
        <f t="shared" ref="E8:E13" si="0">(D8-C8)*C$32/C$34</f>
        <v>6390027.9309816724</v>
      </c>
      <c r="F8" s="63"/>
      <c r="G8" s="15" t="s">
        <v>55</v>
      </c>
      <c r="H8" s="173">
        <f>'2022 GRC SEF-24 Adds'!I96</f>
        <v>358874908.13276201</v>
      </c>
      <c r="I8" s="173">
        <f>'Gas Closings Summary'!C22</f>
        <v>365488717.4647029</v>
      </c>
      <c r="J8" s="173">
        <f t="shared" ref="J8:J13" si="1">(I8-H8)*H$32/H$34</f>
        <v>627382.24799247435</v>
      </c>
      <c r="L8" s="369">
        <f>I8+D8</f>
        <v>1161585864.9783335</v>
      </c>
      <c r="M8" s="370" t="s">
        <v>1564</v>
      </c>
      <c r="N8" s="370"/>
      <c r="O8" s="371">
        <f>'Reconcile 2023 Actual GP&amp;Adds'!B747</f>
        <v>1161585864.978333</v>
      </c>
    </row>
    <row r="9" spans="1:15" x14ac:dyDescent="0.25">
      <c r="A9" s="26">
        <f t="shared" ref="A9:A34" si="2">A8+1</f>
        <v>3</v>
      </c>
      <c r="B9" s="15" t="s">
        <v>56</v>
      </c>
      <c r="C9" s="21">
        <f>'2022 GRC SEF-23 Adds'!I97</f>
        <v>-27237621.228534006</v>
      </c>
      <c r="D9" s="21">
        <f>-'Electric Closings Summary'!D31</f>
        <v>-32353171.102767028</v>
      </c>
      <c r="E9" s="21">
        <f t="shared" si="0"/>
        <v>-486835.83015343075</v>
      </c>
      <c r="F9" s="63"/>
      <c r="G9" s="15" t="s">
        <v>56</v>
      </c>
      <c r="H9" s="21">
        <f>'2022 GRC SEF-24 Adds'!I97</f>
        <v>-13228601.641466003</v>
      </c>
      <c r="I9" s="21">
        <f>-'Gas Closings Summary'!D22</f>
        <v>-13494376.952434786</v>
      </c>
      <c r="J9" s="21">
        <f t="shared" si="1"/>
        <v>-25211.297103958317</v>
      </c>
    </row>
    <row r="10" spans="1:15" x14ac:dyDescent="0.25">
      <c r="A10" s="26">
        <f t="shared" si="2"/>
        <v>4</v>
      </c>
      <c r="B10" s="15" t="s">
        <v>57</v>
      </c>
      <c r="C10" s="22">
        <f>'2022 GRC SEF-23 Adds'!I98</f>
        <v>-12669342.306336001</v>
      </c>
      <c r="D10" s="22">
        <f>-'Electric Closings Summary'!E31</f>
        <v>-17872129.362987526</v>
      </c>
      <c r="E10" s="21">
        <f t="shared" si="0"/>
        <v>-495138.00434136699</v>
      </c>
      <c r="F10" s="63"/>
      <c r="G10" s="15" t="s">
        <v>57</v>
      </c>
      <c r="H10" s="22">
        <f>'2022 GRC SEF-24 Adds'!I98</f>
        <v>-5569572.8036639998</v>
      </c>
      <c r="I10" s="22">
        <f>-'Gas Closings Summary'!E22</f>
        <v>-15712042.045893751</v>
      </c>
      <c r="J10" s="21">
        <f t="shared" si="1"/>
        <v>-962108.95023145201</v>
      </c>
    </row>
    <row r="11" spans="1:15" x14ac:dyDescent="0.25">
      <c r="A11" s="26">
        <f t="shared" si="2"/>
        <v>5</v>
      </c>
      <c r="B11" s="15" t="s">
        <v>58</v>
      </c>
      <c r="C11" s="22">
        <v>0</v>
      </c>
      <c r="D11" s="22">
        <v>0</v>
      </c>
      <c r="E11" s="21">
        <f t="shared" si="0"/>
        <v>0</v>
      </c>
      <c r="F11" s="63"/>
      <c r="G11" s="15" t="s">
        <v>58</v>
      </c>
      <c r="H11" s="22">
        <v>0</v>
      </c>
      <c r="I11" s="22">
        <v>0</v>
      </c>
      <c r="J11" s="21">
        <f t="shared" si="1"/>
        <v>0</v>
      </c>
    </row>
    <row r="12" spans="1:15" x14ac:dyDescent="0.25">
      <c r="A12" s="26">
        <f t="shared" si="2"/>
        <v>6</v>
      </c>
      <c r="B12" s="15" t="s">
        <v>59</v>
      </c>
      <c r="C12" s="22">
        <f>'2022 GRC SEF-23 Retires'!J32</f>
        <v>7224733.0119979996</v>
      </c>
      <c r="D12" s="23">
        <f>'2023 Retirement Depr Adj'!F13</f>
        <v>5152670.594475029</v>
      </c>
      <c r="E12" s="21">
        <f t="shared" si="0"/>
        <v>-197193.7038959596</v>
      </c>
      <c r="F12" s="63"/>
      <c r="G12" s="15" t="s">
        <v>59</v>
      </c>
      <c r="H12" s="22">
        <f>'2022 GRC SEF-24 Retires'!J32</f>
        <v>1640749.1780020001</v>
      </c>
      <c r="I12" s="23">
        <f>'2023 Retirement Depr Adj'!F23</f>
        <v>1738668.6731881651</v>
      </c>
      <c r="J12" s="21">
        <f t="shared" si="1"/>
        <v>9288.5884562015835</v>
      </c>
    </row>
    <row r="13" spans="1:15" x14ac:dyDescent="0.25">
      <c r="A13" s="26">
        <f t="shared" si="2"/>
        <v>7</v>
      </c>
      <c r="B13" s="15" t="s">
        <v>60</v>
      </c>
      <c r="C13" s="22">
        <f>'2022 GRC SEF-23 Retires'!J33+'2022 GRC SEF-23 Retires'!J34</f>
        <v>-14233687.99806273</v>
      </c>
      <c r="D13" s="23">
        <f>'2023 Retirement Depr Adj'!F15+'2023 Retirement Depr Adj'!F16</f>
        <v>-19043982.511188123</v>
      </c>
      <c r="E13" s="21">
        <f t="shared" si="0"/>
        <v>-457785.33689518669</v>
      </c>
      <c r="F13" s="63"/>
      <c r="G13" s="15" t="s">
        <v>60</v>
      </c>
      <c r="H13" s="22">
        <f>'2022 GRC SEF-24 Retires'!J33+'2022 GRC SEF-24 Retires'!J34-'2022 GRC SEF-24 Retires'!J34</f>
        <v>-7224079.5246852636</v>
      </c>
      <c r="I13" s="23">
        <f>'2023 Retirement Depr Adj'!F25+'2023 Retirement Depr Adj'!F26</f>
        <v>-10641099.779641626</v>
      </c>
      <c r="J13" s="21">
        <f t="shared" si="1"/>
        <v>-324136.62707770069</v>
      </c>
      <c r="K13"/>
      <c r="L13"/>
    </row>
    <row r="14" spans="1:15" ht="15.75" thickBot="1" x14ac:dyDescent="0.3">
      <c r="A14" s="26">
        <f t="shared" si="2"/>
        <v>8</v>
      </c>
      <c r="B14" s="53" t="s">
        <v>96</v>
      </c>
      <c r="C14" s="54">
        <f>SUM(C8:C13)</f>
        <v>682036404.07630312</v>
      </c>
      <c r="D14" s="54">
        <f>SUM(D8:D13)</f>
        <v>731980535.13116288</v>
      </c>
      <c r="E14" s="54">
        <f>SUM(E8:E13)</f>
        <v>4753075.0556957284</v>
      </c>
      <c r="F14" s="172">
        <f>(D14-C14)*$C$32/$C$34-E14</f>
        <v>0</v>
      </c>
      <c r="G14" s="53" t="s">
        <v>96</v>
      </c>
      <c r="H14" s="54">
        <f>SUM(H8:H13)</f>
        <v>334493403.3409487</v>
      </c>
      <c r="I14" s="54">
        <f>SUM(I8:I13)</f>
        <v>327379867.35992092</v>
      </c>
      <c r="J14" s="54">
        <f>SUM(J8:J13)</f>
        <v>-674786.03796443506</v>
      </c>
      <c r="K14" s="175">
        <f>(I14-H14)*$H$32/$H$34-J14</f>
        <v>5.8207660913467407E-9</v>
      </c>
    </row>
    <row r="15" spans="1:15" x14ac:dyDescent="0.25">
      <c r="A15" s="26">
        <f t="shared" si="2"/>
        <v>9</v>
      </c>
      <c r="B15" s="56"/>
      <c r="C15" s="57"/>
      <c r="D15" s="57"/>
      <c r="E15" s="55"/>
      <c r="F15" s="64"/>
      <c r="G15" s="56"/>
      <c r="H15" s="57"/>
      <c r="I15" s="57"/>
      <c r="J15" s="55"/>
      <c r="K15" s="56"/>
    </row>
    <row r="16" spans="1:15" x14ac:dyDescent="0.25">
      <c r="A16" s="26">
        <f t="shared" si="2"/>
        <v>10</v>
      </c>
      <c r="B16" s="52" t="s">
        <v>97</v>
      </c>
      <c r="E16" s="25"/>
      <c r="F16" s="63"/>
      <c r="G16" s="52" t="s">
        <v>97</v>
      </c>
      <c r="J16" s="25"/>
      <c r="K16" s="176"/>
    </row>
    <row r="17" spans="1:14" x14ac:dyDescent="0.25">
      <c r="A17" s="26">
        <f t="shared" si="2"/>
        <v>11</v>
      </c>
      <c r="B17" s="15" t="s">
        <v>61</v>
      </c>
      <c r="C17" s="21">
        <f>-'2022 GRC SEF-23 Adds'!I88</f>
        <v>-39430019.821441993</v>
      </c>
      <c r="D17" s="21">
        <f>-'Electric Closings Summary'!G31</f>
        <v>-44847101.151235349</v>
      </c>
      <c r="E17" s="24">
        <f>(D17-C17)/C$34</f>
        <v>-7200166.5833195187</v>
      </c>
      <c r="F17" s="63"/>
      <c r="G17" s="15" t="s">
        <v>61</v>
      </c>
      <c r="H17" s="21">
        <f>-'2022 GRC SEF-24 Adds'!I88</f>
        <v>-17881280.898557998</v>
      </c>
      <c r="I17" s="21">
        <f>-'Gas Closings Summary'!G22</f>
        <v>-18207871.838364616</v>
      </c>
      <c r="J17" s="24">
        <f>(I17-H17)/H$34</f>
        <v>-432684.82660544669</v>
      </c>
      <c r="K17" s="176"/>
    </row>
    <row r="18" spans="1:14" x14ac:dyDescent="0.25">
      <c r="A18" s="26">
        <f t="shared" si="2"/>
        <v>12</v>
      </c>
      <c r="B18" s="15" t="s">
        <v>62</v>
      </c>
      <c r="C18" s="22">
        <f>-'2022 GRC SEF-23 Adds'!I92</f>
        <v>8280304.1625028178</v>
      </c>
      <c r="D18" s="22">
        <f>D17*-C33</f>
        <v>9417891.2417594232</v>
      </c>
      <c r="E18" s="24">
        <f>(D18-C18)/C$34</f>
        <v>1512034.9824970996</v>
      </c>
      <c r="F18" s="63"/>
      <c r="G18" s="15" t="s">
        <v>62</v>
      </c>
      <c r="H18" s="22">
        <f>-'2022 GRC SEF-24 Adds'!I92</f>
        <v>3755068.9886971796</v>
      </c>
      <c r="I18" s="22">
        <f>I17*-H33</f>
        <v>3823653.0860565691</v>
      </c>
      <c r="J18" s="24">
        <f>(I18-H18)/H$34</f>
        <v>90863.813587143537</v>
      </c>
      <c r="K18" s="176"/>
    </row>
    <row r="19" spans="1:14" x14ac:dyDescent="0.25">
      <c r="A19" s="26">
        <f t="shared" si="2"/>
        <v>13</v>
      </c>
      <c r="B19" s="15" t="s">
        <v>63</v>
      </c>
      <c r="C19" s="22">
        <f>-'2022 GRC SEF-23 Retires'!J20</f>
        <v>9407514.2826580107</v>
      </c>
      <c r="D19" s="23">
        <f>-'2023 Retirement Depr Adj'!C13</f>
        <v>5152670.594475029</v>
      </c>
      <c r="E19" s="24">
        <f>(D19-C19)/C$34</f>
        <v>-5655367.0649932306</v>
      </c>
      <c r="F19" s="63"/>
      <c r="G19" s="15" t="s">
        <v>63</v>
      </c>
      <c r="H19" s="22">
        <f>-'2022 GRC SEF-24 Retires'!J16</f>
        <v>2056035.8973419995</v>
      </c>
      <c r="I19" s="23">
        <f>'2023 Retirement Depr Adj'!F23</f>
        <v>1738668.6731881651</v>
      </c>
      <c r="J19" s="24">
        <f>(I19-H19)/H$34</f>
        <v>-420464.76376400451</v>
      </c>
      <c r="K19" s="176"/>
    </row>
    <row r="20" spans="1:14" x14ac:dyDescent="0.25">
      <c r="A20" s="26">
        <f t="shared" si="2"/>
        <v>14</v>
      </c>
      <c r="B20" s="15" t="s">
        <v>64</v>
      </c>
      <c r="C20" s="22">
        <f>-'2022 GRC SEF-23 Retires'!J27</f>
        <v>-2074592.5999582589</v>
      </c>
      <c r="D20" s="23">
        <f>SUM('2023 Retirement Depr Adj'!C15:C17)</f>
        <v>2210870.6328982385</v>
      </c>
      <c r="E20" s="24">
        <f>(D20-C20)/C$34</f>
        <v>5696065.331999518</v>
      </c>
      <c r="F20" s="63"/>
      <c r="G20" s="15" t="s">
        <v>64</v>
      </c>
      <c r="H20" s="22">
        <f>-'2022 GRC SEF-24 Retires'!J27</f>
        <v>-109876.9497417392</v>
      </c>
      <c r="I20" s="23">
        <f>SUM('2023 Retirement Depr Adj'!C25:C27)</f>
        <v>313739.15431103786</v>
      </c>
      <c r="J20" s="24">
        <f>(I20-H20)/H$34</f>
        <v>561228.85906719393</v>
      </c>
      <c r="K20" s="176"/>
    </row>
    <row r="21" spans="1:14" x14ac:dyDescent="0.25">
      <c r="A21" s="26">
        <f t="shared" si="2"/>
        <v>15</v>
      </c>
      <c r="B21" s="58" t="s">
        <v>99</v>
      </c>
      <c r="C21" s="59">
        <f>SUM(C17:C20)</f>
        <v>-23816793.976239424</v>
      </c>
      <c r="D21" s="59">
        <f>SUM(D17:D20)</f>
        <v>-28065668.682102654</v>
      </c>
      <c r="E21" s="59">
        <f>SUM(E17:E20)</f>
        <v>-5647433.3338161316</v>
      </c>
      <c r="F21" s="63"/>
      <c r="G21" s="58" t="s">
        <v>99</v>
      </c>
      <c r="H21" s="59">
        <f>SUM(H17:H20)</f>
        <v>-12180052.962260559</v>
      </c>
      <c r="I21" s="59">
        <f>SUM(I17:I20)</f>
        <v>-12331810.924808843</v>
      </c>
      <c r="J21" s="59">
        <f>SUM(J17:J20)</f>
        <v>-201056.91771511373</v>
      </c>
      <c r="K21" s="176"/>
    </row>
    <row r="22" spans="1:14" x14ac:dyDescent="0.25">
      <c r="A22" s="26">
        <f t="shared" si="2"/>
        <v>16</v>
      </c>
      <c r="F22" s="63"/>
      <c r="K22" s="176"/>
    </row>
    <row r="23" spans="1:14" x14ac:dyDescent="0.25">
      <c r="A23" s="26">
        <f t="shared" si="2"/>
        <v>17</v>
      </c>
      <c r="B23" s="15" t="s">
        <v>100</v>
      </c>
      <c r="C23" s="22">
        <f>C14*C31*C33</f>
        <v>3652304.9438286028</v>
      </c>
      <c r="D23" s="22">
        <f>D14*C31*C33</f>
        <v>3919755.7656273772</v>
      </c>
      <c r="E23" s="24">
        <f>(D23-C23)/C$34</f>
        <v>355484.87322975777</v>
      </c>
      <c r="F23" s="63"/>
      <c r="G23" s="15" t="s">
        <v>100</v>
      </c>
      <c r="H23" s="22">
        <f>H14*H31*H33</f>
        <v>1791212.1748907804</v>
      </c>
      <c r="I23" s="22">
        <f>I14*H31*H33</f>
        <v>1753119.1897123763</v>
      </c>
      <c r="J23" s="24">
        <f>(I23-H23)/H$34</f>
        <v>-50467.587057256176</v>
      </c>
      <c r="K23" s="176"/>
    </row>
    <row r="24" spans="1:14" ht="15.75" thickBot="1" x14ac:dyDescent="0.3">
      <c r="A24" s="26">
        <f t="shared" si="2"/>
        <v>18</v>
      </c>
      <c r="B24" s="53" t="s">
        <v>98</v>
      </c>
      <c r="C24" s="54">
        <f>C21+C23</f>
        <v>-20164489.032410823</v>
      </c>
      <c r="D24" s="54">
        <f>D21+D23</f>
        <v>-24145912.916475277</v>
      </c>
      <c r="E24" s="54">
        <f>E21+E23</f>
        <v>-5291948.4605863737</v>
      </c>
      <c r="F24" s="63"/>
      <c r="G24" s="53" t="s">
        <v>98</v>
      </c>
      <c r="H24" s="54">
        <f>H21+H23</f>
        <v>-10388840.787369778</v>
      </c>
      <c r="I24" s="54">
        <f>I21+I23</f>
        <v>-10578691.735096466</v>
      </c>
      <c r="J24" s="54">
        <f>J21+J23</f>
        <v>-251524.5047723699</v>
      </c>
      <c r="K24" s="176"/>
    </row>
    <row r="25" spans="1:14" x14ac:dyDescent="0.25">
      <c r="A25" s="26">
        <f t="shared" si="2"/>
        <v>19</v>
      </c>
      <c r="C25" s="21"/>
      <c r="D25" s="21"/>
      <c r="E25" s="21"/>
      <c r="F25" s="63"/>
      <c r="H25" s="21"/>
      <c r="I25" s="21"/>
      <c r="J25" s="21"/>
      <c r="K25" s="176"/>
    </row>
    <row r="26" spans="1:14" x14ac:dyDescent="0.25">
      <c r="A26" s="26">
        <f t="shared" si="2"/>
        <v>20</v>
      </c>
      <c r="B26" s="15" t="s">
        <v>101</v>
      </c>
      <c r="C26" s="22">
        <f>C14*C32</f>
        <v>48833806.531863302</v>
      </c>
      <c r="D26" s="22">
        <f>D14*C32</f>
        <v>52409806.315391257</v>
      </c>
      <c r="E26" s="22"/>
      <c r="F26" s="172">
        <f>(D26-C26)/C34-E14</f>
        <v>0</v>
      </c>
      <c r="G26" s="15" t="s">
        <v>101</v>
      </c>
      <c r="H26" s="22">
        <f>H14*H32</f>
        <v>23949727.679211926</v>
      </c>
      <c r="I26" s="22">
        <f>I14*H32</f>
        <v>23440398.502970338</v>
      </c>
      <c r="J26" s="22"/>
      <c r="K26" s="175">
        <f>(I26-H26)/H34-J14</f>
        <v>7.5669959187507629E-9</v>
      </c>
    </row>
    <row r="27" spans="1:14" ht="15.75" thickBot="1" x14ac:dyDescent="0.3">
      <c r="A27" s="26">
        <f t="shared" si="2"/>
        <v>21</v>
      </c>
      <c r="B27" s="53" t="s">
        <v>65</v>
      </c>
      <c r="C27" s="54">
        <f>C26-C24</f>
        <v>68998295.564274132</v>
      </c>
      <c r="D27" s="54">
        <f>D26-D24</f>
        <v>76555719.231866539</v>
      </c>
      <c r="E27" s="22"/>
      <c r="F27" s="172">
        <f>E27/C34</f>
        <v>0</v>
      </c>
      <c r="G27" s="53" t="s">
        <v>65</v>
      </c>
      <c r="H27" s="54">
        <f>H26-H24</f>
        <v>34338568.466581702</v>
      </c>
      <c r="I27" s="54">
        <f>I26-I24</f>
        <v>34019090.238066807</v>
      </c>
      <c r="J27" s="22"/>
      <c r="K27" s="175">
        <f>J27/H34</f>
        <v>0</v>
      </c>
    </row>
    <row r="28" spans="1:14" x14ac:dyDescent="0.25">
      <c r="A28" s="26">
        <f t="shared" si="2"/>
        <v>22</v>
      </c>
      <c r="C28" s="21"/>
      <c r="D28" s="21"/>
      <c r="E28" s="21"/>
      <c r="F28" s="63"/>
      <c r="H28" s="21"/>
      <c r="I28" s="21"/>
      <c r="J28" s="21"/>
      <c r="K28" s="176"/>
      <c r="M28"/>
      <c r="N28"/>
    </row>
    <row r="29" spans="1:14" ht="15.75" thickBot="1" x14ac:dyDescent="0.3">
      <c r="A29" s="26">
        <f t="shared" si="2"/>
        <v>23</v>
      </c>
      <c r="B29" s="60" t="s">
        <v>66</v>
      </c>
      <c r="C29" s="174">
        <f>C27/C34</f>
        <v>91709758.776474044</v>
      </c>
      <c r="D29" s="174">
        <f>D27/C34</f>
        <v>101754782.29275613</v>
      </c>
      <c r="E29" s="174">
        <f>E14-E24</f>
        <v>10045023.516282102</v>
      </c>
      <c r="F29" s="172">
        <f>(D29-C29)-E29</f>
        <v>-2.0489096641540527E-8</v>
      </c>
      <c r="G29" s="60" t="s">
        <v>66</v>
      </c>
      <c r="H29" s="174">
        <f>H27/H34</f>
        <v>45493538.650030538</v>
      </c>
      <c r="I29" s="174">
        <f>I27/H34</f>
        <v>45070277.116838485</v>
      </c>
      <c r="J29" s="174">
        <f>J14-J24</f>
        <v>-423261.5331920652</v>
      </c>
      <c r="K29" s="175">
        <f>(I29-H29)-J29</f>
        <v>1.1757947504520416E-8</v>
      </c>
      <c r="M29"/>
      <c r="N29"/>
    </row>
    <row r="30" spans="1:14" ht="15.75" thickTop="1" x14ac:dyDescent="0.25">
      <c r="A30" s="26">
        <f t="shared" si="2"/>
        <v>24</v>
      </c>
      <c r="E30" s="314"/>
      <c r="F30" s="63"/>
    </row>
    <row r="31" spans="1:14" x14ac:dyDescent="0.25">
      <c r="A31" s="26">
        <f t="shared" si="2"/>
        <v>25</v>
      </c>
      <c r="B31" s="15" t="s">
        <v>67</v>
      </c>
      <c r="C31" s="27">
        <f>'SEF-23'!D9</f>
        <v>2.5499999999999998E-2</v>
      </c>
      <c r="E31" s="210"/>
      <c r="F31" s="63"/>
      <c r="G31" s="15" t="s">
        <v>67</v>
      </c>
      <c r="H31" s="27">
        <f>'SEF-24'!D9</f>
        <v>2.5499999999999998E-2</v>
      </c>
      <c r="J31" s="210"/>
      <c r="K31" s="210"/>
    </row>
    <row r="32" spans="1:14" x14ac:dyDescent="0.25">
      <c r="A32" s="26">
        <f t="shared" si="2"/>
        <v>26</v>
      </c>
      <c r="B32" s="15" t="s">
        <v>68</v>
      </c>
      <c r="C32" s="27">
        <f>'SEF-23'!D10</f>
        <v>7.1599999999999997E-2</v>
      </c>
      <c r="F32" s="63"/>
      <c r="G32" s="15" t="s">
        <v>68</v>
      </c>
      <c r="H32" s="27">
        <f>'SEF-24'!D10</f>
        <v>7.1599999999999997E-2</v>
      </c>
    </row>
    <row r="33" spans="1:8" x14ac:dyDescent="0.25">
      <c r="A33" s="26">
        <f t="shared" si="2"/>
        <v>27</v>
      </c>
      <c r="B33" s="15" t="s">
        <v>69</v>
      </c>
      <c r="C33" s="27">
        <f>'SEF-23'!C11</f>
        <v>0.21</v>
      </c>
      <c r="F33" s="63"/>
      <c r="G33" s="15" t="s">
        <v>69</v>
      </c>
      <c r="H33" s="27">
        <f>'SEF-24'!C11</f>
        <v>0.21</v>
      </c>
    </row>
    <row r="34" spans="1:8" x14ac:dyDescent="0.25">
      <c r="A34" s="26">
        <f t="shared" si="2"/>
        <v>28</v>
      </c>
      <c r="B34" s="15" t="s">
        <v>70</v>
      </c>
      <c r="C34" s="80">
        <f>'SEF-23'!C12</f>
        <v>0.752355</v>
      </c>
      <c r="F34" s="63"/>
      <c r="G34" s="15" t="s">
        <v>70</v>
      </c>
      <c r="H34" s="80">
        <f>'SEF-24'!C12</f>
        <v>0.75480100000000006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xSplit="2" ySplit="10" topLeftCell="C80" activePane="bottomRight" state="frozen"/>
      <selection pane="topRight" activeCell="C1" sqref="C1"/>
      <selection pane="bottomLeft" activeCell="A11" sqref="A11"/>
      <selection pane="bottomRight" activeCell="I96" sqref="I96"/>
    </sheetView>
  </sheetViews>
  <sheetFormatPr defaultRowHeight="15" x14ac:dyDescent="0.25"/>
  <cols>
    <col min="1" max="1" width="4.7109375" bestFit="1" customWidth="1"/>
    <col min="2" max="2" width="45.28515625" bestFit="1" customWidth="1"/>
    <col min="3" max="3" width="4.42578125" bestFit="1" customWidth="1"/>
    <col min="4" max="4" width="13.28515625" bestFit="1" customWidth="1"/>
    <col min="5" max="5" width="11.7109375" bestFit="1" customWidth="1"/>
    <col min="6" max="7" width="15.7109375" bestFit="1" customWidth="1"/>
    <col min="8" max="8" width="15.85546875" bestFit="1" customWidth="1"/>
    <col min="9" max="10" width="15.7109375" bestFit="1" customWidth="1"/>
    <col min="11" max="11" width="19.28515625" bestFit="1" customWidth="1"/>
  </cols>
  <sheetData>
    <row r="1" spans="1:11" x14ac:dyDescent="0.25">
      <c r="A1" s="317"/>
      <c r="B1" s="318" t="s">
        <v>128</v>
      </c>
      <c r="C1" s="318"/>
      <c r="D1" s="318"/>
      <c r="E1" s="318"/>
      <c r="F1" s="319"/>
      <c r="J1" t="s">
        <v>1198</v>
      </c>
      <c r="K1" s="320"/>
    </row>
    <row r="2" spans="1:11" ht="15.75" thickBot="1" x14ac:dyDescent="0.3">
      <c r="A2" s="317"/>
      <c r="B2" s="318" t="s">
        <v>130</v>
      </c>
      <c r="C2" s="318"/>
      <c r="D2" s="318"/>
      <c r="E2" s="318"/>
      <c r="F2" s="319"/>
      <c r="J2" t="s">
        <v>1199</v>
      </c>
      <c r="K2" s="321"/>
    </row>
    <row r="3" spans="1:11" x14ac:dyDescent="0.25">
      <c r="A3" s="317"/>
      <c r="B3" s="318" t="s">
        <v>131</v>
      </c>
      <c r="C3" s="318"/>
      <c r="D3" s="318"/>
      <c r="E3" s="318"/>
      <c r="F3" s="319"/>
      <c r="G3" s="322"/>
    </row>
    <row r="4" spans="1:11" x14ac:dyDescent="0.25">
      <c r="A4" s="317"/>
      <c r="B4" s="323" t="s">
        <v>1151</v>
      </c>
      <c r="C4" s="318"/>
      <c r="D4" s="318"/>
      <c r="E4" s="318"/>
      <c r="F4" s="319"/>
      <c r="G4" s="318"/>
    </row>
    <row r="5" spans="1:11" x14ac:dyDescent="0.25">
      <c r="A5" s="324"/>
      <c r="B5" s="325"/>
      <c r="C5" s="325"/>
      <c r="D5" s="326"/>
      <c r="E5" s="326" t="s">
        <v>1153</v>
      </c>
      <c r="F5" s="326"/>
      <c r="G5" s="326" t="s">
        <v>1153</v>
      </c>
      <c r="H5" s="326"/>
      <c r="I5" s="326" t="s">
        <v>1154</v>
      </c>
      <c r="J5" s="326"/>
      <c r="K5" s="326" t="s">
        <v>1154</v>
      </c>
    </row>
    <row r="6" spans="1:11" x14ac:dyDescent="0.25">
      <c r="A6" s="325"/>
      <c r="B6" s="325" t="s">
        <v>132</v>
      </c>
      <c r="C6" s="325"/>
      <c r="D6" s="326"/>
      <c r="E6" s="326"/>
      <c r="F6" s="326"/>
      <c r="G6" s="326"/>
      <c r="H6" s="326"/>
      <c r="I6" s="326"/>
      <c r="J6" s="326"/>
      <c r="K6" s="326"/>
    </row>
    <row r="7" spans="1:11" x14ac:dyDescent="0.25">
      <c r="A7" s="325"/>
      <c r="B7" s="325"/>
      <c r="C7" s="325"/>
      <c r="D7" s="326"/>
      <c r="E7" s="326" t="s">
        <v>1155</v>
      </c>
      <c r="F7" s="326">
        <v>2022</v>
      </c>
      <c r="G7" s="326" t="s">
        <v>1156</v>
      </c>
      <c r="H7" s="326">
        <v>2023</v>
      </c>
      <c r="I7" s="326" t="s">
        <v>1156</v>
      </c>
      <c r="J7" s="326">
        <v>2024</v>
      </c>
      <c r="K7" s="326" t="s">
        <v>1156</v>
      </c>
    </row>
    <row r="8" spans="1:11" x14ac:dyDescent="0.25">
      <c r="A8" s="325"/>
      <c r="B8" s="325"/>
      <c r="C8" s="327"/>
      <c r="D8" s="328" t="s">
        <v>1157</v>
      </c>
      <c r="E8" s="326" t="s">
        <v>1156</v>
      </c>
      <c r="F8" s="326" t="s">
        <v>1158</v>
      </c>
      <c r="G8" s="326" t="s">
        <v>1159</v>
      </c>
      <c r="H8" s="326" t="s">
        <v>1160</v>
      </c>
      <c r="I8" s="326" t="s">
        <v>1159</v>
      </c>
      <c r="J8" s="326" t="s">
        <v>1161</v>
      </c>
      <c r="K8" s="326" t="s">
        <v>1159</v>
      </c>
    </row>
    <row r="9" spans="1:11" x14ac:dyDescent="0.25">
      <c r="A9" s="326" t="s">
        <v>133</v>
      </c>
      <c r="B9" s="5"/>
      <c r="C9" s="329"/>
      <c r="D9" s="329" t="s">
        <v>1162</v>
      </c>
      <c r="E9" s="326" t="s">
        <v>1163</v>
      </c>
      <c r="F9" s="326" t="s">
        <v>1164</v>
      </c>
      <c r="G9" s="326" t="s">
        <v>1165</v>
      </c>
      <c r="H9" s="326" t="s">
        <v>1164</v>
      </c>
      <c r="I9" s="326" t="s">
        <v>1166</v>
      </c>
      <c r="J9" s="326" t="s">
        <v>1164</v>
      </c>
      <c r="K9" s="326" t="s">
        <v>1166</v>
      </c>
    </row>
    <row r="10" spans="1:11" x14ac:dyDescent="0.25">
      <c r="A10" s="330" t="s">
        <v>1167</v>
      </c>
      <c r="B10" s="330" t="s">
        <v>1168</v>
      </c>
      <c r="C10" s="330"/>
      <c r="D10" s="330" t="s">
        <v>1169</v>
      </c>
      <c r="E10" s="330" t="s">
        <v>1170</v>
      </c>
      <c r="F10" s="330" t="s">
        <v>1169</v>
      </c>
      <c r="G10" s="330" t="s">
        <v>1160</v>
      </c>
      <c r="H10" s="330" t="s">
        <v>1169</v>
      </c>
      <c r="I10" s="330" t="s">
        <v>1160</v>
      </c>
      <c r="J10" s="330" t="s">
        <v>1169</v>
      </c>
      <c r="K10" s="330" t="s">
        <v>1161</v>
      </c>
    </row>
    <row r="11" spans="1:11" ht="18.75" x14ac:dyDescent="0.3">
      <c r="A11" s="326">
        <v>1</v>
      </c>
      <c r="B11" s="331" t="s">
        <v>1171</v>
      </c>
      <c r="C11" s="329" t="s">
        <v>1200</v>
      </c>
      <c r="D11" s="329"/>
      <c r="E11" s="325"/>
      <c r="F11" s="325"/>
      <c r="G11" s="325"/>
      <c r="H11" s="325"/>
      <c r="I11" s="325"/>
      <c r="J11" s="325"/>
      <c r="K11" s="325"/>
    </row>
    <row r="12" spans="1:11" x14ac:dyDescent="0.25">
      <c r="A12" s="326">
        <v>2</v>
      </c>
      <c r="B12" s="325" t="s">
        <v>1201</v>
      </c>
      <c r="C12" s="325"/>
      <c r="D12" s="332">
        <v>0</v>
      </c>
      <c r="E12" s="332">
        <v>0</v>
      </c>
      <c r="F12" s="332">
        <v>3273093.5500000003</v>
      </c>
      <c r="G12" s="332">
        <v>3273093.5500000003</v>
      </c>
      <c r="H12" s="333">
        <v>9840603.2199999969</v>
      </c>
      <c r="I12" s="333">
        <v>13113696.769999998</v>
      </c>
      <c r="J12" s="333">
        <v>18030677.910000019</v>
      </c>
      <c r="K12" s="333">
        <v>31144374.680000015</v>
      </c>
    </row>
    <row r="13" spans="1:11" x14ac:dyDescent="0.25">
      <c r="A13" s="326">
        <v>3</v>
      </c>
      <c r="B13" s="325" t="s">
        <v>1202</v>
      </c>
      <c r="C13" s="325"/>
      <c r="D13" s="332">
        <v>0</v>
      </c>
      <c r="E13" s="332">
        <v>0</v>
      </c>
      <c r="F13" s="332">
        <v>1623965.1964619998</v>
      </c>
      <c r="G13" s="332">
        <v>1623965.1964619998</v>
      </c>
      <c r="H13" s="333">
        <v>578426.5767839998</v>
      </c>
      <c r="I13" s="333">
        <v>2202391.7732459996</v>
      </c>
      <c r="J13" s="333">
        <v>2489754.1390260002</v>
      </c>
      <c r="K13" s="333">
        <v>4692145.9122719998</v>
      </c>
    </row>
    <row r="14" spans="1:11" x14ac:dyDescent="0.25">
      <c r="A14" s="326">
        <v>4</v>
      </c>
      <c r="B14" s="325" t="s">
        <v>1203</v>
      </c>
      <c r="C14" s="325"/>
      <c r="D14" s="332">
        <v>0</v>
      </c>
      <c r="E14" s="332">
        <v>0</v>
      </c>
      <c r="F14" s="332">
        <v>190269.56</v>
      </c>
      <c r="G14" s="332">
        <v>190269.56</v>
      </c>
      <c r="H14" s="333">
        <v>588293.76</v>
      </c>
      <c r="I14" s="333">
        <v>778563.32000000007</v>
      </c>
      <c r="J14" s="333">
        <v>2170084.3599999994</v>
      </c>
      <c r="K14" s="333">
        <v>2948647.6799999997</v>
      </c>
    </row>
    <row r="15" spans="1:11" x14ac:dyDescent="0.25">
      <c r="A15" s="326">
        <v>5</v>
      </c>
      <c r="B15" s="325" t="s">
        <v>1204</v>
      </c>
      <c r="C15" s="325"/>
      <c r="D15" s="334">
        <v>0</v>
      </c>
      <c r="E15" s="334">
        <v>0</v>
      </c>
      <c r="F15" s="334">
        <v>1796060.637504</v>
      </c>
      <c r="G15" s="334">
        <v>1796060.637504</v>
      </c>
      <c r="H15" s="335">
        <v>3837403.1659739995</v>
      </c>
      <c r="I15" s="335">
        <v>5633463.8034779998</v>
      </c>
      <c r="J15" s="335">
        <v>4340981.5388940005</v>
      </c>
      <c r="K15" s="335">
        <v>9974445.3423720002</v>
      </c>
    </row>
    <row r="16" spans="1:11" x14ac:dyDescent="0.25">
      <c r="A16" s="326">
        <v>6</v>
      </c>
      <c r="B16" s="325" t="s">
        <v>1176</v>
      </c>
      <c r="C16" s="325"/>
      <c r="D16" s="332">
        <v>0</v>
      </c>
      <c r="E16" s="332">
        <v>0</v>
      </c>
      <c r="F16" s="332">
        <v>6883388.9439660003</v>
      </c>
      <c r="G16" s="332">
        <v>6883388.9439660003</v>
      </c>
      <c r="H16" s="333">
        <v>14844726.722757995</v>
      </c>
      <c r="I16" s="333">
        <v>21728115.666723996</v>
      </c>
      <c r="J16" s="333">
        <v>27031497.947920021</v>
      </c>
      <c r="K16" s="333">
        <v>48759613.614644013</v>
      </c>
    </row>
    <row r="17" spans="1:11" x14ac:dyDescent="0.25">
      <c r="A17" s="326">
        <v>7</v>
      </c>
      <c r="B17" s="325"/>
      <c r="C17" s="325"/>
      <c r="D17" s="332"/>
      <c r="E17" s="332"/>
      <c r="F17" s="332"/>
      <c r="G17" s="332"/>
      <c r="H17" s="333"/>
      <c r="I17" s="333"/>
      <c r="J17" s="333"/>
      <c r="K17" s="333"/>
    </row>
    <row r="18" spans="1:11" x14ac:dyDescent="0.25">
      <c r="A18" s="326">
        <v>8</v>
      </c>
      <c r="B18" s="325" t="s">
        <v>1177</v>
      </c>
      <c r="C18" s="325"/>
      <c r="D18" s="332">
        <v>0</v>
      </c>
      <c r="E18" s="332">
        <v>0</v>
      </c>
      <c r="F18" s="332">
        <v>6883388.9439660003</v>
      </c>
      <c r="G18" s="332">
        <v>6883388.9439660003</v>
      </c>
      <c r="H18" s="333">
        <v>14844726.722757995</v>
      </c>
      <c r="I18" s="333">
        <v>21728115.666723996</v>
      </c>
      <c r="J18" s="333">
        <v>27031497.947920021</v>
      </c>
      <c r="K18" s="333">
        <v>48759613.614644013</v>
      </c>
    </row>
    <row r="19" spans="1:11" x14ac:dyDescent="0.25">
      <c r="A19" s="326">
        <v>9</v>
      </c>
      <c r="B19" s="325"/>
      <c r="C19" s="325"/>
      <c r="D19" s="332"/>
      <c r="E19" s="332"/>
      <c r="F19" s="332"/>
      <c r="G19" s="332"/>
      <c r="H19" s="333"/>
      <c r="I19" s="333"/>
      <c r="J19" s="333"/>
      <c r="K19" s="333"/>
    </row>
    <row r="20" spans="1:11" x14ac:dyDescent="0.25">
      <c r="A20" s="326">
        <v>10</v>
      </c>
      <c r="B20" s="325" t="s">
        <v>1178</v>
      </c>
      <c r="C20" s="336">
        <v>0.21</v>
      </c>
      <c r="D20" s="334">
        <v>0</v>
      </c>
      <c r="E20" s="334">
        <v>0</v>
      </c>
      <c r="F20" s="334">
        <v>-1445511.6782328601</v>
      </c>
      <c r="G20" s="334">
        <v>-1445511.6782328601</v>
      </c>
      <c r="H20" s="335">
        <v>-3117392.611779179</v>
      </c>
      <c r="I20" s="335">
        <v>-4562904.2900120392</v>
      </c>
      <c r="J20" s="335">
        <v>-5676614.5690632043</v>
      </c>
      <c r="K20" s="335">
        <v>-10239518.859075243</v>
      </c>
    </row>
    <row r="21" spans="1:11" x14ac:dyDescent="0.25">
      <c r="A21" s="326">
        <v>11</v>
      </c>
      <c r="B21" s="325"/>
      <c r="C21" s="325"/>
      <c r="D21" s="332"/>
      <c r="E21" s="332"/>
      <c r="F21" s="332"/>
      <c r="G21" s="332"/>
      <c r="H21" s="333"/>
      <c r="I21" s="333"/>
      <c r="J21" s="333"/>
      <c r="K21" s="333"/>
    </row>
    <row r="22" spans="1:11" ht="15.75" thickBot="1" x14ac:dyDescent="0.3">
      <c r="A22" s="326">
        <v>12</v>
      </c>
      <c r="B22" s="230" t="s">
        <v>1179</v>
      </c>
      <c r="C22" s="325"/>
      <c r="D22" s="337">
        <v>0</v>
      </c>
      <c r="E22" s="337">
        <v>0</v>
      </c>
      <c r="F22" s="337">
        <v>-5437877.2657331405</v>
      </c>
      <c r="G22" s="337">
        <v>-5437877.2657331405</v>
      </c>
      <c r="H22" s="338">
        <v>-11727334.110978816</v>
      </c>
      <c r="I22" s="338">
        <v>-17165211.376711957</v>
      </c>
      <c r="J22" s="338">
        <v>-21354883.378856815</v>
      </c>
      <c r="K22" s="338">
        <v>-38520094.755568773</v>
      </c>
    </row>
    <row r="23" spans="1:11" ht="15.75" thickTop="1" x14ac:dyDescent="0.25">
      <c r="A23" s="326">
        <v>13</v>
      </c>
      <c r="B23" s="325"/>
      <c r="C23" s="325"/>
      <c r="D23" s="332"/>
      <c r="E23" s="332"/>
      <c r="F23" s="332"/>
      <c r="G23" s="332"/>
      <c r="H23" s="333"/>
      <c r="I23" s="333"/>
      <c r="J23" s="333"/>
      <c r="K23" s="333"/>
    </row>
    <row r="24" spans="1:11" x14ac:dyDescent="0.25">
      <c r="A24" s="326">
        <v>14</v>
      </c>
      <c r="B24" s="325" t="s">
        <v>1205</v>
      </c>
      <c r="C24" s="325"/>
      <c r="D24" s="332">
        <v>0</v>
      </c>
      <c r="E24" s="332">
        <v>0</v>
      </c>
      <c r="F24" s="332">
        <v>275144876.54060608</v>
      </c>
      <c r="G24" s="332">
        <v>275144876.54060608</v>
      </c>
      <c r="H24" s="333">
        <v>156248807.7365998</v>
      </c>
      <c r="I24" s="333">
        <v>431393684.27720588</v>
      </c>
      <c r="J24" s="333">
        <v>519951689.80276006</v>
      </c>
      <c r="K24" s="333">
        <v>951345374.07996595</v>
      </c>
    </row>
    <row r="25" spans="1:11" x14ac:dyDescent="0.25">
      <c r="A25" s="326">
        <v>15</v>
      </c>
      <c r="B25" s="325" t="s">
        <v>1181</v>
      </c>
      <c r="C25" s="325"/>
      <c r="D25" s="332">
        <v>0</v>
      </c>
      <c r="E25" s="332">
        <v>0</v>
      </c>
      <c r="F25" s="332">
        <v>-6883388.9439660003</v>
      </c>
      <c r="G25" s="332">
        <v>-6883388.9439660003</v>
      </c>
      <c r="H25" s="333">
        <v>-9398218.0489399992</v>
      </c>
      <c r="I25" s="333">
        <v>-16281606.992906</v>
      </c>
      <c r="J25" s="333">
        <v>-35005245.804460004</v>
      </c>
      <c r="K25" s="333">
        <v>-51286852.797366001</v>
      </c>
    </row>
    <row r="26" spans="1:11" x14ac:dyDescent="0.25">
      <c r="A26" s="326">
        <v>16</v>
      </c>
      <c r="B26" s="325" t="s">
        <v>49</v>
      </c>
      <c r="C26" s="325"/>
      <c r="D26" s="334">
        <v>0</v>
      </c>
      <c r="E26" s="334">
        <v>0</v>
      </c>
      <c r="F26" s="335">
        <v>-2634322.4648799994</v>
      </c>
      <c r="G26" s="335">
        <v>-2634322.4648799994</v>
      </c>
      <c r="H26" s="335">
        <v>-5049179.8292279989</v>
      </c>
      <c r="I26" s="335">
        <v>-7683502.2941079987</v>
      </c>
      <c r="J26" s="335">
        <v>-12452260.163154002</v>
      </c>
      <c r="K26" s="335">
        <v>-20135762.457262002</v>
      </c>
    </row>
    <row r="27" spans="1:11" x14ac:dyDescent="0.25">
      <c r="A27" s="326">
        <v>17</v>
      </c>
      <c r="B27" s="230" t="s">
        <v>1182</v>
      </c>
      <c r="C27" s="325"/>
      <c r="D27" s="332">
        <v>0</v>
      </c>
      <c r="E27" s="332">
        <v>0</v>
      </c>
      <c r="F27" s="333">
        <v>265627165.13176009</v>
      </c>
      <c r="G27" s="333">
        <v>265627165.13176009</v>
      </c>
      <c r="H27" s="333">
        <v>141801409.85843182</v>
      </c>
      <c r="I27" s="333">
        <v>407428574.99019194</v>
      </c>
      <c r="J27" s="333">
        <v>472494183.83514607</v>
      </c>
      <c r="K27" s="333">
        <v>879922758.82533789</v>
      </c>
    </row>
    <row r="28" spans="1:11" x14ac:dyDescent="0.25">
      <c r="A28" s="326">
        <v>18</v>
      </c>
      <c r="B28" s="325"/>
      <c r="C28" s="325"/>
      <c r="D28" s="332"/>
      <c r="E28" s="332"/>
      <c r="F28" s="332"/>
      <c r="G28" s="332"/>
      <c r="H28" s="339"/>
      <c r="I28" s="339"/>
      <c r="J28" s="339"/>
      <c r="K28" s="339"/>
    </row>
    <row r="29" spans="1:11" ht="18.75" x14ac:dyDescent="0.3">
      <c r="A29" s="326">
        <v>19</v>
      </c>
      <c r="B29" s="331" t="s">
        <v>1183</v>
      </c>
      <c r="C29" s="325"/>
      <c r="D29" s="332"/>
      <c r="E29" s="332"/>
      <c r="F29" s="332"/>
      <c r="G29" s="332"/>
      <c r="H29" s="339"/>
      <c r="I29" s="339"/>
      <c r="J29" s="339"/>
      <c r="K29" s="339"/>
    </row>
    <row r="30" spans="1:11" x14ac:dyDescent="0.25">
      <c r="A30" s="326">
        <v>20</v>
      </c>
      <c r="B30" s="325" t="s">
        <v>1201</v>
      </c>
      <c r="C30" s="325"/>
      <c r="D30" s="332">
        <v>0</v>
      </c>
      <c r="E30" s="332">
        <v>0</v>
      </c>
      <c r="F30" s="332">
        <v>124018.31999999996</v>
      </c>
      <c r="G30" s="332">
        <v>124018.31999999996</v>
      </c>
      <c r="H30" s="333">
        <v>97835.560000000245</v>
      </c>
      <c r="I30" s="333">
        <v>221853.88000000021</v>
      </c>
      <c r="J30" s="333">
        <v>241632.77999999971</v>
      </c>
      <c r="K30" s="333">
        <v>463486.65999999992</v>
      </c>
    </row>
    <row r="31" spans="1:11" x14ac:dyDescent="0.25">
      <c r="A31" s="326">
        <v>21</v>
      </c>
      <c r="B31" s="325" t="s">
        <v>1202</v>
      </c>
      <c r="C31" s="325"/>
      <c r="D31" s="332">
        <v>0</v>
      </c>
      <c r="E31" s="332">
        <v>0</v>
      </c>
      <c r="F31" s="332">
        <v>0</v>
      </c>
      <c r="G31" s="332">
        <v>0</v>
      </c>
      <c r="H31" s="333">
        <v>0</v>
      </c>
      <c r="I31" s="333">
        <v>0</v>
      </c>
      <c r="J31" s="333">
        <v>0</v>
      </c>
      <c r="K31" s="333">
        <v>0</v>
      </c>
    </row>
    <row r="32" spans="1:11" x14ac:dyDescent="0.25">
      <c r="A32" s="326">
        <v>22</v>
      </c>
      <c r="B32" s="325" t="s">
        <v>1203</v>
      </c>
      <c r="C32" s="325"/>
      <c r="D32" s="332">
        <v>0</v>
      </c>
      <c r="E32" s="332">
        <v>0</v>
      </c>
      <c r="F32" s="332">
        <v>7346.88</v>
      </c>
      <c r="G32" s="332">
        <v>7346.88</v>
      </c>
      <c r="H32" s="333">
        <v>40307.040000000001</v>
      </c>
      <c r="I32" s="333">
        <v>47653.919999999998</v>
      </c>
      <c r="J32" s="333">
        <v>71876.820000000007</v>
      </c>
      <c r="K32" s="333">
        <v>119530.74</v>
      </c>
    </row>
    <row r="33" spans="1:11" x14ac:dyDescent="0.25">
      <c r="A33" s="326">
        <v>23</v>
      </c>
      <c r="B33" s="325" t="s">
        <v>1204</v>
      </c>
      <c r="C33" s="325"/>
      <c r="D33" s="334">
        <v>0</v>
      </c>
      <c r="E33" s="334">
        <v>0</v>
      </c>
      <c r="F33" s="334">
        <v>0</v>
      </c>
      <c r="G33" s="334">
        <v>0</v>
      </c>
      <c r="H33" s="335">
        <v>0</v>
      </c>
      <c r="I33" s="335">
        <v>0</v>
      </c>
      <c r="J33" s="335">
        <v>0</v>
      </c>
      <c r="K33" s="335">
        <v>0</v>
      </c>
    </row>
    <row r="34" spans="1:11" x14ac:dyDescent="0.25">
      <c r="A34" s="326">
        <v>24</v>
      </c>
      <c r="B34" s="325" t="s">
        <v>1176</v>
      </c>
      <c r="C34" s="325"/>
      <c r="D34" s="332">
        <v>0</v>
      </c>
      <c r="E34" s="332">
        <v>0</v>
      </c>
      <c r="F34" s="332">
        <v>131365.19999999995</v>
      </c>
      <c r="G34" s="332">
        <v>131365.19999999995</v>
      </c>
      <c r="H34" s="333">
        <v>138142.60000000024</v>
      </c>
      <c r="I34" s="333">
        <v>269507.80000000022</v>
      </c>
      <c r="J34" s="333">
        <v>313509.59999999974</v>
      </c>
      <c r="K34" s="333">
        <v>583017.39999999991</v>
      </c>
    </row>
    <row r="35" spans="1:11" x14ac:dyDescent="0.25">
      <c r="A35" s="326">
        <v>25</v>
      </c>
      <c r="B35" s="325"/>
      <c r="C35" s="325"/>
      <c r="D35" s="332"/>
      <c r="E35" s="332"/>
      <c r="F35" s="332"/>
      <c r="G35" s="332"/>
      <c r="H35" s="333"/>
      <c r="I35" s="333"/>
      <c r="J35" s="333"/>
      <c r="K35" s="333"/>
    </row>
    <row r="36" spans="1:11" x14ac:dyDescent="0.25">
      <c r="A36" s="326">
        <v>26</v>
      </c>
      <c r="B36" s="325" t="s">
        <v>1177</v>
      </c>
      <c r="C36" s="325"/>
      <c r="D36" s="332">
        <v>0</v>
      </c>
      <c r="E36" s="332">
        <v>0</v>
      </c>
      <c r="F36" s="332">
        <v>131365.19999999995</v>
      </c>
      <c r="G36" s="332">
        <v>131365.19999999995</v>
      </c>
      <c r="H36" s="333">
        <v>138142.60000000024</v>
      </c>
      <c r="I36" s="333">
        <v>269507.80000000022</v>
      </c>
      <c r="J36" s="333">
        <v>313509.59999999974</v>
      </c>
      <c r="K36" s="333">
        <v>583017.39999999991</v>
      </c>
    </row>
    <row r="37" spans="1:11" x14ac:dyDescent="0.25">
      <c r="A37" s="326">
        <v>27</v>
      </c>
      <c r="B37" s="325"/>
      <c r="C37" s="325"/>
      <c r="D37" s="332"/>
      <c r="E37" s="332"/>
      <c r="F37" s="332"/>
      <c r="G37" s="332"/>
      <c r="H37" s="333"/>
      <c r="I37" s="333"/>
      <c r="J37" s="333"/>
      <c r="K37" s="333"/>
    </row>
    <row r="38" spans="1:11" x14ac:dyDescent="0.25">
      <c r="A38" s="326">
        <v>28</v>
      </c>
      <c r="B38" s="325" t="s">
        <v>1178</v>
      </c>
      <c r="C38" s="336">
        <v>0.21</v>
      </c>
      <c r="D38" s="334">
        <v>0</v>
      </c>
      <c r="E38" s="334">
        <v>0</v>
      </c>
      <c r="F38" s="334">
        <v>-27586.691999999988</v>
      </c>
      <c r="G38" s="334">
        <v>-27586.691999999988</v>
      </c>
      <c r="H38" s="335">
        <v>-29009.946000000051</v>
      </c>
      <c r="I38" s="335">
        <v>-56596.638000000043</v>
      </c>
      <c r="J38" s="335">
        <v>-65837.015999999945</v>
      </c>
      <c r="K38" s="335">
        <v>-122433.65399999998</v>
      </c>
    </row>
    <row r="39" spans="1:11" x14ac:dyDescent="0.25">
      <c r="A39" s="326">
        <v>29</v>
      </c>
      <c r="B39" s="325"/>
      <c r="C39" s="325"/>
      <c r="D39" s="332"/>
      <c r="E39" s="332"/>
      <c r="F39" s="332"/>
      <c r="G39" s="332"/>
      <c r="H39" s="333"/>
      <c r="I39" s="333"/>
      <c r="J39" s="333"/>
      <c r="K39" s="333"/>
    </row>
    <row r="40" spans="1:11" ht="15.75" thickBot="1" x14ac:dyDescent="0.3">
      <c r="A40" s="326">
        <v>30</v>
      </c>
      <c r="B40" s="230" t="s">
        <v>1179</v>
      </c>
      <c r="C40" s="325"/>
      <c r="D40" s="337">
        <v>0</v>
      </c>
      <c r="E40" s="337">
        <v>0</v>
      </c>
      <c r="F40" s="337">
        <v>-103778.50799999997</v>
      </c>
      <c r="G40" s="337">
        <v>-103778.50799999997</v>
      </c>
      <c r="H40" s="338">
        <v>-109132.65400000018</v>
      </c>
      <c r="I40" s="338">
        <v>-212911.16200000019</v>
      </c>
      <c r="J40" s="338">
        <v>-247672.5839999998</v>
      </c>
      <c r="K40" s="338">
        <v>-460583.74599999993</v>
      </c>
    </row>
    <row r="41" spans="1:11" ht="15.75" thickTop="1" x14ac:dyDescent="0.25">
      <c r="A41" s="326">
        <v>31</v>
      </c>
      <c r="B41" s="325"/>
      <c r="C41" s="325"/>
      <c r="D41" s="332"/>
      <c r="E41" s="332"/>
      <c r="F41" s="332"/>
      <c r="G41" s="332"/>
      <c r="H41" s="333"/>
      <c r="I41" s="333"/>
      <c r="J41" s="333"/>
      <c r="K41" s="333"/>
    </row>
    <row r="42" spans="1:11" x14ac:dyDescent="0.25">
      <c r="A42" s="326">
        <v>32</v>
      </c>
      <c r="B42" s="325" t="s">
        <v>1205</v>
      </c>
      <c r="C42" s="325"/>
      <c r="D42" s="332">
        <v>0</v>
      </c>
      <c r="E42" s="332">
        <v>0</v>
      </c>
      <c r="F42" s="332">
        <v>4064845.8499999996</v>
      </c>
      <c r="G42" s="332">
        <v>4064845.8499999996</v>
      </c>
      <c r="H42" s="333">
        <v>4047296.6800000016</v>
      </c>
      <c r="I42" s="333">
        <v>8112142.5300000012</v>
      </c>
      <c r="J42" s="333">
        <v>8832345.3599999994</v>
      </c>
      <c r="K42" s="333">
        <v>16944487.890000001</v>
      </c>
    </row>
    <row r="43" spans="1:11" x14ac:dyDescent="0.25">
      <c r="A43" s="326">
        <v>33</v>
      </c>
      <c r="B43" s="325" t="s">
        <v>1181</v>
      </c>
      <c r="C43" s="325"/>
      <c r="D43" s="332">
        <v>0</v>
      </c>
      <c r="E43" s="332">
        <v>0</v>
      </c>
      <c r="F43" s="332">
        <v>-131365.19999999992</v>
      </c>
      <c r="G43" s="332">
        <v>-131365.19999999992</v>
      </c>
      <c r="H43" s="333">
        <v>-111605.50000000009</v>
      </c>
      <c r="I43" s="333">
        <v>-242970.7</v>
      </c>
      <c r="J43" s="333">
        <v>-419360.21</v>
      </c>
      <c r="K43" s="333">
        <v>-662330.91</v>
      </c>
    </row>
    <row r="44" spans="1:11" x14ac:dyDescent="0.25">
      <c r="A44" s="326">
        <v>34</v>
      </c>
      <c r="B44" s="325" t="s">
        <v>49</v>
      </c>
      <c r="C44" s="325"/>
      <c r="D44" s="334">
        <v>0</v>
      </c>
      <c r="E44" s="334">
        <v>0</v>
      </c>
      <c r="F44" s="334">
        <v>-12153.700000000004</v>
      </c>
      <c r="G44" s="334">
        <v>-12153.700000000004</v>
      </c>
      <c r="H44" s="335">
        <v>-50860.449999999975</v>
      </c>
      <c r="I44" s="335">
        <v>-63014.14999999998</v>
      </c>
      <c r="J44" s="335">
        <v>-150990.09000000003</v>
      </c>
      <c r="K44" s="335">
        <v>-214004.24</v>
      </c>
    </row>
    <row r="45" spans="1:11" x14ac:dyDescent="0.25">
      <c r="A45" s="326">
        <v>35</v>
      </c>
      <c r="B45" s="230" t="s">
        <v>1182</v>
      </c>
      <c r="C45" s="325"/>
      <c r="D45" s="332">
        <v>0</v>
      </c>
      <c r="E45" s="332">
        <v>0</v>
      </c>
      <c r="F45" s="332">
        <v>3921326.9499999997</v>
      </c>
      <c r="G45" s="332">
        <v>3921326.9499999997</v>
      </c>
      <c r="H45" s="333">
        <v>3884830.7300000014</v>
      </c>
      <c r="I45" s="333">
        <v>7806157.6800000006</v>
      </c>
      <c r="J45" s="333">
        <v>8261995.0599999987</v>
      </c>
      <c r="K45" s="333">
        <v>16068152.74</v>
      </c>
    </row>
    <row r="46" spans="1:11" x14ac:dyDescent="0.25">
      <c r="A46" s="326">
        <v>36</v>
      </c>
      <c r="B46" s="325"/>
      <c r="C46" s="325"/>
      <c r="D46" s="332"/>
      <c r="E46" s="332"/>
      <c r="F46" s="332"/>
      <c r="G46" s="332"/>
      <c r="H46" s="339"/>
      <c r="I46" s="339"/>
      <c r="J46" s="339"/>
      <c r="K46" s="339"/>
    </row>
    <row r="47" spans="1:11" ht="18.75" x14ac:dyDescent="0.3">
      <c r="A47" s="326">
        <v>37</v>
      </c>
      <c r="B47" s="331" t="s">
        <v>1184</v>
      </c>
      <c r="C47" s="325"/>
      <c r="D47" s="332"/>
      <c r="E47" s="332"/>
      <c r="F47" s="332"/>
      <c r="G47" s="332"/>
      <c r="H47" s="339"/>
      <c r="I47" s="339"/>
      <c r="J47" s="339"/>
      <c r="K47" s="339"/>
    </row>
    <row r="48" spans="1:11" x14ac:dyDescent="0.25">
      <c r="A48" s="326">
        <v>38</v>
      </c>
      <c r="B48" s="325" t="s">
        <v>1201</v>
      </c>
      <c r="C48" s="325"/>
      <c r="D48" s="332">
        <v>0</v>
      </c>
      <c r="E48" s="332">
        <v>0</v>
      </c>
      <c r="F48" s="333">
        <v>305733.2</v>
      </c>
      <c r="G48" s="333">
        <v>305733.2</v>
      </c>
      <c r="H48" s="333">
        <v>2603562.1599999997</v>
      </c>
      <c r="I48" s="333">
        <v>2909295.36</v>
      </c>
      <c r="J48" s="333">
        <v>2487783.1100000008</v>
      </c>
      <c r="K48" s="333">
        <v>5397078.4700000007</v>
      </c>
    </row>
    <row r="49" spans="1:11" x14ac:dyDescent="0.25">
      <c r="A49" s="326">
        <v>39</v>
      </c>
      <c r="B49" s="325" t="s">
        <v>1202</v>
      </c>
      <c r="C49" s="325"/>
      <c r="D49" s="332">
        <v>0</v>
      </c>
      <c r="E49" s="332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8266.4296259999992</v>
      </c>
      <c r="K49" s="333">
        <v>8266.4296259999992</v>
      </c>
    </row>
    <row r="50" spans="1:11" x14ac:dyDescent="0.25">
      <c r="A50" s="326">
        <v>40</v>
      </c>
      <c r="B50" s="325" t="s">
        <v>1203</v>
      </c>
      <c r="C50" s="325"/>
      <c r="D50" s="332">
        <v>0</v>
      </c>
      <c r="E50" s="332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</row>
    <row r="51" spans="1:11" x14ac:dyDescent="0.25">
      <c r="A51" s="326">
        <v>41</v>
      </c>
      <c r="B51" s="325" t="s">
        <v>1204</v>
      </c>
      <c r="C51" s="325"/>
      <c r="D51" s="334">
        <v>0</v>
      </c>
      <c r="E51" s="334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384929.94607200002</v>
      </c>
      <c r="K51" s="335">
        <v>384929.94607200002</v>
      </c>
    </row>
    <row r="52" spans="1:11" x14ac:dyDescent="0.25">
      <c r="A52" s="326">
        <v>42</v>
      </c>
      <c r="B52" s="325" t="s">
        <v>1176</v>
      </c>
      <c r="C52" s="325"/>
      <c r="D52" s="332">
        <v>0</v>
      </c>
      <c r="E52" s="332">
        <v>0</v>
      </c>
      <c r="F52" s="333">
        <v>305733.2</v>
      </c>
      <c r="G52" s="333">
        <v>305733.2</v>
      </c>
      <c r="H52" s="333">
        <v>2603562.1599999997</v>
      </c>
      <c r="I52" s="333">
        <v>2909295.36</v>
      </c>
      <c r="J52" s="333">
        <v>2880979.485698001</v>
      </c>
      <c r="K52" s="333">
        <v>5790274.8456980009</v>
      </c>
    </row>
    <row r="53" spans="1:11" x14ac:dyDescent="0.25">
      <c r="A53" s="326">
        <v>43</v>
      </c>
      <c r="B53" s="325"/>
      <c r="C53" s="325"/>
      <c r="D53" s="332"/>
      <c r="E53" s="332"/>
      <c r="F53" s="333"/>
      <c r="G53" s="333"/>
      <c r="H53" s="333"/>
      <c r="I53" s="333"/>
      <c r="J53" s="333"/>
      <c r="K53" s="333"/>
    </row>
    <row r="54" spans="1:11" x14ac:dyDescent="0.25">
      <c r="A54" s="326">
        <v>44</v>
      </c>
      <c r="B54" s="325" t="s">
        <v>1177</v>
      </c>
      <c r="C54" s="325"/>
      <c r="D54" s="332">
        <v>0</v>
      </c>
      <c r="E54" s="332">
        <v>0</v>
      </c>
      <c r="F54" s="333">
        <v>305733.2</v>
      </c>
      <c r="G54" s="333">
        <v>305733.2</v>
      </c>
      <c r="H54" s="333">
        <v>2603562.1599999997</v>
      </c>
      <c r="I54" s="333">
        <v>2909295.36</v>
      </c>
      <c r="J54" s="333">
        <v>2880979.485698001</v>
      </c>
      <c r="K54" s="333">
        <v>5790274.8456980009</v>
      </c>
    </row>
    <row r="55" spans="1:11" x14ac:dyDescent="0.25">
      <c r="A55" s="326">
        <v>45</v>
      </c>
      <c r="B55" s="325"/>
      <c r="C55" s="325"/>
      <c r="D55" s="332"/>
      <c r="E55" s="332"/>
      <c r="F55" s="333"/>
      <c r="G55" s="333"/>
      <c r="H55" s="333"/>
      <c r="I55" s="333"/>
      <c r="J55" s="333"/>
      <c r="K55" s="333"/>
    </row>
    <row r="56" spans="1:11" x14ac:dyDescent="0.25">
      <c r="A56" s="326">
        <v>46</v>
      </c>
      <c r="B56" s="325" t="s">
        <v>1178</v>
      </c>
      <c r="C56" s="336">
        <v>0.21</v>
      </c>
      <c r="D56" s="334">
        <v>0</v>
      </c>
      <c r="E56" s="334">
        <v>0</v>
      </c>
      <c r="F56" s="335">
        <v>-64203.972000000002</v>
      </c>
      <c r="G56" s="335">
        <v>-64203.972000000002</v>
      </c>
      <c r="H56" s="335">
        <v>-546748.05359999987</v>
      </c>
      <c r="I56" s="335">
        <v>-610952.02559999994</v>
      </c>
      <c r="J56" s="335">
        <v>-605005.69199658022</v>
      </c>
      <c r="K56" s="335">
        <v>-1215957.71759658</v>
      </c>
    </row>
    <row r="57" spans="1:11" x14ac:dyDescent="0.25">
      <c r="A57" s="326">
        <v>47</v>
      </c>
      <c r="B57" s="325"/>
      <c r="C57" s="325"/>
      <c r="D57" s="332"/>
      <c r="E57" s="332"/>
      <c r="F57" s="333"/>
      <c r="G57" s="333"/>
      <c r="H57" s="333"/>
      <c r="I57" s="333"/>
      <c r="J57" s="333"/>
      <c r="K57" s="333"/>
    </row>
    <row r="58" spans="1:11" ht="15.75" thickBot="1" x14ac:dyDescent="0.3">
      <c r="A58" s="326">
        <v>48</v>
      </c>
      <c r="B58" s="230" t="s">
        <v>1179</v>
      </c>
      <c r="C58" s="325"/>
      <c r="D58" s="337">
        <v>0</v>
      </c>
      <c r="E58" s="337">
        <v>0</v>
      </c>
      <c r="F58" s="338">
        <v>-241529.228</v>
      </c>
      <c r="G58" s="338">
        <v>-241529.228</v>
      </c>
      <c r="H58" s="338">
        <v>-2056814.1063999999</v>
      </c>
      <c r="I58" s="338">
        <v>-2298343.3344000001</v>
      </c>
      <c r="J58" s="338">
        <v>-2275973.7937014205</v>
      </c>
      <c r="K58" s="338">
        <v>-4574317.1281014206</v>
      </c>
    </row>
    <row r="59" spans="1:11" ht="15.75" thickTop="1" x14ac:dyDescent="0.25">
      <c r="A59" s="326">
        <v>49</v>
      </c>
      <c r="B59" s="325"/>
      <c r="C59" s="325"/>
      <c r="D59" s="332"/>
      <c r="E59" s="332"/>
      <c r="F59" s="333"/>
      <c r="G59" s="333"/>
      <c r="H59" s="333"/>
      <c r="I59" s="333"/>
      <c r="J59" s="333"/>
      <c r="K59" s="333"/>
    </row>
    <row r="60" spans="1:11" x14ac:dyDescent="0.25">
      <c r="A60" s="326">
        <v>50</v>
      </c>
      <c r="B60" s="325" t="s">
        <v>1205</v>
      </c>
      <c r="C60" s="325"/>
      <c r="D60" s="332">
        <v>0</v>
      </c>
      <c r="E60" s="332">
        <v>0</v>
      </c>
      <c r="F60" s="333">
        <v>52149803.800000004</v>
      </c>
      <c r="G60" s="333">
        <v>52149803.800000004</v>
      </c>
      <c r="H60" s="333">
        <v>24986915.770000003</v>
      </c>
      <c r="I60" s="333">
        <v>77136719.570000008</v>
      </c>
      <c r="J60" s="333">
        <v>113711032.41329603</v>
      </c>
      <c r="K60" s="333">
        <v>190847751.98329604</v>
      </c>
    </row>
    <row r="61" spans="1:11" x14ac:dyDescent="0.25">
      <c r="A61" s="326">
        <v>51</v>
      </c>
      <c r="B61" s="325" t="s">
        <v>1181</v>
      </c>
      <c r="C61" s="325"/>
      <c r="D61" s="332">
        <v>0</v>
      </c>
      <c r="E61" s="332">
        <v>0</v>
      </c>
      <c r="F61" s="333">
        <v>-305733.2</v>
      </c>
      <c r="G61" s="333">
        <v>-305733.2</v>
      </c>
      <c r="H61" s="333">
        <v>-1322746.5400000003</v>
      </c>
      <c r="I61" s="333">
        <v>-1628479.7400000002</v>
      </c>
      <c r="J61" s="333">
        <v>-3862878.1017119996</v>
      </c>
      <c r="K61" s="333">
        <v>-5491357.8417119998</v>
      </c>
    </row>
    <row r="62" spans="1:11" x14ac:dyDescent="0.25">
      <c r="A62" s="326">
        <v>52</v>
      </c>
      <c r="B62" s="325" t="s">
        <v>49</v>
      </c>
      <c r="C62" s="325"/>
      <c r="D62" s="334">
        <v>0</v>
      </c>
      <c r="E62" s="334">
        <v>0</v>
      </c>
      <c r="F62" s="335">
        <v>-483369.39</v>
      </c>
      <c r="G62" s="335">
        <v>-483369.39</v>
      </c>
      <c r="H62" s="335">
        <v>-725942.25000000012</v>
      </c>
      <c r="I62" s="335">
        <v>-1209311.6400000001</v>
      </c>
      <c r="J62" s="335">
        <v>-3246538.5508959997</v>
      </c>
      <c r="K62" s="335">
        <v>-4455850.1908959998</v>
      </c>
    </row>
    <row r="63" spans="1:11" x14ac:dyDescent="0.25">
      <c r="A63" s="326">
        <v>53</v>
      </c>
      <c r="B63" s="230" t="s">
        <v>1182</v>
      </c>
      <c r="C63" s="325"/>
      <c r="D63" s="332">
        <v>0</v>
      </c>
      <c r="E63" s="332">
        <v>0</v>
      </c>
      <c r="F63" s="333">
        <v>51360701.210000001</v>
      </c>
      <c r="G63" s="333">
        <v>51360701.210000001</v>
      </c>
      <c r="H63" s="333">
        <v>22938226.980000004</v>
      </c>
      <c r="I63" s="333">
        <v>74298928.190000013</v>
      </c>
      <c r="J63" s="333">
        <v>106601615.76068802</v>
      </c>
      <c r="K63" s="333">
        <v>180900543.95068803</v>
      </c>
    </row>
    <row r="64" spans="1:11" x14ac:dyDescent="0.25">
      <c r="A64" s="326">
        <v>54</v>
      </c>
      <c r="B64" s="325"/>
      <c r="C64" s="325"/>
      <c r="D64" s="332"/>
      <c r="E64" s="332"/>
      <c r="F64" s="339"/>
      <c r="G64" s="339"/>
      <c r="H64" s="339"/>
      <c r="I64" s="332"/>
      <c r="J64" s="332"/>
      <c r="K64" s="332"/>
    </row>
    <row r="65" spans="1:11" ht="18.75" x14ac:dyDescent="0.3">
      <c r="A65" s="326">
        <v>55</v>
      </c>
      <c r="B65" s="331" t="s">
        <v>26</v>
      </c>
      <c r="C65" s="325"/>
      <c r="D65" s="332"/>
      <c r="E65" s="332"/>
      <c r="F65" s="332"/>
      <c r="G65" s="332"/>
      <c r="H65" s="332"/>
      <c r="I65" s="332"/>
      <c r="J65" s="332"/>
      <c r="K65" s="332"/>
    </row>
    <row r="66" spans="1:11" x14ac:dyDescent="0.25">
      <c r="A66" s="326">
        <v>56</v>
      </c>
      <c r="B66" s="325" t="s">
        <v>1201</v>
      </c>
      <c r="C66" s="325"/>
      <c r="D66" s="332">
        <v>0</v>
      </c>
      <c r="E66" s="332">
        <v>0</v>
      </c>
      <c r="F66" s="332">
        <v>856213.49000000034</v>
      </c>
      <c r="G66" s="332">
        <v>856213.49000000034</v>
      </c>
      <c r="H66" s="332">
        <v>4000634.0700000003</v>
      </c>
      <c r="I66" s="332">
        <v>4856847.5600000005</v>
      </c>
      <c r="J66" s="332">
        <v>3367889.5700000022</v>
      </c>
      <c r="K66" s="332">
        <v>8224737.1300000027</v>
      </c>
    </row>
    <row r="67" spans="1:11" x14ac:dyDescent="0.25">
      <c r="A67" s="326">
        <v>57</v>
      </c>
      <c r="B67" s="325" t="s">
        <v>1202</v>
      </c>
      <c r="C67" s="325"/>
      <c r="D67" s="332">
        <v>0</v>
      </c>
      <c r="E67" s="332">
        <v>0</v>
      </c>
      <c r="F67" s="332">
        <v>37040.739959999999</v>
      </c>
      <c r="G67" s="332">
        <v>37040.739959999999</v>
      </c>
      <c r="H67" s="332">
        <v>268195.00570799998</v>
      </c>
      <c r="I67" s="332">
        <v>305235.74566799996</v>
      </c>
      <c r="J67" s="332">
        <v>388831.84666200064</v>
      </c>
      <c r="K67" s="332">
        <v>694067.5923300006</v>
      </c>
    </row>
    <row r="68" spans="1:11" x14ac:dyDescent="0.25">
      <c r="A68" s="326">
        <v>58</v>
      </c>
      <c r="B68" s="325" t="s">
        <v>1203</v>
      </c>
      <c r="C68" s="325"/>
      <c r="D68" s="332">
        <v>0</v>
      </c>
      <c r="E68" s="332">
        <v>0</v>
      </c>
      <c r="F68" s="333">
        <v>856872.86</v>
      </c>
      <c r="G68" s="333">
        <v>856872.86</v>
      </c>
      <c r="H68" s="333">
        <v>2010015.4100000001</v>
      </c>
      <c r="I68" s="333">
        <v>2866888.27</v>
      </c>
      <c r="J68" s="333">
        <v>3447073.4500000007</v>
      </c>
      <c r="K68" s="333">
        <v>6313961.7200000007</v>
      </c>
    </row>
    <row r="69" spans="1:11" x14ac:dyDescent="0.25">
      <c r="A69" s="326">
        <v>59</v>
      </c>
      <c r="B69" s="325" t="s">
        <v>1204</v>
      </c>
      <c r="C69" s="325"/>
      <c r="D69" s="334">
        <v>0</v>
      </c>
      <c r="E69" s="334">
        <v>0</v>
      </c>
      <c r="F69" s="335">
        <v>959799.34339799988</v>
      </c>
      <c r="G69" s="335">
        <v>959799.34339799988</v>
      </c>
      <c r="H69" s="335">
        <v>5534330.0756519986</v>
      </c>
      <c r="I69" s="335">
        <v>6494129.4190499987</v>
      </c>
      <c r="J69" s="335">
        <v>8775367.555962</v>
      </c>
      <c r="K69" s="335">
        <v>15269496.975011999</v>
      </c>
    </row>
    <row r="70" spans="1:11" x14ac:dyDescent="0.25">
      <c r="A70" s="326">
        <v>60</v>
      </c>
      <c r="B70" s="325" t="s">
        <v>1176</v>
      </c>
      <c r="C70" s="325"/>
      <c r="D70" s="332">
        <v>0</v>
      </c>
      <c r="E70" s="332">
        <v>0</v>
      </c>
      <c r="F70" s="333">
        <v>2709926.4333580006</v>
      </c>
      <c r="G70" s="333">
        <v>2709926.4333580006</v>
      </c>
      <c r="H70" s="333">
        <v>11813174.561359998</v>
      </c>
      <c r="I70" s="333">
        <v>14523100.994717998</v>
      </c>
      <c r="J70" s="333">
        <v>15979162.422624003</v>
      </c>
      <c r="K70" s="333">
        <v>30502263.417342003</v>
      </c>
    </row>
    <row r="71" spans="1:11" x14ac:dyDescent="0.25">
      <c r="A71" s="326">
        <v>61</v>
      </c>
      <c r="B71" s="325"/>
      <c r="C71" s="325"/>
      <c r="D71" s="332"/>
      <c r="E71" s="332"/>
      <c r="F71" s="332"/>
      <c r="G71" s="332"/>
      <c r="H71" s="332"/>
      <c r="I71" s="332"/>
      <c r="J71" s="332"/>
      <c r="K71" s="332"/>
    </row>
    <row r="72" spans="1:11" x14ac:dyDescent="0.25">
      <c r="A72" s="326">
        <v>62</v>
      </c>
      <c r="B72" s="325" t="s">
        <v>1177</v>
      </c>
      <c r="C72" s="325"/>
      <c r="D72" s="332">
        <v>0</v>
      </c>
      <c r="E72" s="332">
        <v>0</v>
      </c>
      <c r="F72" s="333">
        <v>2709926.4333580006</v>
      </c>
      <c r="G72" s="333">
        <v>2709926.4333580006</v>
      </c>
      <c r="H72" s="333">
        <v>11813174.561359998</v>
      </c>
      <c r="I72" s="333">
        <v>14523100.994717998</v>
      </c>
      <c r="J72" s="333">
        <v>15979162.422624003</v>
      </c>
      <c r="K72" s="333">
        <v>30502263.417342003</v>
      </c>
    </row>
    <row r="73" spans="1:11" x14ac:dyDescent="0.25">
      <c r="A73" s="326">
        <v>63</v>
      </c>
      <c r="B73" s="325"/>
      <c r="C73" s="325"/>
      <c r="D73" s="332">
        <v>0</v>
      </c>
      <c r="E73" s="332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3">
        <v>0</v>
      </c>
    </row>
    <row r="74" spans="1:11" x14ac:dyDescent="0.25">
      <c r="A74" s="326">
        <v>64</v>
      </c>
      <c r="B74" s="325" t="s">
        <v>1178</v>
      </c>
      <c r="C74" s="336">
        <v>0.21</v>
      </c>
      <c r="D74" s="334">
        <v>0</v>
      </c>
      <c r="E74" s="334">
        <v>0</v>
      </c>
      <c r="F74" s="335">
        <v>-569084.55100518011</v>
      </c>
      <c r="G74" s="335">
        <v>-569084.55100518011</v>
      </c>
      <c r="H74" s="335">
        <v>-2480766.6578855994</v>
      </c>
      <c r="I74" s="335">
        <v>-3049851.2088907794</v>
      </c>
      <c r="J74" s="335">
        <v>-3355624.1087510404</v>
      </c>
      <c r="K74" s="335">
        <v>-6405475.3176418208</v>
      </c>
    </row>
    <row r="75" spans="1:11" x14ac:dyDescent="0.25">
      <c r="A75" s="326">
        <v>65</v>
      </c>
      <c r="B75" s="325"/>
      <c r="C75" s="325"/>
      <c r="D75" s="332"/>
      <c r="E75" s="332"/>
      <c r="F75" s="333"/>
      <c r="G75" s="333"/>
      <c r="H75" s="333"/>
      <c r="I75" s="333"/>
      <c r="J75" s="333"/>
      <c r="K75" s="333"/>
    </row>
    <row r="76" spans="1:11" ht="15.75" thickBot="1" x14ac:dyDescent="0.3">
      <c r="A76" s="326">
        <v>66</v>
      </c>
      <c r="B76" s="230" t="s">
        <v>1179</v>
      </c>
      <c r="C76" s="325"/>
      <c r="D76" s="337">
        <v>0</v>
      </c>
      <c r="E76" s="337">
        <v>0</v>
      </c>
      <c r="F76" s="338">
        <v>-2140841.8823528206</v>
      </c>
      <c r="G76" s="338">
        <v>-2140841.8823528206</v>
      </c>
      <c r="H76" s="338">
        <v>-9332407.903474398</v>
      </c>
      <c r="I76" s="338">
        <v>-11473249.785827219</v>
      </c>
      <c r="J76" s="338">
        <v>-12623538.313872963</v>
      </c>
      <c r="K76" s="338">
        <v>-24096788.099700183</v>
      </c>
    </row>
    <row r="77" spans="1:11" ht="15.75" thickTop="1" x14ac:dyDescent="0.25">
      <c r="A77" s="326">
        <v>67</v>
      </c>
      <c r="B77" s="325"/>
      <c r="C77" s="325"/>
      <c r="D77" s="332"/>
      <c r="E77" s="332"/>
      <c r="F77" s="339"/>
      <c r="G77" s="339"/>
      <c r="H77" s="339"/>
      <c r="I77" s="339"/>
      <c r="J77" s="339"/>
      <c r="K77" s="339"/>
    </row>
    <row r="78" spans="1:11" x14ac:dyDescent="0.25">
      <c r="A78" s="326">
        <v>68</v>
      </c>
      <c r="B78" s="325" t="s">
        <v>1205</v>
      </c>
      <c r="C78" s="325"/>
      <c r="D78" s="332">
        <v>0</v>
      </c>
      <c r="E78" s="332">
        <v>0</v>
      </c>
      <c r="F78" s="333">
        <v>156886692.06526393</v>
      </c>
      <c r="G78" s="333">
        <v>156886692.06526393</v>
      </c>
      <c r="H78" s="333">
        <v>55423084.15476805</v>
      </c>
      <c r="I78" s="333">
        <v>212309776.22003198</v>
      </c>
      <c r="J78" s="333">
        <v>144501948.05288196</v>
      </c>
      <c r="K78" s="333">
        <v>356811724.27291393</v>
      </c>
    </row>
    <row r="79" spans="1:11" x14ac:dyDescent="0.25">
      <c r="A79" s="326">
        <v>69</v>
      </c>
      <c r="B79" s="325" t="s">
        <v>1181</v>
      </c>
      <c r="C79" s="325"/>
      <c r="D79" s="332">
        <v>0</v>
      </c>
      <c r="E79" s="332">
        <v>0</v>
      </c>
      <c r="F79" s="333">
        <v>-2709926.4333579992</v>
      </c>
      <c r="G79" s="333">
        <v>-2709926.4333579992</v>
      </c>
      <c r="H79" s="333">
        <v>-6374637.362270005</v>
      </c>
      <c r="I79" s="333">
        <v>-9084563.7956280038</v>
      </c>
      <c r="J79" s="333">
        <v>-22358467.786538001</v>
      </c>
      <c r="K79" s="333">
        <v>-31443031.582166005</v>
      </c>
    </row>
    <row r="80" spans="1:11" x14ac:dyDescent="0.25">
      <c r="A80" s="326">
        <v>70</v>
      </c>
      <c r="B80" s="325" t="s">
        <v>49</v>
      </c>
      <c r="C80" s="325"/>
      <c r="D80" s="334">
        <v>0</v>
      </c>
      <c r="E80" s="334">
        <v>0</v>
      </c>
      <c r="F80" s="335">
        <v>-1612462.0256759999</v>
      </c>
      <c r="G80" s="335">
        <v>-1612462.0256759999</v>
      </c>
      <c r="H80" s="335">
        <v>-2101052.1965520009</v>
      </c>
      <c r="I80" s="335">
        <v>-3713514.2222280009</v>
      </c>
      <c r="J80" s="335">
        <v>-5394091.8467019992</v>
      </c>
      <c r="K80" s="335">
        <v>-9107606.0689300001</v>
      </c>
    </row>
    <row r="81" spans="1:11" x14ac:dyDescent="0.25">
      <c r="A81" s="326">
        <v>71</v>
      </c>
      <c r="B81" s="230" t="s">
        <v>1182</v>
      </c>
      <c r="C81" s="325"/>
      <c r="D81" s="332">
        <v>0</v>
      </c>
      <c r="E81" s="332">
        <v>0</v>
      </c>
      <c r="F81" s="333">
        <v>152564303.6062299</v>
      </c>
      <c r="G81" s="333">
        <v>152564303.6062299</v>
      </c>
      <c r="H81" s="333">
        <v>46947394.595946044</v>
      </c>
      <c r="I81" s="333">
        <v>199511698.20217597</v>
      </c>
      <c r="J81" s="333">
        <v>116749388.41964196</v>
      </c>
      <c r="K81" s="333">
        <v>316261086.62181795</v>
      </c>
    </row>
    <row r="82" spans="1:11" x14ac:dyDescent="0.25">
      <c r="A82" s="326">
        <v>72</v>
      </c>
      <c r="B82" s="325"/>
      <c r="C82" s="325"/>
      <c r="D82" s="332"/>
      <c r="E82" s="332"/>
      <c r="F82" s="339"/>
      <c r="G82" s="339"/>
      <c r="H82" s="339"/>
      <c r="I82" s="339"/>
      <c r="J82" s="339"/>
      <c r="K82" s="339"/>
    </row>
    <row r="83" spans="1:11" ht="18.75" x14ac:dyDescent="0.3">
      <c r="A83" s="326">
        <v>73</v>
      </c>
      <c r="B83" s="331" t="s">
        <v>1185</v>
      </c>
      <c r="C83" s="325"/>
      <c r="D83" s="332"/>
      <c r="E83" s="332"/>
      <c r="F83" s="339"/>
      <c r="G83" s="339"/>
      <c r="H83" s="339"/>
      <c r="I83" s="339"/>
      <c r="J83" s="339"/>
      <c r="K83" s="339"/>
    </row>
    <row r="84" spans="1:11" x14ac:dyDescent="0.25">
      <c r="A84" s="326">
        <v>74</v>
      </c>
      <c r="B84" s="325" t="s">
        <v>1201</v>
      </c>
      <c r="C84" s="325"/>
      <c r="D84" s="332">
        <v>0</v>
      </c>
      <c r="E84" s="332">
        <v>0</v>
      </c>
      <c r="F84" s="333">
        <v>4559058.5600000005</v>
      </c>
      <c r="G84" s="333">
        <v>4559058.5600000005</v>
      </c>
      <c r="H84" s="333">
        <v>16542635.009999998</v>
      </c>
      <c r="I84" s="333">
        <v>21101693.57</v>
      </c>
      <c r="J84" s="333">
        <v>24127983.37000002</v>
      </c>
      <c r="K84" s="333">
        <v>45229676.94000002</v>
      </c>
    </row>
    <row r="85" spans="1:11" x14ac:dyDescent="0.25">
      <c r="A85" s="326">
        <v>75</v>
      </c>
      <c r="B85" s="325" t="s">
        <v>1202</v>
      </c>
      <c r="C85" s="325"/>
      <c r="D85" s="332">
        <v>0</v>
      </c>
      <c r="E85" s="332">
        <v>0</v>
      </c>
      <c r="F85" s="333">
        <v>1661005.9364219997</v>
      </c>
      <c r="G85" s="333">
        <v>1661005.9364219997</v>
      </c>
      <c r="H85" s="333">
        <v>846621.58249199972</v>
      </c>
      <c r="I85" s="333">
        <v>2507627.5189139992</v>
      </c>
      <c r="J85" s="333">
        <v>2886852.415314001</v>
      </c>
      <c r="K85" s="333">
        <v>5394479.9342280002</v>
      </c>
    </row>
    <row r="86" spans="1:11" x14ac:dyDescent="0.25">
      <c r="A86" s="326">
        <v>76</v>
      </c>
      <c r="B86" s="325" t="s">
        <v>1203</v>
      </c>
      <c r="C86" s="325"/>
      <c r="D86" s="332">
        <v>0</v>
      </c>
      <c r="E86" s="332">
        <v>0</v>
      </c>
      <c r="F86" s="333">
        <v>1054489.3</v>
      </c>
      <c r="G86" s="333">
        <v>1054489.3</v>
      </c>
      <c r="H86" s="333">
        <v>2638616.21</v>
      </c>
      <c r="I86" s="333">
        <v>3693105.51</v>
      </c>
      <c r="J86" s="333">
        <v>5689034.6299999999</v>
      </c>
      <c r="K86" s="333">
        <v>9382140.1400000006</v>
      </c>
    </row>
    <row r="87" spans="1:11" x14ac:dyDescent="0.25">
      <c r="A87" s="326">
        <v>77</v>
      </c>
      <c r="B87" s="325" t="s">
        <v>1204</v>
      </c>
      <c r="C87" s="325"/>
      <c r="D87" s="334">
        <v>0</v>
      </c>
      <c r="E87" s="334">
        <v>0</v>
      </c>
      <c r="F87" s="335">
        <v>2755859.9809019999</v>
      </c>
      <c r="G87" s="335">
        <v>2755859.9809019999</v>
      </c>
      <c r="H87" s="335">
        <v>9371733.2416259982</v>
      </c>
      <c r="I87" s="335">
        <v>12127593.222527998</v>
      </c>
      <c r="J87" s="335">
        <v>13501279.040927999</v>
      </c>
      <c r="K87" s="335">
        <v>25628872.263455994</v>
      </c>
    </row>
    <row r="88" spans="1:11" x14ac:dyDescent="0.25">
      <c r="A88" s="326">
        <v>78</v>
      </c>
      <c r="B88" s="325" t="s">
        <v>1176</v>
      </c>
      <c r="C88" s="325"/>
      <c r="D88" s="332">
        <v>0</v>
      </c>
      <c r="E88" s="332">
        <v>0</v>
      </c>
      <c r="F88" s="333">
        <v>10030413.777324</v>
      </c>
      <c r="G88" s="333">
        <v>10030413.777324</v>
      </c>
      <c r="H88" s="333">
        <v>29399606.044117998</v>
      </c>
      <c r="I88" s="333">
        <v>39430019.821441993</v>
      </c>
      <c r="J88" s="333">
        <v>46205149.456242017</v>
      </c>
      <c r="K88" s="333">
        <v>85635169.277684018</v>
      </c>
    </row>
    <row r="89" spans="1:11" x14ac:dyDescent="0.25">
      <c r="A89" s="326">
        <v>79</v>
      </c>
      <c r="B89" s="325"/>
      <c r="C89" s="325"/>
      <c r="D89" s="332"/>
      <c r="E89" s="332"/>
      <c r="F89" s="333"/>
      <c r="G89" s="333"/>
      <c r="H89" s="333"/>
      <c r="I89" s="333"/>
      <c r="J89" s="333"/>
      <c r="K89" s="333"/>
    </row>
    <row r="90" spans="1:11" x14ac:dyDescent="0.25">
      <c r="A90" s="326">
        <v>80</v>
      </c>
      <c r="B90" s="325" t="s">
        <v>1177</v>
      </c>
      <c r="C90" s="325"/>
      <c r="D90" s="332">
        <v>0</v>
      </c>
      <c r="E90" s="332">
        <v>0</v>
      </c>
      <c r="F90" s="333">
        <v>10030413.777324</v>
      </c>
      <c r="G90" s="333">
        <v>10030413.777324</v>
      </c>
      <c r="H90" s="333">
        <v>29399606.044117998</v>
      </c>
      <c r="I90" s="333">
        <v>39430019.821441993</v>
      </c>
      <c r="J90" s="333">
        <v>46205149.456242017</v>
      </c>
      <c r="K90" s="333">
        <v>85635169.277684018</v>
      </c>
    </row>
    <row r="91" spans="1:11" x14ac:dyDescent="0.25">
      <c r="A91" s="326">
        <v>81</v>
      </c>
      <c r="B91" s="325"/>
      <c r="C91" s="325"/>
      <c r="D91" s="332"/>
      <c r="E91" s="332"/>
      <c r="F91" s="333"/>
      <c r="G91" s="333"/>
      <c r="H91" s="333"/>
      <c r="I91" s="333"/>
      <c r="J91" s="333"/>
      <c r="K91" s="333"/>
    </row>
    <row r="92" spans="1:11" x14ac:dyDescent="0.25">
      <c r="A92" s="326">
        <v>82</v>
      </c>
      <c r="B92" s="325" t="s">
        <v>1178</v>
      </c>
      <c r="C92" s="336">
        <v>0.21</v>
      </c>
      <c r="D92" s="334">
        <v>0</v>
      </c>
      <c r="E92" s="334">
        <v>0</v>
      </c>
      <c r="F92" s="335">
        <v>-2106386.8932380402</v>
      </c>
      <c r="G92" s="335">
        <v>-2106386.8932380402</v>
      </c>
      <c r="H92" s="335">
        <v>-6173917.2692647791</v>
      </c>
      <c r="I92" s="335">
        <v>-8280304.1625028178</v>
      </c>
      <c r="J92" s="335">
        <v>-9703081.3858108241</v>
      </c>
      <c r="K92" s="335">
        <v>-17983385.548313644</v>
      </c>
    </row>
    <row r="93" spans="1:11" x14ac:dyDescent="0.25">
      <c r="A93" s="326">
        <v>83</v>
      </c>
      <c r="B93" s="325"/>
      <c r="C93" s="325"/>
      <c r="D93" s="332"/>
      <c r="E93" s="332"/>
      <c r="F93" s="333"/>
      <c r="G93" s="333"/>
      <c r="H93" s="333"/>
      <c r="I93" s="333"/>
      <c r="J93" s="333"/>
      <c r="K93" s="333"/>
    </row>
    <row r="94" spans="1:11" ht="15.75" thickBot="1" x14ac:dyDescent="0.3">
      <c r="A94" s="326">
        <v>84</v>
      </c>
      <c r="B94" s="230" t="s">
        <v>1179</v>
      </c>
      <c r="C94" s="325"/>
      <c r="D94" s="337">
        <v>0</v>
      </c>
      <c r="E94" s="337">
        <v>0</v>
      </c>
      <c r="F94" s="338">
        <v>-7924026.8840859607</v>
      </c>
      <c r="G94" s="338">
        <v>-7924026.8840859607</v>
      </c>
      <c r="H94" s="338">
        <v>-23225688.774853218</v>
      </c>
      <c r="I94" s="338">
        <v>-31149715.658939175</v>
      </c>
      <c r="J94" s="338">
        <v>-36502068.070431195</v>
      </c>
      <c r="K94" s="338">
        <v>-67651783.729370371</v>
      </c>
    </row>
    <row r="95" spans="1:11" ht="15.75" thickTop="1" x14ac:dyDescent="0.25">
      <c r="A95" s="326">
        <v>85</v>
      </c>
      <c r="B95" s="325"/>
      <c r="C95" s="325"/>
      <c r="D95" s="332"/>
      <c r="E95" s="332"/>
      <c r="F95" s="333"/>
      <c r="G95" s="333"/>
      <c r="H95" s="333"/>
      <c r="I95" s="333"/>
      <c r="J95" s="333"/>
      <c r="K95" s="333"/>
    </row>
    <row r="96" spans="1:11" x14ac:dyDescent="0.25">
      <c r="A96" s="326">
        <v>86</v>
      </c>
      <c r="B96" s="325" t="s">
        <v>1205</v>
      </c>
      <c r="C96" s="325"/>
      <c r="D96" s="332">
        <v>0</v>
      </c>
      <c r="E96" s="332">
        <v>0</v>
      </c>
      <c r="F96" s="333">
        <v>488246218.25586998</v>
      </c>
      <c r="G96" s="333">
        <v>488246218.25586998</v>
      </c>
      <c r="H96" s="333">
        <v>240706104.34136784</v>
      </c>
      <c r="I96" s="333">
        <v>728952322.59723783</v>
      </c>
      <c r="J96" s="333">
        <v>786997015.62893796</v>
      </c>
      <c r="K96" s="333">
        <v>1515949338.2261758</v>
      </c>
    </row>
    <row r="97" spans="1:11" x14ac:dyDescent="0.25">
      <c r="A97" s="326">
        <v>87</v>
      </c>
      <c r="B97" s="325" t="s">
        <v>1181</v>
      </c>
      <c r="C97" s="325"/>
      <c r="D97" s="332">
        <v>0</v>
      </c>
      <c r="E97" s="332">
        <v>0</v>
      </c>
      <c r="F97" s="333">
        <v>-10030413.777323999</v>
      </c>
      <c r="G97" s="333">
        <v>-10030413.777323999</v>
      </c>
      <c r="H97" s="333">
        <v>-17207207.451210003</v>
      </c>
      <c r="I97" s="333">
        <v>-27237621.228534006</v>
      </c>
      <c r="J97" s="333">
        <v>-61645951.902710006</v>
      </c>
      <c r="K97" s="333">
        <v>-88883573.131244004</v>
      </c>
    </row>
    <row r="98" spans="1:11" x14ac:dyDescent="0.25">
      <c r="A98" s="326">
        <v>88</v>
      </c>
      <c r="B98" s="325" t="s">
        <v>49</v>
      </c>
      <c r="C98" s="325"/>
      <c r="D98" s="334">
        <v>0</v>
      </c>
      <c r="E98" s="334">
        <v>0</v>
      </c>
      <c r="F98" s="335">
        <v>-4742307.5805559997</v>
      </c>
      <c r="G98" s="335">
        <v>-4742307.5805559997</v>
      </c>
      <c r="H98" s="335">
        <v>-7927034.7257800009</v>
      </c>
      <c r="I98" s="335">
        <v>-12669342.306336001</v>
      </c>
      <c r="J98" s="335">
        <v>-21243880.650752001</v>
      </c>
      <c r="K98" s="335">
        <v>-33913222.957088001</v>
      </c>
    </row>
    <row r="99" spans="1:11" x14ac:dyDescent="0.25">
      <c r="A99" s="326">
        <v>89</v>
      </c>
      <c r="B99" s="230" t="s">
        <v>1182</v>
      </c>
      <c r="C99" s="325"/>
      <c r="D99" s="332">
        <v>0</v>
      </c>
      <c r="E99" s="332">
        <v>0</v>
      </c>
      <c r="F99" s="333">
        <v>473473496.89798999</v>
      </c>
      <c r="G99" s="333">
        <v>473473496.89798999</v>
      </c>
      <c r="H99" s="333">
        <v>215571862.16437784</v>
      </c>
      <c r="I99" s="333">
        <v>689045359.0623678</v>
      </c>
      <c r="J99" s="333">
        <v>704107183.07547605</v>
      </c>
      <c r="K99" s="333">
        <v>1393152542.1378438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1F05EB-4935-475B-8031-94642F7DB8BB}"/>
</file>

<file path=customXml/itemProps2.xml><?xml version="1.0" encoding="utf-8"?>
<ds:datastoreItem xmlns:ds="http://schemas.openxmlformats.org/officeDocument/2006/customXml" ds:itemID="{B0B9F9DE-3F38-46CB-B8B6-AD7260AB8566}"/>
</file>

<file path=customXml/itemProps3.xml><?xml version="1.0" encoding="utf-8"?>
<ds:datastoreItem xmlns:ds="http://schemas.openxmlformats.org/officeDocument/2006/customXml" ds:itemID="{48F42E87-CA97-480B-8B3A-71D8A3291DF9}"/>
</file>

<file path=customXml/itemProps4.xml><?xml version="1.0" encoding="utf-8"?>
<ds:datastoreItem xmlns:ds="http://schemas.openxmlformats.org/officeDocument/2006/customXml" ds:itemID="{230EE129-2A28-4C42-9D41-300C6B636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Source Data - Act v Plan by WBS</vt:lpstr>
      <vt:lpstr>Report Tables--&gt;</vt:lpstr>
      <vt:lpstr>STR RR Recalc (Table 1)</vt:lpstr>
      <vt:lpstr>Gross Plant Compare (Table 2)</vt:lpstr>
      <vt:lpstr>Variance Summary (Table 3)</vt:lpstr>
      <vt:lpstr>Electric Closings Summary</vt:lpstr>
      <vt:lpstr>Gas Closings Summary</vt:lpstr>
      <vt:lpstr>Rev Req Comparison</vt:lpstr>
      <vt:lpstr>2022 GRC SEF-23 Adds</vt:lpstr>
      <vt:lpstr>2022 GRC SEF-23 Retires</vt:lpstr>
      <vt:lpstr>2022 GRC SEF-24 Adds</vt:lpstr>
      <vt:lpstr>2022 GRC SEF-24 Retires</vt:lpstr>
      <vt:lpstr>Att D Tables--&gt;</vt:lpstr>
      <vt:lpstr>Att D Table</vt:lpstr>
      <vt:lpstr>Reconcile JAK-5 22 GRC</vt:lpstr>
      <vt:lpstr>Reconcile 2023 Actual GP&amp;Adds</vt:lpstr>
      <vt:lpstr>Ops Detail for Rpt</vt:lpstr>
      <vt:lpstr>Addtl Info--&gt;</vt:lpstr>
      <vt:lpstr>Ops Detail</vt:lpstr>
      <vt:lpstr>Ops Explain Table</vt:lpstr>
      <vt:lpstr>Eng ES Stlmt Chg</vt:lpstr>
      <vt:lpstr>SEF-23</vt:lpstr>
      <vt:lpstr>SEF-24</vt:lpstr>
      <vt:lpstr>2023 YE Gross Plant Detail</vt:lpstr>
      <vt:lpstr>2023 YE Accum Depr Detail</vt:lpstr>
      <vt:lpstr>2023 YE Def Tax Detail</vt:lpstr>
      <vt:lpstr>2023 YE Depr Expense</vt:lpstr>
      <vt:lpstr>2023 Retirement Depr Adj</vt:lpstr>
      <vt:lpstr>RB Act v Rates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Free, Susan</cp:lastModifiedBy>
  <cp:lastPrinted>2023-03-25T15:36:11Z</cp:lastPrinted>
  <dcterms:created xsi:type="dcterms:W3CDTF">2023-02-14T21:02:27Z</dcterms:created>
  <dcterms:modified xsi:type="dcterms:W3CDTF">2024-03-29T12:11:54Z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