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15" tabRatio="858" activeTab="0"/>
  </bookViews>
  <sheets>
    <sheet name="2007" sheetId="1" r:id="rId1"/>
    <sheet name="2008" sheetId="2" r:id="rId2"/>
    <sheet name="2008 corrected" sheetId="3" r:id="rId3"/>
    <sheet name="2009 " sheetId="4" r:id="rId4"/>
    <sheet name="Base" sheetId="5" r:id="rId5"/>
    <sheet name="2004 Data" sheetId="6" r:id="rId6"/>
    <sheet name="01.01.08 Base" sheetId="7" r:id="rId7"/>
    <sheet name="01.01.09 Base" sheetId="8" r:id="rId8"/>
  </sheets>
  <definedNames>
    <definedName name="_xlnm.Print_Area" localSheetId="5">'2004 Data'!$A$82:$P$114</definedName>
    <definedName name="_xlnm.Print_Area" localSheetId="0">'2007'!$A$1:$J$29</definedName>
    <definedName name="_xlnm.Print_Area" localSheetId="1">'2008'!$A$1:$P$105</definedName>
    <definedName name="_xlnm.Print_Area" localSheetId="2">'2008 corrected'!$A$1:$P$105</definedName>
    <definedName name="_xlnm.Print_Titles" localSheetId="6">'01.01.08 Base'!$1:$3</definedName>
    <definedName name="_xlnm.Print_Titles" localSheetId="7">'01.01.09 Base'!$1:$3</definedName>
    <definedName name="_xlnm.Print_Titles" localSheetId="4">'Base'!$1:$3</definedName>
    <definedName name="Revenue_Run_Customers">'2004 Data'!$A$118:$P$195</definedName>
    <definedName name="Revenue_Run_Therms">'2004 Data'!$A$1:$P$78</definedName>
    <definedName name="WC_Unb_Calc">'2004 Data'!$A$82:$P$114</definedName>
  </definedNames>
  <calcPr fullCalcOnLoad="1"/>
</workbook>
</file>

<file path=xl/comments8.xml><?xml version="1.0" encoding="utf-8"?>
<comments xmlns="http://schemas.openxmlformats.org/spreadsheetml/2006/main">
  <authors>
    <author>Corp Employee</author>
  </authors>
  <commentList>
    <comment ref="B14" authorId="0">
      <text>
        <r>
          <rPr>
            <b/>
            <sz val="8"/>
            <rFont val="Tahoma"/>
            <family val="0"/>
          </rPr>
          <t>Corp Employee:</t>
        </r>
        <r>
          <rPr>
            <sz val="8"/>
            <rFont val="Tahoma"/>
            <family val="0"/>
          </rPr>
          <t xml:space="preserve">
This adjustment corrects to the Hirschkorn workpaper which included hidden precision in the unbilled calculation on workpaper page BJH -15 as compared to the unbilled calculations here which are calculated at the displayed level of precision.  Secondarily in this worksheet the unbilled baseload percentage used is the sum of the unbilled cycle days outstanding from the prior month in relation to the calendar days in that prior month added to the current month unbilled cycle days as a percent of the number of days in the current month. (denominator of 30 calendar days in November compared to 31 calendar days in December)  The Hirschkorn workpaper determined the percentage from the total outstanding days (Nov &amp; Dec) all divided by December calendar days.</t>
        </r>
      </text>
    </comment>
  </commentList>
</comments>
</file>

<file path=xl/sharedStrings.xml><?xml version="1.0" encoding="utf-8"?>
<sst xmlns="http://schemas.openxmlformats.org/spreadsheetml/2006/main" count="1073" uniqueCount="272">
  <si>
    <t>AVISTA UTILITIES</t>
  </si>
  <si>
    <t>Schedule 101 Billed Therms</t>
  </si>
  <si>
    <t>January</t>
  </si>
  <si>
    <t>February</t>
  </si>
  <si>
    <t>March</t>
  </si>
  <si>
    <t>April</t>
  </si>
  <si>
    <t>May</t>
  </si>
  <si>
    <t>June</t>
  </si>
  <si>
    <t>July</t>
  </si>
  <si>
    <t>August</t>
  </si>
  <si>
    <t>September</t>
  </si>
  <si>
    <t>October</t>
  </si>
  <si>
    <t>November</t>
  </si>
  <si>
    <t>December</t>
  </si>
  <si>
    <t>Annual Total</t>
  </si>
  <si>
    <t>Deduct Prior Month Unbilled Therms</t>
  </si>
  <si>
    <t>Add Current Month Unbilled Therms</t>
  </si>
  <si>
    <t>Normal DDH</t>
  </si>
  <si>
    <t>Actual DDH</t>
  </si>
  <si>
    <t>Normal - Actual DDH</t>
  </si>
  <si>
    <t>Sensitivity</t>
  </si>
  <si>
    <t>01</t>
  </si>
  <si>
    <t>21</t>
  </si>
  <si>
    <t>91</t>
  </si>
  <si>
    <t>Unbilled Calculation</t>
  </si>
  <si>
    <t>Unbilled DDH</t>
  </si>
  <si>
    <t>Unbilled Factor</t>
  </si>
  <si>
    <t>Res 101</t>
  </si>
  <si>
    <t>Com 101</t>
  </si>
  <si>
    <t>Ind 101</t>
  </si>
  <si>
    <t>Total 101</t>
  </si>
  <si>
    <t>Res 111</t>
  </si>
  <si>
    <t>Com 111</t>
  </si>
  <si>
    <t>Ind 111</t>
  </si>
  <si>
    <t>111</t>
  </si>
  <si>
    <t>01 RESIDENTIAL</t>
  </si>
  <si>
    <t>21 FIRM COMMERCIAL</t>
  </si>
  <si>
    <t>31 FIRM-MISCELLANEOUS INDUSTRIAL</t>
  </si>
  <si>
    <t>80 INTERDEPARTMENT REVENUE</t>
  </si>
  <si>
    <t>112</t>
  </si>
  <si>
    <t>101</t>
  </si>
  <si>
    <t>Weather Adjustment Calculation</t>
  </si>
  <si>
    <t>Add Weather Adjustment</t>
  </si>
  <si>
    <t>Schedule 101</t>
  </si>
  <si>
    <t>Schedule 111</t>
  </si>
  <si>
    <t>Avista Utilities</t>
  </si>
  <si>
    <t>Therms</t>
  </si>
  <si>
    <t>Ded: Prior Mo. Unbilled</t>
  </si>
  <si>
    <t>Add: Current Mo. Unbilled</t>
  </si>
  <si>
    <t>Add: Weather Adjustment</t>
  </si>
  <si>
    <t>Adjust to Annual Pro Forma</t>
  </si>
  <si>
    <t>Monthly Pro Forma Therms</t>
  </si>
  <si>
    <t>Customers / Billings</t>
  </si>
  <si>
    <t>Test Year Average Use/Cust</t>
  </si>
  <si>
    <t>Block 1 Percentage</t>
  </si>
  <si>
    <t>Block 2 Percentage</t>
  </si>
  <si>
    <t>Block 3 Percentage</t>
  </si>
  <si>
    <t>Preliminary Monthly Pro Forma Therms by Block</t>
  </si>
  <si>
    <t>Block 1</t>
  </si>
  <si>
    <t>Block 2</t>
  </si>
  <si>
    <t>Block 3</t>
  </si>
  <si>
    <t>Max PF Block 1 per # of Cust.</t>
  </si>
  <si>
    <t>Max PF Block 2 per # of Cust.</t>
  </si>
  <si>
    <t>Block Adjustments</t>
  </si>
  <si>
    <t>Final Monthly Pro Forma Therms by Block</t>
  </si>
  <si>
    <t>Revenue Run Therms</t>
  </si>
  <si>
    <t>Weather Normalization</t>
  </si>
  <si>
    <t>Total</t>
  </si>
  <si>
    <t>Degree Day Adjustment</t>
  </si>
  <si>
    <t>Customers by Schedule and Class</t>
  </si>
  <si>
    <t>31</t>
  </si>
  <si>
    <t>80</t>
  </si>
  <si>
    <t>121</t>
  </si>
  <si>
    <t>92</t>
  </si>
  <si>
    <t>131</t>
  </si>
  <si>
    <t>22</t>
  </si>
  <si>
    <t>132</t>
  </si>
  <si>
    <t>146</t>
  </si>
  <si>
    <t>147</t>
  </si>
  <si>
    <t>148</t>
  </si>
  <si>
    <t>158</t>
  </si>
  <si>
    <t>16</t>
  </si>
  <si>
    <t>17</t>
  </si>
  <si>
    <t>199</t>
  </si>
  <si>
    <t>19</t>
  </si>
  <si>
    <t>88</t>
  </si>
  <si>
    <t>112C</t>
  </si>
  <si>
    <t>112F</t>
  </si>
  <si>
    <t>122G</t>
  </si>
  <si>
    <t>122L</t>
  </si>
  <si>
    <t>122Q</t>
  </si>
  <si>
    <t>122S</t>
  </si>
  <si>
    <t>122W</t>
  </si>
  <si>
    <t>132W</t>
  </si>
  <si>
    <t>146I</t>
  </si>
  <si>
    <t>158A</t>
  </si>
  <si>
    <t xml:space="preserve">Gas Revenue Meters Report by Location  Twelve Months Ended  for Report Date : '12/31/2004'  </t>
  </si>
  <si>
    <t>State Cde:WA</t>
  </si>
  <si>
    <t>Usage</t>
  </si>
  <si>
    <t>Period</t>
  </si>
  <si>
    <t>200401</t>
  </si>
  <si>
    <t>200402</t>
  </si>
  <si>
    <t>200403</t>
  </si>
  <si>
    <t>200404</t>
  </si>
  <si>
    <t>200405</t>
  </si>
  <si>
    <t>200406</t>
  </si>
  <si>
    <t>200407</t>
  </si>
  <si>
    <t>200408</t>
  </si>
  <si>
    <t>200409</t>
  </si>
  <si>
    <t>200410</t>
  </si>
  <si>
    <t>200411</t>
  </si>
  <si>
    <t>200412</t>
  </si>
  <si>
    <t>12 Month Total</t>
  </si>
  <si>
    <t>Rate Schedule Num</t>
  </si>
  <si>
    <t>Revenue Class</t>
  </si>
  <si>
    <t>Total for 101</t>
  </si>
  <si>
    <t>Total for 111</t>
  </si>
  <si>
    <t>NULL</t>
  </si>
  <si>
    <t>Total for 112</t>
  </si>
  <si>
    <t>Total for 112C</t>
  </si>
  <si>
    <t>Total for 112F</t>
  </si>
  <si>
    <t>Total for 121</t>
  </si>
  <si>
    <t>122</t>
  </si>
  <si>
    <t>Total for 122</t>
  </si>
  <si>
    <t>Total for 122G</t>
  </si>
  <si>
    <t>Total for 122L</t>
  </si>
  <si>
    <t>Total for 122Q</t>
  </si>
  <si>
    <t>Total for 122S</t>
  </si>
  <si>
    <t>Total for 122W</t>
  </si>
  <si>
    <t>Total for 131</t>
  </si>
  <si>
    <t>Total for 132</t>
  </si>
  <si>
    <t>Total for 132W</t>
  </si>
  <si>
    <t>Total for 146</t>
  </si>
  <si>
    <t>Total for 146I</t>
  </si>
  <si>
    <t>93</t>
  </si>
  <si>
    <t>Total for 147</t>
  </si>
  <si>
    <t>Total for 148</t>
  </si>
  <si>
    <t>Total for 158</t>
  </si>
  <si>
    <t>Total for 158A</t>
  </si>
  <si>
    <t>90</t>
  </si>
  <si>
    <t>Total for 199</t>
  </si>
  <si>
    <t>Total for WA</t>
  </si>
  <si>
    <t>Gas Revenue Meters Report by Location  Twelve Months Ended  for Report Date : '12/31/2004'</t>
  </si>
  <si>
    <t>Meters</t>
  </si>
  <si>
    <t>12 Month Average</t>
  </si>
  <si>
    <t>2004 Baseload</t>
  </si>
  <si>
    <t>Report Block 1</t>
  </si>
  <si>
    <t>Report Block 2</t>
  </si>
  <si>
    <t>Report Block 3</t>
  </si>
  <si>
    <t>Washington - Gas</t>
  </si>
  <si>
    <t>Sch. 101</t>
  </si>
  <si>
    <t xml:space="preserve">  Total 101</t>
  </si>
  <si>
    <t xml:space="preserve">   Total</t>
  </si>
  <si>
    <t>Monthly Unbilled Calculation</t>
  </si>
  <si>
    <t>Sch. 111</t>
  </si>
  <si>
    <t xml:space="preserve">Adjust to Annual Pro Forma </t>
  </si>
  <si>
    <t>Weather Adj Calendar Therms</t>
  </si>
  <si>
    <t xml:space="preserve">   Weather Adj Calendar Therms</t>
  </si>
  <si>
    <t xml:space="preserve">      Times Current Margin Rate per Therm</t>
  </si>
  <si>
    <t xml:space="preserve">      Therm Difference</t>
  </si>
  <si>
    <t xml:space="preserve">   Margin/therm</t>
  </si>
  <si>
    <t xml:space="preserve">Washington - Gas - Test Year Calculations for Decoupling </t>
  </si>
  <si>
    <t>2004 - Docket No. UG-050483</t>
  </si>
  <si>
    <t>Usage from Revenue Run</t>
  </si>
  <si>
    <t>Per BJH(1)</t>
  </si>
  <si>
    <t xml:space="preserve">   Test Year Monthly Therms</t>
  </si>
  <si>
    <t>Ded: Prior Mo. Unbilled(2)</t>
  </si>
  <si>
    <t>Add: Current Mo. Unbilled(2)</t>
  </si>
  <si>
    <t>Add: Weather Adjustment(2)</t>
  </si>
  <si>
    <t>Base Rate/therm(3)</t>
  </si>
  <si>
    <t>Less Gas Cost/therm(4)</t>
  </si>
  <si>
    <t>Usage from Revenue Run(2)</t>
  </si>
  <si>
    <t>Test Yr Customers/Billings</t>
  </si>
  <si>
    <t>Test Yr Customers/Billings(2)</t>
  </si>
  <si>
    <t>Tail-block rate/therm(3)</t>
  </si>
  <si>
    <t>(1) From Hirschkorn workpapers in Docket No. 050483</t>
  </si>
  <si>
    <t>(2) From 2004 Data spreadsheet</t>
  </si>
  <si>
    <t>(3) From Attachment 1</t>
  </si>
  <si>
    <t>(4) Gas costs from Attachment 2 divided by pro forma therms</t>
  </si>
  <si>
    <t>04 Baseld(1)</t>
  </si>
  <si>
    <t>Use/DD/Cust(1)</t>
  </si>
  <si>
    <t>(1) From Attachment 3</t>
  </si>
  <si>
    <t>Less Test Year Therms</t>
  </si>
  <si>
    <t>Deduct New Customer Usage(1)</t>
  </si>
  <si>
    <t>Test Year Number of Customers by Class</t>
  </si>
  <si>
    <t>Approved Decoupling Mechanism</t>
  </si>
  <si>
    <t>Adjusted for Actual New Customer Usage</t>
  </si>
  <si>
    <t>2007 compared to 2004 Test Year</t>
  </si>
  <si>
    <t>(1) Per monthly reports - current month usage for new services opened since that month of the test year (2004)</t>
  </si>
  <si>
    <t>2007 Actual</t>
  </si>
  <si>
    <t xml:space="preserve">         Revenue Excess (Shortfall)</t>
  </si>
  <si>
    <t>90% Limitation</t>
  </si>
  <si>
    <t xml:space="preserve">Deferred Revenue Account Entry </t>
  </si>
  <si>
    <t>12 Months Ended June 2006 Actual</t>
  </si>
  <si>
    <t>1st Year Pilot Period Jan - Jun 2007</t>
  </si>
  <si>
    <t>YTD Total</t>
  </si>
  <si>
    <t>407328 or (407428)</t>
  </si>
  <si>
    <t>2nd Year Pilot Period July 2007 - June 2008</t>
  </si>
  <si>
    <t>Period to Date</t>
  </si>
  <si>
    <t>Correction July through September</t>
  </si>
  <si>
    <r>
      <t xml:space="preserve">      Times Current Margin Rate per Therm </t>
    </r>
    <r>
      <rPr>
        <b/>
        <i/>
        <sz val="10"/>
        <rFont val="Arial"/>
        <family val="2"/>
      </rPr>
      <t>(2)</t>
    </r>
  </si>
  <si>
    <r>
      <t xml:space="preserve">Revised Oct </t>
    </r>
    <r>
      <rPr>
        <b/>
        <i/>
        <sz val="10"/>
        <rFont val="Arial"/>
        <family val="2"/>
      </rPr>
      <t>(2)</t>
    </r>
  </si>
  <si>
    <t>Revised Margin Rate Calculation per Staff and Public Counsel agreement in Docket No. UG-071863</t>
  </si>
  <si>
    <t>Schedule 101 Rate/Therm</t>
  </si>
  <si>
    <t>Times: 1 minus Revenue Related Items</t>
  </si>
  <si>
    <t>Revenue prior to gross-up</t>
  </si>
  <si>
    <t>Less Weighted Average Gas Cost/Therm</t>
  </si>
  <si>
    <t>Revised Margin Rate/Therm</t>
  </si>
  <si>
    <t xml:space="preserve"> UG-070805 Proposed Calculation Method applied to UG-050483 approved tariff rate, revenue conversion factor, and embedded gas cost.</t>
  </si>
  <si>
    <t>Original Journal Entries</t>
  </si>
  <si>
    <t>New Base Rates January 1, 2008</t>
  </si>
  <si>
    <t>2006 - Docket No. UG-070805</t>
  </si>
  <si>
    <t>Sch 101 Base Rate/therm(3)</t>
  </si>
  <si>
    <t>Times:  1 minus Revenue Related Items (4)</t>
  </si>
  <si>
    <t>Revenue prior to gross up</t>
  </si>
  <si>
    <t>Less: Weighted Average Gas Cost/therm(5)</t>
  </si>
  <si>
    <t xml:space="preserve">   Margin Rate/therm</t>
  </si>
  <si>
    <t>(1) From Hirschkorn workpapers in Docket No. UG-070805  BJH -19, BJH -16, BJH - 15, and BJH - 14</t>
  </si>
  <si>
    <t>(2) From 2006 Monthly Data (below)</t>
  </si>
  <si>
    <t>(4) From Andrews Exhibit No.___(EMA-3), page 3, line 7</t>
  </si>
  <si>
    <t>2006 Monthly Data</t>
  </si>
  <si>
    <t>Monthly</t>
  </si>
  <si>
    <t>06 Baseld(1)</t>
  </si>
  <si>
    <t>Revenue Run Customers (Meters Billed)</t>
  </si>
  <si>
    <t>Class</t>
  </si>
  <si>
    <t>2006 Total</t>
  </si>
  <si>
    <t>Residential 101</t>
  </si>
  <si>
    <t>Commercial 101</t>
  </si>
  <si>
    <t>Industrial 101</t>
  </si>
  <si>
    <t>Interdepartmental 101</t>
  </si>
  <si>
    <t>2006 Test Year</t>
  </si>
  <si>
    <t>(1) Per monthly reports - current month usage for new services opened since that month of the test year (2004 for July through December, 2006 for January through June)</t>
  </si>
  <si>
    <t>Unbilled Calculation (2004 Test Year Factors)</t>
  </si>
  <si>
    <t>Weather Adjustment Calculation (2004 Test Year Factors)</t>
  </si>
  <si>
    <t>2004 Test Year Number of Customers by Class</t>
  </si>
  <si>
    <t>2007/2008 with 2007 compared to 2004 Test Year and 2008 compared to 2006 Test Year</t>
  </si>
  <si>
    <t>(3) From Schedule 101 effective January 1, 2008</t>
  </si>
  <si>
    <t>(5) From Andrews workpaper H13, cost of gas included in base rates.</t>
  </si>
  <si>
    <t>(2) Revised Margin Rate per Therm corrected in October per agreement with Staff and Public Counsel in Docket No. UG-071863, margin rate January through June from UG-070805 is exclusive of incremental revenue related cost items.</t>
  </si>
  <si>
    <t>3rd Year Pilot Period July 2008 - June 2009</t>
  </si>
  <si>
    <t>12 Months Ended June 2009 Actual</t>
  </si>
  <si>
    <t>2007 - Docket No. UG-080417</t>
  </si>
  <si>
    <t>(1) From Hirschkorn workpapers in Docket No. UG-080417  BJH -17, BJH -14, BJH - 22, and BJH - 1</t>
  </si>
  <si>
    <t>(2) From 2007 Monthly Data (below)</t>
  </si>
  <si>
    <t>(3) From Hirschkorn Exhibit No. ___(BJH-6), page 1 Proposed Schedule 101 per therm rate</t>
  </si>
  <si>
    <t>(5) From Andrews workpaper I15, cost of gas included in base rates.</t>
  </si>
  <si>
    <t>(6) From Hirschkorn workpapers in Docket No. UG-080417  BJH -22, BJH -21, BJH -23, BJH -25 and BJH -15</t>
  </si>
  <si>
    <t>2007 Monthly Data</t>
  </si>
  <si>
    <t>Degree Day Adjustment (1,6)</t>
  </si>
  <si>
    <t>Use/DD/Cust(6)</t>
  </si>
  <si>
    <t>Unbilled DDH (6)</t>
  </si>
  <si>
    <t>Unbilled Factor (6)</t>
  </si>
  <si>
    <t>07 Baseld(1)</t>
  </si>
  <si>
    <t>2007 Total</t>
  </si>
  <si>
    <t xml:space="preserve">2008/2009 compared to 2006 Test Year Jul to Dec, compared to 2007 Test Year Jan to Jun </t>
  </si>
  <si>
    <t>2007 Test Year</t>
  </si>
  <si>
    <t>(1) Per monthly reports - current month usage for new services opened since that month of the test year (2006 for July through December and 2007 for January through June)</t>
  </si>
  <si>
    <t>Correction for December 2007</t>
  </si>
  <si>
    <t>Original Journal Entry</t>
  </si>
  <si>
    <t>Correction for December 2007 New Customer Report Error</t>
  </si>
  <si>
    <t>January 2009 Net Journal Entry</t>
  </si>
  <si>
    <t>New Rates Effective 01/01/2009 with 2007 Test Year</t>
  </si>
  <si>
    <t>Revenue Run Customers</t>
  </si>
  <si>
    <t>change in revenue run customers</t>
  </si>
  <si>
    <t>New service billings on schedule 101</t>
  </si>
  <si>
    <t>Average Use per Customer</t>
  </si>
  <si>
    <t>Per Revenue Runs Total Schedule 101</t>
  </si>
  <si>
    <t>Per New Customer Report</t>
  </si>
  <si>
    <t>New cust rept less change in rev run cust</t>
  </si>
  <si>
    <t>New cust report therms / Rev Run change in cust</t>
  </si>
  <si>
    <t>Actual Degree Days</t>
  </si>
  <si>
    <t>Normal Degree Days (25 Year Average 1983 - 2007)</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</si>
</sst>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_(* #,##0.00000_);_(* \(#,##0.00000\);_(* &quot;-&quot;?????_);_(@_)"/>
    <numFmt numFmtId="169" formatCode="&quot;$&quot;#,##0"/>
    <numFmt numFmtId="170" formatCode="0.000000"/>
    <numFmt numFmtId="171" formatCode="0.00000"/>
    <numFmt numFmtId="172" formatCode="0.0000"/>
    <numFmt numFmtId="173" formatCode="0.000"/>
    <numFmt numFmtId="174" formatCode="0.0"/>
    <numFmt numFmtId="175" formatCode="_(* #,##0.0_);_(* \(#,##0.0\);_(* &quot;-&quot;?_);_(@_)"/>
    <numFmt numFmtId="176" formatCode="mmm/yyyy"/>
    <numFmt numFmtId="177" formatCode="_(* #,##0.000_);_(* \(#,##0.000\);_(* &quot;-&quot;??_);_(@_)"/>
    <numFmt numFmtId="178" formatCode="_(* #,##0.0000_);_(* \(#,##0.0000\);_(* &quot;-&quot;??_);_(@_)"/>
    <numFmt numFmtId="179" formatCode="_(* #,##0.00000_);_(* \(#,##0.00000\);_(* &quot;-&quot;??_);_(@_)"/>
    <numFmt numFmtId="180" formatCode="0.0%"/>
    <numFmt numFmtId="181" formatCode="#,###,###,##0"/>
    <numFmt numFmtId="182" formatCode="#,###,###,###,##0"/>
    <numFmt numFmtId="183" formatCode="0.000%"/>
    <numFmt numFmtId="184" formatCode="0.0000%"/>
    <numFmt numFmtId="185" formatCode="_(* #,##0.0000_);_(* \(#,##0.0000\);_(* &quot;-&quot;????_);_(@_)"/>
    <numFmt numFmtId="186" formatCode="0.00000000"/>
    <numFmt numFmtId="187" formatCode="0.0000000"/>
    <numFmt numFmtId="188" formatCode="&quot;$&quot;#,##0.00000_);\(&quot;$&quot;#,##0.00000\)"/>
    <numFmt numFmtId="189" formatCode="#,##0.00000_);\(#,##0.00000\)"/>
    <numFmt numFmtId="190" formatCode="&quot;$&quot;#,##0.0_);\(&quot;$&quot;#,##0.0\)"/>
    <numFmt numFmtId="191" formatCode="&quot;$&quot;#,##0.00000"/>
    <numFmt numFmtId="192" formatCode="_(* #,##0.000_);_(* \(#,##0.000\);_(* &quot;-&quot;???_);_(@_)"/>
    <numFmt numFmtId="193" formatCode="#,##0,;\-#,##0,"/>
  </numFmts>
  <fonts count="15">
    <font>
      <sz val="10"/>
      <name val="Arial"/>
      <family val="0"/>
    </font>
    <font>
      <b/>
      <sz val="10"/>
      <name val="Arial"/>
      <family val="2"/>
    </font>
    <font>
      <sz val="10"/>
      <color indexed="8"/>
      <name val="Times New Roman"/>
      <family val="1"/>
    </font>
    <font>
      <sz val="1"/>
      <color indexed="8"/>
      <name val="Arial"/>
      <family val="0"/>
    </font>
    <font>
      <sz val="10"/>
      <color indexed="8"/>
      <name val="Arial"/>
      <family val="2"/>
    </font>
    <font>
      <sz val="10"/>
      <color indexed="10"/>
      <name val="Arial"/>
      <family val="2"/>
    </font>
    <font>
      <sz val="10"/>
      <color indexed="12"/>
      <name val="Arial"/>
      <family val="2"/>
    </font>
    <font>
      <u val="single"/>
      <sz val="10"/>
      <name val="Arial"/>
      <family val="2"/>
    </font>
    <font>
      <b/>
      <u val="single"/>
      <sz val="10"/>
      <name val="Arial"/>
      <family val="2"/>
    </font>
    <font>
      <u val="singleAccounting"/>
      <sz val="10"/>
      <name val="Arial"/>
      <family val="2"/>
    </font>
    <font>
      <b/>
      <i/>
      <sz val="10"/>
      <name val="Arial"/>
      <family val="2"/>
    </font>
    <font>
      <b/>
      <sz val="8"/>
      <name val="Tahoma"/>
      <family val="0"/>
    </font>
    <font>
      <sz val="8"/>
      <name val="Tahoma"/>
      <family val="0"/>
    </font>
    <font>
      <sz val="9"/>
      <name val="Arial"/>
      <family val="0"/>
    </font>
    <font>
      <b/>
      <sz val="8"/>
      <name val="Arial"/>
      <family val="2"/>
    </font>
  </fonts>
  <fills count="8">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15"/>
        <bgColor indexed="64"/>
      </patternFill>
    </fill>
    <fill>
      <patternFill patternType="solid">
        <fgColor indexed="16"/>
        <bgColor indexed="64"/>
      </patternFill>
    </fill>
    <fill>
      <patternFill patternType="solid">
        <fgColor indexed="43"/>
        <bgColor indexed="64"/>
      </patternFill>
    </fill>
    <fill>
      <patternFill patternType="solid">
        <fgColor indexed="41"/>
        <bgColor indexed="64"/>
      </patternFill>
    </fill>
  </fills>
  <borders count="13">
    <border>
      <left/>
      <right/>
      <top/>
      <bottom/>
      <diagonal/>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style="medium"/>
      <top style="medium"/>
      <bottom style="medium"/>
    </border>
    <border>
      <left style="thick"/>
      <right>
        <color indexed="63"/>
      </right>
      <top>
        <color indexed="63"/>
      </top>
      <bottom>
        <color indexed="63"/>
      </bottom>
    </border>
    <border>
      <left style="thick"/>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167" fontId="0" fillId="0" borderId="0" xfId="15" applyNumberFormat="1" applyFont="1" applyAlignment="1">
      <alignment/>
    </xf>
    <xf numFmtId="0" fontId="0" fillId="0" borderId="0" xfId="0" applyFont="1" applyAlignment="1">
      <alignment/>
    </xf>
    <xf numFmtId="165" fontId="0" fillId="0" borderId="0" xfId="17" applyNumberFormat="1" applyFont="1" applyAlignment="1">
      <alignment/>
    </xf>
    <xf numFmtId="167" fontId="0" fillId="0" borderId="0" xfId="0" applyNumberFormat="1" applyFont="1" applyAlignment="1">
      <alignment/>
    </xf>
    <xf numFmtId="167" fontId="0" fillId="0" borderId="1" xfId="0" applyNumberFormat="1" applyFont="1" applyBorder="1" applyAlignment="1">
      <alignment/>
    </xf>
    <xf numFmtId="0" fontId="1" fillId="0" borderId="0" xfId="0" applyFont="1" applyAlignment="1">
      <alignment/>
    </xf>
    <xf numFmtId="167" fontId="0" fillId="0" borderId="0" xfId="0" applyNumberFormat="1" applyFont="1" applyBorder="1" applyAlignment="1">
      <alignment/>
    </xf>
    <xf numFmtId="167" fontId="0" fillId="0" borderId="0" xfId="0" applyNumberFormat="1" applyBorder="1" applyAlignment="1">
      <alignment/>
    </xf>
    <xf numFmtId="167" fontId="0" fillId="0" borderId="0" xfId="15" applyNumberFormat="1" applyAlignment="1">
      <alignment/>
    </xf>
    <xf numFmtId="167" fontId="0" fillId="0" borderId="0" xfId="0" applyNumberFormat="1" applyAlignment="1">
      <alignment/>
    </xf>
    <xf numFmtId="167" fontId="0" fillId="0" borderId="0" xfId="15" applyNumberFormat="1" applyAlignment="1">
      <alignment/>
    </xf>
    <xf numFmtId="167" fontId="0" fillId="0" borderId="1" xfId="0" applyNumberFormat="1" applyBorder="1" applyAlignment="1">
      <alignment/>
    </xf>
    <xf numFmtId="0" fontId="1" fillId="0" borderId="0" xfId="0" applyFont="1" applyAlignment="1">
      <alignment horizontal="center"/>
    </xf>
    <xf numFmtId="0" fontId="0" fillId="0" borderId="0" xfId="0" applyAlignment="1">
      <alignment horizontal="left"/>
    </xf>
    <xf numFmtId="167" fontId="0" fillId="0" borderId="1" xfId="15" applyNumberFormat="1" applyFont="1" applyBorder="1" applyAlignment="1">
      <alignment/>
    </xf>
    <xf numFmtId="17" fontId="1" fillId="0" borderId="0" xfId="0" applyNumberFormat="1" applyFont="1" applyAlignment="1">
      <alignment/>
    </xf>
    <xf numFmtId="167" fontId="0" fillId="0" borderId="0" xfId="15" applyNumberFormat="1" applyFill="1" applyAlignment="1">
      <alignment/>
    </xf>
    <xf numFmtId="167" fontId="0" fillId="0" borderId="0" xfId="0" applyNumberFormat="1" applyFill="1" applyAlignment="1">
      <alignment/>
    </xf>
    <xf numFmtId="167" fontId="0" fillId="2" borderId="0" xfId="15" applyNumberFormat="1" applyFill="1" applyAlignment="1">
      <alignment/>
    </xf>
    <xf numFmtId="180" fontId="0" fillId="0" borderId="0" xfId="19" applyNumberFormat="1" applyAlignment="1">
      <alignment/>
    </xf>
    <xf numFmtId="167" fontId="0" fillId="0" borderId="1" xfId="15" applyNumberFormat="1" applyBorder="1" applyAlignment="1">
      <alignment/>
    </xf>
    <xf numFmtId="167" fontId="0" fillId="0" borderId="0" xfId="15" applyNumberFormat="1" applyBorder="1" applyAlignment="1">
      <alignment/>
    </xf>
    <xf numFmtId="166" fontId="0" fillId="0" borderId="0" xfId="15" applyNumberFormat="1" applyBorder="1" applyAlignment="1">
      <alignment/>
    </xf>
    <xf numFmtId="10" fontId="0" fillId="0" borderId="0" xfId="19" applyNumberFormat="1" applyBorder="1" applyAlignment="1">
      <alignment/>
    </xf>
    <xf numFmtId="10" fontId="0" fillId="0" borderId="0" xfId="19" applyNumberFormat="1" applyAlignment="1">
      <alignment/>
    </xf>
    <xf numFmtId="0" fontId="2" fillId="3" borderId="2" xfId="0" applyFont="1" applyFill="1" applyBorder="1" applyAlignment="1">
      <alignment horizontal="left" vertical="top"/>
    </xf>
    <xf numFmtId="0" fontId="2" fillId="3" borderId="2" xfId="0" applyFont="1" applyFill="1" applyBorder="1" applyAlignment="1">
      <alignment horizontal="center" vertical="center"/>
    </xf>
    <xf numFmtId="0" fontId="2" fillId="4" borderId="2" xfId="0" applyFont="1" applyFill="1" applyBorder="1" applyAlignment="1">
      <alignment horizontal="center" vertical="top"/>
    </xf>
    <xf numFmtId="181" fontId="2" fillId="4" borderId="2" xfId="0" applyNumberFormat="1" applyFont="1" applyFill="1" applyBorder="1" applyAlignment="1">
      <alignment horizontal="right" vertical="top"/>
    </xf>
    <xf numFmtId="182" fontId="2" fillId="4" borderId="2" xfId="0" applyNumberFormat="1" applyFont="1" applyFill="1" applyBorder="1" applyAlignment="1">
      <alignment horizontal="right" vertical="top"/>
    </xf>
    <xf numFmtId="182" fontId="2" fillId="5" borderId="2" xfId="0" applyNumberFormat="1" applyFont="1" applyFill="1" applyBorder="1" applyAlignment="1">
      <alignment horizontal="right" vertical="top"/>
    </xf>
    <xf numFmtId="0" fontId="3" fillId="0" borderId="3" xfId="0" applyFont="1" applyFill="1" applyBorder="1" applyAlignment="1">
      <alignment horizontal="right" vertical="top"/>
    </xf>
    <xf numFmtId="0" fontId="3" fillId="0" borderId="4" xfId="0" applyFont="1" applyFill="1" applyBorder="1" applyAlignment="1">
      <alignment horizontal="right" vertical="top"/>
    </xf>
    <xf numFmtId="0" fontId="2" fillId="0" borderId="2" xfId="0" applyFont="1" applyFill="1" applyBorder="1" applyAlignment="1">
      <alignment horizontal="center" vertical="center"/>
    </xf>
    <xf numFmtId="0" fontId="3" fillId="0" borderId="5" xfId="0" applyFont="1" applyFill="1" applyBorder="1" applyAlignment="1">
      <alignment horizontal="right" vertical="top"/>
    </xf>
    <xf numFmtId="0" fontId="3" fillId="0" borderId="6" xfId="0" applyFont="1" applyFill="1" applyBorder="1" applyAlignment="1">
      <alignment horizontal="right" vertical="top"/>
    </xf>
    <xf numFmtId="0" fontId="2" fillId="0" borderId="2" xfId="0" applyFont="1" applyFill="1" applyBorder="1" applyAlignment="1">
      <alignment horizontal="left" vertical="top"/>
    </xf>
    <xf numFmtId="0" fontId="4" fillId="0" borderId="2" xfId="0" applyFont="1" applyFill="1" applyBorder="1" applyAlignment="1">
      <alignment horizontal="left" vertical="top"/>
    </xf>
    <xf numFmtId="0" fontId="3" fillId="0" borderId="2" xfId="0" applyFont="1" applyFill="1" applyBorder="1" applyAlignment="1">
      <alignment horizontal="righ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0" fontId="2" fillId="0" borderId="2" xfId="0" applyFont="1" applyFill="1" applyBorder="1" applyAlignment="1">
      <alignment horizontal="center" vertical="top"/>
    </xf>
    <xf numFmtId="0" fontId="5" fillId="0" borderId="0" xfId="0" applyFont="1" applyAlignment="1">
      <alignment/>
    </xf>
    <xf numFmtId="10" fontId="0" fillId="0" borderId="0" xfId="19" applyNumberFormat="1" applyFont="1" applyAlignment="1">
      <alignment/>
    </xf>
    <xf numFmtId="174" fontId="0" fillId="0" borderId="0" xfId="0" applyNumberFormat="1" applyFont="1" applyAlignment="1">
      <alignment/>
    </xf>
    <xf numFmtId="0" fontId="2" fillId="4" borderId="2" xfId="0" applyFont="1" applyFill="1" applyBorder="1" applyAlignment="1">
      <alignment horizontal="right" vertical="top"/>
    </xf>
    <xf numFmtId="182" fontId="2" fillId="0" borderId="2" xfId="0" applyNumberFormat="1" applyFont="1" applyFill="1" applyBorder="1" applyAlignment="1">
      <alignment horizontal="right" vertical="top"/>
    </xf>
    <xf numFmtId="182" fontId="2" fillId="6" borderId="2" xfId="0" applyNumberFormat="1" applyFont="1" applyFill="1" applyBorder="1" applyAlignment="1">
      <alignment horizontal="right" vertical="top"/>
    </xf>
    <xf numFmtId="181" fontId="2" fillId="6" borderId="2" xfId="0" applyNumberFormat="1" applyFont="1" applyFill="1" applyBorder="1" applyAlignment="1">
      <alignment horizontal="right" vertical="top"/>
    </xf>
    <xf numFmtId="181" fontId="2" fillId="0" borderId="2" xfId="0" applyNumberFormat="1" applyFont="1" applyFill="1" applyBorder="1" applyAlignment="1">
      <alignment horizontal="right" vertical="top"/>
    </xf>
    <xf numFmtId="167" fontId="0" fillId="0" borderId="0" xfId="15" applyNumberFormat="1" applyFont="1" applyFill="1" applyAlignment="1">
      <alignment/>
    </xf>
    <xf numFmtId="167" fontId="0" fillId="6" borderId="0" xfId="15" applyNumberFormat="1" applyFill="1" applyAlignment="1">
      <alignment/>
    </xf>
    <xf numFmtId="167" fontId="6" fillId="0" borderId="0" xfId="15" applyNumberFormat="1" applyFont="1" applyAlignment="1">
      <alignment/>
    </xf>
    <xf numFmtId="167" fontId="6" fillId="0" borderId="0" xfId="15" applyNumberFormat="1" applyFont="1" applyFill="1" applyAlignment="1">
      <alignment/>
    </xf>
    <xf numFmtId="184" fontId="0" fillId="0" borderId="0" xfId="19" applyNumberFormat="1" applyAlignment="1">
      <alignment/>
    </xf>
    <xf numFmtId="171" fontId="0" fillId="0" borderId="0" xfId="0" applyNumberFormat="1"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quotePrefix="1">
      <alignment horizontal="right"/>
    </xf>
    <xf numFmtId="0" fontId="7" fillId="0" borderId="0" xfId="0" applyFont="1" applyAlignment="1">
      <alignment horizontal="right"/>
    </xf>
    <xf numFmtId="17" fontId="7" fillId="0" borderId="0" xfId="0" applyNumberFormat="1" applyFont="1" applyAlignment="1">
      <alignment horizontal="right"/>
    </xf>
    <xf numFmtId="167" fontId="9" fillId="0" borderId="0" xfId="0" applyNumberFormat="1" applyFont="1" applyAlignment="1">
      <alignment/>
    </xf>
    <xf numFmtId="167" fontId="9" fillId="0" borderId="0" xfId="0" applyNumberFormat="1" applyFont="1" applyBorder="1" applyAlignment="1">
      <alignment/>
    </xf>
    <xf numFmtId="10" fontId="0" fillId="0" borderId="0" xfId="19" applyNumberFormat="1" applyFill="1" applyBorder="1" applyAlignment="1">
      <alignment/>
    </xf>
    <xf numFmtId="167" fontId="9" fillId="0" borderId="0" xfId="15" applyNumberFormat="1" applyFont="1" applyAlignment="1">
      <alignment/>
    </xf>
    <xf numFmtId="17" fontId="8" fillId="0" borderId="0" xfId="0" applyNumberFormat="1" applyFont="1" applyAlignment="1">
      <alignment/>
    </xf>
    <xf numFmtId="0" fontId="7" fillId="0" borderId="0" xfId="0" applyFont="1" applyAlignment="1">
      <alignment horizontal="center"/>
    </xf>
    <xf numFmtId="0" fontId="8" fillId="0" borderId="0" xfId="0" applyFont="1" applyAlignment="1">
      <alignment horizontal="center"/>
    </xf>
    <xf numFmtId="17" fontId="7" fillId="0" borderId="0" xfId="0" applyNumberFormat="1" applyFont="1" applyAlignment="1">
      <alignment/>
    </xf>
    <xf numFmtId="188" fontId="1" fillId="0" borderId="0" xfId="0" applyNumberFormat="1" applyFont="1" applyAlignment="1">
      <alignment/>
    </xf>
    <xf numFmtId="0" fontId="1" fillId="0" borderId="0" xfId="0" applyFont="1" applyAlignment="1">
      <alignment horizontal="left"/>
    </xf>
    <xf numFmtId="0" fontId="10" fillId="0" borderId="0" xfId="0" applyFont="1" applyAlignment="1">
      <alignment/>
    </xf>
    <xf numFmtId="9" fontId="0" fillId="0" borderId="0" xfId="19" applyFont="1" applyAlignment="1">
      <alignment/>
    </xf>
    <xf numFmtId="5" fontId="1" fillId="0" borderId="10" xfId="17" applyNumberFormat="1" applyFont="1" applyBorder="1" applyAlignment="1">
      <alignment/>
    </xf>
    <xf numFmtId="5" fontId="0" fillId="0" borderId="0" xfId="17" applyNumberFormat="1" applyFont="1" applyAlignment="1">
      <alignment/>
    </xf>
    <xf numFmtId="0" fontId="0" fillId="0" borderId="0" xfId="0" applyFont="1" applyAlignment="1">
      <alignment horizontal="right"/>
    </xf>
    <xf numFmtId="5" fontId="1" fillId="0" borderId="0" xfId="17" applyNumberFormat="1" applyFont="1" applyAlignment="1">
      <alignment/>
    </xf>
    <xf numFmtId="5" fontId="1" fillId="0" borderId="0" xfId="17" applyNumberFormat="1" applyFont="1" applyBorder="1" applyAlignment="1">
      <alignment/>
    </xf>
    <xf numFmtId="167" fontId="1" fillId="0" borderId="0" xfId="15" applyNumberFormat="1" applyFont="1" applyAlignment="1">
      <alignment/>
    </xf>
    <xf numFmtId="167" fontId="1" fillId="0" borderId="0" xfId="0" applyNumberFormat="1" applyFont="1" applyAlignment="1">
      <alignment/>
    </xf>
    <xf numFmtId="166" fontId="6" fillId="0" borderId="0" xfId="15" applyNumberFormat="1" applyFont="1" applyBorder="1" applyAlignment="1">
      <alignment/>
    </xf>
    <xf numFmtId="5" fontId="1" fillId="0" borderId="0" xfId="17" applyNumberFormat="1" applyFont="1" applyFill="1" applyAlignment="1">
      <alignment/>
    </xf>
    <xf numFmtId="166" fontId="0" fillId="7" borderId="0" xfId="15" applyNumberFormat="1" applyFill="1" applyBorder="1" applyAlignment="1">
      <alignment/>
    </xf>
    <xf numFmtId="10" fontId="0" fillId="7" borderId="0" xfId="19" applyNumberFormat="1" applyFill="1" applyBorder="1" applyAlignment="1">
      <alignment/>
    </xf>
    <xf numFmtId="17" fontId="1" fillId="0" borderId="0" xfId="0" applyNumberFormat="1" applyFont="1" applyAlignment="1">
      <alignment horizontal="right"/>
    </xf>
    <xf numFmtId="167" fontId="6" fillId="0" borderId="0" xfId="0" applyNumberFormat="1" applyFont="1" applyBorder="1" applyAlignment="1">
      <alignment/>
    </xf>
    <xf numFmtId="166" fontId="6" fillId="0" borderId="0" xfId="15" applyNumberFormat="1" applyFont="1" applyFill="1" applyBorder="1" applyAlignment="1">
      <alignment/>
    </xf>
    <xf numFmtId="167" fontId="6" fillId="0" borderId="0" xfId="0" applyNumberFormat="1" applyFont="1" applyFill="1" applyBorder="1" applyAlignment="1">
      <alignment/>
    </xf>
    <xf numFmtId="0" fontId="0" fillId="0" borderId="0" xfId="0" applyAlignment="1">
      <alignment horizontal="center"/>
    </xf>
    <xf numFmtId="167" fontId="0" fillId="0" borderId="0" xfId="15" applyNumberFormat="1" applyFont="1" applyAlignment="1">
      <alignment horizontal="center"/>
    </xf>
    <xf numFmtId="191" fontId="0" fillId="0" borderId="0" xfId="0" applyNumberFormat="1" applyFont="1" applyAlignment="1">
      <alignment/>
    </xf>
    <xf numFmtId="191" fontId="0" fillId="0" borderId="1" xfId="0" applyNumberFormat="1" applyFont="1" applyBorder="1" applyAlignment="1">
      <alignment/>
    </xf>
    <xf numFmtId="191" fontId="1" fillId="0" borderId="0" xfId="0" applyNumberFormat="1" applyFont="1" applyAlignment="1">
      <alignment/>
    </xf>
    <xf numFmtId="167" fontId="0" fillId="0" borderId="0" xfId="15" applyNumberFormat="1" applyFont="1" applyAlignment="1">
      <alignment horizontal="left"/>
    </xf>
    <xf numFmtId="167" fontId="0" fillId="0" borderId="0" xfId="15" applyNumberFormat="1" applyFont="1" applyBorder="1" applyAlignment="1">
      <alignment/>
    </xf>
    <xf numFmtId="188" fontId="0" fillId="0" borderId="0" xfId="17" applyNumberFormat="1" applyFont="1" applyFill="1" applyAlignment="1">
      <alignment/>
    </xf>
    <xf numFmtId="0" fontId="0" fillId="0" borderId="0" xfId="0" applyFont="1" applyFill="1" applyAlignment="1">
      <alignment/>
    </xf>
    <xf numFmtId="188" fontId="0" fillId="0" borderId="1" xfId="17" applyNumberFormat="1" applyFont="1" applyFill="1" applyBorder="1" applyAlignment="1">
      <alignment/>
    </xf>
    <xf numFmtId="188" fontId="0" fillId="0" borderId="0" xfId="17" applyNumberFormat="1" applyFont="1" applyFill="1" applyBorder="1" applyAlignment="1">
      <alignment/>
    </xf>
    <xf numFmtId="188" fontId="1" fillId="0" borderId="1" xfId="0" applyNumberFormat="1" applyFont="1" applyFill="1" applyBorder="1" applyAlignment="1">
      <alignment/>
    </xf>
    <xf numFmtId="184" fontId="0" fillId="0" borderId="0" xfId="19" applyNumberFormat="1" applyAlignment="1">
      <alignment/>
    </xf>
    <xf numFmtId="0" fontId="7" fillId="0" borderId="0" xfId="0" applyFont="1" applyAlignment="1">
      <alignment horizontal="center"/>
    </xf>
    <xf numFmtId="173" fontId="0" fillId="0" borderId="0" xfId="0" applyNumberFormat="1" applyAlignment="1">
      <alignment/>
    </xf>
    <xf numFmtId="172" fontId="0" fillId="0" borderId="0" xfId="0" applyNumberFormat="1" applyAlignment="1">
      <alignment/>
    </xf>
    <xf numFmtId="0" fontId="7" fillId="0" borderId="0" xfId="0" applyFont="1" applyAlignment="1">
      <alignment horizontal="right"/>
    </xf>
    <xf numFmtId="0" fontId="0" fillId="0" borderId="0" xfId="0" applyAlignment="1" quotePrefix="1">
      <alignment horizontal="center"/>
    </xf>
    <xf numFmtId="0" fontId="0" fillId="3" borderId="0" xfId="0" applyFont="1" applyFill="1" applyAlignment="1">
      <alignment/>
    </xf>
    <xf numFmtId="0" fontId="0" fillId="0" borderId="0" xfId="0" applyBorder="1" applyAlignment="1">
      <alignment/>
    </xf>
    <xf numFmtId="17" fontId="7" fillId="0" borderId="0" xfId="0" applyNumberFormat="1" applyFont="1" applyBorder="1" applyAlignment="1">
      <alignment/>
    </xf>
    <xf numFmtId="174" fontId="0" fillId="7" borderId="0" xfId="0" applyNumberFormat="1" applyFont="1" applyFill="1" applyAlignment="1">
      <alignment/>
    </xf>
    <xf numFmtId="0" fontId="0" fillId="7" borderId="0" xfId="0" applyFont="1" applyFill="1" applyAlignment="1">
      <alignment/>
    </xf>
    <xf numFmtId="174" fontId="0" fillId="7" borderId="0" xfId="0" applyNumberFormat="1" applyFill="1" applyAlignment="1">
      <alignment/>
    </xf>
    <xf numFmtId="10" fontId="0" fillId="7" borderId="0" xfId="19" applyNumberFormat="1" applyFont="1" applyFill="1" applyAlignment="1">
      <alignment/>
    </xf>
    <xf numFmtId="10" fontId="0" fillId="7" borderId="0" xfId="19" applyNumberFormat="1" applyFill="1" applyAlignment="1">
      <alignment/>
    </xf>
    <xf numFmtId="10" fontId="0" fillId="0" borderId="0" xfId="19" applyNumberFormat="1" applyFont="1" applyBorder="1" applyAlignment="1">
      <alignment/>
    </xf>
    <xf numFmtId="172" fontId="0" fillId="0" borderId="0" xfId="0" applyNumberFormat="1" applyBorder="1" applyAlignment="1">
      <alignment/>
    </xf>
    <xf numFmtId="167" fontId="6" fillId="0" borderId="0" xfId="0" applyNumberFormat="1" applyFont="1" applyFill="1" applyAlignment="1">
      <alignment/>
    </xf>
    <xf numFmtId="10" fontId="6" fillId="0" borderId="0" xfId="19" applyNumberFormat="1" applyFont="1" applyFill="1" applyBorder="1" applyAlignment="1">
      <alignment/>
    </xf>
    <xf numFmtId="166" fontId="0" fillId="0" borderId="0" xfId="15" applyNumberFormat="1" applyFill="1" applyBorder="1" applyAlignment="1">
      <alignment/>
    </xf>
    <xf numFmtId="0" fontId="0" fillId="3" borderId="0" xfId="0" applyFill="1" applyAlignment="1">
      <alignment/>
    </xf>
    <xf numFmtId="0" fontId="0" fillId="0" borderId="0" xfId="0" applyFill="1" applyAlignment="1">
      <alignment/>
    </xf>
    <xf numFmtId="174" fontId="0" fillId="0" borderId="0" xfId="0" applyNumberFormat="1" applyFont="1" applyFill="1" applyAlignment="1">
      <alignment/>
    </xf>
    <xf numFmtId="10" fontId="0" fillId="0" borderId="0" xfId="19" applyNumberFormat="1" applyFont="1" applyFill="1" applyAlignment="1">
      <alignment/>
    </xf>
    <xf numFmtId="10" fontId="0" fillId="0" borderId="0" xfId="19" applyNumberFormat="1" applyFill="1" applyAlignment="1">
      <alignment/>
    </xf>
    <xf numFmtId="0" fontId="0" fillId="0" borderId="11" xfId="0" applyFont="1" applyBorder="1" applyAlignment="1">
      <alignment/>
    </xf>
    <xf numFmtId="0" fontId="1" fillId="0" borderId="11" xfId="0" applyFont="1" applyBorder="1" applyAlignment="1">
      <alignment horizontal="center"/>
    </xf>
    <xf numFmtId="0" fontId="8" fillId="0" borderId="11" xfId="0" applyFont="1" applyBorder="1" applyAlignment="1">
      <alignment horizontal="center"/>
    </xf>
    <xf numFmtId="167" fontId="0" fillId="0" borderId="11" xfId="15" applyNumberFormat="1" applyFont="1" applyFill="1" applyBorder="1" applyAlignment="1">
      <alignment/>
    </xf>
    <xf numFmtId="167" fontId="6" fillId="0" borderId="11" xfId="15" applyNumberFormat="1" applyFont="1" applyFill="1" applyBorder="1" applyAlignment="1">
      <alignment/>
    </xf>
    <xf numFmtId="167" fontId="0" fillId="0" borderId="12" xfId="0" applyNumberFormat="1" applyFont="1" applyBorder="1" applyAlignment="1">
      <alignment/>
    </xf>
    <xf numFmtId="167" fontId="0" fillId="0" borderId="11" xfId="0" applyNumberFormat="1" applyFont="1" applyBorder="1" applyAlignment="1">
      <alignment/>
    </xf>
    <xf numFmtId="167" fontId="0" fillId="0" borderId="11" xfId="0" applyNumberFormat="1" applyBorder="1" applyAlignment="1">
      <alignment/>
    </xf>
    <xf numFmtId="167" fontId="0" fillId="0" borderId="12" xfId="0" applyNumberFormat="1" applyBorder="1" applyAlignment="1">
      <alignment/>
    </xf>
    <xf numFmtId="0" fontId="7" fillId="0" borderId="11" xfId="0" applyFont="1" applyBorder="1" applyAlignment="1">
      <alignment/>
    </xf>
    <xf numFmtId="5" fontId="1" fillId="0" borderId="11" xfId="17" applyNumberFormat="1" applyFont="1" applyBorder="1" applyAlignment="1">
      <alignment/>
    </xf>
    <xf numFmtId="9" fontId="0" fillId="0" borderId="11" xfId="19" applyFont="1" applyBorder="1" applyAlignment="1">
      <alignment/>
    </xf>
    <xf numFmtId="167" fontId="0" fillId="0" borderId="11" xfId="15" applyNumberFormat="1" applyFont="1" applyBorder="1" applyAlignment="1">
      <alignment/>
    </xf>
    <xf numFmtId="167" fontId="6" fillId="3" borderId="0" xfId="15" applyNumberFormat="1" applyFont="1" applyFill="1" applyAlignment="1">
      <alignment/>
    </xf>
    <xf numFmtId="167" fontId="1" fillId="0" borderId="0" xfId="15" applyNumberFormat="1" applyFont="1" applyBorder="1" applyAlignment="1">
      <alignment/>
    </xf>
    <xf numFmtId="174" fontId="6" fillId="0" borderId="0" xfId="0" applyNumberFormat="1" applyFont="1" applyFill="1" applyAlignment="1">
      <alignment/>
    </xf>
    <xf numFmtId="10" fontId="6" fillId="0" borderId="0" xfId="19" applyNumberFormat="1" applyFont="1" applyFill="1" applyAlignment="1">
      <alignment/>
    </xf>
    <xf numFmtId="0" fontId="1" fillId="0" borderId="11" xfId="0" applyFont="1" applyBorder="1" applyAlignment="1">
      <alignment/>
    </xf>
    <xf numFmtId="165" fontId="1" fillId="0" borderId="0" xfId="17" applyNumberFormat="1" applyFont="1" applyBorder="1" applyAlignment="1">
      <alignment/>
    </xf>
    <xf numFmtId="0" fontId="6" fillId="0" borderId="0" xfId="0" applyFont="1" applyFill="1" applyAlignment="1">
      <alignment/>
    </xf>
    <xf numFmtId="167" fontId="0" fillId="0" borderId="0" xfId="0" applyNumberFormat="1" applyFont="1" applyFill="1" applyBorder="1" applyAlignment="1">
      <alignment/>
    </xf>
    <xf numFmtId="43" fontId="0" fillId="0" borderId="0" xfId="15" applyFont="1" applyAlignment="1">
      <alignment/>
    </xf>
    <xf numFmtId="0" fontId="0" fillId="0" borderId="1" xfId="0" applyBorder="1" applyAlignment="1">
      <alignment/>
    </xf>
    <xf numFmtId="0" fontId="13" fillId="0" borderId="0" xfId="0" applyFont="1" applyAlignment="1">
      <alignment/>
    </xf>
    <xf numFmtId="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62"/>
  <sheetViews>
    <sheetView tabSelected="1" workbookViewId="0" topLeftCell="A1">
      <pane xSplit="15045" topLeftCell="K1" activePane="topLeft" state="split"/>
      <selection pane="topLeft" activeCell="J29" sqref="A1:J29"/>
      <selection pane="topRight" activeCell="K1" sqref="K1:P16384"/>
    </sheetView>
  </sheetViews>
  <sheetFormatPr defaultColWidth="9.140625" defaultRowHeight="12.75"/>
  <cols>
    <col min="1" max="1" width="10.00390625" style="2" customWidth="1"/>
    <col min="2" max="2" width="17.8515625" style="2" customWidth="1"/>
    <col min="3" max="3" width="9.57421875" style="2" customWidth="1"/>
    <col min="4" max="4" width="13.57421875" style="2" customWidth="1"/>
    <col min="5" max="5" width="13.421875" style="2" customWidth="1"/>
    <col min="6" max="6" width="13.00390625" style="2" customWidth="1"/>
    <col min="7" max="9" width="12.8515625" style="2" bestFit="1" customWidth="1"/>
    <col min="10" max="10" width="14.57421875" style="2" customWidth="1"/>
    <col min="11" max="11" width="14.140625" style="2" customWidth="1"/>
    <col min="12" max="12" width="14.00390625" style="2" bestFit="1" customWidth="1"/>
    <col min="13" max="13" width="10.28125" style="2" bestFit="1" customWidth="1"/>
    <col min="14" max="16384" width="9.140625" style="2" customWidth="1"/>
  </cols>
  <sheetData>
    <row r="1" ht="12.75">
      <c r="A1" s="6" t="s">
        <v>0</v>
      </c>
    </row>
    <row r="2" ht="12.75">
      <c r="A2" s="6" t="s">
        <v>149</v>
      </c>
    </row>
    <row r="3" ht="12.75">
      <c r="A3" s="6" t="s">
        <v>185</v>
      </c>
    </row>
    <row r="4" ht="12.75">
      <c r="A4" s="6" t="s">
        <v>187</v>
      </c>
    </row>
    <row r="5" ht="12.75">
      <c r="A5" s="6" t="s">
        <v>186</v>
      </c>
    </row>
    <row r="6" ht="12.75">
      <c r="A6" s="6" t="s">
        <v>194</v>
      </c>
    </row>
    <row r="7" spans="4:10" ht="12.75">
      <c r="D7" s="13">
        <v>2007</v>
      </c>
      <c r="E7" s="13">
        <v>2007</v>
      </c>
      <c r="F7" s="13">
        <v>2007</v>
      </c>
      <c r="G7" s="13">
        <v>2007</v>
      </c>
      <c r="H7" s="13">
        <v>2007</v>
      </c>
      <c r="I7" s="13">
        <v>2007</v>
      </c>
      <c r="J7" s="13"/>
    </row>
    <row r="8" spans="4:10" ht="12.75">
      <c r="D8" s="69" t="s">
        <v>2</v>
      </c>
      <c r="E8" s="69" t="s">
        <v>3</v>
      </c>
      <c r="F8" s="69" t="s">
        <v>4</v>
      </c>
      <c r="G8" s="69" t="s">
        <v>5</v>
      </c>
      <c r="H8" s="69" t="s">
        <v>6</v>
      </c>
      <c r="I8" s="69" t="s">
        <v>7</v>
      </c>
      <c r="J8" s="69" t="s">
        <v>195</v>
      </c>
    </row>
    <row r="9" spans="1:2" ht="12.75">
      <c r="A9" s="6" t="s">
        <v>189</v>
      </c>
      <c r="B9" s="6"/>
    </row>
    <row r="10" spans="1:4" ht="12.75">
      <c r="A10" s="59" t="s">
        <v>43</v>
      </c>
      <c r="D10" s="3"/>
    </row>
    <row r="11" spans="1:12" ht="12.75">
      <c r="A11" s="2" t="s">
        <v>1</v>
      </c>
      <c r="D11" s="54">
        <v>21292599</v>
      </c>
      <c r="E11" s="54">
        <v>21234566</v>
      </c>
      <c r="F11" s="54">
        <v>14472322</v>
      </c>
      <c r="G11" s="55">
        <v>9724124</v>
      </c>
      <c r="H11" s="54">
        <v>6113562</v>
      </c>
      <c r="I11" s="54">
        <v>3664833</v>
      </c>
      <c r="J11" s="4">
        <f>SUM(D11:I11)</f>
        <v>76502006</v>
      </c>
      <c r="L11" s="4"/>
    </row>
    <row r="12" spans="1:12" ht="12.75">
      <c r="A12" s="2" t="s">
        <v>183</v>
      </c>
      <c r="D12" s="54">
        <v>-1620408</v>
      </c>
      <c r="E12" s="54">
        <v>-1565117</v>
      </c>
      <c r="F12" s="54">
        <v>-1001608</v>
      </c>
      <c r="G12" s="54">
        <v>-706395</v>
      </c>
      <c r="H12" s="54">
        <v>-412954</v>
      </c>
      <c r="I12" s="54">
        <v>-269857</v>
      </c>
      <c r="J12" s="4">
        <f>SUM(D12:I12)</f>
        <v>-5576339</v>
      </c>
      <c r="L12" s="4"/>
    </row>
    <row r="13" spans="1:12" ht="12.75">
      <c r="A13" s="2" t="s">
        <v>15</v>
      </c>
      <c r="D13" s="1">
        <f>-D40</f>
        <v>-11318911.0186</v>
      </c>
      <c r="E13" s="1">
        <f>-D14</f>
        <v>-12417092.121</v>
      </c>
      <c r="F13" s="1">
        <f>-E14</f>
        <v>-8476763.407399999</v>
      </c>
      <c r="G13" s="1">
        <f>-F14</f>
        <v>-6557935.2957000015</v>
      </c>
      <c r="H13" s="1">
        <f>-G14</f>
        <v>-5501940.396</v>
      </c>
      <c r="I13" s="1">
        <f>-H14</f>
        <v>-2947283.1453000004</v>
      </c>
      <c r="J13" s="4">
        <f>SUM(D13:I13)</f>
        <v>-47219925.383999996</v>
      </c>
      <c r="L13" s="4"/>
    </row>
    <row r="14" spans="1:12" ht="12.75">
      <c r="A14" s="2" t="s">
        <v>16</v>
      </c>
      <c r="D14" s="1">
        <f aca="true" t="shared" si="0" ref="D14:I14">E40</f>
        <v>12417092.121</v>
      </c>
      <c r="E14" s="1">
        <f t="shared" si="0"/>
        <v>8476763.407399999</v>
      </c>
      <c r="F14" s="1">
        <f t="shared" si="0"/>
        <v>6557935.2957000015</v>
      </c>
      <c r="G14" s="1">
        <f t="shared" si="0"/>
        <v>5501940.396</v>
      </c>
      <c r="H14" s="1">
        <f t="shared" si="0"/>
        <v>2947283.1453000004</v>
      </c>
      <c r="I14" s="1">
        <f t="shared" si="0"/>
        <v>1688657.3691</v>
      </c>
      <c r="J14" s="4">
        <f>SUM(D14:I14)</f>
        <v>37589671.7345</v>
      </c>
      <c r="L14" s="1"/>
    </row>
    <row r="15" spans="1:12" ht="12.75">
      <c r="A15" s="2" t="s">
        <v>42</v>
      </c>
      <c r="D15" s="1">
        <f aca="true" t="shared" si="1" ref="D15:I15">D53</f>
        <v>-1160270.7900000003</v>
      </c>
      <c r="E15" s="1">
        <f t="shared" si="1"/>
        <v>817052.1319999999</v>
      </c>
      <c r="F15" s="1">
        <f t="shared" si="1"/>
        <v>1664980.584</v>
      </c>
      <c r="G15" s="1">
        <f t="shared" si="1"/>
        <v>141329.43</v>
      </c>
      <c r="H15" s="1">
        <f t="shared" si="1"/>
        <v>1068395.396</v>
      </c>
      <c r="I15" s="1">
        <f t="shared" si="1"/>
        <v>204306.80399999997</v>
      </c>
      <c r="J15" s="4">
        <f>SUM(D15:I15)</f>
        <v>2735793.5559999994</v>
      </c>
      <c r="L15" s="1"/>
    </row>
    <row r="16" spans="1:12" ht="12.75">
      <c r="A16" s="2" t="s">
        <v>157</v>
      </c>
      <c r="D16" s="5">
        <f aca="true" t="shared" si="2" ref="D16:I16">SUM(D11:D15)</f>
        <v>19610101.3124</v>
      </c>
      <c r="E16" s="5">
        <f t="shared" si="2"/>
        <v>16546172.418399999</v>
      </c>
      <c r="F16" s="5">
        <f t="shared" si="2"/>
        <v>13216866.472300002</v>
      </c>
      <c r="G16" s="5">
        <f t="shared" si="2"/>
        <v>8103063.530299998</v>
      </c>
      <c r="H16" s="5">
        <f t="shared" si="2"/>
        <v>4214346.145300001</v>
      </c>
      <c r="I16" s="5">
        <f t="shared" si="2"/>
        <v>2340657.0278</v>
      </c>
      <c r="J16" s="5">
        <f>SUM(J11:J15)</f>
        <v>64031206.906500004</v>
      </c>
      <c r="L16" s="1"/>
    </row>
    <row r="17" spans="4:12" ht="12.75">
      <c r="D17" s="7"/>
      <c r="E17" s="7"/>
      <c r="F17" s="7"/>
      <c r="G17" s="7"/>
      <c r="H17" s="7"/>
      <c r="I17" s="7"/>
      <c r="J17" s="7"/>
      <c r="L17" s="1"/>
    </row>
    <row r="18" spans="1:12" ht="12.75">
      <c r="A18" s="2" t="s">
        <v>156</v>
      </c>
      <c r="D18" s="7">
        <f aca="true" t="shared" si="3" ref="D18:I18">D16</f>
        <v>19610101.3124</v>
      </c>
      <c r="E18" s="7">
        <f t="shared" si="3"/>
        <v>16546172.418399999</v>
      </c>
      <c r="F18" s="7">
        <f t="shared" si="3"/>
        <v>13216866.472300002</v>
      </c>
      <c r="G18" s="7">
        <f t="shared" si="3"/>
        <v>8103063.530299998</v>
      </c>
      <c r="H18" s="7">
        <f t="shared" si="3"/>
        <v>4214346.145300001</v>
      </c>
      <c r="I18" s="7">
        <f t="shared" si="3"/>
        <v>2340657.0278</v>
      </c>
      <c r="J18" s="4">
        <f>SUM(D18:I18)</f>
        <v>64031206.9065</v>
      </c>
      <c r="L18" s="1"/>
    </row>
    <row r="19" spans="1:10" ht="12.75">
      <c r="A19" t="s">
        <v>182</v>
      </c>
      <c r="B19"/>
      <c r="C19"/>
      <c r="D19" s="8">
        <v>20224840.48455847</v>
      </c>
      <c r="E19" s="8">
        <v>16393845.526802754</v>
      </c>
      <c r="F19" s="8">
        <v>14157245.544399895</v>
      </c>
      <c r="G19" s="8">
        <v>8557146.212768268</v>
      </c>
      <c r="H19" s="8">
        <v>4587478.215037547</v>
      </c>
      <c r="I19" s="8">
        <v>1965935.6404168222</v>
      </c>
      <c r="J19" s="4">
        <f>SUM(D19:I19)</f>
        <v>65886491.623983756</v>
      </c>
    </row>
    <row r="20" spans="1:10" ht="12.75">
      <c r="A20" s="2" t="s">
        <v>159</v>
      </c>
      <c r="C20"/>
      <c r="D20" s="12">
        <f aca="true" t="shared" si="4" ref="D20:I20">D18-D19</f>
        <v>-614739.1721584722</v>
      </c>
      <c r="E20" s="12">
        <f t="shared" si="4"/>
        <v>152326.8915972449</v>
      </c>
      <c r="F20" s="12">
        <f t="shared" si="4"/>
        <v>-940379.0720998924</v>
      </c>
      <c r="G20" s="12">
        <f t="shared" si="4"/>
        <v>-454082.68246826995</v>
      </c>
      <c r="H20" s="12">
        <f t="shared" si="4"/>
        <v>-373132.06973754615</v>
      </c>
      <c r="I20" s="12">
        <f t="shared" si="4"/>
        <v>374721.38738317764</v>
      </c>
      <c r="J20" s="4">
        <f>SUM(D20:I20)</f>
        <v>-1855284.7174837582</v>
      </c>
    </row>
    <row r="21" spans="1:10" ht="12.75">
      <c r="A21" s="2" t="s">
        <v>158</v>
      </c>
      <c r="C21"/>
      <c r="D21" s="58">
        <v>0.20595</v>
      </c>
      <c r="E21" s="58">
        <v>0.20595</v>
      </c>
      <c r="F21" s="58">
        <v>0.20595</v>
      </c>
      <c r="G21" s="58">
        <v>0.20595</v>
      </c>
      <c r="H21" s="58">
        <v>0.20595</v>
      </c>
      <c r="I21" s="58">
        <v>0.20595</v>
      </c>
      <c r="J21"/>
    </row>
    <row r="22" spans="1:10" ht="12.75">
      <c r="A22" s="2" t="s">
        <v>190</v>
      </c>
      <c r="D22" s="76">
        <f aca="true" t="shared" si="5" ref="D22:I22">D20*D21</f>
        <v>-126605.53250603736</v>
      </c>
      <c r="E22" s="76">
        <f t="shared" si="5"/>
        <v>31371.723324452585</v>
      </c>
      <c r="F22" s="76">
        <f t="shared" si="5"/>
        <v>-193671.06989897284</v>
      </c>
      <c r="G22" s="76">
        <f t="shared" si="5"/>
        <v>-93518.3284543402</v>
      </c>
      <c r="H22" s="76">
        <f t="shared" si="5"/>
        <v>-76846.54976244763</v>
      </c>
      <c r="I22" s="76">
        <f t="shared" si="5"/>
        <v>77173.86973156543</v>
      </c>
      <c r="J22" s="76">
        <f>SUM(D22:I22)</f>
        <v>-382095.88756578</v>
      </c>
    </row>
    <row r="23" spans="1:10" ht="13.5" thickBot="1">
      <c r="A23" s="72"/>
      <c r="B23" s="77" t="s">
        <v>191</v>
      </c>
      <c r="D23" s="74">
        <v>0.9</v>
      </c>
      <c r="E23" s="74">
        <v>0.9</v>
      </c>
      <c r="F23" s="74">
        <v>0.9</v>
      </c>
      <c r="G23" s="74">
        <v>0.9</v>
      </c>
      <c r="H23" s="74">
        <v>0.9</v>
      </c>
      <c r="I23" s="74">
        <v>0.9</v>
      </c>
      <c r="J23" s="71"/>
    </row>
    <row r="24" spans="1:11" ht="13.5" thickBot="1">
      <c r="A24" s="6" t="s">
        <v>192</v>
      </c>
      <c r="D24" s="75">
        <f aca="true" t="shared" si="6" ref="D24:I24">D22*D23</f>
        <v>-113944.97925543363</v>
      </c>
      <c r="E24" s="75">
        <f t="shared" si="6"/>
        <v>28234.550992007327</v>
      </c>
      <c r="F24" s="75">
        <f t="shared" si="6"/>
        <v>-174303.96290907555</v>
      </c>
      <c r="G24" s="75">
        <f t="shared" si="6"/>
        <v>-84166.49560890617</v>
      </c>
      <c r="H24" s="75">
        <f t="shared" si="6"/>
        <v>-69161.89478620287</v>
      </c>
      <c r="I24" s="75">
        <f t="shared" si="6"/>
        <v>69456.48275840889</v>
      </c>
      <c r="J24" s="78">
        <f>SUM(D24:I24)</f>
        <v>-343886.298809202</v>
      </c>
      <c r="K24" s="4"/>
    </row>
    <row r="25" spans="1:11" ht="12.75">
      <c r="A25"/>
      <c r="B25" s="6" t="s">
        <v>196</v>
      </c>
      <c r="C25"/>
      <c r="D25"/>
      <c r="E25"/>
      <c r="F25"/>
      <c r="G25"/>
      <c r="H25"/>
      <c r="I25"/>
      <c r="J25"/>
      <c r="K25"/>
    </row>
    <row r="26" spans="1:11" ht="12.75">
      <c r="A26"/>
      <c r="B26"/>
      <c r="C26"/>
      <c r="D26"/>
      <c r="E26"/>
      <c r="F26"/>
      <c r="G26"/>
      <c r="H26"/>
      <c r="I26"/>
      <c r="J26" s="150"/>
      <c r="K26"/>
    </row>
    <row r="27" spans="1:11" ht="12.75">
      <c r="A27" s="73" t="s">
        <v>188</v>
      </c>
      <c r="B27"/>
      <c r="C27"/>
      <c r="D27"/>
      <c r="E27"/>
      <c r="F27"/>
      <c r="G27"/>
      <c r="H27"/>
      <c r="I27"/>
      <c r="J27"/>
      <c r="K27"/>
    </row>
    <row r="28" spans="1:11" ht="12.75">
      <c r="A28" s="73"/>
      <c r="B28"/>
      <c r="C28"/>
      <c r="D28"/>
      <c r="E28"/>
      <c r="F28"/>
      <c r="G28"/>
      <c r="H28"/>
      <c r="I28"/>
      <c r="J28"/>
      <c r="K28"/>
    </row>
    <row r="29" spans="1:10" ht="12.75">
      <c r="A29" s="73"/>
      <c r="B29"/>
      <c r="C29"/>
      <c r="D29"/>
      <c r="E29"/>
      <c r="F29"/>
      <c r="G29"/>
      <c r="H29"/>
      <c r="I29"/>
      <c r="J29"/>
    </row>
    <row r="30" spans="1:10" ht="12.75">
      <c r="A30" s="73"/>
      <c r="B30"/>
      <c r="C30"/>
      <c r="D30"/>
      <c r="E30"/>
      <c r="F30"/>
      <c r="G30"/>
      <c r="H30"/>
      <c r="I30"/>
      <c r="J30"/>
    </row>
    <row r="31" spans="1:10" ht="12.75">
      <c r="A31"/>
      <c r="B31"/>
      <c r="C31"/>
      <c r="D31"/>
      <c r="E31"/>
      <c r="F31"/>
      <c r="G31"/>
      <c r="H31"/>
      <c r="I31"/>
      <c r="J31"/>
    </row>
    <row r="32" spans="1:3" ht="12.75">
      <c r="A32" s="59" t="s">
        <v>24</v>
      </c>
      <c r="C32" s="6"/>
    </row>
    <row r="33" spans="1:10" ht="12.75">
      <c r="A33" s="14"/>
      <c r="D33" s="67">
        <v>39052</v>
      </c>
      <c r="E33" s="67">
        <v>39083</v>
      </c>
      <c r="F33" s="67">
        <v>39114</v>
      </c>
      <c r="G33" s="67">
        <v>39142</v>
      </c>
      <c r="H33" s="67">
        <v>39173</v>
      </c>
      <c r="I33" s="67">
        <v>39203</v>
      </c>
      <c r="J33" s="67">
        <v>39234</v>
      </c>
    </row>
    <row r="34" spans="1:10" ht="12.75">
      <c r="A34" t="s">
        <v>25</v>
      </c>
      <c r="B34"/>
      <c r="C34"/>
      <c r="D34" s="82">
        <v>689.9</v>
      </c>
      <c r="E34" s="82">
        <v>760.6</v>
      </c>
      <c r="F34" s="82">
        <v>508</v>
      </c>
      <c r="G34" s="88">
        <v>386.3</v>
      </c>
      <c r="H34" s="82">
        <v>317.6</v>
      </c>
      <c r="I34" s="82">
        <v>154.9</v>
      </c>
      <c r="J34" s="82">
        <v>75.2</v>
      </c>
    </row>
    <row r="35" spans="1:10" ht="12.75">
      <c r="A35" t="s">
        <v>26</v>
      </c>
      <c r="B35"/>
      <c r="C35"/>
      <c r="D35" s="24">
        <v>0.6223</v>
      </c>
      <c r="E35" s="24">
        <v>0.5945</v>
      </c>
      <c r="F35" s="24">
        <v>0.5981</v>
      </c>
      <c r="G35" s="24">
        <v>0.5925</v>
      </c>
      <c r="H35" s="24">
        <v>0.622</v>
      </c>
      <c r="I35" s="24">
        <v>0.6208</v>
      </c>
      <c r="J35" s="24">
        <v>0.6125</v>
      </c>
    </row>
    <row r="36" spans="1:10" ht="12.75">
      <c r="A36" s="59" t="s">
        <v>150</v>
      </c>
      <c r="B36" s="61" t="s">
        <v>145</v>
      </c>
      <c r="C36" s="61" t="s">
        <v>20</v>
      </c>
      <c r="D36" s="24"/>
      <c r="E36" s="24"/>
      <c r="F36" s="24"/>
      <c r="G36" s="24"/>
      <c r="H36" s="24"/>
      <c r="I36" s="24"/>
      <c r="J36" s="24"/>
    </row>
    <row r="37" spans="1:10" ht="12.75">
      <c r="A37" t="s">
        <v>27</v>
      </c>
      <c r="B37" s="2">
        <v>7</v>
      </c>
      <c r="C37" s="2">
        <v>0.11</v>
      </c>
      <c r="D37" s="11">
        <f aca="true" t="shared" si="7" ref="D37:J37">$C37*D$34*D58+$B37*D$35*D58</f>
        <v>9458810.917399999</v>
      </c>
      <c r="E37" s="11">
        <f t="shared" si="7"/>
        <v>10370671.2</v>
      </c>
      <c r="F37" s="11">
        <f t="shared" si="7"/>
        <v>7098802.7394</v>
      </c>
      <c r="G37" s="11">
        <f t="shared" si="7"/>
        <v>5512300.773500001</v>
      </c>
      <c r="H37" s="11">
        <f t="shared" si="7"/>
        <v>4643527.9399999995</v>
      </c>
      <c r="I37" s="11">
        <f t="shared" si="7"/>
        <v>2527125.1050000004</v>
      </c>
      <c r="J37" s="11">
        <f t="shared" si="7"/>
        <v>1484645.9355000001</v>
      </c>
    </row>
    <row r="38" spans="1:10" ht="12.75">
      <c r="A38" t="s">
        <v>28</v>
      </c>
      <c r="B38" s="2">
        <v>0</v>
      </c>
      <c r="C38" s="2">
        <v>0.249</v>
      </c>
      <c r="D38" s="11">
        <f aca="true" t="shared" si="8" ref="D38:J38">$C38*D$34*(D59)+$B38*D$35*(D59)</f>
        <v>1832603.4468</v>
      </c>
      <c r="E38" s="11">
        <f t="shared" si="8"/>
        <v>2016428.9418</v>
      </c>
      <c r="F38" s="11">
        <f t="shared" si="8"/>
        <v>1358144.604</v>
      </c>
      <c r="G38" s="11">
        <f t="shared" si="8"/>
        <v>1030565.7318</v>
      </c>
      <c r="H38" s="11">
        <f t="shared" si="8"/>
        <v>846023.5152</v>
      </c>
      <c r="I38" s="11">
        <f t="shared" si="8"/>
        <v>414050.0235</v>
      </c>
      <c r="J38" s="11">
        <f t="shared" si="8"/>
        <v>201141.8016</v>
      </c>
    </row>
    <row r="39" spans="1:10" ht="12.75">
      <c r="A39" t="s">
        <v>29</v>
      </c>
      <c r="B39" s="2">
        <v>0</v>
      </c>
      <c r="C39" s="2">
        <v>0.424</v>
      </c>
      <c r="D39" s="11">
        <f aca="true" t="shared" si="9" ref="D39:J39">$C39*D$34*D60+$B39*D$35*D60</f>
        <v>27496.654399999996</v>
      </c>
      <c r="E39" s="11">
        <f t="shared" si="9"/>
        <v>29991.979199999998</v>
      </c>
      <c r="F39" s="11">
        <f t="shared" si="9"/>
        <v>19816.064</v>
      </c>
      <c r="G39" s="11">
        <f t="shared" si="9"/>
        <v>15068.7904</v>
      </c>
      <c r="H39" s="11">
        <f t="shared" si="9"/>
        <v>12388.940800000002</v>
      </c>
      <c r="I39" s="11">
        <f t="shared" si="9"/>
        <v>6108.016799999999</v>
      </c>
      <c r="J39" s="11">
        <f t="shared" si="9"/>
        <v>2869.632</v>
      </c>
    </row>
    <row r="40" spans="1:10" ht="12.75">
      <c r="A40"/>
      <c r="D40" s="21">
        <f aca="true" t="shared" si="10" ref="D40:J40">SUM(D37:D39)</f>
        <v>11318911.0186</v>
      </c>
      <c r="E40" s="21">
        <f t="shared" si="10"/>
        <v>12417092.121</v>
      </c>
      <c r="F40" s="21">
        <f t="shared" si="10"/>
        <v>8476763.407399999</v>
      </c>
      <c r="G40" s="21">
        <f t="shared" si="10"/>
        <v>6557935.2957000015</v>
      </c>
      <c r="H40" s="21">
        <f t="shared" si="10"/>
        <v>5501940.396</v>
      </c>
      <c r="I40" s="21">
        <f t="shared" si="10"/>
        <v>2947283.1453000004</v>
      </c>
      <c r="J40" s="21">
        <f t="shared" si="10"/>
        <v>1688657.3691</v>
      </c>
    </row>
    <row r="41" spans="1:10" ht="12.75">
      <c r="A41"/>
      <c r="D41" s="22"/>
      <c r="E41" s="22"/>
      <c r="F41" s="22"/>
      <c r="G41" s="22"/>
      <c r="H41" s="22"/>
      <c r="I41" s="22"/>
      <c r="J41" s="22"/>
    </row>
    <row r="42" spans="1:10" ht="12.75">
      <c r="A42"/>
      <c r="B42" s="44"/>
      <c r="C42" s="44"/>
      <c r="D42" s="22"/>
      <c r="E42" s="22"/>
      <c r="F42" s="22"/>
      <c r="G42" s="22"/>
      <c r="H42" s="22"/>
      <c r="I42" s="22"/>
      <c r="J42" s="22"/>
    </row>
    <row r="43" spans="1:10" ht="12.75">
      <c r="A43"/>
      <c r="B43"/>
      <c r="C43"/>
      <c r="D43" s="22"/>
      <c r="E43" s="22"/>
      <c r="F43" s="22"/>
      <c r="G43" s="22"/>
      <c r="H43" s="22"/>
      <c r="I43" s="22"/>
      <c r="J43" s="22"/>
    </row>
    <row r="44" spans="1:10" ht="12.75">
      <c r="A44" s="59" t="s">
        <v>41</v>
      </c>
      <c r="B44"/>
      <c r="C44"/>
      <c r="D44" s="16">
        <v>39083</v>
      </c>
      <c r="E44" s="16">
        <v>39114</v>
      </c>
      <c r="F44" s="16">
        <v>39142</v>
      </c>
      <c r="G44" s="16">
        <v>39173</v>
      </c>
      <c r="H44" s="16">
        <v>39203</v>
      </c>
      <c r="I44" s="16">
        <v>39234</v>
      </c>
      <c r="J44" s="86" t="s">
        <v>195</v>
      </c>
    </row>
    <row r="45" spans="1:10" ht="12.75">
      <c r="A45" s="2" t="s">
        <v>17</v>
      </c>
      <c r="D45" s="7">
        <v>1169</v>
      </c>
      <c r="E45" s="7">
        <v>916</v>
      </c>
      <c r="F45" s="7">
        <v>790</v>
      </c>
      <c r="G45" s="7">
        <v>557</v>
      </c>
      <c r="H45" s="7">
        <v>338</v>
      </c>
      <c r="I45" s="7">
        <v>149</v>
      </c>
      <c r="J45" s="22">
        <f>SUM(D45:I45)</f>
        <v>3919</v>
      </c>
    </row>
    <row r="46" spans="1:10" ht="12.75">
      <c r="A46" s="2" t="s">
        <v>18</v>
      </c>
      <c r="D46" s="87">
        <v>1243</v>
      </c>
      <c r="E46" s="87">
        <v>864</v>
      </c>
      <c r="F46" s="87">
        <v>684</v>
      </c>
      <c r="G46" s="87">
        <v>548</v>
      </c>
      <c r="H46" s="87">
        <v>270</v>
      </c>
      <c r="I46" s="87">
        <v>136</v>
      </c>
      <c r="J46" s="22">
        <f>SUM(D46:I46)</f>
        <v>3745</v>
      </c>
    </row>
    <row r="47" spans="1:10" ht="12.75">
      <c r="A47" s="2" t="s">
        <v>19</v>
      </c>
      <c r="D47" s="5">
        <f aca="true" t="shared" si="11" ref="D47:I47">D45-D46</f>
        <v>-74</v>
      </c>
      <c r="E47" s="5">
        <f t="shared" si="11"/>
        <v>52</v>
      </c>
      <c r="F47" s="5">
        <f t="shared" si="11"/>
        <v>106</v>
      </c>
      <c r="G47" s="5">
        <f t="shared" si="11"/>
        <v>9</v>
      </c>
      <c r="H47" s="5">
        <f t="shared" si="11"/>
        <v>68</v>
      </c>
      <c r="I47" s="5">
        <f t="shared" si="11"/>
        <v>13</v>
      </c>
      <c r="J47" s="5">
        <f>J45-J46</f>
        <v>174</v>
      </c>
    </row>
    <row r="48" spans="4:10" ht="12.75">
      <c r="D48" s="7"/>
      <c r="E48" s="7"/>
      <c r="F48" s="7"/>
      <c r="G48" s="7"/>
      <c r="H48" s="7"/>
      <c r="I48" s="7"/>
      <c r="J48" s="7"/>
    </row>
    <row r="49" spans="1:10" ht="12.75">
      <c r="A49" s="58" t="s">
        <v>150</v>
      </c>
      <c r="B49" s="61" t="s">
        <v>145</v>
      </c>
      <c r="C49" s="58" t="s">
        <v>20</v>
      </c>
      <c r="D49" s="22"/>
      <c r="E49" s="22"/>
      <c r="F49" s="22"/>
      <c r="G49" s="22"/>
      <c r="H49" s="22"/>
      <c r="I49" s="22"/>
      <c r="J49" s="22"/>
    </row>
    <row r="50" spans="1:10" ht="12.75">
      <c r="A50" t="s">
        <v>27</v>
      </c>
      <c r="B50" s="2">
        <v>7</v>
      </c>
      <c r="C50" s="2">
        <v>0.11</v>
      </c>
      <c r="D50" s="22">
        <f aca="true" t="shared" si="12" ref="D50:I50">D$47*$C50*E58</f>
        <v>-961171.2000000001</v>
      </c>
      <c r="E50" s="22">
        <f t="shared" si="12"/>
        <v>676001.0399999999</v>
      </c>
      <c r="F50" s="22">
        <f t="shared" si="12"/>
        <v>1378060.42</v>
      </c>
      <c r="G50" s="22">
        <f t="shared" si="12"/>
        <v>117004.14</v>
      </c>
      <c r="H50" s="22">
        <f t="shared" si="12"/>
        <v>883949</v>
      </c>
      <c r="I50" s="22">
        <f t="shared" si="12"/>
        <v>169038.87</v>
      </c>
      <c r="J50" s="22">
        <f>SUM(D50:I50)</f>
        <v>2262882.2699999996</v>
      </c>
    </row>
    <row r="51" spans="1:10" ht="12.75">
      <c r="A51" t="s">
        <v>28</v>
      </c>
      <c r="B51" s="2">
        <v>0</v>
      </c>
      <c r="C51" s="2">
        <v>0.249</v>
      </c>
      <c r="D51" s="22">
        <f aca="true" t="shared" si="13" ref="D51:I51">D$47*$C51*(E59)</f>
        <v>-196181.62199999997</v>
      </c>
      <c r="E51" s="22">
        <f t="shared" si="13"/>
        <v>139022.676</v>
      </c>
      <c r="F51" s="22">
        <f t="shared" si="13"/>
        <v>282785.316</v>
      </c>
      <c r="G51" s="22">
        <f t="shared" si="13"/>
        <v>23974.218</v>
      </c>
      <c r="H51" s="22">
        <f t="shared" si="13"/>
        <v>181765.02</v>
      </c>
      <c r="I51" s="22">
        <f t="shared" si="13"/>
        <v>34771.854</v>
      </c>
      <c r="J51" s="22">
        <f>SUM(D51:I51)</f>
        <v>466137.462</v>
      </c>
    </row>
    <row r="52" spans="1:10" ht="12.75">
      <c r="A52" t="s">
        <v>29</v>
      </c>
      <c r="B52" s="2">
        <v>0</v>
      </c>
      <c r="C52" s="2">
        <v>0.424</v>
      </c>
      <c r="D52" s="22">
        <f aca="true" t="shared" si="14" ref="D52:I52">D$47*$C52*E60</f>
        <v>-2917.968</v>
      </c>
      <c r="E52" s="22">
        <f t="shared" si="14"/>
        <v>2028.416</v>
      </c>
      <c r="F52" s="22">
        <f t="shared" si="14"/>
        <v>4134.848</v>
      </c>
      <c r="G52" s="22">
        <f t="shared" si="14"/>
        <v>351.072</v>
      </c>
      <c r="H52" s="22">
        <f t="shared" si="14"/>
        <v>2681.376</v>
      </c>
      <c r="I52" s="22">
        <f t="shared" si="14"/>
        <v>496.08</v>
      </c>
      <c r="J52" s="22">
        <f>SUM(D52:I52)</f>
        <v>6773.8240000000005</v>
      </c>
    </row>
    <row r="53" spans="4:10" ht="12.75">
      <c r="D53" s="5">
        <f aca="true" t="shared" si="15" ref="D53:I53">SUM(D50:D52)</f>
        <v>-1160270.7900000003</v>
      </c>
      <c r="E53" s="5">
        <f t="shared" si="15"/>
        <v>817052.1319999999</v>
      </c>
      <c r="F53" s="5">
        <f t="shared" si="15"/>
        <v>1664980.584</v>
      </c>
      <c r="G53" s="5">
        <f t="shared" si="15"/>
        <v>141329.43</v>
      </c>
      <c r="H53" s="5">
        <f t="shared" si="15"/>
        <v>1068395.396</v>
      </c>
      <c r="I53" s="5">
        <f t="shared" si="15"/>
        <v>204306.80399999997</v>
      </c>
      <c r="J53" s="5">
        <f>SUM(J50:J52)</f>
        <v>2735793.5559999994</v>
      </c>
    </row>
    <row r="55" spans="1:10" ht="12.75">
      <c r="A55"/>
      <c r="D55" s="4"/>
      <c r="E55" s="4"/>
      <c r="F55" s="4"/>
      <c r="G55" s="4"/>
      <c r="H55" s="4"/>
      <c r="I55" s="4"/>
      <c r="J55" s="4"/>
    </row>
    <row r="57" spans="1:10" ht="12.75">
      <c r="A57" s="6" t="s">
        <v>184</v>
      </c>
      <c r="D57" s="16">
        <v>37956</v>
      </c>
      <c r="E57" s="16">
        <v>37987</v>
      </c>
      <c r="F57" s="16">
        <v>38018</v>
      </c>
      <c r="G57" s="16">
        <v>38047</v>
      </c>
      <c r="H57" s="16">
        <v>38078</v>
      </c>
      <c r="I57" s="16">
        <v>38108</v>
      </c>
      <c r="J57" s="16">
        <v>38139</v>
      </c>
    </row>
    <row r="58" spans="1:10" ht="12.75">
      <c r="A58" t="s">
        <v>40</v>
      </c>
      <c r="B58" s="2" t="s">
        <v>35</v>
      </c>
      <c r="D58" s="1">
        <v>117874</v>
      </c>
      <c r="E58" s="1">
        <v>118080</v>
      </c>
      <c r="F58" s="1">
        <v>118182</v>
      </c>
      <c r="G58" s="1">
        <v>118187</v>
      </c>
      <c r="H58" s="1">
        <v>118186</v>
      </c>
      <c r="I58" s="1">
        <v>118175</v>
      </c>
      <c r="J58" s="1">
        <v>118209</v>
      </c>
    </row>
    <row r="59" spans="1:10" ht="12.75">
      <c r="A59"/>
      <c r="B59" s="2" t="s">
        <v>36</v>
      </c>
      <c r="D59" s="1">
        <v>10668</v>
      </c>
      <c r="E59" s="1">
        <v>10647</v>
      </c>
      <c r="F59" s="1">
        <v>10737</v>
      </c>
      <c r="G59" s="1">
        <v>10714</v>
      </c>
      <c r="H59" s="1">
        <v>10698</v>
      </c>
      <c r="I59" s="1">
        <v>10735</v>
      </c>
      <c r="J59" s="1">
        <v>10742</v>
      </c>
    </row>
    <row r="60" spans="1:10" ht="12.75">
      <c r="A60"/>
      <c r="B60" s="2" t="s">
        <v>37</v>
      </c>
      <c r="D60" s="1">
        <v>94</v>
      </c>
      <c r="E60" s="1">
        <v>93</v>
      </c>
      <c r="F60" s="1">
        <v>92</v>
      </c>
      <c r="G60" s="1">
        <v>92</v>
      </c>
      <c r="H60" s="1">
        <v>92</v>
      </c>
      <c r="I60" s="1">
        <v>93</v>
      </c>
      <c r="J60" s="1">
        <v>90</v>
      </c>
    </row>
    <row r="61" spans="1:10" ht="12.75">
      <c r="A61"/>
      <c r="B61" s="2" t="s">
        <v>38</v>
      </c>
      <c r="D61" s="1"/>
      <c r="E61" s="1">
        <v>20</v>
      </c>
      <c r="F61" s="1">
        <v>20</v>
      </c>
      <c r="G61" s="1">
        <v>20</v>
      </c>
      <c r="H61" s="1">
        <v>20</v>
      </c>
      <c r="I61" s="1">
        <v>20</v>
      </c>
      <c r="J61" s="1">
        <v>20</v>
      </c>
    </row>
    <row r="62" spans="1:10" ht="12.75">
      <c r="A62" s="2" t="s">
        <v>30</v>
      </c>
      <c r="D62" s="15">
        <f aca="true" t="shared" si="16" ref="D62:J62">SUM(D58:D61)</f>
        <v>128636</v>
      </c>
      <c r="E62" s="15">
        <f t="shared" si="16"/>
        <v>128840</v>
      </c>
      <c r="F62" s="15">
        <f t="shared" si="16"/>
        <v>129031</v>
      </c>
      <c r="G62" s="15">
        <f t="shared" si="16"/>
        <v>129013</v>
      </c>
      <c r="H62" s="15">
        <f t="shared" si="16"/>
        <v>128996</v>
      </c>
      <c r="I62" s="15">
        <f t="shared" si="16"/>
        <v>129023</v>
      </c>
      <c r="J62" s="15">
        <f t="shared" si="16"/>
        <v>129061</v>
      </c>
    </row>
  </sheetData>
  <printOptions horizontalCentered="1" verticalCentered="1"/>
  <pageMargins left="0.25" right="0.25" top="0.5" bottom="0.5" header="0.5" footer="0.5"/>
  <pageSetup horizontalDpi="600" verticalDpi="600" orientation="landscape" scale="65" r:id="rId1"/>
  <headerFooter alignWithMargins="0">
    <oddHeader>&amp;RExhibit No.____(BJH-3)</oddHeader>
    <oddFooter>&amp;RPage 1 of 3</oddFooter>
  </headerFooter>
</worksheet>
</file>

<file path=xl/worksheets/sheet2.xml><?xml version="1.0" encoding="utf-8"?>
<worksheet xmlns="http://schemas.openxmlformats.org/spreadsheetml/2006/main" xmlns:r="http://schemas.openxmlformats.org/officeDocument/2006/relationships">
  <dimension ref="A1:Q105"/>
  <sheetViews>
    <sheetView view="pageBreakPreview" zoomScale="60" workbookViewId="0" topLeftCell="A1">
      <pane xSplit="9615" topLeftCell="G1" activePane="topRight" state="split"/>
      <selection pane="topLeft" activeCell="I24" sqref="I24"/>
      <selection pane="topRight" activeCell="P24" sqref="P24"/>
    </sheetView>
  </sheetViews>
  <sheetFormatPr defaultColWidth="9.140625" defaultRowHeight="12.75"/>
  <cols>
    <col min="1" max="1" width="10.00390625" style="2" customWidth="1"/>
    <col min="2" max="2" width="18.421875" style="2" customWidth="1"/>
    <col min="3" max="3" width="9.57421875" style="2" customWidth="1"/>
    <col min="4" max="4" width="13.57421875" style="2" customWidth="1"/>
    <col min="5" max="5" width="12.7109375" style="2" customWidth="1"/>
    <col min="6" max="6" width="13.00390625" style="2" customWidth="1"/>
    <col min="7" max="8" width="13.00390625" style="2" bestFit="1" customWidth="1"/>
    <col min="9" max="9" width="13.7109375" style="2" customWidth="1"/>
    <col min="10" max="10" width="13.421875" style="2" bestFit="1" customWidth="1"/>
    <col min="11" max="11" width="13.00390625" style="2" bestFit="1" customWidth="1"/>
    <col min="12" max="12" width="12.8515625" style="2" bestFit="1" customWidth="1"/>
    <col min="13" max="13" width="13.00390625" style="2" customWidth="1"/>
    <col min="14" max="14" width="12.28125" style="2" customWidth="1"/>
    <col min="15" max="15" width="12.57421875" style="2" customWidth="1"/>
    <col min="16" max="16" width="13.57421875" style="2" customWidth="1"/>
    <col min="17" max="17" width="14.00390625" style="2" bestFit="1" customWidth="1"/>
    <col min="18" max="18" width="10.28125" style="2" bestFit="1" customWidth="1"/>
    <col min="19" max="16384" width="9.140625" style="2" customWidth="1"/>
  </cols>
  <sheetData>
    <row r="1" ht="12.75">
      <c r="A1" s="6" t="s">
        <v>0</v>
      </c>
    </row>
    <row r="2" ht="12.75">
      <c r="A2" s="6" t="s">
        <v>149</v>
      </c>
    </row>
    <row r="3" ht="12.75">
      <c r="A3" s="6" t="s">
        <v>185</v>
      </c>
    </row>
    <row r="4" ht="12.75">
      <c r="A4" s="6" t="s">
        <v>235</v>
      </c>
    </row>
    <row r="5" ht="12.75">
      <c r="A5" s="6" t="s">
        <v>186</v>
      </c>
    </row>
    <row r="6" spans="1:10" ht="12.75">
      <c r="A6" s="6" t="s">
        <v>197</v>
      </c>
      <c r="J6" s="6" t="s">
        <v>210</v>
      </c>
    </row>
    <row r="7" spans="4:16" ht="12.75">
      <c r="D7" s="13">
        <v>2007</v>
      </c>
      <c r="E7" s="13">
        <v>2007</v>
      </c>
      <c r="F7" s="13">
        <v>2007</v>
      </c>
      <c r="G7" s="13">
        <v>2007</v>
      </c>
      <c r="H7" s="13">
        <v>2007</v>
      </c>
      <c r="I7" s="13">
        <v>2007</v>
      </c>
      <c r="J7" s="13">
        <v>2008</v>
      </c>
      <c r="K7" s="13">
        <v>2008</v>
      </c>
      <c r="L7" s="13">
        <v>2008</v>
      </c>
      <c r="M7" s="13">
        <v>2008</v>
      </c>
      <c r="N7" s="13">
        <v>2008</v>
      </c>
      <c r="O7" s="13">
        <v>2008</v>
      </c>
      <c r="P7" s="6" t="s">
        <v>198</v>
      </c>
    </row>
    <row r="8" spans="4:16" ht="12.75">
      <c r="D8" s="69" t="s">
        <v>8</v>
      </c>
      <c r="E8" s="69" t="s">
        <v>9</v>
      </c>
      <c r="F8" s="69" t="s">
        <v>10</v>
      </c>
      <c r="G8" s="69" t="s">
        <v>11</v>
      </c>
      <c r="H8" s="69" t="s">
        <v>12</v>
      </c>
      <c r="I8" s="69" t="s">
        <v>13</v>
      </c>
      <c r="J8" s="69" t="s">
        <v>2</v>
      </c>
      <c r="K8" s="69" t="s">
        <v>3</v>
      </c>
      <c r="L8" s="69" t="s">
        <v>4</v>
      </c>
      <c r="M8" s="69" t="s">
        <v>5</v>
      </c>
      <c r="N8" s="69" t="s">
        <v>6</v>
      </c>
      <c r="O8" s="69" t="s">
        <v>7</v>
      </c>
      <c r="P8" s="69" t="s">
        <v>67</v>
      </c>
    </row>
    <row r="9" spans="1:2" ht="12.75">
      <c r="A9" s="6" t="s">
        <v>193</v>
      </c>
      <c r="B9" s="6"/>
    </row>
    <row r="10" spans="1:7" ht="12.75">
      <c r="A10" s="59" t="s">
        <v>43</v>
      </c>
      <c r="D10" s="1"/>
      <c r="E10" s="1"/>
      <c r="F10" s="1"/>
      <c r="G10" s="52"/>
    </row>
    <row r="11" spans="1:17" ht="12.75">
      <c r="A11" s="2" t="s">
        <v>1</v>
      </c>
      <c r="D11" s="55">
        <v>2462636</v>
      </c>
      <c r="E11" s="55">
        <v>2010203</v>
      </c>
      <c r="F11" s="55">
        <v>2332936</v>
      </c>
      <c r="G11" s="55">
        <v>4484817</v>
      </c>
      <c r="H11" s="55">
        <v>9398517</v>
      </c>
      <c r="I11" s="55">
        <v>18392852</v>
      </c>
      <c r="J11" s="55">
        <v>20755627</v>
      </c>
      <c r="K11" s="55">
        <v>22514347</v>
      </c>
      <c r="L11" s="55">
        <v>14859076</v>
      </c>
      <c r="M11" s="55">
        <v>13629159</v>
      </c>
      <c r="N11" s="55">
        <v>8714627</v>
      </c>
      <c r="O11" s="55">
        <v>4232714</v>
      </c>
      <c r="P11" s="4">
        <f>SUM(D11:O11)</f>
        <v>123787511</v>
      </c>
      <c r="Q11" s="4"/>
    </row>
    <row r="12" spans="1:17" ht="12.75">
      <c r="A12" s="73" t="s">
        <v>183</v>
      </c>
      <c r="D12" s="55">
        <v>-180683</v>
      </c>
      <c r="E12" s="55">
        <v>-141329</v>
      </c>
      <c r="F12" s="55">
        <v>-161990</v>
      </c>
      <c r="G12" s="55">
        <v>-277602</v>
      </c>
      <c r="H12" s="55">
        <v>-613037</v>
      </c>
      <c r="I12" s="55">
        <v>-1548327</v>
      </c>
      <c r="J12" s="55">
        <v>-840804</v>
      </c>
      <c r="K12" s="55">
        <v>-933547</v>
      </c>
      <c r="L12" s="55">
        <v>-590323</v>
      </c>
      <c r="M12" s="55">
        <v>-544390</v>
      </c>
      <c r="N12" s="55">
        <v>-304416</v>
      </c>
      <c r="O12" s="55">
        <v>-134597</v>
      </c>
      <c r="P12" s="4">
        <f>SUM(D12:O12)</f>
        <v>-6271045</v>
      </c>
      <c r="Q12" s="4"/>
    </row>
    <row r="13" spans="1:17" ht="12.75">
      <c r="A13" s="2" t="s">
        <v>15</v>
      </c>
      <c r="D13" s="1">
        <f aca="true" t="shared" si="0" ref="D13:I13">-D41</f>
        <v>-1688657.3691</v>
      </c>
      <c r="E13" s="1">
        <f t="shared" si="0"/>
        <v>-512729.36110000004</v>
      </c>
      <c r="F13" s="1">
        <f t="shared" si="0"/>
        <v>-861827.0961999999</v>
      </c>
      <c r="G13" s="1">
        <f t="shared" si="0"/>
        <v>-3069727.6876000003</v>
      </c>
      <c r="H13" s="1">
        <f t="shared" si="0"/>
        <v>-6526098.6665</v>
      </c>
      <c r="I13" s="1">
        <f t="shared" si="0"/>
        <v>-10839345.651700001</v>
      </c>
      <c r="J13" s="1">
        <f aca="true" t="shared" si="1" ref="J13:O13">-D96</f>
        <v>-11907095</v>
      </c>
      <c r="K13" s="1">
        <f t="shared" si="1"/>
        <v>-12692443</v>
      </c>
      <c r="L13" s="1">
        <f t="shared" si="1"/>
        <v>-9661573</v>
      </c>
      <c r="M13" s="1">
        <f t="shared" si="1"/>
        <v>-9011346</v>
      </c>
      <c r="N13" s="1">
        <f t="shared" si="1"/>
        <v>-6832115</v>
      </c>
      <c r="O13" s="1">
        <f t="shared" si="1"/>
        <v>-3107922</v>
      </c>
      <c r="P13" s="4">
        <f>SUM(D13:O13)</f>
        <v>-76710879.8322</v>
      </c>
      <c r="Q13" s="4"/>
    </row>
    <row r="14" spans="1:17" ht="12.75">
      <c r="A14" s="2" t="s">
        <v>16</v>
      </c>
      <c r="D14" s="1">
        <f aca="true" t="shared" si="2" ref="D14:I14">E41</f>
        <v>512729.36110000004</v>
      </c>
      <c r="E14" s="1">
        <f t="shared" si="2"/>
        <v>861827.0961999999</v>
      </c>
      <c r="F14" s="1">
        <f t="shared" si="2"/>
        <v>3069727.6876000003</v>
      </c>
      <c r="G14" s="1">
        <f t="shared" si="2"/>
        <v>6526098.6665</v>
      </c>
      <c r="H14" s="1">
        <f t="shared" si="2"/>
        <v>10839345.651700001</v>
      </c>
      <c r="I14" s="1">
        <f t="shared" si="2"/>
        <v>11778585.171</v>
      </c>
      <c r="J14" s="1">
        <f aca="true" t="shared" si="3" ref="J14:O14">E96</f>
        <v>12692443</v>
      </c>
      <c r="K14" s="1">
        <f t="shared" si="3"/>
        <v>9661573</v>
      </c>
      <c r="L14" s="1">
        <f t="shared" si="3"/>
        <v>9011346</v>
      </c>
      <c r="M14" s="1">
        <f t="shared" si="3"/>
        <v>6832115</v>
      </c>
      <c r="N14" s="1">
        <f t="shared" si="3"/>
        <v>3107922</v>
      </c>
      <c r="O14" s="1">
        <f t="shared" si="3"/>
        <v>1731459</v>
      </c>
      <c r="P14" s="4">
        <f>SUM(D14:O14)</f>
        <v>76625171.6341</v>
      </c>
      <c r="Q14" s="1"/>
    </row>
    <row r="15" spans="1:17" ht="12.75">
      <c r="A15" s="2" t="s">
        <v>42</v>
      </c>
      <c r="D15" s="1">
        <f aca="true" t="shared" si="4" ref="D15:I15">D54</f>
        <v>692582.2639999999</v>
      </c>
      <c r="E15" s="1">
        <f t="shared" si="4"/>
        <v>236741.505</v>
      </c>
      <c r="F15" s="1">
        <f t="shared" si="4"/>
        <v>31658.591999999997</v>
      </c>
      <c r="G15" s="1">
        <f t="shared" si="4"/>
        <v>15894.109</v>
      </c>
      <c r="H15" s="1">
        <f t="shared" si="4"/>
        <v>47991.147000000004</v>
      </c>
      <c r="I15" s="1">
        <f t="shared" si="4"/>
        <v>673724.3099999999</v>
      </c>
      <c r="J15" s="1">
        <f aca="true" t="shared" si="5" ref="J15:O15">D80</f>
        <v>-1132969</v>
      </c>
      <c r="K15" s="1">
        <f t="shared" si="5"/>
        <v>-107342</v>
      </c>
      <c r="L15" s="1">
        <f t="shared" si="5"/>
        <v>-1381024</v>
      </c>
      <c r="M15" s="1">
        <f t="shared" si="5"/>
        <v>-1653998</v>
      </c>
      <c r="N15" s="1">
        <f t="shared" si="5"/>
        <v>840841</v>
      </c>
      <c r="O15" s="1">
        <f t="shared" si="5"/>
        <v>-354262</v>
      </c>
      <c r="P15" s="4">
        <f>SUM(D15:O15)</f>
        <v>-2090162.0730000003</v>
      </c>
      <c r="Q15" s="1"/>
    </row>
    <row r="16" spans="1:17" ht="12.75">
      <c r="A16" s="2" t="s">
        <v>157</v>
      </c>
      <c r="D16" s="5">
        <f aca="true" t="shared" si="6" ref="D16:P16">SUM(D11:D15)</f>
        <v>1798607.256</v>
      </c>
      <c r="E16" s="5">
        <f t="shared" si="6"/>
        <v>2454713.2400999996</v>
      </c>
      <c r="F16" s="5">
        <f t="shared" si="6"/>
        <v>4410505.1834</v>
      </c>
      <c r="G16" s="5">
        <f t="shared" si="6"/>
        <v>7679480.087900001</v>
      </c>
      <c r="H16" s="5">
        <f t="shared" si="6"/>
        <v>13146718.1322</v>
      </c>
      <c r="I16" s="5">
        <f t="shared" si="6"/>
        <v>18457488.829299998</v>
      </c>
      <c r="J16" s="5">
        <f t="shared" si="6"/>
        <v>19567202</v>
      </c>
      <c r="K16" s="5">
        <f t="shared" si="6"/>
        <v>18442588</v>
      </c>
      <c r="L16" s="5">
        <f t="shared" si="6"/>
        <v>12237502</v>
      </c>
      <c r="M16" s="5">
        <f t="shared" si="6"/>
        <v>9251540</v>
      </c>
      <c r="N16" s="5">
        <f t="shared" si="6"/>
        <v>5526859</v>
      </c>
      <c r="O16" s="5">
        <f t="shared" si="6"/>
        <v>2367392</v>
      </c>
      <c r="P16" s="5">
        <f t="shared" si="6"/>
        <v>115340595.7289</v>
      </c>
      <c r="Q16" s="1"/>
    </row>
    <row r="17" spans="4:17" ht="12.75">
      <c r="D17" s="7"/>
      <c r="E17" s="7"/>
      <c r="F17" s="7"/>
      <c r="G17" s="7"/>
      <c r="H17" s="7"/>
      <c r="I17" s="7"/>
      <c r="J17" s="7"/>
      <c r="K17" s="7"/>
      <c r="L17" s="7"/>
      <c r="M17" s="7"/>
      <c r="N17" s="7"/>
      <c r="O17" s="7"/>
      <c r="P17" s="7"/>
      <c r="Q17" s="1"/>
    </row>
    <row r="18" spans="1:17" ht="12.75">
      <c r="A18" s="2" t="s">
        <v>156</v>
      </c>
      <c r="D18" s="7">
        <f aca="true" t="shared" si="7" ref="D18:O18">D16</f>
        <v>1798607.256</v>
      </c>
      <c r="E18" s="7">
        <f t="shared" si="7"/>
        <v>2454713.2400999996</v>
      </c>
      <c r="F18" s="7">
        <f t="shared" si="7"/>
        <v>4410505.1834</v>
      </c>
      <c r="G18" s="7">
        <f t="shared" si="7"/>
        <v>7679480.087900001</v>
      </c>
      <c r="H18" s="7">
        <f t="shared" si="7"/>
        <v>13146718.1322</v>
      </c>
      <c r="I18" s="7">
        <f t="shared" si="7"/>
        <v>18457488.829299998</v>
      </c>
      <c r="J18" s="7">
        <f t="shared" si="7"/>
        <v>19567202</v>
      </c>
      <c r="K18" s="7">
        <f t="shared" si="7"/>
        <v>18442588</v>
      </c>
      <c r="L18" s="7">
        <f t="shared" si="7"/>
        <v>12237502</v>
      </c>
      <c r="M18" s="7">
        <f t="shared" si="7"/>
        <v>9251540</v>
      </c>
      <c r="N18" s="7">
        <f t="shared" si="7"/>
        <v>5526859</v>
      </c>
      <c r="O18" s="7">
        <f t="shared" si="7"/>
        <v>2367392</v>
      </c>
      <c r="P18" s="4">
        <f>SUM(D18:O18)</f>
        <v>115340595.7289</v>
      </c>
      <c r="Q18" s="1"/>
    </row>
    <row r="19" spans="1:16" ht="12.75">
      <c r="A19" t="s">
        <v>182</v>
      </c>
      <c r="B19"/>
      <c r="C19"/>
      <c r="D19" s="8">
        <v>1992869.2803962994</v>
      </c>
      <c r="E19" s="8">
        <v>2626004.0579347075</v>
      </c>
      <c r="F19" s="8">
        <v>3962139.288864518</v>
      </c>
      <c r="G19" s="8">
        <v>9013668.04240531</v>
      </c>
      <c r="H19" s="8">
        <v>14551771.69540904</v>
      </c>
      <c r="I19" s="8">
        <v>19133174.011006385</v>
      </c>
      <c r="J19" s="8">
        <v>20193658</v>
      </c>
      <c r="K19" s="8">
        <v>16744930</v>
      </c>
      <c r="L19" s="8">
        <v>14101624</v>
      </c>
      <c r="M19" s="8">
        <v>9347535</v>
      </c>
      <c r="N19" s="8">
        <v>5032140</v>
      </c>
      <c r="O19" s="8">
        <v>2400167</v>
      </c>
      <c r="P19" s="4">
        <f>SUM(D19:O19)</f>
        <v>119099680.37601626</v>
      </c>
    </row>
    <row r="20" spans="1:16" ht="12.75">
      <c r="A20" s="2" t="s">
        <v>159</v>
      </c>
      <c r="C20"/>
      <c r="D20" s="12">
        <f aca="true" t="shared" si="8" ref="D20:O20">D18-D19</f>
        <v>-194262.02439629938</v>
      </c>
      <c r="E20" s="12">
        <f t="shared" si="8"/>
        <v>-171290.8178347079</v>
      </c>
      <c r="F20" s="12">
        <f t="shared" si="8"/>
        <v>448365.8945354824</v>
      </c>
      <c r="G20" s="12">
        <f t="shared" si="8"/>
        <v>-1334187.9545053085</v>
      </c>
      <c r="H20" s="12">
        <f t="shared" si="8"/>
        <v>-1405053.56320904</v>
      </c>
      <c r="I20" s="12">
        <f t="shared" si="8"/>
        <v>-675685.1817063875</v>
      </c>
      <c r="J20" s="12">
        <f t="shared" si="8"/>
        <v>-626456</v>
      </c>
      <c r="K20" s="12">
        <f t="shared" si="8"/>
        <v>1697658</v>
      </c>
      <c r="L20" s="12">
        <f t="shared" si="8"/>
        <v>-1864122</v>
      </c>
      <c r="M20" s="12">
        <f t="shared" si="8"/>
        <v>-95995</v>
      </c>
      <c r="N20" s="12">
        <f t="shared" si="8"/>
        <v>494719</v>
      </c>
      <c r="O20" s="12">
        <f t="shared" si="8"/>
        <v>-32775</v>
      </c>
      <c r="P20" s="4">
        <f>SUM(D20:O20)</f>
        <v>-3759084.6471162606</v>
      </c>
    </row>
    <row r="21" spans="1:16" ht="12.75">
      <c r="A21" s="2" t="s">
        <v>200</v>
      </c>
      <c r="C21"/>
      <c r="D21" s="58">
        <v>0.19822</v>
      </c>
      <c r="E21" s="58">
        <v>0.19822</v>
      </c>
      <c r="F21" s="58">
        <v>0.19822</v>
      </c>
      <c r="G21" s="58">
        <v>0.19822</v>
      </c>
      <c r="H21" s="58">
        <v>0.19822</v>
      </c>
      <c r="I21" s="58">
        <v>0.19822</v>
      </c>
      <c r="J21" s="58">
        <v>0.21748</v>
      </c>
      <c r="K21" s="58">
        <f>J21</f>
        <v>0.21748</v>
      </c>
      <c r="L21" s="58">
        <f>K21</f>
        <v>0.21748</v>
      </c>
      <c r="M21" s="58">
        <f>L21</f>
        <v>0.21748</v>
      </c>
      <c r="N21" s="58">
        <f>M21</f>
        <v>0.21748</v>
      </c>
      <c r="O21" s="58">
        <f>N21</f>
        <v>0.21748</v>
      </c>
      <c r="P21"/>
    </row>
    <row r="22" spans="1:16" s="6" customFormat="1" ht="12.75">
      <c r="A22" s="6" t="s">
        <v>190</v>
      </c>
      <c r="D22" s="78">
        <f aca="true" t="shared" si="9" ref="D22:O22">D20*D21</f>
        <v>-38506.61847583447</v>
      </c>
      <c r="E22" s="78">
        <f t="shared" si="9"/>
        <v>-33953.265911195806</v>
      </c>
      <c r="F22" s="83">
        <f t="shared" si="9"/>
        <v>88875.08761482332</v>
      </c>
      <c r="G22" s="78">
        <f t="shared" si="9"/>
        <v>-264462.7363420423</v>
      </c>
      <c r="H22" s="78">
        <f t="shared" si="9"/>
        <v>-278509.71729929594</v>
      </c>
      <c r="I22" s="78">
        <f t="shared" si="9"/>
        <v>-133934.31671784015</v>
      </c>
      <c r="J22" s="78">
        <f t="shared" si="9"/>
        <v>-136241.65088</v>
      </c>
      <c r="K22" s="78">
        <f t="shared" si="9"/>
        <v>369206.66184</v>
      </c>
      <c r="L22" s="78">
        <f t="shared" si="9"/>
        <v>-405409.25256</v>
      </c>
      <c r="M22" s="83">
        <f t="shared" si="9"/>
        <v>-20876.9926</v>
      </c>
      <c r="N22" s="78">
        <f t="shared" si="9"/>
        <v>107591.48812000001</v>
      </c>
      <c r="O22" s="83">
        <f t="shared" si="9"/>
        <v>-7127.907</v>
      </c>
      <c r="P22" s="78">
        <f>SUM(D22:O22)</f>
        <v>-753349.2202113853</v>
      </c>
    </row>
    <row r="23" spans="2:16" s="6" customFormat="1" ht="12.75">
      <c r="B23" s="77" t="s">
        <v>191</v>
      </c>
      <c r="C23" s="2"/>
      <c r="D23" s="74">
        <v>0.9</v>
      </c>
      <c r="E23" s="74">
        <v>0.9</v>
      </c>
      <c r="F23" s="74">
        <v>0.9</v>
      </c>
      <c r="G23" s="74">
        <v>0.9</v>
      </c>
      <c r="H23" s="74">
        <v>0.9</v>
      </c>
      <c r="I23" s="74">
        <v>0.9</v>
      </c>
      <c r="J23" s="74">
        <v>0.9</v>
      </c>
      <c r="K23" s="74">
        <v>0.9</v>
      </c>
      <c r="L23" s="74">
        <v>0.9</v>
      </c>
      <c r="M23" s="74">
        <v>0.9</v>
      </c>
      <c r="N23" s="74">
        <v>0.9</v>
      </c>
      <c r="O23" s="74">
        <v>0.9</v>
      </c>
      <c r="P23" s="78"/>
    </row>
    <row r="24" spans="1:16" ht="12.75">
      <c r="A24" s="6" t="s">
        <v>192</v>
      </c>
      <c r="D24" s="79">
        <f aca="true" t="shared" si="10" ref="D24:O24">D22*D23</f>
        <v>-34655.95662825102</v>
      </c>
      <c r="E24" s="79">
        <f t="shared" si="10"/>
        <v>-30557.939320076224</v>
      </c>
      <c r="F24" s="79">
        <f t="shared" si="10"/>
        <v>79987.578853341</v>
      </c>
      <c r="G24" s="79">
        <f t="shared" si="10"/>
        <v>-238016.46270783804</v>
      </c>
      <c r="H24" s="79">
        <f t="shared" si="10"/>
        <v>-250658.74556936635</v>
      </c>
      <c r="I24" s="79">
        <f t="shared" si="10"/>
        <v>-120540.88504605614</v>
      </c>
      <c r="J24" s="79">
        <f t="shared" si="10"/>
        <v>-122617.485792</v>
      </c>
      <c r="K24" s="79">
        <f t="shared" si="10"/>
        <v>332285.99565600004</v>
      </c>
      <c r="L24" s="79">
        <f t="shared" si="10"/>
        <v>-364868.327304</v>
      </c>
      <c r="M24" s="79">
        <f t="shared" si="10"/>
        <v>-18789.29334</v>
      </c>
      <c r="N24" s="79">
        <f t="shared" si="10"/>
        <v>96832.33930800001</v>
      </c>
      <c r="O24" s="79">
        <f t="shared" si="10"/>
        <v>-6415.116300000001</v>
      </c>
      <c r="P24" s="78">
        <f>SUM(D24:O24)</f>
        <v>-678014.2981902466</v>
      </c>
    </row>
    <row r="25" spans="1:16" ht="12.75">
      <c r="A25"/>
      <c r="B25" s="6" t="s">
        <v>196</v>
      </c>
      <c r="C25"/>
      <c r="D25" s="90" t="s">
        <v>201</v>
      </c>
      <c r="E25" s="90" t="s">
        <v>201</v>
      </c>
      <c r="F25" s="90" t="s">
        <v>201</v>
      </c>
      <c r="G25" s="1"/>
      <c r="H25" s="1"/>
      <c r="I25" s="1"/>
      <c r="J25" s="1"/>
      <c r="K25" s="1"/>
      <c r="L25" s="1"/>
      <c r="M25" s="1"/>
      <c r="N25" s="1"/>
      <c r="O25" s="1"/>
      <c r="P25" s="4"/>
    </row>
    <row r="26" spans="1:16" ht="12.75">
      <c r="A26" s="6"/>
      <c r="D26" s="79"/>
      <c r="E26" s="79"/>
      <c r="F26" s="79"/>
      <c r="G26" s="79"/>
      <c r="H26" s="79"/>
      <c r="I26" s="79"/>
      <c r="J26" s="79"/>
      <c r="K26" s="79"/>
      <c r="L26" s="79"/>
      <c r="M26" s="79"/>
      <c r="N26" s="79"/>
      <c r="O26" s="79"/>
      <c r="P26" s="79"/>
    </row>
    <row r="27" spans="1:16" ht="12.75">
      <c r="A27" s="2" t="s">
        <v>209</v>
      </c>
      <c r="D27" s="1">
        <v>-36007.43753197607</v>
      </c>
      <c r="E27" s="1">
        <v>-31749.609539752288</v>
      </c>
      <c r="F27" s="1">
        <v>83106.86038162434</v>
      </c>
      <c r="G27" s="1"/>
      <c r="H27" s="1"/>
      <c r="I27" s="1"/>
      <c r="J27" s="1"/>
      <c r="K27" s="1"/>
      <c r="L27" s="1"/>
      <c r="M27" s="1"/>
      <c r="N27" s="1"/>
      <c r="O27" s="1"/>
      <c r="P27" s="4"/>
    </row>
    <row r="28" spans="1:16" ht="12.75">
      <c r="A28" s="6" t="s">
        <v>199</v>
      </c>
      <c r="D28" s="1">
        <f>D24-D27</f>
        <v>1351.4809037250525</v>
      </c>
      <c r="E28" s="1">
        <f>E24-E27</f>
        <v>1191.6702196760634</v>
      </c>
      <c r="F28" s="1">
        <f>F24-F27</f>
        <v>-3119.281528283347</v>
      </c>
      <c r="G28" s="96">
        <f>SUM(D28:F28)</f>
        <v>-576.1304048822312</v>
      </c>
      <c r="H28" s="1"/>
      <c r="I28" s="1"/>
      <c r="J28" s="1"/>
      <c r="K28" s="1"/>
      <c r="L28" s="1"/>
      <c r="M28" s="1"/>
      <c r="N28" s="1"/>
      <c r="O28" s="1"/>
      <c r="P28" s="4"/>
    </row>
    <row r="29" spans="4:16" ht="12.75">
      <c r="D29" s="1"/>
      <c r="E29" s="1"/>
      <c r="F29" s="1"/>
      <c r="G29" s="1"/>
      <c r="H29" s="1"/>
      <c r="I29" s="1"/>
      <c r="J29" s="1"/>
      <c r="K29" s="1"/>
      <c r="L29" s="1"/>
      <c r="M29" s="1"/>
      <c r="N29" s="1"/>
      <c r="O29" s="1"/>
      <c r="P29" s="4"/>
    </row>
    <row r="30" spans="1:16" ht="12.75">
      <c r="A30" s="73" t="s">
        <v>231</v>
      </c>
      <c r="D30" s="1"/>
      <c r="E30" s="1"/>
      <c r="F30" s="1"/>
      <c r="G30" s="1"/>
      <c r="H30" s="1"/>
      <c r="I30" s="1"/>
      <c r="J30" s="1"/>
      <c r="K30" s="1"/>
      <c r="L30" s="1"/>
      <c r="M30" s="1"/>
      <c r="N30" s="1"/>
      <c r="O30" s="1"/>
      <c r="P30" s="4"/>
    </row>
    <row r="31" spans="1:16" ht="12.75">
      <c r="A31" s="73" t="s">
        <v>238</v>
      </c>
      <c r="D31" s="80"/>
      <c r="E31" s="80"/>
      <c r="F31" s="80"/>
      <c r="G31" s="80"/>
      <c r="H31" s="80"/>
      <c r="I31" s="80"/>
      <c r="J31" s="80"/>
      <c r="K31" s="80"/>
      <c r="L31" s="80"/>
      <c r="M31" s="80"/>
      <c r="N31" s="80"/>
      <c r="O31" s="80"/>
      <c r="P31" s="81"/>
    </row>
    <row r="32" spans="1:16" ht="12.75">
      <c r="A32" s="73"/>
      <c r="D32" s="80"/>
      <c r="E32" s="80"/>
      <c r="F32" s="80"/>
      <c r="G32" s="80"/>
      <c r="H32" s="80"/>
      <c r="I32" s="80"/>
      <c r="J32" s="80"/>
      <c r="K32" s="80"/>
      <c r="L32" s="80"/>
      <c r="M32" s="80"/>
      <c r="N32" s="80"/>
      <c r="O32" s="80"/>
      <c r="P32" s="81"/>
    </row>
    <row r="33" spans="1:3" ht="12.75">
      <c r="A33" s="59" t="s">
        <v>232</v>
      </c>
      <c r="C33" s="6"/>
    </row>
    <row r="34" spans="1:16" ht="12.75">
      <c r="A34" s="14"/>
      <c r="D34" s="67">
        <v>39234</v>
      </c>
      <c r="E34" s="67">
        <v>39264</v>
      </c>
      <c r="F34" s="67">
        <v>39295</v>
      </c>
      <c r="G34" s="67">
        <v>39326</v>
      </c>
      <c r="H34" s="67">
        <v>39356</v>
      </c>
      <c r="I34" s="67">
        <v>39387</v>
      </c>
      <c r="J34" s="67">
        <v>39417</v>
      </c>
      <c r="K34" s="67"/>
      <c r="L34" s="67"/>
      <c r="M34" s="67"/>
      <c r="N34" s="67"/>
      <c r="O34" s="67"/>
      <c r="P34" s="67"/>
    </row>
    <row r="35" spans="1:16" ht="12.75">
      <c r="A35" t="s">
        <v>25</v>
      </c>
      <c r="B35"/>
      <c r="C35"/>
      <c r="D35" s="88">
        <v>75.2</v>
      </c>
      <c r="E35" s="88">
        <v>0.4</v>
      </c>
      <c r="F35" s="88">
        <v>21.1</v>
      </c>
      <c r="G35" s="88">
        <v>161.9</v>
      </c>
      <c r="H35" s="88">
        <v>377.3</v>
      </c>
      <c r="I35" s="88">
        <v>642.8</v>
      </c>
      <c r="J35" s="88">
        <v>702.2</v>
      </c>
      <c r="K35"/>
      <c r="L35"/>
      <c r="M35"/>
      <c r="N35"/>
      <c r="O35"/>
      <c r="P35"/>
    </row>
    <row r="36" spans="1:16" ht="12.75">
      <c r="A36" t="s">
        <v>26</v>
      </c>
      <c r="B36"/>
      <c r="C36"/>
      <c r="D36" s="24">
        <v>0.6125</v>
      </c>
      <c r="E36" s="24">
        <v>0.6117</v>
      </c>
      <c r="F36" s="24">
        <v>0.6375</v>
      </c>
      <c r="G36" s="24">
        <v>0.6092</v>
      </c>
      <c r="H36" s="24">
        <v>0.6331</v>
      </c>
      <c r="I36" s="24">
        <v>0.6615</v>
      </c>
      <c r="J36" s="24">
        <v>0.61</v>
      </c>
      <c r="K36"/>
      <c r="L36"/>
      <c r="M36"/>
      <c r="N36"/>
      <c r="O36"/>
      <c r="P36"/>
    </row>
    <row r="37" spans="1:16" ht="12.75">
      <c r="A37" s="59" t="s">
        <v>150</v>
      </c>
      <c r="B37" s="61" t="s">
        <v>145</v>
      </c>
      <c r="C37" s="61" t="s">
        <v>20</v>
      </c>
      <c r="D37" s="24"/>
      <c r="E37" s="24"/>
      <c r="F37" s="24"/>
      <c r="G37" s="24"/>
      <c r="H37" s="24"/>
      <c r="I37" s="24"/>
      <c r="J37" s="24"/>
      <c r="K37"/>
      <c r="L37"/>
      <c r="M37"/>
      <c r="N37"/>
      <c r="O37"/>
      <c r="P37"/>
    </row>
    <row r="38" spans="1:16" ht="12.75">
      <c r="A38" t="s">
        <v>27</v>
      </c>
      <c r="B38" s="2">
        <v>7</v>
      </c>
      <c r="C38" s="2">
        <v>0.11</v>
      </c>
      <c r="D38" s="11">
        <f aca="true" t="shared" si="11" ref="D38:J38">$C38*D$35*D59+$B38*D$36*D59</f>
        <v>1484645.9355000001</v>
      </c>
      <c r="E38" s="11">
        <f t="shared" si="11"/>
        <v>511637.1707</v>
      </c>
      <c r="F38" s="11">
        <f t="shared" si="11"/>
        <v>803851.5334999999</v>
      </c>
      <c r="G38" s="11">
        <f t="shared" si="11"/>
        <v>2624152.0122</v>
      </c>
      <c r="H38" s="11">
        <f t="shared" si="11"/>
        <v>5485705.6128</v>
      </c>
      <c r="I38" s="11">
        <f t="shared" si="11"/>
        <v>9053352.206500001</v>
      </c>
      <c r="J38" s="11">
        <f t="shared" si="11"/>
        <v>9822603.56</v>
      </c>
      <c r="K38"/>
      <c r="L38"/>
      <c r="M38"/>
      <c r="N38"/>
      <c r="O38"/>
      <c r="P38"/>
    </row>
    <row r="39" spans="1:16" ht="12.75">
      <c r="A39" t="s">
        <v>28</v>
      </c>
      <c r="B39" s="2">
        <v>0</v>
      </c>
      <c r="C39" s="2">
        <v>0.249</v>
      </c>
      <c r="D39" s="11">
        <f aca="true" t="shared" si="12" ref="D39:J39">$C39*D$35*(D60)+$B39*D$36*(D60)</f>
        <v>201141.8016</v>
      </c>
      <c r="E39" s="11">
        <f t="shared" si="12"/>
        <v>1076.0784</v>
      </c>
      <c r="F39" s="11">
        <f t="shared" si="12"/>
        <v>57125.65470000001</v>
      </c>
      <c r="G39" s="11">
        <f t="shared" si="12"/>
        <v>438848.4066</v>
      </c>
      <c r="H39" s="11">
        <f t="shared" si="12"/>
        <v>1024875.4593</v>
      </c>
      <c r="I39" s="11">
        <f t="shared" si="12"/>
        <v>1759828.9139999999</v>
      </c>
      <c r="J39" s="11">
        <f t="shared" si="12"/>
        <v>1927696.995</v>
      </c>
      <c r="K39"/>
      <c r="L39"/>
      <c r="M39"/>
      <c r="N39"/>
      <c r="O39"/>
      <c r="P39"/>
    </row>
    <row r="40" spans="1:16" ht="12.75">
      <c r="A40" t="s">
        <v>29</v>
      </c>
      <c r="B40" s="2">
        <v>0</v>
      </c>
      <c r="C40" s="2">
        <v>0.424</v>
      </c>
      <c r="D40" s="11">
        <f aca="true" t="shared" si="13" ref="D40:J40">$C40*D$35*D61+$B40*D$36*D61</f>
        <v>2869.632</v>
      </c>
      <c r="E40" s="11">
        <f t="shared" si="13"/>
        <v>16.112</v>
      </c>
      <c r="F40" s="11">
        <f t="shared" si="13"/>
        <v>849.908</v>
      </c>
      <c r="G40" s="11">
        <f t="shared" si="13"/>
        <v>6727.2688</v>
      </c>
      <c r="H40" s="11">
        <f t="shared" si="13"/>
        <v>15517.5944</v>
      </c>
      <c r="I40" s="11">
        <f t="shared" si="13"/>
        <v>26164.531199999998</v>
      </c>
      <c r="J40" s="11">
        <f t="shared" si="13"/>
        <v>28284.615999999998</v>
      </c>
      <c r="K40"/>
      <c r="L40"/>
      <c r="M40"/>
      <c r="N40"/>
      <c r="O40"/>
      <c r="P40"/>
    </row>
    <row r="41" spans="1:16" ht="12.75">
      <c r="A41"/>
      <c r="D41" s="21">
        <f aca="true" t="shared" si="14" ref="D41:J41">SUM(D38:D40)</f>
        <v>1688657.3691</v>
      </c>
      <c r="E41" s="21">
        <f t="shared" si="14"/>
        <v>512729.36110000004</v>
      </c>
      <c r="F41" s="21">
        <f t="shared" si="14"/>
        <v>861827.0961999999</v>
      </c>
      <c r="G41" s="21">
        <f t="shared" si="14"/>
        <v>3069727.6876000003</v>
      </c>
      <c r="H41" s="21">
        <f t="shared" si="14"/>
        <v>6526098.6665</v>
      </c>
      <c r="I41" s="21">
        <f t="shared" si="14"/>
        <v>10839345.651700001</v>
      </c>
      <c r="J41" s="21">
        <f t="shared" si="14"/>
        <v>11778585.171</v>
      </c>
      <c r="K41"/>
      <c r="L41"/>
      <c r="M41"/>
      <c r="N41"/>
      <c r="O41"/>
      <c r="P41"/>
    </row>
    <row r="42" spans="1:16" ht="12.75">
      <c r="A42"/>
      <c r="D42" s="22"/>
      <c r="E42" s="22"/>
      <c r="F42" s="22"/>
      <c r="G42" s="22"/>
      <c r="H42" s="22"/>
      <c r="I42" s="22"/>
      <c r="J42" s="22"/>
      <c r="K42"/>
      <c r="L42"/>
      <c r="M42"/>
      <c r="N42"/>
      <c r="O42"/>
      <c r="P42"/>
    </row>
    <row r="43" spans="1:16" ht="12.75">
      <c r="A43"/>
      <c r="B43" s="44"/>
      <c r="C43" s="44"/>
      <c r="D43" s="22"/>
      <c r="E43" s="22"/>
      <c r="F43" s="22"/>
      <c r="G43" s="22"/>
      <c r="H43" s="22"/>
      <c r="I43" s="22"/>
      <c r="J43" s="22"/>
      <c r="K43"/>
      <c r="L43"/>
      <c r="M43"/>
      <c r="N43"/>
      <c r="O43"/>
      <c r="P43"/>
    </row>
    <row r="44" spans="1:16" ht="12.75">
      <c r="A44" s="59" t="s">
        <v>233</v>
      </c>
      <c r="B44"/>
      <c r="C44"/>
      <c r="D44" s="22"/>
      <c r="E44" s="22"/>
      <c r="F44" s="22"/>
      <c r="G44" s="22"/>
      <c r="H44" s="22"/>
      <c r="I44" s="22"/>
      <c r="J44" s="22"/>
      <c r="K44"/>
      <c r="L44"/>
      <c r="M44"/>
      <c r="N44"/>
      <c r="O44"/>
      <c r="P44"/>
    </row>
    <row r="45" spans="2:16" ht="12.75">
      <c r="B45"/>
      <c r="C45"/>
      <c r="D45" s="16">
        <v>39264</v>
      </c>
      <c r="E45" s="16">
        <v>39295</v>
      </c>
      <c r="F45" s="16">
        <v>39326</v>
      </c>
      <c r="G45" s="16">
        <v>39356</v>
      </c>
      <c r="H45" s="16">
        <v>39387</v>
      </c>
      <c r="I45" s="16">
        <v>39417</v>
      </c>
      <c r="J45"/>
      <c r="K45"/>
      <c r="L45"/>
      <c r="M45"/>
      <c r="N45"/>
      <c r="O45"/>
      <c r="P45"/>
    </row>
    <row r="46" spans="1:16" ht="12.75">
      <c r="A46" s="2" t="s">
        <v>17</v>
      </c>
      <c r="D46" s="7">
        <v>44</v>
      </c>
      <c r="E46" s="7">
        <v>42</v>
      </c>
      <c r="F46" s="7">
        <v>196</v>
      </c>
      <c r="G46" s="7">
        <v>554</v>
      </c>
      <c r="H46" s="7">
        <v>897</v>
      </c>
      <c r="I46" s="7">
        <v>1168</v>
      </c>
      <c r="J46"/>
      <c r="K46"/>
      <c r="L46"/>
      <c r="M46"/>
      <c r="N46"/>
      <c r="O46"/>
      <c r="P46"/>
    </row>
    <row r="47" spans="1:16" ht="12.75">
      <c r="A47" s="2" t="s">
        <v>18</v>
      </c>
      <c r="D47" s="89">
        <v>0</v>
      </c>
      <c r="E47" s="89">
        <v>27</v>
      </c>
      <c r="F47" s="89">
        <v>194</v>
      </c>
      <c r="G47" s="89">
        <v>553</v>
      </c>
      <c r="H47" s="89">
        <v>894</v>
      </c>
      <c r="I47" s="89">
        <v>1126</v>
      </c>
      <c r="J47"/>
      <c r="K47"/>
      <c r="L47"/>
      <c r="M47"/>
      <c r="N47"/>
      <c r="O47"/>
      <c r="P47"/>
    </row>
    <row r="48" spans="1:16" ht="12.75">
      <c r="A48" s="2" t="s">
        <v>19</v>
      </c>
      <c r="D48" s="5">
        <f aca="true" t="shared" si="15" ref="D48:I48">D46-D47</f>
        <v>44</v>
      </c>
      <c r="E48" s="5">
        <f t="shared" si="15"/>
        <v>15</v>
      </c>
      <c r="F48" s="5">
        <f t="shared" si="15"/>
        <v>2</v>
      </c>
      <c r="G48" s="5">
        <f t="shared" si="15"/>
        <v>1</v>
      </c>
      <c r="H48" s="5">
        <f t="shared" si="15"/>
        <v>3</v>
      </c>
      <c r="I48" s="5">
        <f t="shared" si="15"/>
        <v>42</v>
      </c>
      <c r="J48"/>
      <c r="K48"/>
      <c r="L48"/>
      <c r="M48"/>
      <c r="N48"/>
      <c r="O48"/>
      <c r="P48"/>
    </row>
    <row r="49" spans="4:16" ht="12.75">
      <c r="D49" s="7"/>
      <c r="E49" s="7"/>
      <c r="F49" s="7"/>
      <c r="G49" s="7"/>
      <c r="H49" s="7"/>
      <c r="I49" s="7"/>
      <c r="J49"/>
      <c r="K49"/>
      <c r="L49"/>
      <c r="M49"/>
      <c r="N49"/>
      <c r="O49"/>
      <c r="P49"/>
    </row>
    <row r="50" spans="1:16" ht="12.75">
      <c r="A50" s="58" t="s">
        <v>150</v>
      </c>
      <c r="B50" s="61" t="s">
        <v>145</v>
      </c>
      <c r="C50" s="58" t="s">
        <v>20</v>
      </c>
      <c r="D50" s="22"/>
      <c r="E50" s="22"/>
      <c r="F50" s="22"/>
      <c r="G50" s="22"/>
      <c r="H50" s="22"/>
      <c r="I50" s="22"/>
      <c r="J50"/>
      <c r="K50"/>
      <c r="L50"/>
      <c r="M50"/>
      <c r="N50"/>
      <c r="O50"/>
      <c r="P50"/>
    </row>
    <row r="51" spans="1:16" ht="12.75">
      <c r="A51" t="s">
        <v>27</v>
      </c>
      <c r="B51" s="2">
        <v>7</v>
      </c>
      <c r="C51" s="2">
        <v>0.11</v>
      </c>
      <c r="D51" s="22">
        <f aca="true" t="shared" si="16" ref="D51:I51">D$48*$C51*E59</f>
        <v>572441.32</v>
      </c>
      <c r="E51" s="22">
        <f t="shared" si="16"/>
        <v>195526.65</v>
      </c>
      <c r="F51" s="22">
        <f t="shared" si="16"/>
        <v>26154.26</v>
      </c>
      <c r="G51" s="22">
        <f t="shared" si="16"/>
        <v>13136.64</v>
      </c>
      <c r="H51" s="22">
        <f t="shared" si="16"/>
        <v>39655.770000000004</v>
      </c>
      <c r="I51" s="22">
        <f t="shared" si="16"/>
        <v>556733.1</v>
      </c>
      <c r="J51"/>
      <c r="K51"/>
      <c r="L51"/>
      <c r="M51"/>
      <c r="N51"/>
      <c r="O51"/>
      <c r="P51"/>
    </row>
    <row r="52" spans="1:16" ht="12.75">
      <c r="A52" t="s">
        <v>28</v>
      </c>
      <c r="B52" s="2">
        <v>0</v>
      </c>
      <c r="C52" s="2">
        <v>0.249</v>
      </c>
      <c r="D52" s="22">
        <f aca="true" t="shared" si="17" ref="D52:I52">D$48*$C52*(E60)</f>
        <v>118368.624</v>
      </c>
      <c r="E52" s="22">
        <f t="shared" si="17"/>
        <v>40610.655</v>
      </c>
      <c r="F52" s="22">
        <f t="shared" si="17"/>
        <v>5421.228</v>
      </c>
      <c r="G52" s="22">
        <f t="shared" si="17"/>
        <v>2716.341</v>
      </c>
      <c r="H52" s="22">
        <f t="shared" si="17"/>
        <v>8213.265</v>
      </c>
      <c r="I52" s="22">
        <f t="shared" si="17"/>
        <v>115299.45</v>
      </c>
      <c r="J52"/>
      <c r="K52"/>
      <c r="L52"/>
      <c r="M52"/>
      <c r="N52"/>
      <c r="O52"/>
      <c r="P52"/>
    </row>
    <row r="53" spans="1:16" ht="12.75">
      <c r="A53" t="s">
        <v>29</v>
      </c>
      <c r="B53" s="2">
        <v>0</v>
      </c>
      <c r="C53" s="2">
        <v>0.424</v>
      </c>
      <c r="D53" s="22">
        <f aca="true" t="shared" si="18" ref="D53:I53">D$48*$C53*E61</f>
        <v>1772.32</v>
      </c>
      <c r="E53" s="22">
        <f t="shared" si="18"/>
        <v>604.1999999999999</v>
      </c>
      <c r="F53" s="22">
        <f t="shared" si="18"/>
        <v>83.104</v>
      </c>
      <c r="G53" s="22">
        <f t="shared" si="18"/>
        <v>41.128</v>
      </c>
      <c r="H53" s="22">
        <f t="shared" si="18"/>
        <v>122.112</v>
      </c>
      <c r="I53" s="22">
        <f t="shared" si="18"/>
        <v>1691.76</v>
      </c>
      <c r="J53"/>
      <c r="K53"/>
      <c r="L53"/>
      <c r="M53"/>
      <c r="N53"/>
      <c r="O53"/>
      <c r="P53"/>
    </row>
    <row r="54" spans="4:16" ht="12.75">
      <c r="D54" s="5">
        <f aca="true" t="shared" si="19" ref="D54:I54">SUM(D51:D53)</f>
        <v>692582.2639999999</v>
      </c>
      <c r="E54" s="5">
        <f t="shared" si="19"/>
        <v>236741.505</v>
      </c>
      <c r="F54" s="5">
        <f t="shared" si="19"/>
        <v>31658.591999999997</v>
      </c>
      <c r="G54" s="5">
        <f t="shared" si="19"/>
        <v>15894.109</v>
      </c>
      <c r="H54" s="5">
        <f t="shared" si="19"/>
        <v>47991.147000000004</v>
      </c>
      <c r="I54" s="5">
        <f t="shared" si="19"/>
        <v>673724.3099999999</v>
      </c>
      <c r="J54"/>
      <c r="K54"/>
      <c r="L54"/>
      <c r="M54"/>
      <c r="N54"/>
      <c r="O54"/>
      <c r="P54"/>
    </row>
    <row r="56" spans="1:16" ht="12.75">
      <c r="A56"/>
      <c r="D56" s="22"/>
      <c r="E56" s="22"/>
      <c r="F56" s="22"/>
      <c r="G56" s="22"/>
      <c r="H56" s="22"/>
      <c r="I56" s="22"/>
      <c r="J56" s="22"/>
      <c r="K56" s="22"/>
      <c r="L56" s="22"/>
      <c r="M56" s="22"/>
      <c r="N56" s="22"/>
      <c r="O56" s="22"/>
      <c r="P56" s="22"/>
    </row>
    <row r="57" spans="1:16" ht="12.75">
      <c r="A57" s="6" t="s">
        <v>234</v>
      </c>
      <c r="B57" s="44"/>
      <c r="C57" s="44"/>
      <c r="D57" s="4"/>
      <c r="E57" s="4"/>
      <c r="F57" s="4"/>
      <c r="G57" s="4"/>
      <c r="H57" s="4"/>
      <c r="I57" s="4"/>
      <c r="J57" s="4"/>
      <c r="K57" s="4"/>
      <c r="L57" s="4"/>
      <c r="M57" s="4"/>
      <c r="N57" s="4"/>
      <c r="O57" s="4"/>
      <c r="P57" s="22"/>
    </row>
    <row r="58" spans="4:10" ht="12.75">
      <c r="D58" s="16">
        <v>38139</v>
      </c>
      <c r="E58" s="16">
        <v>38169</v>
      </c>
      <c r="F58" s="16">
        <v>38200</v>
      </c>
      <c r="G58" s="16">
        <v>38231</v>
      </c>
      <c r="H58" s="16">
        <v>38261</v>
      </c>
      <c r="I58" s="16">
        <v>38292</v>
      </c>
      <c r="J58" s="16">
        <v>38322</v>
      </c>
    </row>
    <row r="59" spans="1:10" ht="12.75">
      <c r="A59" t="s">
        <v>40</v>
      </c>
      <c r="B59" s="2" t="s">
        <v>35</v>
      </c>
      <c r="D59" s="1">
        <v>118209</v>
      </c>
      <c r="E59" s="1">
        <v>118273</v>
      </c>
      <c r="F59" s="1">
        <v>118501</v>
      </c>
      <c r="G59" s="1">
        <v>118883</v>
      </c>
      <c r="H59" s="1">
        <v>119424</v>
      </c>
      <c r="I59" s="1">
        <v>120169</v>
      </c>
      <c r="J59" s="1">
        <v>120505</v>
      </c>
    </row>
    <row r="60" spans="1:10" ht="12.75">
      <c r="A60"/>
      <c r="B60" s="2" t="s">
        <v>36</v>
      </c>
      <c r="D60" s="1">
        <v>10742</v>
      </c>
      <c r="E60" s="1">
        <v>10804</v>
      </c>
      <c r="F60" s="1">
        <v>10873</v>
      </c>
      <c r="G60" s="1">
        <v>10886</v>
      </c>
      <c r="H60" s="1">
        <v>10909</v>
      </c>
      <c r="I60" s="1">
        <v>10995</v>
      </c>
      <c r="J60" s="1">
        <v>11025</v>
      </c>
    </row>
    <row r="61" spans="1:10" ht="12.75">
      <c r="A61"/>
      <c r="B61" s="2" t="s">
        <v>37</v>
      </c>
      <c r="D61" s="1">
        <v>90</v>
      </c>
      <c r="E61" s="1">
        <v>95</v>
      </c>
      <c r="F61" s="1">
        <v>95</v>
      </c>
      <c r="G61" s="1">
        <v>98</v>
      </c>
      <c r="H61" s="1">
        <v>97</v>
      </c>
      <c r="I61" s="1">
        <v>96</v>
      </c>
      <c r="J61" s="1">
        <v>95</v>
      </c>
    </row>
    <row r="62" spans="1:10" ht="12.75">
      <c r="A62"/>
      <c r="B62" s="2" t="s">
        <v>38</v>
      </c>
      <c r="D62" s="1">
        <v>20</v>
      </c>
      <c r="E62" s="1">
        <v>20</v>
      </c>
      <c r="F62" s="1">
        <v>21</v>
      </c>
      <c r="G62" s="1">
        <v>21</v>
      </c>
      <c r="H62" s="1">
        <v>21</v>
      </c>
      <c r="I62" s="1">
        <v>21</v>
      </c>
      <c r="J62" s="1">
        <v>21</v>
      </c>
    </row>
    <row r="63" spans="1:10" ht="12.75">
      <c r="A63" s="2" t="s">
        <v>30</v>
      </c>
      <c r="D63" s="15">
        <f aca="true" t="shared" si="20" ref="D63:J63">SUM(D59:D62)</f>
        <v>129061</v>
      </c>
      <c r="E63" s="15">
        <f t="shared" si="20"/>
        <v>129192</v>
      </c>
      <c r="F63" s="15">
        <f t="shared" si="20"/>
        <v>129490</v>
      </c>
      <c r="G63" s="15">
        <f t="shared" si="20"/>
        <v>129888</v>
      </c>
      <c r="H63" s="15">
        <f t="shared" si="20"/>
        <v>130451</v>
      </c>
      <c r="I63" s="15">
        <f t="shared" si="20"/>
        <v>131281</v>
      </c>
      <c r="J63" s="15">
        <f t="shared" si="20"/>
        <v>131646</v>
      </c>
    </row>
    <row r="64" spans="1:17" ht="12.75">
      <c r="A64" s="108"/>
      <c r="B64" s="108"/>
      <c r="C64" s="108"/>
      <c r="D64" s="108"/>
      <c r="E64" s="108"/>
      <c r="F64" s="108"/>
      <c r="G64" s="108"/>
      <c r="H64" s="108"/>
      <c r="I64" s="108"/>
      <c r="J64" s="108"/>
      <c r="K64" s="108"/>
      <c r="L64" s="108"/>
      <c r="M64" s="108"/>
      <c r="N64" s="108"/>
      <c r="O64" s="108"/>
      <c r="P64" s="108"/>
      <c r="Q64" s="108"/>
    </row>
    <row r="65" spans="1:10" ht="12.75">
      <c r="A65" s="73" t="s">
        <v>230</v>
      </c>
      <c r="J65" s="4"/>
    </row>
    <row r="66" spans="1:16" ht="12.75">
      <c r="A66" s="59" t="s">
        <v>66</v>
      </c>
      <c r="B66"/>
      <c r="C66"/>
      <c r="D66"/>
      <c r="E66"/>
      <c r="F66"/>
      <c r="G66"/>
      <c r="H66"/>
      <c r="I66"/>
      <c r="J66"/>
      <c r="K66"/>
      <c r="L66"/>
      <c r="M66"/>
      <c r="N66"/>
      <c r="O66"/>
      <c r="P66"/>
    </row>
    <row r="67" spans="1:16" ht="12.75">
      <c r="A67"/>
      <c r="B67"/>
      <c r="C67"/>
      <c r="D67" s="62">
        <v>39448</v>
      </c>
      <c r="E67" s="62">
        <v>39479</v>
      </c>
      <c r="F67" s="62">
        <v>39508</v>
      </c>
      <c r="G67" s="62">
        <v>39539</v>
      </c>
      <c r="H67" s="62">
        <v>39569</v>
      </c>
      <c r="I67" s="62">
        <v>39600</v>
      </c>
      <c r="J67" s="62">
        <v>39630</v>
      </c>
      <c r="K67" s="62">
        <v>39661</v>
      </c>
      <c r="L67" s="62">
        <v>39692</v>
      </c>
      <c r="M67" s="62">
        <v>39722</v>
      </c>
      <c r="N67" s="62">
        <v>39753</v>
      </c>
      <c r="O67" s="62">
        <v>39783</v>
      </c>
      <c r="P67" s="61" t="s">
        <v>67</v>
      </c>
    </row>
    <row r="68" spans="1:16" ht="12.75">
      <c r="A68" s="2" t="s">
        <v>17</v>
      </c>
      <c r="D68" s="7">
        <v>1169</v>
      </c>
      <c r="E68" s="7">
        <f>916+29</f>
        <v>945</v>
      </c>
      <c r="F68" s="7">
        <v>790</v>
      </c>
      <c r="G68" s="7">
        <v>557</v>
      </c>
      <c r="H68" s="7">
        <v>338</v>
      </c>
      <c r="I68" s="7">
        <v>149</v>
      </c>
      <c r="J68" s="7">
        <v>44</v>
      </c>
      <c r="K68" s="7">
        <v>42</v>
      </c>
      <c r="L68" s="7">
        <v>196</v>
      </c>
      <c r="M68" s="7">
        <v>554</v>
      </c>
      <c r="N68" s="7">
        <v>897</v>
      </c>
      <c r="O68" s="7">
        <v>1168</v>
      </c>
      <c r="P68" s="4">
        <f>SUM(D68:O68)</f>
        <v>6849</v>
      </c>
    </row>
    <row r="69" spans="1:16" ht="12.75">
      <c r="A69" s="98" t="s">
        <v>18</v>
      </c>
      <c r="B69"/>
      <c r="C69"/>
      <c r="D69" s="118">
        <v>1243</v>
      </c>
      <c r="E69" s="118">
        <v>952</v>
      </c>
      <c r="F69" s="118">
        <v>880</v>
      </c>
      <c r="G69" s="118">
        <v>683</v>
      </c>
      <c r="H69" s="118">
        <v>274</v>
      </c>
      <c r="I69" s="118">
        <v>176</v>
      </c>
      <c r="J69" s="10">
        <f aca="true" t="shared" si="21" ref="J69:O69">J68</f>
        <v>44</v>
      </c>
      <c r="K69" s="10">
        <f t="shared" si="21"/>
        <v>42</v>
      </c>
      <c r="L69" s="10">
        <f t="shared" si="21"/>
        <v>196</v>
      </c>
      <c r="M69" s="10">
        <f t="shared" si="21"/>
        <v>554</v>
      </c>
      <c r="N69" s="10">
        <f t="shared" si="21"/>
        <v>897</v>
      </c>
      <c r="O69" s="10">
        <f t="shared" si="21"/>
        <v>1168</v>
      </c>
      <c r="P69" s="4">
        <f>SUM(D69:O69)</f>
        <v>7109</v>
      </c>
    </row>
    <row r="70" spans="1:16" ht="12.75">
      <c r="A70" s="6" t="s">
        <v>68</v>
      </c>
      <c r="B70"/>
      <c r="C70"/>
      <c r="D70" s="12">
        <f>D68-D69</f>
        <v>-74</v>
      </c>
      <c r="E70" s="12">
        <f aca="true" t="shared" si="22" ref="E70:O70">E68-E69</f>
        <v>-7</v>
      </c>
      <c r="F70" s="12">
        <f t="shared" si="22"/>
        <v>-90</v>
      </c>
      <c r="G70" s="12">
        <f t="shared" si="22"/>
        <v>-126</v>
      </c>
      <c r="H70" s="12">
        <f t="shared" si="22"/>
        <v>64</v>
      </c>
      <c r="I70" s="12">
        <f t="shared" si="22"/>
        <v>-27</v>
      </c>
      <c r="J70" s="12">
        <f t="shared" si="22"/>
        <v>0</v>
      </c>
      <c r="K70" s="12">
        <f t="shared" si="22"/>
        <v>0</v>
      </c>
      <c r="L70" s="12">
        <f t="shared" si="22"/>
        <v>0</v>
      </c>
      <c r="M70" s="12">
        <f t="shared" si="22"/>
        <v>0</v>
      </c>
      <c r="N70" s="12">
        <f t="shared" si="22"/>
        <v>0</v>
      </c>
      <c r="O70" s="12">
        <f t="shared" si="22"/>
        <v>0</v>
      </c>
      <c r="P70" s="5">
        <f>SUM(D70:O70)</f>
        <v>-260</v>
      </c>
    </row>
    <row r="71" spans="1:16" ht="12.75">
      <c r="A71" s="6"/>
      <c r="B71" s="60"/>
      <c r="C71" s="103" t="s">
        <v>221</v>
      </c>
      <c r="D71"/>
      <c r="E71"/>
      <c r="F71"/>
      <c r="G71"/>
      <c r="H71"/>
      <c r="I71"/>
      <c r="J71"/>
      <c r="K71"/>
      <c r="L71"/>
      <c r="M71"/>
      <c r="N71"/>
      <c r="O71"/>
      <c r="P71"/>
    </row>
    <row r="72" spans="1:16" ht="12.75">
      <c r="A72" t="s">
        <v>27</v>
      </c>
      <c r="B72"/>
      <c r="C72" s="61" t="s">
        <v>180</v>
      </c>
      <c r="D72" s="104">
        <v>0.101</v>
      </c>
      <c r="E72" s="104">
        <v>0.101</v>
      </c>
      <c r="F72" s="104">
        <v>0.101</v>
      </c>
      <c r="G72" s="104">
        <v>0.09</v>
      </c>
      <c r="H72" s="104">
        <v>0.09</v>
      </c>
      <c r="I72" s="104">
        <v>0.09</v>
      </c>
      <c r="J72" s="104">
        <v>0</v>
      </c>
      <c r="K72" s="104">
        <v>0</v>
      </c>
      <c r="L72" s="104">
        <v>0</v>
      </c>
      <c r="M72" s="104">
        <v>0.09</v>
      </c>
      <c r="N72" s="104">
        <v>0.09</v>
      </c>
      <c r="O72" s="104">
        <v>0.101</v>
      </c>
      <c r="P72"/>
    </row>
    <row r="73" spans="1:16" ht="12.75">
      <c r="A73" t="s">
        <v>28</v>
      </c>
      <c r="B73"/>
      <c r="C73" s="61" t="s">
        <v>180</v>
      </c>
      <c r="D73" s="104">
        <v>0.243</v>
      </c>
      <c r="E73" s="104">
        <v>0.243</v>
      </c>
      <c r="F73" s="104">
        <v>0.243</v>
      </c>
      <c r="G73" s="104">
        <v>0.169</v>
      </c>
      <c r="H73" s="104">
        <v>0.169</v>
      </c>
      <c r="I73" s="104">
        <v>0.169</v>
      </c>
      <c r="J73" s="104">
        <v>0</v>
      </c>
      <c r="K73" s="104">
        <v>0</v>
      </c>
      <c r="L73" s="104">
        <v>0</v>
      </c>
      <c r="M73" s="104">
        <v>0.169</v>
      </c>
      <c r="N73" s="104">
        <v>0.169</v>
      </c>
      <c r="O73" s="104">
        <v>0.243</v>
      </c>
      <c r="P73"/>
    </row>
    <row r="74" spans="1:16" ht="12.75">
      <c r="A74" t="s">
        <v>29</v>
      </c>
      <c r="B74"/>
      <c r="C74" s="61" t="s">
        <v>180</v>
      </c>
      <c r="D74" s="104">
        <v>0.422</v>
      </c>
      <c r="E74" s="104">
        <v>0.422</v>
      </c>
      <c r="F74" s="104">
        <v>0.422</v>
      </c>
      <c r="G74" s="104">
        <v>0.306</v>
      </c>
      <c r="H74" s="104">
        <v>0.306</v>
      </c>
      <c r="I74" s="104">
        <v>0.306</v>
      </c>
      <c r="J74" s="104">
        <v>0</v>
      </c>
      <c r="K74" s="104">
        <v>0</v>
      </c>
      <c r="L74" s="104">
        <v>0</v>
      </c>
      <c r="M74" s="104">
        <v>0.306</v>
      </c>
      <c r="N74" s="104">
        <v>0.306</v>
      </c>
      <c r="O74" s="104">
        <v>0.422</v>
      </c>
      <c r="P74"/>
    </row>
    <row r="75" spans="1:16" ht="12.75">
      <c r="A75"/>
      <c r="B75" s="58"/>
      <c r="C75"/>
      <c r="D75"/>
      <c r="E75"/>
      <c r="F75"/>
      <c r="G75"/>
      <c r="H75"/>
      <c r="I75"/>
      <c r="J75"/>
      <c r="K75"/>
      <c r="L75"/>
      <c r="M75"/>
      <c r="N75"/>
      <c r="O75"/>
      <c r="P75"/>
    </row>
    <row r="76" spans="1:16" ht="12.75">
      <c r="A76" s="59" t="s">
        <v>150</v>
      </c>
      <c r="B76" s="58"/>
      <c r="C76" s="58"/>
      <c r="D76"/>
      <c r="E76"/>
      <c r="F76"/>
      <c r="G76"/>
      <c r="H76"/>
      <c r="I76"/>
      <c r="J76"/>
      <c r="K76"/>
      <c r="L76"/>
      <c r="M76"/>
      <c r="N76"/>
      <c r="O76"/>
      <c r="P76"/>
    </row>
    <row r="77" spans="1:16" ht="12.75">
      <c r="A77" t="s">
        <v>27</v>
      </c>
      <c r="B77"/>
      <c r="C77"/>
      <c r="D77" s="11">
        <f>ROUND(D$70*D72*D101,0)</f>
        <v>-927934</v>
      </c>
      <c r="E77" s="11">
        <f aca="true" t="shared" si="23" ref="E77:O77">ROUND(E$70*E72*E101,0)</f>
        <v>-87884</v>
      </c>
      <c r="F77" s="11">
        <f t="shared" si="23"/>
        <v>-1130678</v>
      </c>
      <c r="G77" s="11">
        <f t="shared" si="23"/>
        <v>-1410719</v>
      </c>
      <c r="H77" s="11">
        <f t="shared" si="23"/>
        <v>717708</v>
      </c>
      <c r="I77" s="11">
        <f t="shared" si="23"/>
        <v>-302190</v>
      </c>
      <c r="J77" s="11">
        <f t="shared" si="23"/>
        <v>0</v>
      </c>
      <c r="K77" s="11">
        <f t="shared" si="23"/>
        <v>0</v>
      </c>
      <c r="L77" s="11">
        <f t="shared" si="23"/>
        <v>0</v>
      </c>
      <c r="M77" s="11">
        <f t="shared" si="23"/>
        <v>0</v>
      </c>
      <c r="N77" s="11">
        <f t="shared" si="23"/>
        <v>0</v>
      </c>
      <c r="O77" s="11">
        <f t="shared" si="23"/>
        <v>0</v>
      </c>
      <c r="P77" s="11">
        <f>SUM(D77:O77)</f>
        <v>-3141697</v>
      </c>
    </row>
    <row r="78" spans="1:16" ht="12.75">
      <c r="A78" t="s">
        <v>28</v>
      </c>
      <c r="B78"/>
      <c r="C78"/>
      <c r="D78" s="11">
        <f aca="true" t="shared" si="24" ref="D78:O79">ROUND(D$70*D73*D102,0)</f>
        <v>-202100</v>
      </c>
      <c r="E78" s="11">
        <f t="shared" si="24"/>
        <v>-19186</v>
      </c>
      <c r="F78" s="11">
        <f t="shared" si="24"/>
        <v>-246890</v>
      </c>
      <c r="G78" s="11">
        <f t="shared" si="24"/>
        <v>-239770</v>
      </c>
      <c r="H78" s="11">
        <f t="shared" si="24"/>
        <v>121410</v>
      </c>
      <c r="I78" s="11">
        <f t="shared" si="24"/>
        <v>-51320</v>
      </c>
      <c r="J78" s="11">
        <f t="shared" si="24"/>
        <v>0</v>
      </c>
      <c r="K78" s="11">
        <f t="shared" si="24"/>
        <v>0</v>
      </c>
      <c r="L78" s="11">
        <f t="shared" si="24"/>
        <v>0</v>
      </c>
      <c r="M78" s="11">
        <f t="shared" si="24"/>
        <v>0</v>
      </c>
      <c r="N78" s="11">
        <f t="shared" si="24"/>
        <v>0</v>
      </c>
      <c r="O78" s="11">
        <f t="shared" si="24"/>
        <v>0</v>
      </c>
      <c r="P78" s="11">
        <f>SUM(D78:O78)</f>
        <v>-637856</v>
      </c>
    </row>
    <row r="79" spans="1:16" ht="12.75">
      <c r="A79" t="s">
        <v>29</v>
      </c>
      <c r="B79"/>
      <c r="C79"/>
      <c r="D79" s="11">
        <f t="shared" si="24"/>
        <v>-2935</v>
      </c>
      <c r="E79" s="11">
        <f t="shared" si="24"/>
        <v>-272</v>
      </c>
      <c r="F79" s="11">
        <f t="shared" si="24"/>
        <v>-3456</v>
      </c>
      <c r="G79" s="11">
        <f t="shared" si="24"/>
        <v>-3509</v>
      </c>
      <c r="H79" s="11">
        <f t="shared" si="24"/>
        <v>1723</v>
      </c>
      <c r="I79" s="11">
        <f t="shared" si="24"/>
        <v>-752</v>
      </c>
      <c r="J79" s="11">
        <f t="shared" si="24"/>
        <v>0</v>
      </c>
      <c r="K79" s="11">
        <f t="shared" si="24"/>
        <v>0</v>
      </c>
      <c r="L79" s="11">
        <f t="shared" si="24"/>
        <v>0</v>
      </c>
      <c r="M79" s="11">
        <f t="shared" si="24"/>
        <v>0</v>
      </c>
      <c r="N79" s="11">
        <f t="shared" si="24"/>
        <v>0</v>
      </c>
      <c r="O79" s="11">
        <f t="shared" si="24"/>
        <v>0</v>
      </c>
      <c r="P79" s="11">
        <f>SUM(D79:O79)</f>
        <v>-9201</v>
      </c>
    </row>
    <row r="80" spans="1:16" ht="12.75">
      <c r="A80" t="s">
        <v>151</v>
      </c>
      <c r="B80"/>
      <c r="C80"/>
      <c r="D80" s="21">
        <f aca="true" t="shared" si="25" ref="D80:P80">SUM(D77:D79)</f>
        <v>-1132969</v>
      </c>
      <c r="E80" s="21">
        <f t="shared" si="25"/>
        <v>-107342</v>
      </c>
      <c r="F80" s="21">
        <f t="shared" si="25"/>
        <v>-1381024</v>
      </c>
      <c r="G80" s="21">
        <f t="shared" si="25"/>
        <v>-1653998</v>
      </c>
      <c r="H80" s="21">
        <f t="shared" si="25"/>
        <v>840841</v>
      </c>
      <c r="I80" s="21">
        <f t="shared" si="25"/>
        <v>-354262</v>
      </c>
      <c r="J80" s="21">
        <f t="shared" si="25"/>
        <v>0</v>
      </c>
      <c r="K80" s="21">
        <f t="shared" si="25"/>
        <v>0</v>
      </c>
      <c r="L80" s="21">
        <f t="shared" si="25"/>
        <v>0</v>
      </c>
      <c r="M80" s="21">
        <f t="shared" si="25"/>
        <v>0</v>
      </c>
      <c r="N80" s="21">
        <f t="shared" si="25"/>
        <v>0</v>
      </c>
      <c r="O80" s="21">
        <f t="shared" si="25"/>
        <v>0</v>
      </c>
      <c r="P80" s="21">
        <f t="shared" si="25"/>
        <v>-3788754</v>
      </c>
    </row>
    <row r="81" spans="1:16" ht="12.75">
      <c r="A81"/>
      <c r="B81"/>
      <c r="C81"/>
      <c r="D81"/>
      <c r="E81"/>
      <c r="F81"/>
      <c r="G81"/>
      <c r="H81"/>
      <c r="I81"/>
      <c r="J81"/>
      <c r="K81"/>
      <c r="L81"/>
      <c r="M81"/>
      <c r="N81"/>
      <c r="O81"/>
      <c r="P81"/>
    </row>
    <row r="82" spans="1:16" ht="12.75">
      <c r="A82"/>
      <c r="B82"/>
      <c r="C82"/>
      <c r="D82"/>
      <c r="E82"/>
      <c r="F82"/>
      <c r="G82"/>
      <c r="H82"/>
      <c r="I82"/>
      <c r="J82"/>
      <c r="K82"/>
      <c r="L82"/>
      <c r="M82"/>
      <c r="N82"/>
      <c r="O82"/>
      <c r="P82"/>
    </row>
    <row r="83" spans="1:16" ht="12.75">
      <c r="A83" s="59" t="s">
        <v>153</v>
      </c>
      <c r="B83"/>
      <c r="C83"/>
      <c r="D83" s="22"/>
      <c r="E83"/>
      <c r="F83" s="109"/>
      <c r="G83" s="109"/>
      <c r="H83"/>
      <c r="I83"/>
      <c r="J83"/>
      <c r="K83"/>
      <c r="L83"/>
      <c r="M83"/>
      <c r="N83"/>
      <c r="O83"/>
      <c r="P83"/>
    </row>
    <row r="84" spans="1:16" ht="12.75">
      <c r="A84" s="14"/>
      <c r="B84"/>
      <c r="C84"/>
      <c r="D84" s="70">
        <v>39417</v>
      </c>
      <c r="E84" s="70">
        <v>39448</v>
      </c>
      <c r="F84" s="110">
        <v>39479</v>
      </c>
      <c r="G84" s="110">
        <v>39508</v>
      </c>
      <c r="H84" s="70">
        <v>39539</v>
      </c>
      <c r="I84" s="70">
        <v>39569</v>
      </c>
      <c r="J84" s="70">
        <v>39600</v>
      </c>
      <c r="K84" s="70">
        <v>39630</v>
      </c>
      <c r="L84" s="70">
        <v>39661</v>
      </c>
      <c r="M84" s="70">
        <v>39692</v>
      </c>
      <c r="N84" s="70">
        <v>39722</v>
      </c>
      <c r="O84" s="70">
        <v>39753</v>
      </c>
      <c r="P84" s="70">
        <v>39783</v>
      </c>
    </row>
    <row r="85" spans="1:16" ht="12.75">
      <c r="A85" t="s">
        <v>25</v>
      </c>
      <c r="B85"/>
      <c r="C85"/>
      <c r="D85" s="23">
        <f>J35</f>
        <v>702.2</v>
      </c>
      <c r="E85" s="88">
        <v>756.7</v>
      </c>
      <c r="F85" s="88">
        <v>554.3</v>
      </c>
      <c r="G85" s="88">
        <v>549</v>
      </c>
      <c r="H85" s="88">
        <v>424.2</v>
      </c>
      <c r="I85" s="88">
        <v>140.1</v>
      </c>
      <c r="J85" s="88">
        <v>71.2</v>
      </c>
      <c r="K85" s="84">
        <v>0</v>
      </c>
      <c r="L85" s="84">
        <v>0</v>
      </c>
      <c r="M85" s="84">
        <v>0</v>
      </c>
      <c r="N85" s="84">
        <v>0</v>
      </c>
      <c r="O85" s="84">
        <v>0</v>
      </c>
      <c r="P85" s="84">
        <v>0</v>
      </c>
    </row>
    <row r="86" spans="1:16" ht="12.75">
      <c r="A86" t="s">
        <v>26</v>
      </c>
      <c r="B86"/>
      <c r="C86"/>
      <c r="D86" s="24">
        <f>J36</f>
        <v>0.61</v>
      </c>
      <c r="E86" s="119">
        <v>0.5791</v>
      </c>
      <c r="F86" s="119">
        <v>0.599</v>
      </c>
      <c r="G86" s="119">
        <v>0.6132</v>
      </c>
      <c r="H86" s="119">
        <v>0.6425</v>
      </c>
      <c r="I86" s="119">
        <v>0.6361</v>
      </c>
      <c r="J86" s="119">
        <v>0.633</v>
      </c>
      <c r="K86" s="85">
        <v>0</v>
      </c>
      <c r="L86" s="85">
        <v>0</v>
      </c>
      <c r="M86" s="85">
        <v>0</v>
      </c>
      <c r="N86" s="85">
        <v>0</v>
      </c>
      <c r="O86" s="85">
        <v>0</v>
      </c>
      <c r="P86" s="85">
        <v>0</v>
      </c>
    </row>
    <row r="87" spans="1:16" ht="12.75">
      <c r="A87" s="6"/>
      <c r="B87" s="60" t="s">
        <v>222</v>
      </c>
      <c r="C87" s="103" t="s">
        <v>221</v>
      </c>
      <c r="D87" s="24"/>
      <c r="E87" s="45"/>
      <c r="F87" s="116"/>
      <c r="G87" s="116"/>
      <c r="H87" s="45"/>
      <c r="I87" s="45"/>
      <c r="J87" s="45"/>
      <c r="K87" s="45"/>
      <c r="L87" s="45"/>
      <c r="M87" s="45"/>
      <c r="N87" s="45"/>
      <c r="O87" s="45"/>
      <c r="P87" s="25"/>
    </row>
    <row r="88" spans="1:16" ht="12.75">
      <c r="A88" t="s">
        <v>27</v>
      </c>
      <c r="B88" s="90">
        <v>15</v>
      </c>
      <c r="C88" s="61" t="s">
        <v>180</v>
      </c>
      <c r="D88" s="105">
        <v>0.1005</v>
      </c>
      <c r="E88" s="105">
        <v>0.1005</v>
      </c>
      <c r="F88" s="117">
        <v>0.1005</v>
      </c>
      <c r="G88" s="117">
        <f>(F88+H88)/2</f>
        <v>0.09505</v>
      </c>
      <c r="H88" s="105">
        <v>0.0896</v>
      </c>
      <c r="I88" s="105">
        <v>0.0896</v>
      </c>
      <c r="J88" s="105">
        <f>(I88+K88)/2</f>
        <v>0.0448</v>
      </c>
      <c r="K88" s="105">
        <v>0</v>
      </c>
      <c r="L88" s="105">
        <v>0</v>
      </c>
      <c r="M88" s="105">
        <f>(L88+N88)/2</f>
        <v>0.0448</v>
      </c>
      <c r="N88" s="105">
        <v>0.0896</v>
      </c>
      <c r="O88" s="105">
        <f>(N88+P88)/2</f>
        <v>0.09505</v>
      </c>
      <c r="P88" s="105">
        <v>0.1005</v>
      </c>
    </row>
    <row r="89" spans="1:16" ht="12.75">
      <c r="A89" t="s">
        <v>28</v>
      </c>
      <c r="B89" s="90">
        <v>12</v>
      </c>
      <c r="C89" s="61" t="s">
        <v>180</v>
      </c>
      <c r="D89" s="105">
        <v>0.2427</v>
      </c>
      <c r="E89" s="105">
        <v>0.2427</v>
      </c>
      <c r="F89" s="117">
        <v>0.2427</v>
      </c>
      <c r="G89" s="117">
        <f>(F89+H89)/2</f>
        <v>0.20575</v>
      </c>
      <c r="H89" s="105">
        <v>0.1688</v>
      </c>
      <c r="I89" s="105">
        <v>0.1688</v>
      </c>
      <c r="J89" s="105">
        <f>(I89+K89)/2</f>
        <v>0.0844</v>
      </c>
      <c r="K89" s="105">
        <v>0</v>
      </c>
      <c r="L89" s="105">
        <v>0</v>
      </c>
      <c r="M89" s="105">
        <f>(L89+N89)/2</f>
        <v>0.0844</v>
      </c>
      <c r="N89" s="105">
        <v>0.1688</v>
      </c>
      <c r="O89" s="105">
        <f>(N89+P89)/2</f>
        <v>0.20575</v>
      </c>
      <c r="P89" s="105">
        <v>0.2427</v>
      </c>
    </row>
    <row r="90" spans="1:16" ht="12.75">
      <c r="A90" t="s">
        <v>29</v>
      </c>
      <c r="B90" s="90">
        <v>0</v>
      </c>
      <c r="C90" s="61" t="s">
        <v>180</v>
      </c>
      <c r="D90" s="105">
        <v>0.4222</v>
      </c>
      <c r="E90" s="105">
        <v>0.4222</v>
      </c>
      <c r="F90" s="117">
        <v>0.4222</v>
      </c>
      <c r="G90" s="117">
        <f>(F90+H90)/2</f>
        <v>0.36385</v>
      </c>
      <c r="H90" s="105">
        <v>0.3055</v>
      </c>
      <c r="I90" s="105">
        <v>0.3055</v>
      </c>
      <c r="J90" s="105">
        <f>(I90+K90)/2</f>
        <v>0.15275</v>
      </c>
      <c r="K90" s="105">
        <v>0</v>
      </c>
      <c r="L90" s="105">
        <v>0</v>
      </c>
      <c r="M90" s="105">
        <f>(L90+N90)/2</f>
        <v>0.15275</v>
      </c>
      <c r="N90" s="105">
        <v>0.3055</v>
      </c>
      <c r="O90" s="105">
        <f>(N90+P90)/2</f>
        <v>0.36385</v>
      </c>
      <c r="P90" s="105">
        <v>0.4222</v>
      </c>
    </row>
    <row r="91" spans="1:16" ht="12.75">
      <c r="A91"/>
      <c r="B91"/>
      <c r="C91" s="58"/>
      <c r="D91" s="24"/>
      <c r="E91" s="45"/>
      <c r="F91" s="116"/>
      <c r="G91" s="116"/>
      <c r="H91" s="45"/>
      <c r="I91" s="45"/>
      <c r="J91" s="45"/>
      <c r="K91" s="45"/>
      <c r="L91" s="45"/>
      <c r="M91" s="45"/>
      <c r="N91" s="45"/>
      <c r="O91" s="45"/>
      <c r="P91" s="25"/>
    </row>
    <row r="92" spans="1:16" ht="12.75">
      <c r="A92" s="59" t="s">
        <v>150</v>
      </c>
      <c r="B92" s="60"/>
      <c r="C92" s="61"/>
      <c r="D92" s="24"/>
      <c r="E92" s="45"/>
      <c r="F92" s="116"/>
      <c r="G92" s="116"/>
      <c r="H92" s="45"/>
      <c r="I92" s="45"/>
      <c r="J92" s="45"/>
      <c r="K92" s="45"/>
      <c r="L92" s="45"/>
      <c r="M92" s="45"/>
      <c r="N92" s="45"/>
      <c r="O92" s="45"/>
      <c r="P92" s="25"/>
    </row>
    <row r="93" spans="1:16" ht="12.75">
      <c r="A93" t="s">
        <v>27</v>
      </c>
      <c r="B93"/>
      <c r="C93"/>
      <c r="D93" s="11">
        <f aca="true" t="shared" si="26" ref="D93:E95">ROUND((D$85*D88)*C101,0)+ROUND(($B88*D$86)*C101,0)</f>
        <v>9874335</v>
      </c>
      <c r="E93" s="11">
        <f t="shared" si="26"/>
        <v>10520255</v>
      </c>
      <c r="F93" s="11">
        <f aca="true" t="shared" si="27" ref="F93:P93">ROUND((F$85*F88)*E101,0)+ROUND(($B88*F$86)*E101,0)</f>
        <v>8041622</v>
      </c>
      <c r="G93" s="11">
        <f t="shared" si="27"/>
        <v>7634930</v>
      </c>
      <c r="H93" s="11">
        <f t="shared" si="27"/>
        <v>5927235</v>
      </c>
      <c r="I93" s="11">
        <f t="shared" si="27"/>
        <v>2753014</v>
      </c>
      <c r="J93" s="11">
        <f t="shared" si="27"/>
        <v>1577451</v>
      </c>
      <c r="K93" s="11">
        <f t="shared" si="27"/>
        <v>0</v>
      </c>
      <c r="L93" s="11">
        <f t="shared" si="27"/>
        <v>0</v>
      </c>
      <c r="M93" s="11">
        <f t="shared" si="27"/>
        <v>0</v>
      </c>
      <c r="N93" s="11">
        <f t="shared" si="27"/>
        <v>0</v>
      </c>
      <c r="O93" s="11">
        <f t="shared" si="27"/>
        <v>0</v>
      </c>
      <c r="P93" s="11">
        <f t="shared" si="27"/>
        <v>0</v>
      </c>
    </row>
    <row r="94" spans="1:16" ht="12.75">
      <c r="A94" t="s">
        <v>28</v>
      </c>
      <c r="B94"/>
      <c r="C94"/>
      <c r="D94" s="11">
        <f t="shared" si="26"/>
        <v>2005485</v>
      </c>
      <c r="E94" s="11">
        <f t="shared" si="26"/>
        <v>2142157</v>
      </c>
      <c r="F94" s="11">
        <f aca="true" t="shared" si="28" ref="F94:P94">ROUND((F$85*F89)*E102,0)+ROUND(($B89*F$86)*E102,0)</f>
        <v>1598421</v>
      </c>
      <c r="G94" s="11">
        <f t="shared" si="28"/>
        <v>1358238</v>
      </c>
      <c r="H94" s="11">
        <f t="shared" si="28"/>
        <v>893087</v>
      </c>
      <c r="I94" s="11">
        <f t="shared" si="28"/>
        <v>351142</v>
      </c>
      <c r="J94" s="11">
        <f t="shared" si="28"/>
        <v>153018</v>
      </c>
      <c r="K94" s="11">
        <f t="shared" si="28"/>
        <v>0</v>
      </c>
      <c r="L94" s="11">
        <f t="shared" si="28"/>
        <v>0</v>
      </c>
      <c r="M94" s="11">
        <f t="shared" si="28"/>
        <v>0</v>
      </c>
      <c r="N94" s="11">
        <f t="shared" si="28"/>
        <v>0</v>
      </c>
      <c r="O94" s="11">
        <f t="shared" si="28"/>
        <v>0</v>
      </c>
      <c r="P94" s="11">
        <f t="shared" si="28"/>
        <v>0</v>
      </c>
    </row>
    <row r="95" spans="1:16" ht="12.75">
      <c r="A95" t="s">
        <v>29</v>
      </c>
      <c r="B95"/>
      <c r="C95"/>
      <c r="D95" s="11">
        <f t="shared" si="26"/>
        <v>27275</v>
      </c>
      <c r="E95" s="11">
        <f t="shared" si="26"/>
        <v>30031</v>
      </c>
      <c r="F95" s="11">
        <f aca="true" t="shared" si="29" ref="F95:P95">ROUND((F$85*F90)*E103,0)+ROUND(($B90*F$86)*E103,0)</f>
        <v>21530</v>
      </c>
      <c r="G95" s="11">
        <f t="shared" si="29"/>
        <v>18178</v>
      </c>
      <c r="H95" s="11">
        <f t="shared" si="29"/>
        <v>11793</v>
      </c>
      <c r="I95" s="11">
        <f t="shared" si="29"/>
        <v>3766</v>
      </c>
      <c r="J95" s="11">
        <f t="shared" si="29"/>
        <v>990</v>
      </c>
      <c r="K95" s="11">
        <f t="shared" si="29"/>
        <v>0</v>
      </c>
      <c r="L95" s="11">
        <f t="shared" si="29"/>
        <v>0</v>
      </c>
      <c r="M95" s="11">
        <f t="shared" si="29"/>
        <v>0</v>
      </c>
      <c r="N95" s="11">
        <f t="shared" si="29"/>
        <v>0</v>
      </c>
      <c r="O95" s="11">
        <f t="shared" si="29"/>
        <v>0</v>
      </c>
      <c r="P95" s="11">
        <f t="shared" si="29"/>
        <v>0</v>
      </c>
    </row>
    <row r="96" spans="1:16" ht="12.75">
      <c r="A96" t="s">
        <v>152</v>
      </c>
      <c r="B96"/>
      <c r="C96"/>
      <c r="D96" s="21">
        <f aca="true" t="shared" si="30" ref="D96:P96">SUM(D93:D95)</f>
        <v>11907095</v>
      </c>
      <c r="E96" s="21">
        <f t="shared" si="30"/>
        <v>12692443</v>
      </c>
      <c r="F96" s="21">
        <f t="shared" si="30"/>
        <v>9661573</v>
      </c>
      <c r="G96" s="21">
        <f t="shared" si="30"/>
        <v>9011346</v>
      </c>
      <c r="H96" s="21">
        <f t="shared" si="30"/>
        <v>6832115</v>
      </c>
      <c r="I96" s="21">
        <f t="shared" si="30"/>
        <v>3107922</v>
      </c>
      <c r="J96" s="21">
        <f t="shared" si="30"/>
        <v>1731459</v>
      </c>
      <c r="K96" s="21">
        <f t="shared" si="30"/>
        <v>0</v>
      </c>
      <c r="L96" s="21">
        <f t="shared" si="30"/>
        <v>0</v>
      </c>
      <c r="M96" s="21">
        <f t="shared" si="30"/>
        <v>0</v>
      </c>
      <c r="N96" s="21">
        <f t="shared" si="30"/>
        <v>0</v>
      </c>
      <c r="O96" s="21">
        <f t="shared" si="30"/>
        <v>0</v>
      </c>
      <c r="P96" s="21">
        <f t="shared" si="30"/>
        <v>0</v>
      </c>
    </row>
    <row r="97" spans="1:16" ht="12.75">
      <c r="A97"/>
      <c r="B97"/>
      <c r="C97"/>
      <c r="D97"/>
      <c r="E97"/>
      <c r="F97" s="109"/>
      <c r="G97" s="109"/>
      <c r="H97"/>
      <c r="I97"/>
      <c r="J97"/>
      <c r="K97"/>
      <c r="L97"/>
      <c r="M97"/>
      <c r="N97"/>
      <c r="O97"/>
      <c r="P97"/>
    </row>
    <row r="98" spans="1:16" ht="12.75">
      <c r="A98"/>
      <c r="B98"/>
      <c r="C98"/>
      <c r="D98"/>
      <c r="E98"/>
      <c r="F98"/>
      <c r="G98"/>
      <c r="H98"/>
      <c r="I98"/>
      <c r="J98"/>
      <c r="K98"/>
      <c r="L98"/>
      <c r="M98"/>
      <c r="N98"/>
      <c r="O98"/>
      <c r="P98"/>
    </row>
    <row r="99" spans="1:16" ht="12.75">
      <c r="A99" s="6" t="s">
        <v>223</v>
      </c>
      <c r="B99"/>
      <c r="C99"/>
      <c r="D99"/>
      <c r="E99"/>
      <c r="F99"/>
      <c r="G99"/>
      <c r="H99"/>
      <c r="I99"/>
      <c r="J99"/>
      <c r="K99"/>
      <c r="L99"/>
      <c r="M99"/>
      <c r="N99"/>
      <c r="O99"/>
      <c r="P99"/>
    </row>
    <row r="100" spans="1:16" ht="12.75">
      <c r="A100" s="6"/>
      <c r="B100" t="s">
        <v>224</v>
      </c>
      <c r="C100" s="70">
        <v>38687</v>
      </c>
      <c r="D100" s="70">
        <v>38718</v>
      </c>
      <c r="E100" s="70">
        <v>38749</v>
      </c>
      <c r="F100" s="70">
        <v>38777</v>
      </c>
      <c r="G100" s="70">
        <v>38808</v>
      </c>
      <c r="H100" s="70">
        <v>38838</v>
      </c>
      <c r="I100" s="70">
        <v>38869</v>
      </c>
      <c r="J100" s="70">
        <v>38899</v>
      </c>
      <c r="K100" s="70">
        <v>38930</v>
      </c>
      <c r="L100" s="70">
        <v>38961</v>
      </c>
      <c r="M100" s="70">
        <v>38991</v>
      </c>
      <c r="N100" s="70">
        <v>39022</v>
      </c>
      <c r="O100" s="70">
        <v>39052</v>
      </c>
      <c r="P100" s="106" t="s">
        <v>225</v>
      </c>
    </row>
    <row r="101" spans="1:16" ht="12.75">
      <c r="A101" t="s">
        <v>226</v>
      </c>
      <c r="B101" s="107" t="s">
        <v>21</v>
      </c>
      <c r="C101" s="11">
        <v>123861</v>
      </c>
      <c r="D101" s="11">
        <v>124155</v>
      </c>
      <c r="E101" s="11">
        <v>124306</v>
      </c>
      <c r="F101" s="11">
        <v>124387</v>
      </c>
      <c r="G101" s="11">
        <v>124402</v>
      </c>
      <c r="H101" s="11">
        <v>124602</v>
      </c>
      <c r="I101" s="11">
        <v>124358</v>
      </c>
      <c r="J101" s="11">
        <v>124482</v>
      </c>
      <c r="K101" s="11">
        <v>124715</v>
      </c>
      <c r="L101" s="11">
        <v>125061</v>
      </c>
      <c r="M101" s="11">
        <v>125868</v>
      </c>
      <c r="N101" s="11">
        <v>126533</v>
      </c>
      <c r="O101" s="11">
        <v>127078</v>
      </c>
      <c r="P101" s="11">
        <f>SUM(D101:O101)</f>
        <v>1499947</v>
      </c>
    </row>
    <row r="102" spans="1:16" ht="12.75">
      <c r="A102" t="s">
        <v>227</v>
      </c>
      <c r="B102" s="107" t="s">
        <v>22</v>
      </c>
      <c r="C102" s="11">
        <v>11283</v>
      </c>
      <c r="D102" s="11">
        <v>11239</v>
      </c>
      <c r="E102" s="11">
        <v>11279</v>
      </c>
      <c r="F102" s="11">
        <v>11289</v>
      </c>
      <c r="G102" s="11">
        <v>11260</v>
      </c>
      <c r="H102" s="11">
        <v>11225</v>
      </c>
      <c r="I102" s="11">
        <v>11247</v>
      </c>
      <c r="J102" s="11">
        <v>11226</v>
      </c>
      <c r="K102" s="11">
        <v>11300</v>
      </c>
      <c r="L102" s="11">
        <v>11291</v>
      </c>
      <c r="M102" s="11">
        <v>11323</v>
      </c>
      <c r="N102" s="11">
        <v>11388</v>
      </c>
      <c r="O102" s="11">
        <v>11474</v>
      </c>
      <c r="P102" s="11">
        <f>SUM(D102:O102)</f>
        <v>135541</v>
      </c>
    </row>
    <row r="103" spans="1:16" ht="12.75">
      <c r="A103" t="s">
        <v>228</v>
      </c>
      <c r="B103" s="107" t="s">
        <v>70</v>
      </c>
      <c r="C103" s="11">
        <v>92</v>
      </c>
      <c r="D103" s="11">
        <v>94</v>
      </c>
      <c r="E103" s="11">
        <v>92</v>
      </c>
      <c r="F103" s="11">
        <v>91</v>
      </c>
      <c r="G103" s="11">
        <v>91</v>
      </c>
      <c r="H103" s="11">
        <v>88</v>
      </c>
      <c r="I103" s="11">
        <v>91</v>
      </c>
      <c r="J103" s="11">
        <v>91</v>
      </c>
      <c r="K103" s="11">
        <v>90</v>
      </c>
      <c r="L103" s="11">
        <v>91</v>
      </c>
      <c r="M103" s="11">
        <v>88</v>
      </c>
      <c r="N103" s="11">
        <v>92</v>
      </c>
      <c r="O103" s="11">
        <v>93</v>
      </c>
      <c r="P103" s="11">
        <f>SUM(D103:O103)</f>
        <v>1092</v>
      </c>
    </row>
    <row r="104" spans="1:16" ht="12.75">
      <c r="A104" t="s">
        <v>229</v>
      </c>
      <c r="B104" s="107" t="s">
        <v>71</v>
      </c>
      <c r="C104" s="11"/>
      <c r="D104" s="11">
        <v>22</v>
      </c>
      <c r="E104" s="11">
        <v>22</v>
      </c>
      <c r="F104" s="11">
        <v>22</v>
      </c>
      <c r="G104" s="11">
        <v>22</v>
      </c>
      <c r="H104" s="11">
        <v>23</v>
      </c>
      <c r="I104" s="11">
        <v>23</v>
      </c>
      <c r="J104" s="11">
        <v>23</v>
      </c>
      <c r="K104" s="11">
        <v>23</v>
      </c>
      <c r="L104" s="11">
        <v>23</v>
      </c>
      <c r="M104" s="11">
        <v>23</v>
      </c>
      <c r="N104" s="11">
        <v>23</v>
      </c>
      <c r="O104" s="11">
        <v>22</v>
      </c>
      <c r="P104" s="11">
        <f>SUM(D104:O104)</f>
        <v>271</v>
      </c>
    </row>
    <row r="105" spans="1:16" ht="12.75">
      <c r="A105" t="s">
        <v>152</v>
      </c>
      <c r="B105"/>
      <c r="C105"/>
      <c r="D105" s="12">
        <f aca="true" t="shared" si="31" ref="D105:P105">SUM(D101:D104)</f>
        <v>135510</v>
      </c>
      <c r="E105" s="12">
        <f t="shared" si="31"/>
        <v>135699</v>
      </c>
      <c r="F105" s="12">
        <f t="shared" si="31"/>
        <v>135789</v>
      </c>
      <c r="G105" s="12">
        <f t="shared" si="31"/>
        <v>135775</v>
      </c>
      <c r="H105" s="12">
        <f t="shared" si="31"/>
        <v>135938</v>
      </c>
      <c r="I105" s="12">
        <f t="shared" si="31"/>
        <v>135719</v>
      </c>
      <c r="J105" s="12">
        <f t="shared" si="31"/>
        <v>135822</v>
      </c>
      <c r="K105" s="12">
        <f t="shared" si="31"/>
        <v>136128</v>
      </c>
      <c r="L105" s="12">
        <f t="shared" si="31"/>
        <v>136466</v>
      </c>
      <c r="M105" s="12">
        <f t="shared" si="31"/>
        <v>137302</v>
      </c>
      <c r="N105" s="12">
        <f t="shared" si="31"/>
        <v>138036</v>
      </c>
      <c r="O105" s="12">
        <f t="shared" si="31"/>
        <v>138667</v>
      </c>
      <c r="P105" s="12">
        <f t="shared" si="31"/>
        <v>1636851</v>
      </c>
    </row>
  </sheetData>
  <printOptions horizontalCentered="1" verticalCentered="1"/>
  <pageMargins left="0.25" right="0.25" top="0.5" bottom="0.5" header="0.5" footer="0.5"/>
  <pageSetup horizontalDpi="600" verticalDpi="600" orientation="landscape" scale="58" r:id="rId1"/>
  <headerFooter alignWithMargins="0">
    <oddFooter>&amp;Cfile: &amp;F / &amp;A</oddFooter>
  </headerFooter>
  <rowBreaks count="1" manualBreakCount="1">
    <brk id="32" max="15" man="1"/>
  </rowBreaks>
</worksheet>
</file>

<file path=xl/worksheets/sheet3.xml><?xml version="1.0" encoding="utf-8"?>
<worksheet xmlns="http://schemas.openxmlformats.org/spreadsheetml/2006/main" xmlns:r="http://schemas.openxmlformats.org/officeDocument/2006/relationships">
  <dimension ref="A1:Q105"/>
  <sheetViews>
    <sheetView view="pageBreakPreview" zoomScale="85" zoomScaleSheetLayoutView="85" workbookViewId="0" topLeftCell="A1">
      <pane xSplit="13470" topLeftCell="O1" activePane="topLeft" state="split"/>
      <selection pane="topLeft" activeCell="D36" sqref="D36"/>
      <selection pane="topRight" activeCell="P28" sqref="P28"/>
    </sheetView>
  </sheetViews>
  <sheetFormatPr defaultColWidth="9.140625" defaultRowHeight="12.75"/>
  <cols>
    <col min="1" max="1" width="10.00390625" style="2" customWidth="1"/>
    <col min="2" max="2" width="18.421875" style="2" customWidth="1"/>
    <col min="3" max="3" width="9.57421875" style="2" customWidth="1"/>
    <col min="4" max="4" width="13.57421875" style="2" customWidth="1"/>
    <col min="5" max="5" width="12.7109375" style="2" customWidth="1"/>
    <col min="6" max="6" width="13.00390625" style="2" customWidth="1"/>
    <col min="7" max="8" width="13.00390625" style="2" bestFit="1" customWidth="1"/>
    <col min="9" max="9" width="13.7109375" style="2" customWidth="1"/>
    <col min="10" max="10" width="13.421875" style="2" bestFit="1" customWidth="1"/>
    <col min="11" max="11" width="13.00390625" style="2" bestFit="1" customWidth="1"/>
    <col min="12" max="12" width="12.8515625" style="2" bestFit="1" customWidth="1"/>
    <col min="13" max="13" width="13.00390625" style="2" customWidth="1"/>
    <col min="14" max="14" width="12.28125" style="2" customWidth="1"/>
    <col min="15" max="15" width="12.57421875" style="2" customWidth="1"/>
    <col min="16" max="16" width="13.57421875" style="2" customWidth="1"/>
    <col min="17" max="17" width="14.00390625" style="2" bestFit="1" customWidth="1"/>
    <col min="18" max="18" width="10.28125" style="2" bestFit="1" customWidth="1"/>
    <col min="19" max="16384" width="9.140625" style="2" customWidth="1"/>
  </cols>
  <sheetData>
    <row r="1" ht="12.75">
      <c r="A1" s="6" t="s">
        <v>0</v>
      </c>
    </row>
    <row r="2" ht="12.75">
      <c r="A2" s="6" t="s">
        <v>149</v>
      </c>
    </row>
    <row r="3" ht="12.75">
      <c r="A3" s="6" t="s">
        <v>185</v>
      </c>
    </row>
    <row r="4" ht="12.75">
      <c r="A4" s="6" t="s">
        <v>235</v>
      </c>
    </row>
    <row r="5" ht="12.75">
      <c r="A5" s="6" t="s">
        <v>186</v>
      </c>
    </row>
    <row r="6" spans="1:10" ht="12.75">
      <c r="A6" s="6" t="s">
        <v>197</v>
      </c>
      <c r="J6" s="6" t="s">
        <v>210</v>
      </c>
    </row>
    <row r="7" spans="4:16" ht="12.75">
      <c r="D7" s="13">
        <v>2007</v>
      </c>
      <c r="E7" s="13">
        <v>2007</v>
      </c>
      <c r="F7" s="13">
        <v>2007</v>
      </c>
      <c r="G7" s="13">
        <v>2007</v>
      </c>
      <c r="H7" s="13">
        <v>2007</v>
      </c>
      <c r="I7" s="13">
        <v>2007</v>
      </c>
      <c r="J7" s="13">
        <v>2008</v>
      </c>
      <c r="K7" s="13">
        <v>2008</v>
      </c>
      <c r="L7" s="13">
        <v>2008</v>
      </c>
      <c r="M7" s="13">
        <v>2008</v>
      </c>
      <c r="N7" s="13">
        <v>2008</v>
      </c>
      <c r="O7" s="13">
        <v>2008</v>
      </c>
      <c r="P7" s="6" t="s">
        <v>198</v>
      </c>
    </row>
    <row r="8" spans="4:16" ht="12.75">
      <c r="D8" s="69" t="s">
        <v>8</v>
      </c>
      <c r="E8" s="69" t="s">
        <v>9</v>
      </c>
      <c r="F8" s="69" t="s">
        <v>10</v>
      </c>
      <c r="G8" s="69" t="s">
        <v>11</v>
      </c>
      <c r="H8" s="69" t="s">
        <v>12</v>
      </c>
      <c r="I8" s="69" t="s">
        <v>13</v>
      </c>
      <c r="J8" s="69" t="s">
        <v>2</v>
      </c>
      <c r="K8" s="69" t="s">
        <v>3</v>
      </c>
      <c r="L8" s="69" t="s">
        <v>4</v>
      </c>
      <c r="M8" s="69" t="s">
        <v>5</v>
      </c>
      <c r="N8" s="69" t="s">
        <v>6</v>
      </c>
      <c r="O8" s="69" t="s">
        <v>7</v>
      </c>
      <c r="P8" s="69" t="s">
        <v>67</v>
      </c>
    </row>
    <row r="9" spans="1:2" ht="12.75">
      <c r="A9" s="6" t="s">
        <v>193</v>
      </c>
      <c r="B9" s="6"/>
    </row>
    <row r="10" spans="1:7" ht="12.75">
      <c r="A10" s="59" t="s">
        <v>43</v>
      </c>
      <c r="D10" s="1"/>
      <c r="E10" s="1"/>
      <c r="F10" s="1"/>
      <c r="G10" s="52"/>
    </row>
    <row r="11" spans="1:17" ht="12.75">
      <c r="A11" s="2" t="s">
        <v>1</v>
      </c>
      <c r="D11" s="55">
        <v>2462636</v>
      </c>
      <c r="E11" s="55">
        <v>2010203</v>
      </c>
      <c r="F11" s="55">
        <v>2332936</v>
      </c>
      <c r="G11" s="55">
        <v>4484817</v>
      </c>
      <c r="H11" s="55">
        <v>9398517</v>
      </c>
      <c r="I11" s="55">
        <v>18392852</v>
      </c>
      <c r="J11" s="55">
        <v>20755627</v>
      </c>
      <c r="K11" s="55">
        <v>22514347</v>
      </c>
      <c r="L11" s="55">
        <v>14859076</v>
      </c>
      <c r="M11" s="55">
        <v>13629159</v>
      </c>
      <c r="N11" s="55">
        <v>8714627</v>
      </c>
      <c r="O11" s="55">
        <v>4232714</v>
      </c>
      <c r="P11" s="4">
        <f>SUM(D11:O11)</f>
        <v>123787511</v>
      </c>
      <c r="Q11" s="4"/>
    </row>
    <row r="12" spans="1:17" ht="12.75">
      <c r="A12" s="73" t="s">
        <v>183</v>
      </c>
      <c r="D12" s="55">
        <v>-180683</v>
      </c>
      <c r="E12" s="55">
        <v>-141329</v>
      </c>
      <c r="F12" s="55">
        <v>-161990</v>
      </c>
      <c r="G12" s="55">
        <v>-277602</v>
      </c>
      <c r="H12" s="55">
        <v>-613037</v>
      </c>
      <c r="I12" s="139">
        <v>-1421829</v>
      </c>
      <c r="J12" s="55">
        <v>-840804</v>
      </c>
      <c r="K12" s="55">
        <v>-933547</v>
      </c>
      <c r="L12" s="55">
        <v>-590323</v>
      </c>
      <c r="M12" s="55">
        <v>-544390</v>
      </c>
      <c r="N12" s="55">
        <v>-304416</v>
      </c>
      <c r="O12" s="55">
        <v>-134597</v>
      </c>
      <c r="P12" s="4">
        <f>SUM(D12:O12)</f>
        <v>-6144547</v>
      </c>
      <c r="Q12" s="4"/>
    </row>
    <row r="13" spans="1:17" ht="12.75">
      <c r="A13" s="2" t="s">
        <v>15</v>
      </c>
      <c r="D13" s="1">
        <f aca="true" t="shared" si="0" ref="D13:I13">-D41</f>
        <v>-1688657.3691</v>
      </c>
      <c r="E13" s="1">
        <f t="shared" si="0"/>
        <v>-512729.36110000004</v>
      </c>
      <c r="F13" s="1">
        <f t="shared" si="0"/>
        <v>-861827.0961999999</v>
      </c>
      <c r="G13" s="1">
        <f t="shared" si="0"/>
        <v>-3069727.6876000003</v>
      </c>
      <c r="H13" s="1">
        <f t="shared" si="0"/>
        <v>-6526098.6665</v>
      </c>
      <c r="I13" s="1">
        <f t="shared" si="0"/>
        <v>-10839345.651700001</v>
      </c>
      <c r="J13" s="1">
        <f aca="true" t="shared" si="1" ref="J13:O13">-D96</f>
        <v>-11907095</v>
      </c>
      <c r="K13" s="1">
        <f t="shared" si="1"/>
        <v>-12692443</v>
      </c>
      <c r="L13" s="1">
        <f t="shared" si="1"/>
        <v>-9661573</v>
      </c>
      <c r="M13" s="1">
        <f t="shared" si="1"/>
        <v>-9011346</v>
      </c>
      <c r="N13" s="1">
        <f t="shared" si="1"/>
        <v>-6832115</v>
      </c>
      <c r="O13" s="1">
        <f t="shared" si="1"/>
        <v>-3107922</v>
      </c>
      <c r="P13" s="4">
        <f>SUM(D13:O13)</f>
        <v>-76710879.8322</v>
      </c>
      <c r="Q13" s="4"/>
    </row>
    <row r="14" spans="1:17" ht="12.75">
      <c r="A14" s="2" t="s">
        <v>16</v>
      </c>
      <c r="D14" s="1">
        <f aca="true" t="shared" si="2" ref="D14:I14">E41</f>
        <v>512729.36110000004</v>
      </c>
      <c r="E14" s="1">
        <f t="shared" si="2"/>
        <v>861827.0961999999</v>
      </c>
      <c r="F14" s="1">
        <f t="shared" si="2"/>
        <v>3069727.6876000003</v>
      </c>
      <c r="G14" s="1">
        <f t="shared" si="2"/>
        <v>6526098.6665</v>
      </c>
      <c r="H14" s="1">
        <f t="shared" si="2"/>
        <v>10839345.651700001</v>
      </c>
      <c r="I14" s="1">
        <f t="shared" si="2"/>
        <v>11778585.171</v>
      </c>
      <c r="J14" s="1">
        <f aca="true" t="shared" si="3" ref="J14:O14">E96</f>
        <v>12692443</v>
      </c>
      <c r="K14" s="1">
        <f t="shared" si="3"/>
        <v>9661573</v>
      </c>
      <c r="L14" s="1">
        <f t="shared" si="3"/>
        <v>9011346</v>
      </c>
      <c r="M14" s="1">
        <f t="shared" si="3"/>
        <v>6832115</v>
      </c>
      <c r="N14" s="1">
        <f t="shared" si="3"/>
        <v>3107922</v>
      </c>
      <c r="O14" s="1">
        <f t="shared" si="3"/>
        <v>1731459</v>
      </c>
      <c r="P14" s="4">
        <f>SUM(D14:O14)</f>
        <v>76625171.6341</v>
      </c>
      <c r="Q14" s="1"/>
    </row>
    <row r="15" spans="1:17" ht="12.75">
      <c r="A15" s="2" t="s">
        <v>42</v>
      </c>
      <c r="D15" s="1">
        <f aca="true" t="shared" si="4" ref="D15:I15">D54</f>
        <v>692582.2639999999</v>
      </c>
      <c r="E15" s="1">
        <f t="shared" si="4"/>
        <v>236741.505</v>
      </c>
      <c r="F15" s="1">
        <f t="shared" si="4"/>
        <v>31658.591999999997</v>
      </c>
      <c r="G15" s="1">
        <f t="shared" si="4"/>
        <v>15894.109</v>
      </c>
      <c r="H15" s="1">
        <f t="shared" si="4"/>
        <v>47991.147000000004</v>
      </c>
      <c r="I15" s="1">
        <f t="shared" si="4"/>
        <v>673724.3099999999</v>
      </c>
      <c r="J15" s="1">
        <f aca="true" t="shared" si="5" ref="J15:O15">D80</f>
        <v>-1132969</v>
      </c>
      <c r="K15" s="1">
        <f t="shared" si="5"/>
        <v>-107342</v>
      </c>
      <c r="L15" s="1">
        <f t="shared" si="5"/>
        <v>-1381024</v>
      </c>
      <c r="M15" s="1">
        <f t="shared" si="5"/>
        <v>-1653998</v>
      </c>
      <c r="N15" s="1">
        <f t="shared" si="5"/>
        <v>840841</v>
      </c>
      <c r="O15" s="1">
        <f t="shared" si="5"/>
        <v>-354262</v>
      </c>
      <c r="P15" s="4">
        <f>SUM(D15:O15)</f>
        <v>-2090162.0730000003</v>
      </c>
      <c r="Q15" s="1"/>
    </row>
    <row r="16" spans="1:17" ht="12.75">
      <c r="A16" s="2" t="s">
        <v>157</v>
      </c>
      <c r="D16" s="5">
        <f aca="true" t="shared" si="6" ref="D16:P16">SUM(D11:D15)</f>
        <v>1798607.256</v>
      </c>
      <c r="E16" s="5">
        <f t="shared" si="6"/>
        <v>2454713.2400999996</v>
      </c>
      <c r="F16" s="5">
        <f t="shared" si="6"/>
        <v>4410505.1834</v>
      </c>
      <c r="G16" s="5">
        <f t="shared" si="6"/>
        <v>7679480.087900001</v>
      </c>
      <c r="H16" s="5">
        <f t="shared" si="6"/>
        <v>13146718.1322</v>
      </c>
      <c r="I16" s="5">
        <f t="shared" si="6"/>
        <v>18583986.829299998</v>
      </c>
      <c r="J16" s="5">
        <f t="shared" si="6"/>
        <v>19567202</v>
      </c>
      <c r="K16" s="5">
        <f t="shared" si="6"/>
        <v>18442588</v>
      </c>
      <c r="L16" s="5">
        <f t="shared" si="6"/>
        <v>12237502</v>
      </c>
      <c r="M16" s="5">
        <f t="shared" si="6"/>
        <v>9251540</v>
      </c>
      <c r="N16" s="5">
        <f t="shared" si="6"/>
        <v>5526859</v>
      </c>
      <c r="O16" s="5">
        <f t="shared" si="6"/>
        <v>2367392</v>
      </c>
      <c r="P16" s="5">
        <f t="shared" si="6"/>
        <v>115467093.7289</v>
      </c>
      <c r="Q16" s="1"/>
    </row>
    <row r="17" spans="4:17" ht="12.75">
      <c r="D17" s="7"/>
      <c r="E17" s="7"/>
      <c r="F17" s="7"/>
      <c r="G17" s="7"/>
      <c r="H17" s="7"/>
      <c r="I17" s="7"/>
      <c r="J17" s="7"/>
      <c r="K17" s="7"/>
      <c r="L17" s="7"/>
      <c r="M17" s="7"/>
      <c r="N17" s="7"/>
      <c r="O17" s="7"/>
      <c r="P17" s="7"/>
      <c r="Q17" s="1"/>
    </row>
    <row r="18" spans="1:17" ht="12.75">
      <c r="A18" s="2" t="s">
        <v>156</v>
      </c>
      <c r="D18" s="7">
        <f aca="true" t="shared" si="7" ref="D18:O18">D16</f>
        <v>1798607.256</v>
      </c>
      <c r="E18" s="7">
        <f t="shared" si="7"/>
        <v>2454713.2400999996</v>
      </c>
      <c r="F18" s="7">
        <f t="shared" si="7"/>
        <v>4410505.1834</v>
      </c>
      <c r="G18" s="7">
        <f t="shared" si="7"/>
        <v>7679480.087900001</v>
      </c>
      <c r="H18" s="7">
        <f t="shared" si="7"/>
        <v>13146718.1322</v>
      </c>
      <c r="I18" s="7">
        <f t="shared" si="7"/>
        <v>18583986.829299998</v>
      </c>
      <c r="J18" s="7">
        <f t="shared" si="7"/>
        <v>19567202</v>
      </c>
      <c r="K18" s="7">
        <f t="shared" si="7"/>
        <v>18442588</v>
      </c>
      <c r="L18" s="7">
        <f t="shared" si="7"/>
        <v>12237502</v>
      </c>
      <c r="M18" s="7">
        <f t="shared" si="7"/>
        <v>9251540</v>
      </c>
      <c r="N18" s="7">
        <f t="shared" si="7"/>
        <v>5526859</v>
      </c>
      <c r="O18" s="7">
        <f t="shared" si="7"/>
        <v>2367392</v>
      </c>
      <c r="P18" s="4">
        <f>SUM(D18:O18)</f>
        <v>115467093.7289</v>
      </c>
      <c r="Q18" s="1"/>
    </row>
    <row r="19" spans="1:16" ht="12.75">
      <c r="A19" t="s">
        <v>182</v>
      </c>
      <c r="B19"/>
      <c r="C19"/>
      <c r="D19" s="8">
        <v>1992869.2803962994</v>
      </c>
      <c r="E19" s="8">
        <v>2626004.0579347075</v>
      </c>
      <c r="F19" s="8">
        <v>3962139.288864518</v>
      </c>
      <c r="G19" s="8">
        <v>9013668.04240531</v>
      </c>
      <c r="H19" s="8">
        <v>14551771.69540904</v>
      </c>
      <c r="I19" s="8">
        <v>19133174.011006385</v>
      </c>
      <c r="J19" s="8">
        <v>20193658</v>
      </c>
      <c r="K19" s="8">
        <v>16744930</v>
      </c>
      <c r="L19" s="8">
        <v>14101624</v>
      </c>
      <c r="M19" s="8">
        <v>9347535</v>
      </c>
      <c r="N19" s="8">
        <v>5032140</v>
      </c>
      <c r="O19" s="8">
        <v>2400167</v>
      </c>
      <c r="P19" s="4">
        <f>SUM(D19:O19)</f>
        <v>119099680.37601626</v>
      </c>
    </row>
    <row r="20" spans="1:16" ht="12.75">
      <c r="A20" s="2" t="s">
        <v>159</v>
      </c>
      <c r="C20"/>
      <c r="D20" s="12">
        <f aca="true" t="shared" si="8" ref="D20:O20">D18-D19</f>
        <v>-194262.02439629938</v>
      </c>
      <c r="E20" s="12">
        <f t="shared" si="8"/>
        <v>-171290.8178347079</v>
      </c>
      <c r="F20" s="12">
        <f t="shared" si="8"/>
        <v>448365.8945354824</v>
      </c>
      <c r="G20" s="12">
        <f t="shared" si="8"/>
        <v>-1334187.9545053085</v>
      </c>
      <c r="H20" s="12">
        <f t="shared" si="8"/>
        <v>-1405053.56320904</v>
      </c>
      <c r="I20" s="12">
        <f t="shared" si="8"/>
        <v>-549187.1817063875</v>
      </c>
      <c r="J20" s="12">
        <f t="shared" si="8"/>
        <v>-626456</v>
      </c>
      <c r="K20" s="12">
        <f t="shared" si="8"/>
        <v>1697658</v>
      </c>
      <c r="L20" s="12">
        <f t="shared" si="8"/>
        <v>-1864122</v>
      </c>
      <c r="M20" s="12">
        <f t="shared" si="8"/>
        <v>-95995</v>
      </c>
      <c r="N20" s="12">
        <f t="shared" si="8"/>
        <v>494719</v>
      </c>
      <c r="O20" s="12">
        <f t="shared" si="8"/>
        <v>-32775</v>
      </c>
      <c r="P20" s="4">
        <f>SUM(D20:O20)</f>
        <v>-3632586.647116261</v>
      </c>
    </row>
    <row r="21" spans="1:16" ht="12.75">
      <c r="A21" s="2" t="s">
        <v>200</v>
      </c>
      <c r="C21"/>
      <c r="D21" s="58">
        <v>0.19822</v>
      </c>
      <c r="E21" s="58">
        <v>0.19822</v>
      </c>
      <c r="F21" s="58">
        <v>0.19822</v>
      </c>
      <c r="G21" s="58">
        <v>0.19822</v>
      </c>
      <c r="H21" s="58">
        <v>0.19822</v>
      </c>
      <c r="I21" s="58">
        <v>0.19822</v>
      </c>
      <c r="J21" s="58">
        <v>0.21748</v>
      </c>
      <c r="K21" s="58">
        <f>J21</f>
        <v>0.21748</v>
      </c>
      <c r="L21" s="58">
        <f>K21</f>
        <v>0.21748</v>
      </c>
      <c r="M21" s="58">
        <f>L21</f>
        <v>0.21748</v>
      </c>
      <c r="N21" s="58">
        <f>M21</f>
        <v>0.21748</v>
      </c>
      <c r="O21" s="58">
        <f>N21</f>
        <v>0.21748</v>
      </c>
      <c r="P21"/>
    </row>
    <row r="22" spans="1:16" s="6" customFormat="1" ht="12.75">
      <c r="A22" s="6" t="s">
        <v>190</v>
      </c>
      <c r="D22" s="78">
        <f aca="true" t="shared" si="9" ref="D22:O22">D20*D21</f>
        <v>-38506.61847583447</v>
      </c>
      <c r="E22" s="78">
        <f t="shared" si="9"/>
        <v>-33953.265911195806</v>
      </c>
      <c r="F22" s="83">
        <f t="shared" si="9"/>
        <v>88875.08761482332</v>
      </c>
      <c r="G22" s="78">
        <f t="shared" si="9"/>
        <v>-264462.7363420423</v>
      </c>
      <c r="H22" s="78">
        <f t="shared" si="9"/>
        <v>-278509.71729929594</v>
      </c>
      <c r="I22" s="78">
        <f t="shared" si="9"/>
        <v>-108859.88315784014</v>
      </c>
      <c r="J22" s="78">
        <f t="shared" si="9"/>
        <v>-136241.65088</v>
      </c>
      <c r="K22" s="78">
        <f t="shared" si="9"/>
        <v>369206.66184</v>
      </c>
      <c r="L22" s="78">
        <f t="shared" si="9"/>
        <v>-405409.25256</v>
      </c>
      <c r="M22" s="83">
        <f t="shared" si="9"/>
        <v>-20876.9926</v>
      </c>
      <c r="N22" s="78">
        <f t="shared" si="9"/>
        <v>107591.48812000001</v>
      </c>
      <c r="O22" s="83">
        <f t="shared" si="9"/>
        <v>-7127.907</v>
      </c>
      <c r="P22" s="78">
        <f>SUM(D22:O22)</f>
        <v>-728274.7866513852</v>
      </c>
    </row>
    <row r="23" spans="2:16" s="6" customFormat="1" ht="12.75">
      <c r="B23" s="77" t="s">
        <v>191</v>
      </c>
      <c r="C23" s="2"/>
      <c r="D23" s="74">
        <v>0.9</v>
      </c>
      <c r="E23" s="74">
        <v>0.9</v>
      </c>
      <c r="F23" s="74">
        <v>0.9</v>
      </c>
      <c r="G23" s="74">
        <v>0.9</v>
      </c>
      <c r="H23" s="74">
        <v>0.9</v>
      </c>
      <c r="I23" s="74">
        <v>0.9</v>
      </c>
      <c r="J23" s="74">
        <v>0.9</v>
      </c>
      <c r="K23" s="74">
        <v>0.9</v>
      </c>
      <c r="L23" s="74">
        <v>0.9</v>
      </c>
      <c r="M23" s="74">
        <v>0.9</v>
      </c>
      <c r="N23" s="74">
        <v>0.9</v>
      </c>
      <c r="O23" s="74">
        <v>0.9</v>
      </c>
      <c r="P23" s="78"/>
    </row>
    <row r="24" spans="1:16" ht="12.75">
      <c r="A24" s="6" t="s">
        <v>192</v>
      </c>
      <c r="D24" s="79">
        <f aca="true" t="shared" si="10" ref="D24:O24">D22*D23</f>
        <v>-34655.95662825102</v>
      </c>
      <c r="E24" s="79">
        <f t="shared" si="10"/>
        <v>-30557.939320076224</v>
      </c>
      <c r="F24" s="79">
        <f t="shared" si="10"/>
        <v>79987.578853341</v>
      </c>
      <c r="G24" s="79">
        <f t="shared" si="10"/>
        <v>-238016.46270783804</v>
      </c>
      <c r="H24" s="79">
        <f t="shared" si="10"/>
        <v>-250658.74556936635</v>
      </c>
      <c r="I24" s="79">
        <f t="shared" si="10"/>
        <v>-97973.89484205614</v>
      </c>
      <c r="J24" s="79">
        <f t="shared" si="10"/>
        <v>-122617.485792</v>
      </c>
      <c r="K24" s="79">
        <f t="shared" si="10"/>
        <v>332285.99565600004</v>
      </c>
      <c r="L24" s="79">
        <f t="shared" si="10"/>
        <v>-364868.327304</v>
      </c>
      <c r="M24" s="79">
        <f t="shared" si="10"/>
        <v>-18789.29334</v>
      </c>
      <c r="N24" s="79">
        <f t="shared" si="10"/>
        <v>96832.33930800001</v>
      </c>
      <c r="O24" s="79">
        <f t="shared" si="10"/>
        <v>-6415.116300000001</v>
      </c>
      <c r="P24" s="78">
        <f>SUM(D24:O24)</f>
        <v>-655447.3079862465</v>
      </c>
    </row>
    <row r="25" spans="1:16" ht="12.75">
      <c r="A25"/>
      <c r="B25" s="6" t="s">
        <v>196</v>
      </c>
      <c r="C25"/>
      <c r="D25" s="90"/>
      <c r="E25" s="90"/>
      <c r="F25" s="90"/>
      <c r="G25" s="1"/>
      <c r="H25" s="1"/>
      <c r="I25" s="1"/>
      <c r="J25" s="1"/>
      <c r="K25" s="1"/>
      <c r="L25" s="1"/>
      <c r="M25" s="1"/>
      <c r="N25" s="1"/>
      <c r="O25" s="1"/>
      <c r="P25" s="4"/>
    </row>
    <row r="26" spans="1:16" ht="12.75">
      <c r="A26" s="6"/>
      <c r="D26" s="79"/>
      <c r="E26" s="79"/>
      <c r="F26" s="79"/>
      <c r="G26" s="79"/>
      <c r="H26" s="79"/>
      <c r="I26" s="79"/>
      <c r="J26" s="79"/>
      <c r="K26" s="79"/>
      <c r="L26" s="79"/>
      <c r="M26" s="79"/>
      <c r="N26" s="79"/>
      <c r="O26" s="79"/>
      <c r="P26" s="79"/>
    </row>
    <row r="27" spans="1:16" ht="12.75">
      <c r="A27" s="2" t="s">
        <v>258</v>
      </c>
      <c r="D27" s="1"/>
      <c r="E27" s="1"/>
      <c r="F27" s="1"/>
      <c r="G27" s="1"/>
      <c r="H27" s="1"/>
      <c r="I27" s="1">
        <v>-120540.88504605614</v>
      </c>
      <c r="J27" s="1"/>
      <c r="K27" s="1"/>
      <c r="L27" s="1"/>
      <c r="M27" s="1"/>
      <c r="N27" s="1"/>
      <c r="O27" s="1"/>
      <c r="P27" s="4">
        <v>-678014.2981902466</v>
      </c>
    </row>
    <row r="28" spans="1:16" ht="12.75">
      <c r="A28" s="6" t="s">
        <v>257</v>
      </c>
      <c r="D28" s="1"/>
      <c r="E28" s="1"/>
      <c r="F28" s="1"/>
      <c r="G28" s="96"/>
      <c r="H28" s="1"/>
      <c r="I28" s="80">
        <f>I24-I27</f>
        <v>22566.990204</v>
      </c>
      <c r="J28" s="1"/>
      <c r="K28" s="1"/>
      <c r="L28" s="1"/>
      <c r="M28" s="1"/>
      <c r="N28" s="1"/>
      <c r="O28" s="1"/>
      <c r="P28" s="80">
        <f>P24-P27</f>
        <v>22566.99020400003</v>
      </c>
    </row>
    <row r="29" spans="4:16" ht="12.75">
      <c r="D29" s="1"/>
      <c r="E29" s="1"/>
      <c r="F29" s="1"/>
      <c r="G29" s="1"/>
      <c r="H29" s="1"/>
      <c r="I29" s="1"/>
      <c r="J29" s="1"/>
      <c r="K29" s="1"/>
      <c r="L29" s="1"/>
      <c r="M29" s="1"/>
      <c r="N29" s="1"/>
      <c r="O29" s="1"/>
      <c r="P29" s="4"/>
    </row>
    <row r="30" spans="1:16" ht="12.75">
      <c r="A30" s="73" t="s">
        <v>231</v>
      </c>
      <c r="D30" s="1"/>
      <c r="E30" s="1"/>
      <c r="F30" s="1"/>
      <c r="G30" s="1"/>
      <c r="H30" s="1"/>
      <c r="I30" s="1"/>
      <c r="J30" s="1"/>
      <c r="K30" s="1"/>
      <c r="L30" s="1"/>
      <c r="M30" s="1"/>
      <c r="N30" s="1"/>
      <c r="O30" s="1"/>
      <c r="P30" s="4"/>
    </row>
    <row r="31" spans="1:16" ht="12.75">
      <c r="A31" s="73" t="s">
        <v>238</v>
      </c>
      <c r="D31" s="80"/>
      <c r="E31" s="80"/>
      <c r="F31" s="80"/>
      <c r="G31" s="80"/>
      <c r="H31" s="80"/>
      <c r="I31" s="80"/>
      <c r="J31" s="80"/>
      <c r="K31" s="80"/>
      <c r="L31" s="80"/>
      <c r="M31" s="80"/>
      <c r="N31" s="80"/>
      <c r="O31" s="80"/>
      <c r="P31" s="81"/>
    </row>
    <row r="32" spans="1:16" ht="12.75">
      <c r="A32" s="73"/>
      <c r="D32" s="80"/>
      <c r="E32" s="80"/>
      <c r="F32" s="80"/>
      <c r="G32" s="80"/>
      <c r="H32" s="80"/>
      <c r="I32" s="80"/>
      <c r="J32" s="80"/>
      <c r="K32" s="80"/>
      <c r="L32" s="80"/>
      <c r="M32" s="80"/>
      <c r="N32" s="80"/>
      <c r="O32" s="80"/>
      <c r="P32" s="81"/>
    </row>
    <row r="33" spans="1:3" ht="12.75">
      <c r="A33" s="59" t="s">
        <v>232</v>
      </c>
      <c r="C33" s="6"/>
    </row>
    <row r="34" spans="1:16" ht="12.75">
      <c r="A34" s="14"/>
      <c r="D34" s="67">
        <v>39234</v>
      </c>
      <c r="E34" s="67">
        <v>39264</v>
      </c>
      <c r="F34" s="67">
        <v>39295</v>
      </c>
      <c r="G34" s="67">
        <v>39326</v>
      </c>
      <c r="H34" s="67">
        <v>39356</v>
      </c>
      <c r="I34" s="67">
        <v>39387</v>
      </c>
      <c r="J34" s="67">
        <v>39417</v>
      </c>
      <c r="K34" s="67"/>
      <c r="L34" s="67"/>
      <c r="M34" s="67"/>
      <c r="N34" s="67"/>
      <c r="O34" s="67"/>
      <c r="P34" s="67"/>
    </row>
    <row r="35" spans="1:16" ht="12.75">
      <c r="A35" t="s">
        <v>25</v>
      </c>
      <c r="B35"/>
      <c r="C35"/>
      <c r="D35" s="88">
        <v>75.2</v>
      </c>
      <c r="E35" s="88">
        <v>0.4</v>
      </c>
      <c r="F35" s="88">
        <v>21.1</v>
      </c>
      <c r="G35" s="88">
        <v>161.9</v>
      </c>
      <c r="H35" s="88">
        <v>377.3</v>
      </c>
      <c r="I35" s="88">
        <v>642.8</v>
      </c>
      <c r="J35" s="88">
        <v>702.2</v>
      </c>
      <c r="K35"/>
      <c r="L35"/>
      <c r="M35"/>
      <c r="N35"/>
      <c r="O35"/>
      <c r="P35"/>
    </row>
    <row r="36" spans="1:16" ht="12.75">
      <c r="A36" t="s">
        <v>26</v>
      </c>
      <c r="B36"/>
      <c r="C36"/>
      <c r="D36" s="24">
        <v>0.6125</v>
      </c>
      <c r="E36" s="24">
        <v>0.6117</v>
      </c>
      <c r="F36" s="24">
        <v>0.6375</v>
      </c>
      <c r="G36" s="24">
        <v>0.6092</v>
      </c>
      <c r="H36" s="24">
        <v>0.6331</v>
      </c>
      <c r="I36" s="24">
        <v>0.6615</v>
      </c>
      <c r="J36" s="24">
        <v>0.61</v>
      </c>
      <c r="K36"/>
      <c r="L36"/>
      <c r="M36"/>
      <c r="N36"/>
      <c r="O36"/>
      <c r="P36"/>
    </row>
    <row r="37" spans="1:16" ht="12.75">
      <c r="A37" s="59" t="s">
        <v>150</v>
      </c>
      <c r="B37" s="61" t="s">
        <v>145</v>
      </c>
      <c r="C37" s="61" t="s">
        <v>20</v>
      </c>
      <c r="D37" s="24"/>
      <c r="E37" s="24"/>
      <c r="F37" s="24"/>
      <c r="G37" s="24"/>
      <c r="H37" s="24"/>
      <c r="I37" s="24"/>
      <c r="J37" s="24"/>
      <c r="K37"/>
      <c r="L37"/>
      <c r="M37"/>
      <c r="N37"/>
      <c r="O37"/>
      <c r="P37"/>
    </row>
    <row r="38" spans="1:16" ht="12.75">
      <c r="A38" t="s">
        <v>27</v>
      </c>
      <c r="B38" s="2">
        <v>7</v>
      </c>
      <c r="C38" s="2">
        <v>0.11</v>
      </c>
      <c r="D38" s="11">
        <f aca="true" t="shared" si="11" ref="D38:J38">$C38*D$35*D59+$B38*D$36*D59</f>
        <v>1484645.9355000001</v>
      </c>
      <c r="E38" s="11">
        <f t="shared" si="11"/>
        <v>511637.1707</v>
      </c>
      <c r="F38" s="11">
        <f t="shared" si="11"/>
        <v>803851.5334999999</v>
      </c>
      <c r="G38" s="11">
        <f t="shared" si="11"/>
        <v>2624152.0122</v>
      </c>
      <c r="H38" s="11">
        <f t="shared" si="11"/>
        <v>5485705.6128</v>
      </c>
      <c r="I38" s="11">
        <f t="shared" si="11"/>
        <v>9053352.206500001</v>
      </c>
      <c r="J38" s="11">
        <f t="shared" si="11"/>
        <v>9822603.56</v>
      </c>
      <c r="K38"/>
      <c r="L38"/>
      <c r="M38"/>
      <c r="N38"/>
      <c r="O38"/>
      <c r="P38"/>
    </row>
    <row r="39" spans="1:16" ht="12.75">
      <c r="A39" t="s">
        <v>28</v>
      </c>
      <c r="B39" s="2">
        <v>0</v>
      </c>
      <c r="C39" s="2">
        <v>0.249</v>
      </c>
      <c r="D39" s="11">
        <f aca="true" t="shared" si="12" ref="D39:J39">$C39*D$35*(D60)+$B39*D$36*(D60)</f>
        <v>201141.8016</v>
      </c>
      <c r="E39" s="11">
        <f t="shared" si="12"/>
        <v>1076.0784</v>
      </c>
      <c r="F39" s="11">
        <f t="shared" si="12"/>
        <v>57125.65470000001</v>
      </c>
      <c r="G39" s="11">
        <f t="shared" si="12"/>
        <v>438848.4066</v>
      </c>
      <c r="H39" s="11">
        <f t="shared" si="12"/>
        <v>1024875.4593</v>
      </c>
      <c r="I39" s="11">
        <f t="shared" si="12"/>
        <v>1759828.9139999999</v>
      </c>
      <c r="J39" s="11">
        <f t="shared" si="12"/>
        <v>1927696.995</v>
      </c>
      <c r="K39"/>
      <c r="L39"/>
      <c r="M39"/>
      <c r="N39"/>
      <c r="O39"/>
      <c r="P39"/>
    </row>
    <row r="40" spans="1:16" ht="12.75">
      <c r="A40" t="s">
        <v>29</v>
      </c>
      <c r="B40" s="2">
        <v>0</v>
      </c>
      <c r="C40" s="2">
        <v>0.424</v>
      </c>
      <c r="D40" s="11">
        <f aca="true" t="shared" si="13" ref="D40:J40">$C40*D$35*D61+$B40*D$36*D61</f>
        <v>2869.632</v>
      </c>
      <c r="E40" s="11">
        <f t="shared" si="13"/>
        <v>16.112</v>
      </c>
      <c r="F40" s="11">
        <f t="shared" si="13"/>
        <v>849.908</v>
      </c>
      <c r="G40" s="11">
        <f t="shared" si="13"/>
        <v>6727.2688</v>
      </c>
      <c r="H40" s="11">
        <f t="shared" si="13"/>
        <v>15517.5944</v>
      </c>
      <c r="I40" s="11">
        <f t="shared" si="13"/>
        <v>26164.531199999998</v>
      </c>
      <c r="J40" s="11">
        <f t="shared" si="13"/>
        <v>28284.615999999998</v>
      </c>
      <c r="K40"/>
      <c r="L40"/>
      <c r="M40"/>
      <c r="N40"/>
      <c r="O40"/>
      <c r="P40"/>
    </row>
    <row r="41" spans="1:16" ht="12.75">
      <c r="A41"/>
      <c r="D41" s="21">
        <f aca="true" t="shared" si="14" ref="D41:J41">SUM(D38:D40)</f>
        <v>1688657.3691</v>
      </c>
      <c r="E41" s="21">
        <f t="shared" si="14"/>
        <v>512729.36110000004</v>
      </c>
      <c r="F41" s="21">
        <f t="shared" si="14"/>
        <v>861827.0961999999</v>
      </c>
      <c r="G41" s="21">
        <f t="shared" si="14"/>
        <v>3069727.6876000003</v>
      </c>
      <c r="H41" s="21">
        <f t="shared" si="14"/>
        <v>6526098.6665</v>
      </c>
      <c r="I41" s="21">
        <f t="shared" si="14"/>
        <v>10839345.651700001</v>
      </c>
      <c r="J41" s="21">
        <f t="shared" si="14"/>
        <v>11778585.171</v>
      </c>
      <c r="K41"/>
      <c r="L41"/>
      <c r="M41"/>
      <c r="N41"/>
      <c r="O41"/>
      <c r="P41"/>
    </row>
    <row r="42" spans="1:16" ht="12.75">
      <c r="A42"/>
      <c r="D42" s="22"/>
      <c r="E42" s="22"/>
      <c r="F42" s="22"/>
      <c r="G42" s="22"/>
      <c r="H42" s="22"/>
      <c r="I42" s="22"/>
      <c r="J42" s="22"/>
      <c r="K42"/>
      <c r="L42"/>
      <c r="M42"/>
      <c r="N42"/>
      <c r="O42"/>
      <c r="P42"/>
    </row>
    <row r="43" spans="1:16" ht="12.75">
      <c r="A43"/>
      <c r="B43" s="44"/>
      <c r="C43" s="44"/>
      <c r="D43" s="22"/>
      <c r="E43" s="22"/>
      <c r="F43" s="22"/>
      <c r="G43" s="22"/>
      <c r="H43" s="22"/>
      <c r="I43" s="22"/>
      <c r="J43" s="22"/>
      <c r="K43"/>
      <c r="L43"/>
      <c r="M43"/>
      <c r="N43"/>
      <c r="O43"/>
      <c r="P43"/>
    </row>
    <row r="44" spans="1:16" ht="12.75">
      <c r="A44" s="59" t="s">
        <v>233</v>
      </c>
      <c r="B44"/>
      <c r="C44"/>
      <c r="D44" s="22"/>
      <c r="E44" s="22"/>
      <c r="F44" s="22"/>
      <c r="G44" s="22"/>
      <c r="H44" s="22"/>
      <c r="I44" s="22"/>
      <c r="J44" s="22"/>
      <c r="K44"/>
      <c r="L44"/>
      <c r="M44"/>
      <c r="N44"/>
      <c r="O44"/>
      <c r="P44"/>
    </row>
    <row r="45" spans="2:16" ht="12.75">
      <c r="B45"/>
      <c r="C45"/>
      <c r="D45" s="16">
        <v>39264</v>
      </c>
      <c r="E45" s="16">
        <v>39295</v>
      </c>
      <c r="F45" s="16">
        <v>39326</v>
      </c>
      <c r="G45" s="16">
        <v>39356</v>
      </c>
      <c r="H45" s="16">
        <v>39387</v>
      </c>
      <c r="I45" s="16">
        <v>39417</v>
      </c>
      <c r="J45"/>
      <c r="K45"/>
      <c r="L45"/>
      <c r="M45"/>
      <c r="N45"/>
      <c r="O45"/>
      <c r="P45"/>
    </row>
    <row r="46" spans="1:16" ht="12.75">
      <c r="A46" s="2" t="s">
        <v>17</v>
      </c>
      <c r="D46" s="7">
        <v>44</v>
      </c>
      <c r="E46" s="7">
        <v>42</v>
      </c>
      <c r="F46" s="7">
        <v>196</v>
      </c>
      <c r="G46" s="7">
        <v>554</v>
      </c>
      <c r="H46" s="7">
        <v>897</v>
      </c>
      <c r="I46" s="7">
        <v>1168</v>
      </c>
      <c r="J46"/>
      <c r="K46"/>
      <c r="L46"/>
      <c r="M46"/>
      <c r="N46"/>
      <c r="O46"/>
      <c r="P46"/>
    </row>
    <row r="47" spans="1:16" ht="12.75">
      <c r="A47" s="2" t="s">
        <v>18</v>
      </c>
      <c r="D47" s="89">
        <v>0</v>
      </c>
      <c r="E47" s="89">
        <v>27</v>
      </c>
      <c r="F47" s="89">
        <v>194</v>
      </c>
      <c r="G47" s="89">
        <v>553</v>
      </c>
      <c r="H47" s="89">
        <v>894</v>
      </c>
      <c r="I47" s="89">
        <v>1126</v>
      </c>
      <c r="J47"/>
      <c r="K47"/>
      <c r="L47"/>
      <c r="M47"/>
      <c r="N47"/>
      <c r="O47"/>
      <c r="P47"/>
    </row>
    <row r="48" spans="1:16" ht="12.75">
      <c r="A48" s="2" t="s">
        <v>19</v>
      </c>
      <c r="D48" s="5">
        <f aca="true" t="shared" si="15" ref="D48:I48">D46-D47</f>
        <v>44</v>
      </c>
      <c r="E48" s="5">
        <f t="shared" si="15"/>
        <v>15</v>
      </c>
      <c r="F48" s="5">
        <f t="shared" si="15"/>
        <v>2</v>
      </c>
      <c r="G48" s="5">
        <f t="shared" si="15"/>
        <v>1</v>
      </c>
      <c r="H48" s="5">
        <f t="shared" si="15"/>
        <v>3</v>
      </c>
      <c r="I48" s="5">
        <f t="shared" si="15"/>
        <v>42</v>
      </c>
      <c r="J48"/>
      <c r="K48"/>
      <c r="L48"/>
      <c r="M48"/>
      <c r="N48"/>
      <c r="O48"/>
      <c r="P48"/>
    </row>
    <row r="49" spans="4:16" ht="12.75">
      <c r="D49" s="7"/>
      <c r="E49" s="7"/>
      <c r="F49" s="7"/>
      <c r="G49" s="7"/>
      <c r="H49" s="7"/>
      <c r="I49" s="7"/>
      <c r="J49"/>
      <c r="K49"/>
      <c r="L49"/>
      <c r="M49"/>
      <c r="N49"/>
      <c r="O49"/>
      <c r="P49"/>
    </row>
    <row r="50" spans="1:16" ht="12.75">
      <c r="A50" s="58" t="s">
        <v>150</v>
      </c>
      <c r="B50" s="61" t="s">
        <v>145</v>
      </c>
      <c r="C50" s="58" t="s">
        <v>20</v>
      </c>
      <c r="D50" s="22"/>
      <c r="E50" s="22"/>
      <c r="F50" s="22"/>
      <c r="G50" s="22"/>
      <c r="H50" s="22"/>
      <c r="I50" s="22"/>
      <c r="J50"/>
      <c r="K50"/>
      <c r="L50"/>
      <c r="M50"/>
      <c r="N50"/>
      <c r="O50"/>
      <c r="P50"/>
    </row>
    <row r="51" spans="1:16" ht="12.75">
      <c r="A51" t="s">
        <v>27</v>
      </c>
      <c r="B51" s="2">
        <v>7</v>
      </c>
      <c r="C51" s="2">
        <v>0.11</v>
      </c>
      <c r="D51" s="22">
        <f aca="true" t="shared" si="16" ref="D51:I51">D$48*$C51*E59</f>
        <v>572441.32</v>
      </c>
      <c r="E51" s="22">
        <f t="shared" si="16"/>
        <v>195526.65</v>
      </c>
      <c r="F51" s="22">
        <f t="shared" si="16"/>
        <v>26154.26</v>
      </c>
      <c r="G51" s="22">
        <f t="shared" si="16"/>
        <v>13136.64</v>
      </c>
      <c r="H51" s="22">
        <f t="shared" si="16"/>
        <v>39655.770000000004</v>
      </c>
      <c r="I51" s="22">
        <f t="shared" si="16"/>
        <v>556733.1</v>
      </c>
      <c r="J51"/>
      <c r="K51"/>
      <c r="L51"/>
      <c r="M51"/>
      <c r="N51"/>
      <c r="O51"/>
      <c r="P51"/>
    </row>
    <row r="52" spans="1:16" ht="12.75">
      <c r="A52" t="s">
        <v>28</v>
      </c>
      <c r="B52" s="2">
        <v>0</v>
      </c>
      <c r="C52" s="2">
        <v>0.249</v>
      </c>
      <c r="D52" s="22">
        <f aca="true" t="shared" si="17" ref="D52:I52">D$48*$C52*(E60)</f>
        <v>118368.624</v>
      </c>
      <c r="E52" s="22">
        <f t="shared" si="17"/>
        <v>40610.655</v>
      </c>
      <c r="F52" s="22">
        <f t="shared" si="17"/>
        <v>5421.228</v>
      </c>
      <c r="G52" s="22">
        <f t="shared" si="17"/>
        <v>2716.341</v>
      </c>
      <c r="H52" s="22">
        <f t="shared" si="17"/>
        <v>8213.265</v>
      </c>
      <c r="I52" s="22">
        <f t="shared" si="17"/>
        <v>115299.45</v>
      </c>
      <c r="J52"/>
      <c r="K52"/>
      <c r="L52"/>
      <c r="M52"/>
      <c r="N52"/>
      <c r="O52"/>
      <c r="P52"/>
    </row>
    <row r="53" spans="1:16" ht="12.75">
      <c r="A53" t="s">
        <v>29</v>
      </c>
      <c r="B53" s="2">
        <v>0</v>
      </c>
      <c r="C53" s="2">
        <v>0.424</v>
      </c>
      <c r="D53" s="22">
        <f aca="true" t="shared" si="18" ref="D53:I53">D$48*$C53*E61</f>
        <v>1772.32</v>
      </c>
      <c r="E53" s="22">
        <f t="shared" si="18"/>
        <v>604.1999999999999</v>
      </c>
      <c r="F53" s="22">
        <f t="shared" si="18"/>
        <v>83.104</v>
      </c>
      <c r="G53" s="22">
        <f t="shared" si="18"/>
        <v>41.128</v>
      </c>
      <c r="H53" s="22">
        <f t="shared" si="18"/>
        <v>122.112</v>
      </c>
      <c r="I53" s="22">
        <f t="shared" si="18"/>
        <v>1691.76</v>
      </c>
      <c r="J53"/>
      <c r="K53"/>
      <c r="L53"/>
      <c r="M53"/>
      <c r="N53"/>
      <c r="O53"/>
      <c r="P53"/>
    </row>
    <row r="54" spans="4:16" ht="12.75">
      <c r="D54" s="5">
        <f aca="true" t="shared" si="19" ref="D54:I54">SUM(D51:D53)</f>
        <v>692582.2639999999</v>
      </c>
      <c r="E54" s="5">
        <f t="shared" si="19"/>
        <v>236741.505</v>
      </c>
      <c r="F54" s="5">
        <f t="shared" si="19"/>
        <v>31658.591999999997</v>
      </c>
      <c r="G54" s="5">
        <f t="shared" si="19"/>
        <v>15894.109</v>
      </c>
      <c r="H54" s="5">
        <f t="shared" si="19"/>
        <v>47991.147000000004</v>
      </c>
      <c r="I54" s="5">
        <f t="shared" si="19"/>
        <v>673724.3099999999</v>
      </c>
      <c r="J54"/>
      <c r="K54"/>
      <c r="L54"/>
      <c r="M54"/>
      <c r="N54"/>
      <c r="O54"/>
      <c r="P54"/>
    </row>
    <row r="56" spans="1:16" ht="12.75">
      <c r="A56"/>
      <c r="D56" s="22"/>
      <c r="E56" s="22"/>
      <c r="F56" s="22"/>
      <c r="G56" s="22"/>
      <c r="H56" s="22"/>
      <c r="I56" s="22"/>
      <c r="J56" s="22"/>
      <c r="K56" s="22"/>
      <c r="L56" s="22"/>
      <c r="M56" s="22"/>
      <c r="N56" s="22"/>
      <c r="O56" s="22"/>
      <c r="P56" s="22"/>
    </row>
    <row r="57" spans="1:16" ht="12.75">
      <c r="A57" s="6" t="s">
        <v>234</v>
      </c>
      <c r="B57" s="44"/>
      <c r="C57" s="44"/>
      <c r="D57" s="4"/>
      <c r="E57" s="4"/>
      <c r="F57" s="4"/>
      <c r="G57" s="4"/>
      <c r="H57" s="4"/>
      <c r="I57" s="4"/>
      <c r="J57" s="4"/>
      <c r="K57" s="4"/>
      <c r="L57" s="4"/>
      <c r="M57" s="4"/>
      <c r="N57" s="4"/>
      <c r="O57" s="4"/>
      <c r="P57" s="22"/>
    </row>
    <row r="58" spans="4:10" ht="12.75">
      <c r="D58" s="16">
        <v>38139</v>
      </c>
      <c r="E58" s="16">
        <v>38169</v>
      </c>
      <c r="F58" s="16">
        <v>38200</v>
      </c>
      <c r="G58" s="16">
        <v>38231</v>
      </c>
      <c r="H58" s="16">
        <v>38261</v>
      </c>
      <c r="I58" s="16">
        <v>38292</v>
      </c>
      <c r="J58" s="16">
        <v>38322</v>
      </c>
    </row>
    <row r="59" spans="1:10" ht="12.75">
      <c r="A59" t="s">
        <v>40</v>
      </c>
      <c r="B59" s="2" t="s">
        <v>35</v>
      </c>
      <c r="D59" s="1">
        <v>118209</v>
      </c>
      <c r="E59" s="1">
        <v>118273</v>
      </c>
      <c r="F59" s="1">
        <v>118501</v>
      </c>
      <c r="G59" s="1">
        <v>118883</v>
      </c>
      <c r="H59" s="1">
        <v>119424</v>
      </c>
      <c r="I59" s="1">
        <v>120169</v>
      </c>
      <c r="J59" s="1">
        <v>120505</v>
      </c>
    </row>
    <row r="60" spans="1:10" ht="12.75">
      <c r="A60"/>
      <c r="B60" s="2" t="s">
        <v>36</v>
      </c>
      <c r="D60" s="1">
        <v>10742</v>
      </c>
      <c r="E60" s="1">
        <v>10804</v>
      </c>
      <c r="F60" s="1">
        <v>10873</v>
      </c>
      <c r="G60" s="1">
        <v>10886</v>
      </c>
      <c r="H60" s="1">
        <v>10909</v>
      </c>
      <c r="I60" s="1">
        <v>10995</v>
      </c>
      <c r="J60" s="1">
        <v>11025</v>
      </c>
    </row>
    <row r="61" spans="1:10" ht="12.75">
      <c r="A61"/>
      <c r="B61" s="2" t="s">
        <v>37</v>
      </c>
      <c r="D61" s="1">
        <v>90</v>
      </c>
      <c r="E61" s="1">
        <v>95</v>
      </c>
      <c r="F61" s="1">
        <v>95</v>
      </c>
      <c r="G61" s="1">
        <v>98</v>
      </c>
      <c r="H61" s="1">
        <v>97</v>
      </c>
      <c r="I61" s="1">
        <v>96</v>
      </c>
      <c r="J61" s="1">
        <v>95</v>
      </c>
    </row>
    <row r="62" spans="1:10" ht="12.75">
      <c r="A62"/>
      <c r="B62" s="2" t="s">
        <v>38</v>
      </c>
      <c r="D62" s="1">
        <v>20</v>
      </c>
      <c r="E62" s="1">
        <v>20</v>
      </c>
      <c r="F62" s="1">
        <v>21</v>
      </c>
      <c r="G62" s="1">
        <v>21</v>
      </c>
      <c r="H62" s="1">
        <v>21</v>
      </c>
      <c r="I62" s="1">
        <v>21</v>
      </c>
      <c r="J62" s="1">
        <v>21</v>
      </c>
    </row>
    <row r="63" spans="1:10" ht="12.75">
      <c r="A63" s="2" t="s">
        <v>30</v>
      </c>
      <c r="D63" s="15">
        <f aca="true" t="shared" si="20" ref="D63:J63">SUM(D59:D62)</f>
        <v>129061</v>
      </c>
      <c r="E63" s="15">
        <f t="shared" si="20"/>
        <v>129192</v>
      </c>
      <c r="F63" s="15">
        <f t="shared" si="20"/>
        <v>129490</v>
      </c>
      <c r="G63" s="15">
        <f t="shared" si="20"/>
        <v>129888</v>
      </c>
      <c r="H63" s="15">
        <f t="shared" si="20"/>
        <v>130451</v>
      </c>
      <c r="I63" s="15">
        <f t="shared" si="20"/>
        <v>131281</v>
      </c>
      <c r="J63" s="15">
        <f t="shared" si="20"/>
        <v>131646</v>
      </c>
    </row>
    <row r="64" spans="1:17" ht="12.75">
      <c r="A64" s="108"/>
      <c r="B64" s="108"/>
      <c r="C64" s="108"/>
      <c r="D64" s="108"/>
      <c r="E64" s="108"/>
      <c r="F64" s="108"/>
      <c r="G64" s="108"/>
      <c r="H64" s="108"/>
      <c r="I64" s="108"/>
      <c r="J64" s="108"/>
      <c r="K64" s="108"/>
      <c r="L64" s="108"/>
      <c r="M64" s="108"/>
      <c r="N64" s="108"/>
      <c r="O64" s="108"/>
      <c r="P64" s="108"/>
      <c r="Q64" s="108"/>
    </row>
    <row r="65" spans="1:10" ht="12.75">
      <c r="A65" s="73" t="s">
        <v>230</v>
      </c>
      <c r="J65" s="4"/>
    </row>
    <row r="66" spans="1:16" ht="12.75">
      <c r="A66" s="59" t="s">
        <v>66</v>
      </c>
      <c r="B66"/>
      <c r="C66"/>
      <c r="D66"/>
      <c r="E66"/>
      <c r="F66"/>
      <c r="G66"/>
      <c r="H66"/>
      <c r="I66"/>
      <c r="J66"/>
      <c r="K66"/>
      <c r="L66"/>
      <c r="M66"/>
      <c r="N66"/>
      <c r="O66"/>
      <c r="P66"/>
    </row>
    <row r="67" spans="1:16" ht="12.75">
      <c r="A67"/>
      <c r="B67"/>
      <c r="C67"/>
      <c r="D67" s="62">
        <v>39448</v>
      </c>
      <c r="E67" s="62">
        <v>39479</v>
      </c>
      <c r="F67" s="62">
        <v>39508</v>
      </c>
      <c r="G67" s="62">
        <v>39539</v>
      </c>
      <c r="H67" s="62">
        <v>39569</v>
      </c>
      <c r="I67" s="62">
        <v>39600</v>
      </c>
      <c r="J67" s="62">
        <v>39630</v>
      </c>
      <c r="K67" s="62">
        <v>39661</v>
      </c>
      <c r="L67" s="62">
        <v>39692</v>
      </c>
      <c r="M67" s="62">
        <v>39722</v>
      </c>
      <c r="N67" s="62">
        <v>39753</v>
      </c>
      <c r="O67" s="62">
        <v>39783</v>
      </c>
      <c r="P67" s="61" t="s">
        <v>67</v>
      </c>
    </row>
    <row r="68" spans="1:16" ht="12.75">
      <c r="A68" s="2" t="s">
        <v>17</v>
      </c>
      <c r="D68" s="7">
        <v>1169</v>
      </c>
      <c r="E68" s="7">
        <f>916+29</f>
        <v>945</v>
      </c>
      <c r="F68" s="7">
        <v>790</v>
      </c>
      <c r="G68" s="7">
        <v>557</v>
      </c>
      <c r="H68" s="7">
        <v>338</v>
      </c>
      <c r="I68" s="7">
        <v>149</v>
      </c>
      <c r="J68" s="7">
        <v>44</v>
      </c>
      <c r="K68" s="7">
        <v>42</v>
      </c>
      <c r="L68" s="7">
        <v>196</v>
      </c>
      <c r="M68" s="7">
        <v>554</v>
      </c>
      <c r="N68" s="7">
        <v>897</v>
      </c>
      <c r="O68" s="7">
        <v>1168</v>
      </c>
      <c r="P68" s="4">
        <f>SUM(D68:O68)</f>
        <v>6849</v>
      </c>
    </row>
    <row r="69" spans="1:16" ht="12.75">
      <c r="A69" s="98" t="s">
        <v>18</v>
      </c>
      <c r="B69"/>
      <c r="C69"/>
      <c r="D69" s="118">
        <v>1243</v>
      </c>
      <c r="E69" s="118">
        <v>952</v>
      </c>
      <c r="F69" s="118">
        <v>880</v>
      </c>
      <c r="G69" s="118">
        <v>683</v>
      </c>
      <c r="H69" s="118">
        <v>274</v>
      </c>
      <c r="I69" s="118">
        <v>176</v>
      </c>
      <c r="J69" s="10">
        <f aca="true" t="shared" si="21" ref="J69:O69">J68</f>
        <v>44</v>
      </c>
      <c r="K69" s="10">
        <f t="shared" si="21"/>
        <v>42</v>
      </c>
      <c r="L69" s="10">
        <f t="shared" si="21"/>
        <v>196</v>
      </c>
      <c r="M69" s="10">
        <f t="shared" si="21"/>
        <v>554</v>
      </c>
      <c r="N69" s="10">
        <f t="shared" si="21"/>
        <v>897</v>
      </c>
      <c r="O69" s="10">
        <f t="shared" si="21"/>
        <v>1168</v>
      </c>
      <c r="P69" s="4">
        <f>SUM(D69:O69)</f>
        <v>7109</v>
      </c>
    </row>
    <row r="70" spans="1:16" ht="12.75">
      <c r="A70" s="6" t="s">
        <v>68</v>
      </c>
      <c r="B70"/>
      <c r="C70"/>
      <c r="D70" s="12">
        <f aca="true" t="shared" si="22" ref="D70:O70">D68-D69</f>
        <v>-74</v>
      </c>
      <c r="E70" s="12">
        <f t="shared" si="22"/>
        <v>-7</v>
      </c>
      <c r="F70" s="12">
        <f t="shared" si="22"/>
        <v>-90</v>
      </c>
      <c r="G70" s="12">
        <f t="shared" si="22"/>
        <v>-126</v>
      </c>
      <c r="H70" s="12">
        <f t="shared" si="22"/>
        <v>64</v>
      </c>
      <c r="I70" s="12">
        <f t="shared" si="22"/>
        <v>-27</v>
      </c>
      <c r="J70" s="12">
        <f t="shared" si="22"/>
        <v>0</v>
      </c>
      <c r="K70" s="12">
        <f t="shared" si="22"/>
        <v>0</v>
      </c>
      <c r="L70" s="12">
        <f t="shared" si="22"/>
        <v>0</v>
      </c>
      <c r="M70" s="12">
        <f t="shared" si="22"/>
        <v>0</v>
      </c>
      <c r="N70" s="12">
        <f t="shared" si="22"/>
        <v>0</v>
      </c>
      <c r="O70" s="12">
        <f t="shared" si="22"/>
        <v>0</v>
      </c>
      <c r="P70" s="5">
        <f>SUM(D70:O70)</f>
        <v>-260</v>
      </c>
    </row>
    <row r="71" spans="1:16" ht="12.75">
      <c r="A71" s="6"/>
      <c r="B71" s="60"/>
      <c r="C71" s="103" t="s">
        <v>221</v>
      </c>
      <c r="D71"/>
      <c r="E71"/>
      <c r="F71"/>
      <c r="G71"/>
      <c r="H71"/>
      <c r="I71"/>
      <c r="J71"/>
      <c r="K71"/>
      <c r="L71"/>
      <c r="M71"/>
      <c r="N71"/>
      <c r="O71"/>
      <c r="P71"/>
    </row>
    <row r="72" spans="1:16" ht="12.75">
      <c r="A72" t="s">
        <v>27</v>
      </c>
      <c r="B72"/>
      <c r="C72" s="61" t="s">
        <v>180</v>
      </c>
      <c r="D72" s="104">
        <v>0.101</v>
      </c>
      <c r="E72" s="104">
        <v>0.101</v>
      </c>
      <c r="F72" s="104">
        <v>0.101</v>
      </c>
      <c r="G72" s="104">
        <v>0.09</v>
      </c>
      <c r="H72" s="104">
        <v>0.09</v>
      </c>
      <c r="I72" s="104">
        <v>0.09</v>
      </c>
      <c r="J72" s="104">
        <v>0</v>
      </c>
      <c r="K72" s="104">
        <v>0</v>
      </c>
      <c r="L72" s="104">
        <v>0</v>
      </c>
      <c r="M72" s="104">
        <v>0.09</v>
      </c>
      <c r="N72" s="104">
        <v>0.09</v>
      </c>
      <c r="O72" s="104">
        <v>0.101</v>
      </c>
      <c r="P72"/>
    </row>
    <row r="73" spans="1:16" ht="12.75">
      <c r="A73" t="s">
        <v>28</v>
      </c>
      <c r="B73"/>
      <c r="C73" s="61" t="s">
        <v>180</v>
      </c>
      <c r="D73" s="104">
        <v>0.243</v>
      </c>
      <c r="E73" s="104">
        <v>0.243</v>
      </c>
      <c r="F73" s="104">
        <v>0.243</v>
      </c>
      <c r="G73" s="104">
        <v>0.169</v>
      </c>
      <c r="H73" s="104">
        <v>0.169</v>
      </c>
      <c r="I73" s="104">
        <v>0.169</v>
      </c>
      <c r="J73" s="104">
        <v>0</v>
      </c>
      <c r="K73" s="104">
        <v>0</v>
      </c>
      <c r="L73" s="104">
        <v>0</v>
      </c>
      <c r="M73" s="104">
        <v>0.169</v>
      </c>
      <c r="N73" s="104">
        <v>0.169</v>
      </c>
      <c r="O73" s="104">
        <v>0.243</v>
      </c>
      <c r="P73"/>
    </row>
    <row r="74" spans="1:16" ht="12.75">
      <c r="A74" t="s">
        <v>29</v>
      </c>
      <c r="B74"/>
      <c r="C74" s="61" t="s">
        <v>180</v>
      </c>
      <c r="D74" s="104">
        <v>0.422</v>
      </c>
      <c r="E74" s="104">
        <v>0.422</v>
      </c>
      <c r="F74" s="104">
        <v>0.422</v>
      </c>
      <c r="G74" s="104">
        <v>0.306</v>
      </c>
      <c r="H74" s="104">
        <v>0.306</v>
      </c>
      <c r="I74" s="104">
        <v>0.306</v>
      </c>
      <c r="J74" s="104">
        <v>0</v>
      </c>
      <c r="K74" s="104">
        <v>0</v>
      </c>
      <c r="L74" s="104">
        <v>0</v>
      </c>
      <c r="M74" s="104">
        <v>0.306</v>
      </c>
      <c r="N74" s="104">
        <v>0.306</v>
      </c>
      <c r="O74" s="104">
        <v>0.422</v>
      </c>
      <c r="P74"/>
    </row>
    <row r="75" spans="1:16" ht="12.75">
      <c r="A75"/>
      <c r="B75" s="58"/>
      <c r="C75"/>
      <c r="D75"/>
      <c r="E75"/>
      <c r="F75"/>
      <c r="G75"/>
      <c r="H75"/>
      <c r="I75"/>
      <c r="J75"/>
      <c r="K75"/>
      <c r="L75"/>
      <c r="M75"/>
      <c r="N75"/>
      <c r="O75"/>
      <c r="P75"/>
    </row>
    <row r="76" spans="1:16" ht="12.75">
      <c r="A76" s="59" t="s">
        <v>150</v>
      </c>
      <c r="B76" s="58"/>
      <c r="C76" s="58"/>
      <c r="D76"/>
      <c r="E76"/>
      <c r="F76"/>
      <c r="G76"/>
      <c r="H76"/>
      <c r="I76"/>
      <c r="J76"/>
      <c r="K76"/>
      <c r="L76"/>
      <c r="M76"/>
      <c r="N76"/>
      <c r="O76"/>
      <c r="P76"/>
    </row>
    <row r="77" spans="1:16" ht="12.75">
      <c r="A77" t="s">
        <v>27</v>
      </c>
      <c r="B77"/>
      <c r="C77"/>
      <c r="D77" s="11">
        <f aca="true" t="shared" si="23" ref="D77:O77">ROUND(D$70*D72*D101,0)</f>
        <v>-927934</v>
      </c>
      <c r="E77" s="11">
        <f t="shared" si="23"/>
        <v>-87884</v>
      </c>
      <c r="F77" s="11">
        <f t="shared" si="23"/>
        <v>-1130678</v>
      </c>
      <c r="G77" s="11">
        <f t="shared" si="23"/>
        <v>-1410719</v>
      </c>
      <c r="H77" s="11">
        <f t="shared" si="23"/>
        <v>717708</v>
      </c>
      <c r="I77" s="11">
        <f t="shared" si="23"/>
        <v>-302190</v>
      </c>
      <c r="J77" s="11">
        <f t="shared" si="23"/>
        <v>0</v>
      </c>
      <c r="K77" s="11">
        <f t="shared" si="23"/>
        <v>0</v>
      </c>
      <c r="L77" s="11">
        <f t="shared" si="23"/>
        <v>0</v>
      </c>
      <c r="M77" s="11">
        <f t="shared" si="23"/>
        <v>0</v>
      </c>
      <c r="N77" s="11">
        <f t="shared" si="23"/>
        <v>0</v>
      </c>
      <c r="O77" s="11">
        <f t="shared" si="23"/>
        <v>0</v>
      </c>
      <c r="P77" s="11">
        <f>SUM(D77:O77)</f>
        <v>-3141697</v>
      </c>
    </row>
    <row r="78" spans="1:16" ht="12.75">
      <c r="A78" t="s">
        <v>28</v>
      </c>
      <c r="B78"/>
      <c r="C78"/>
      <c r="D78" s="11">
        <f aca="true" t="shared" si="24" ref="D78:O78">ROUND(D$70*D73*D102,0)</f>
        <v>-202100</v>
      </c>
      <c r="E78" s="11">
        <f t="shared" si="24"/>
        <v>-19186</v>
      </c>
      <c r="F78" s="11">
        <f t="shared" si="24"/>
        <v>-246890</v>
      </c>
      <c r="G78" s="11">
        <f t="shared" si="24"/>
        <v>-239770</v>
      </c>
      <c r="H78" s="11">
        <f t="shared" si="24"/>
        <v>121410</v>
      </c>
      <c r="I78" s="11">
        <f t="shared" si="24"/>
        <v>-51320</v>
      </c>
      <c r="J78" s="11">
        <f t="shared" si="24"/>
        <v>0</v>
      </c>
      <c r="K78" s="11">
        <f t="shared" si="24"/>
        <v>0</v>
      </c>
      <c r="L78" s="11">
        <f t="shared" si="24"/>
        <v>0</v>
      </c>
      <c r="M78" s="11">
        <f t="shared" si="24"/>
        <v>0</v>
      </c>
      <c r="N78" s="11">
        <f t="shared" si="24"/>
        <v>0</v>
      </c>
      <c r="O78" s="11">
        <f t="shared" si="24"/>
        <v>0</v>
      </c>
      <c r="P78" s="11">
        <f>SUM(D78:O78)</f>
        <v>-637856</v>
      </c>
    </row>
    <row r="79" spans="1:16" ht="12.75">
      <c r="A79" t="s">
        <v>29</v>
      </c>
      <c r="B79"/>
      <c r="C79"/>
      <c r="D79" s="11">
        <f aca="true" t="shared" si="25" ref="D79:O79">ROUND(D$70*D74*D103,0)</f>
        <v>-2935</v>
      </c>
      <c r="E79" s="11">
        <f t="shared" si="25"/>
        <v>-272</v>
      </c>
      <c r="F79" s="11">
        <f t="shared" si="25"/>
        <v>-3456</v>
      </c>
      <c r="G79" s="11">
        <f t="shared" si="25"/>
        <v>-3509</v>
      </c>
      <c r="H79" s="11">
        <f t="shared" si="25"/>
        <v>1723</v>
      </c>
      <c r="I79" s="11">
        <f t="shared" si="25"/>
        <v>-752</v>
      </c>
      <c r="J79" s="11">
        <f t="shared" si="25"/>
        <v>0</v>
      </c>
      <c r="K79" s="11">
        <f t="shared" si="25"/>
        <v>0</v>
      </c>
      <c r="L79" s="11">
        <f t="shared" si="25"/>
        <v>0</v>
      </c>
      <c r="M79" s="11">
        <f t="shared" si="25"/>
        <v>0</v>
      </c>
      <c r="N79" s="11">
        <f t="shared" si="25"/>
        <v>0</v>
      </c>
      <c r="O79" s="11">
        <f t="shared" si="25"/>
        <v>0</v>
      </c>
      <c r="P79" s="11">
        <f>SUM(D79:O79)</f>
        <v>-9201</v>
      </c>
    </row>
    <row r="80" spans="1:16" ht="12.75">
      <c r="A80" t="s">
        <v>151</v>
      </c>
      <c r="B80"/>
      <c r="C80"/>
      <c r="D80" s="21">
        <f aca="true" t="shared" si="26" ref="D80:P80">SUM(D77:D79)</f>
        <v>-1132969</v>
      </c>
      <c r="E80" s="21">
        <f t="shared" si="26"/>
        <v>-107342</v>
      </c>
      <c r="F80" s="21">
        <f t="shared" si="26"/>
        <v>-1381024</v>
      </c>
      <c r="G80" s="21">
        <f t="shared" si="26"/>
        <v>-1653998</v>
      </c>
      <c r="H80" s="21">
        <f t="shared" si="26"/>
        <v>840841</v>
      </c>
      <c r="I80" s="21">
        <f t="shared" si="26"/>
        <v>-354262</v>
      </c>
      <c r="J80" s="21">
        <f t="shared" si="26"/>
        <v>0</v>
      </c>
      <c r="K80" s="21">
        <f t="shared" si="26"/>
        <v>0</v>
      </c>
      <c r="L80" s="21">
        <f t="shared" si="26"/>
        <v>0</v>
      </c>
      <c r="M80" s="21">
        <f t="shared" si="26"/>
        <v>0</v>
      </c>
      <c r="N80" s="21">
        <f t="shared" si="26"/>
        <v>0</v>
      </c>
      <c r="O80" s="21">
        <f t="shared" si="26"/>
        <v>0</v>
      </c>
      <c r="P80" s="21">
        <f t="shared" si="26"/>
        <v>-3788754</v>
      </c>
    </row>
    <row r="81" spans="1:16" ht="12.75">
      <c r="A81"/>
      <c r="B81"/>
      <c r="C81"/>
      <c r="D81"/>
      <c r="E81"/>
      <c r="F81"/>
      <c r="G81"/>
      <c r="H81"/>
      <c r="I81"/>
      <c r="J81"/>
      <c r="K81"/>
      <c r="L81"/>
      <c r="M81"/>
      <c r="N81"/>
      <c r="O81"/>
      <c r="P81"/>
    </row>
    <row r="82" spans="1:16" ht="12.75">
      <c r="A82"/>
      <c r="B82"/>
      <c r="C82"/>
      <c r="D82"/>
      <c r="E82"/>
      <c r="F82"/>
      <c r="G82"/>
      <c r="H82"/>
      <c r="I82"/>
      <c r="J82"/>
      <c r="K82"/>
      <c r="L82"/>
      <c r="M82"/>
      <c r="N82"/>
      <c r="O82"/>
      <c r="P82"/>
    </row>
    <row r="83" spans="1:16" ht="12.75">
      <c r="A83" s="59" t="s">
        <v>153</v>
      </c>
      <c r="B83"/>
      <c r="C83"/>
      <c r="D83" s="22"/>
      <c r="E83"/>
      <c r="F83" s="109"/>
      <c r="G83" s="109"/>
      <c r="H83"/>
      <c r="I83"/>
      <c r="J83"/>
      <c r="K83"/>
      <c r="L83"/>
      <c r="M83"/>
      <c r="N83"/>
      <c r="O83"/>
      <c r="P83"/>
    </row>
    <row r="84" spans="1:16" ht="12.75">
      <c r="A84" s="14"/>
      <c r="B84"/>
      <c r="C84"/>
      <c r="D84" s="70">
        <v>39417</v>
      </c>
      <c r="E84" s="70">
        <v>39448</v>
      </c>
      <c r="F84" s="110">
        <v>39479</v>
      </c>
      <c r="G84" s="110">
        <v>39508</v>
      </c>
      <c r="H84" s="70">
        <v>39539</v>
      </c>
      <c r="I84" s="70">
        <v>39569</v>
      </c>
      <c r="J84" s="70">
        <v>39600</v>
      </c>
      <c r="K84" s="70">
        <v>39630</v>
      </c>
      <c r="L84" s="70">
        <v>39661</v>
      </c>
      <c r="M84" s="70">
        <v>39692</v>
      </c>
      <c r="N84" s="70">
        <v>39722</v>
      </c>
      <c r="O84" s="70">
        <v>39753</v>
      </c>
      <c r="P84" s="70">
        <v>39783</v>
      </c>
    </row>
    <row r="85" spans="1:16" ht="12.75">
      <c r="A85" t="s">
        <v>25</v>
      </c>
      <c r="B85"/>
      <c r="C85"/>
      <c r="D85" s="23">
        <f>J35</f>
        <v>702.2</v>
      </c>
      <c r="E85" s="88">
        <v>756.7</v>
      </c>
      <c r="F85" s="88">
        <v>554.3</v>
      </c>
      <c r="G85" s="88">
        <v>549</v>
      </c>
      <c r="H85" s="88">
        <v>424.2</v>
      </c>
      <c r="I85" s="88">
        <v>140.1</v>
      </c>
      <c r="J85" s="88">
        <v>71.2</v>
      </c>
      <c r="K85" s="84">
        <v>0</v>
      </c>
      <c r="L85" s="84">
        <v>0</v>
      </c>
      <c r="M85" s="84">
        <v>0</v>
      </c>
      <c r="N85" s="84">
        <v>0</v>
      </c>
      <c r="O85" s="84">
        <v>0</v>
      </c>
      <c r="P85" s="84">
        <v>0</v>
      </c>
    </row>
    <row r="86" spans="1:16" ht="12.75">
      <c r="A86" t="s">
        <v>26</v>
      </c>
      <c r="B86"/>
      <c r="C86"/>
      <c r="D86" s="24">
        <f>J36</f>
        <v>0.61</v>
      </c>
      <c r="E86" s="119">
        <v>0.5791</v>
      </c>
      <c r="F86" s="119">
        <v>0.599</v>
      </c>
      <c r="G86" s="119">
        <v>0.6132</v>
      </c>
      <c r="H86" s="119">
        <v>0.6425</v>
      </c>
      <c r="I86" s="119">
        <v>0.6361</v>
      </c>
      <c r="J86" s="119">
        <v>0.633</v>
      </c>
      <c r="K86" s="85">
        <v>0</v>
      </c>
      <c r="L86" s="85">
        <v>0</v>
      </c>
      <c r="M86" s="85">
        <v>0</v>
      </c>
      <c r="N86" s="85">
        <v>0</v>
      </c>
      <c r="O86" s="85">
        <v>0</v>
      </c>
      <c r="P86" s="85">
        <v>0</v>
      </c>
    </row>
    <row r="87" spans="1:16" ht="12.75">
      <c r="A87" s="6"/>
      <c r="B87" s="60" t="s">
        <v>222</v>
      </c>
      <c r="C87" s="103" t="s">
        <v>221</v>
      </c>
      <c r="D87" s="24"/>
      <c r="E87" s="45"/>
      <c r="F87" s="116"/>
      <c r="G87" s="116"/>
      <c r="H87" s="45"/>
      <c r="I87" s="45"/>
      <c r="J87" s="45"/>
      <c r="K87" s="45"/>
      <c r="L87" s="45"/>
      <c r="M87" s="45"/>
      <c r="N87" s="45"/>
      <c r="O87" s="45"/>
      <c r="P87" s="25"/>
    </row>
    <row r="88" spans="1:16" ht="12.75">
      <c r="A88" t="s">
        <v>27</v>
      </c>
      <c r="B88" s="90">
        <v>15</v>
      </c>
      <c r="C88" s="61" t="s">
        <v>180</v>
      </c>
      <c r="D88" s="105">
        <v>0.1005</v>
      </c>
      <c r="E88" s="105">
        <v>0.1005</v>
      </c>
      <c r="F88" s="117">
        <v>0.1005</v>
      </c>
      <c r="G88" s="117">
        <f>(F88+H88)/2</f>
        <v>0.09505</v>
      </c>
      <c r="H88" s="105">
        <v>0.0896</v>
      </c>
      <c r="I88" s="105">
        <v>0.0896</v>
      </c>
      <c r="J88" s="105">
        <f>(I88+K88)/2</f>
        <v>0.0448</v>
      </c>
      <c r="K88" s="105">
        <v>0</v>
      </c>
      <c r="L88" s="105">
        <v>0</v>
      </c>
      <c r="M88" s="105">
        <f>(L88+N88)/2</f>
        <v>0.0448</v>
      </c>
      <c r="N88" s="105">
        <v>0.0896</v>
      </c>
      <c r="O88" s="105">
        <f>(N88+P88)/2</f>
        <v>0.09505</v>
      </c>
      <c r="P88" s="105">
        <v>0.1005</v>
      </c>
    </row>
    <row r="89" spans="1:16" ht="12.75">
      <c r="A89" t="s">
        <v>28</v>
      </c>
      <c r="B89" s="90">
        <v>12</v>
      </c>
      <c r="C89" s="61" t="s">
        <v>180</v>
      </c>
      <c r="D89" s="105">
        <v>0.2427</v>
      </c>
      <c r="E89" s="105">
        <v>0.2427</v>
      </c>
      <c r="F89" s="117">
        <v>0.2427</v>
      </c>
      <c r="G89" s="117">
        <f>(F89+H89)/2</f>
        <v>0.20575</v>
      </c>
      <c r="H89" s="105">
        <v>0.1688</v>
      </c>
      <c r="I89" s="105">
        <v>0.1688</v>
      </c>
      <c r="J89" s="105">
        <f>(I89+K89)/2</f>
        <v>0.0844</v>
      </c>
      <c r="K89" s="105">
        <v>0</v>
      </c>
      <c r="L89" s="105">
        <v>0</v>
      </c>
      <c r="M89" s="105">
        <f>(L89+N89)/2</f>
        <v>0.0844</v>
      </c>
      <c r="N89" s="105">
        <v>0.1688</v>
      </c>
      <c r="O89" s="105">
        <f>(N89+P89)/2</f>
        <v>0.20575</v>
      </c>
      <c r="P89" s="105">
        <v>0.2427</v>
      </c>
    </row>
    <row r="90" spans="1:16" ht="12.75">
      <c r="A90" t="s">
        <v>29</v>
      </c>
      <c r="B90" s="90">
        <v>0</v>
      </c>
      <c r="C90" s="61" t="s">
        <v>180</v>
      </c>
      <c r="D90" s="105">
        <v>0.4222</v>
      </c>
      <c r="E90" s="105">
        <v>0.4222</v>
      </c>
      <c r="F90" s="117">
        <v>0.4222</v>
      </c>
      <c r="G90" s="117">
        <f>(F90+H90)/2</f>
        <v>0.36385</v>
      </c>
      <c r="H90" s="105">
        <v>0.3055</v>
      </c>
      <c r="I90" s="105">
        <v>0.3055</v>
      </c>
      <c r="J90" s="105">
        <f>(I90+K90)/2</f>
        <v>0.15275</v>
      </c>
      <c r="K90" s="105">
        <v>0</v>
      </c>
      <c r="L90" s="105">
        <v>0</v>
      </c>
      <c r="M90" s="105">
        <f>(L90+N90)/2</f>
        <v>0.15275</v>
      </c>
      <c r="N90" s="105">
        <v>0.3055</v>
      </c>
      <c r="O90" s="105">
        <f>(N90+P90)/2</f>
        <v>0.36385</v>
      </c>
      <c r="P90" s="105">
        <v>0.4222</v>
      </c>
    </row>
    <row r="91" spans="1:16" ht="12.75">
      <c r="A91"/>
      <c r="B91"/>
      <c r="C91" s="58"/>
      <c r="D91" s="24"/>
      <c r="E91" s="45"/>
      <c r="F91" s="116"/>
      <c r="G91" s="116"/>
      <c r="H91" s="45"/>
      <c r="I91" s="45"/>
      <c r="J91" s="45"/>
      <c r="K91" s="45"/>
      <c r="L91" s="45"/>
      <c r="M91" s="45"/>
      <c r="N91" s="45"/>
      <c r="O91" s="45"/>
      <c r="P91" s="25"/>
    </row>
    <row r="92" spans="1:16" ht="12.75">
      <c r="A92" s="59" t="s">
        <v>150</v>
      </c>
      <c r="B92" s="60"/>
      <c r="C92" s="61"/>
      <c r="D92" s="24"/>
      <c r="E92" s="45"/>
      <c r="F92" s="116"/>
      <c r="G92" s="116"/>
      <c r="H92" s="45"/>
      <c r="I92" s="45"/>
      <c r="J92" s="45"/>
      <c r="K92" s="45"/>
      <c r="L92" s="45"/>
      <c r="M92" s="45"/>
      <c r="N92" s="45"/>
      <c r="O92" s="45"/>
      <c r="P92" s="25"/>
    </row>
    <row r="93" spans="1:16" ht="12.75">
      <c r="A93" t="s">
        <v>27</v>
      </c>
      <c r="B93"/>
      <c r="C93"/>
      <c r="D93" s="11">
        <f aca="true" t="shared" si="27" ref="D93:P93">ROUND((D$85*D88)*C101,0)+ROUND(($B88*D$86)*C101,0)</f>
        <v>9874335</v>
      </c>
      <c r="E93" s="11">
        <f t="shared" si="27"/>
        <v>10520255</v>
      </c>
      <c r="F93" s="11">
        <f t="shared" si="27"/>
        <v>8041622</v>
      </c>
      <c r="G93" s="11">
        <f t="shared" si="27"/>
        <v>7634930</v>
      </c>
      <c r="H93" s="11">
        <f t="shared" si="27"/>
        <v>5927235</v>
      </c>
      <c r="I93" s="11">
        <f t="shared" si="27"/>
        <v>2753014</v>
      </c>
      <c r="J93" s="11">
        <f t="shared" si="27"/>
        <v>1577451</v>
      </c>
      <c r="K93" s="11">
        <f t="shared" si="27"/>
        <v>0</v>
      </c>
      <c r="L93" s="11">
        <f t="shared" si="27"/>
        <v>0</v>
      </c>
      <c r="M93" s="11">
        <f t="shared" si="27"/>
        <v>0</v>
      </c>
      <c r="N93" s="11">
        <f t="shared" si="27"/>
        <v>0</v>
      </c>
      <c r="O93" s="11">
        <f t="shared" si="27"/>
        <v>0</v>
      </c>
      <c r="P93" s="11">
        <f t="shared" si="27"/>
        <v>0</v>
      </c>
    </row>
    <row r="94" spans="1:16" ht="12.75">
      <c r="A94" t="s">
        <v>28</v>
      </c>
      <c r="B94"/>
      <c r="C94"/>
      <c r="D94" s="11">
        <f aca="true" t="shared" si="28" ref="D94:P94">ROUND((D$85*D89)*C102,0)+ROUND(($B89*D$86)*C102,0)</f>
        <v>2005485</v>
      </c>
      <c r="E94" s="11">
        <f t="shared" si="28"/>
        <v>2142157</v>
      </c>
      <c r="F94" s="11">
        <f t="shared" si="28"/>
        <v>1598421</v>
      </c>
      <c r="G94" s="11">
        <f t="shared" si="28"/>
        <v>1358238</v>
      </c>
      <c r="H94" s="11">
        <f t="shared" si="28"/>
        <v>893087</v>
      </c>
      <c r="I94" s="11">
        <f t="shared" si="28"/>
        <v>351142</v>
      </c>
      <c r="J94" s="11">
        <f t="shared" si="28"/>
        <v>153018</v>
      </c>
      <c r="K94" s="11">
        <f t="shared" si="28"/>
        <v>0</v>
      </c>
      <c r="L94" s="11">
        <f t="shared" si="28"/>
        <v>0</v>
      </c>
      <c r="M94" s="11">
        <f t="shared" si="28"/>
        <v>0</v>
      </c>
      <c r="N94" s="11">
        <f t="shared" si="28"/>
        <v>0</v>
      </c>
      <c r="O94" s="11">
        <f t="shared" si="28"/>
        <v>0</v>
      </c>
      <c r="P94" s="11">
        <f t="shared" si="28"/>
        <v>0</v>
      </c>
    </row>
    <row r="95" spans="1:16" ht="12.75">
      <c r="A95" t="s">
        <v>29</v>
      </c>
      <c r="B95"/>
      <c r="C95"/>
      <c r="D95" s="11">
        <f aca="true" t="shared" si="29" ref="D95:P95">ROUND((D$85*D90)*C103,0)+ROUND(($B90*D$86)*C103,0)</f>
        <v>27275</v>
      </c>
      <c r="E95" s="11">
        <f t="shared" si="29"/>
        <v>30031</v>
      </c>
      <c r="F95" s="11">
        <f t="shared" si="29"/>
        <v>21530</v>
      </c>
      <c r="G95" s="11">
        <f t="shared" si="29"/>
        <v>18178</v>
      </c>
      <c r="H95" s="11">
        <f t="shared" si="29"/>
        <v>11793</v>
      </c>
      <c r="I95" s="11">
        <f t="shared" si="29"/>
        <v>3766</v>
      </c>
      <c r="J95" s="11">
        <f t="shared" si="29"/>
        <v>990</v>
      </c>
      <c r="K95" s="11">
        <f t="shared" si="29"/>
        <v>0</v>
      </c>
      <c r="L95" s="11">
        <f t="shared" si="29"/>
        <v>0</v>
      </c>
      <c r="M95" s="11">
        <f t="shared" si="29"/>
        <v>0</v>
      </c>
      <c r="N95" s="11">
        <f t="shared" si="29"/>
        <v>0</v>
      </c>
      <c r="O95" s="11">
        <f t="shared" si="29"/>
        <v>0</v>
      </c>
      <c r="P95" s="11">
        <f t="shared" si="29"/>
        <v>0</v>
      </c>
    </row>
    <row r="96" spans="1:16" ht="12.75">
      <c r="A96" t="s">
        <v>152</v>
      </c>
      <c r="B96"/>
      <c r="C96"/>
      <c r="D96" s="21">
        <f aca="true" t="shared" si="30" ref="D96:P96">SUM(D93:D95)</f>
        <v>11907095</v>
      </c>
      <c r="E96" s="21">
        <f t="shared" si="30"/>
        <v>12692443</v>
      </c>
      <c r="F96" s="21">
        <f t="shared" si="30"/>
        <v>9661573</v>
      </c>
      <c r="G96" s="21">
        <f t="shared" si="30"/>
        <v>9011346</v>
      </c>
      <c r="H96" s="21">
        <f t="shared" si="30"/>
        <v>6832115</v>
      </c>
      <c r="I96" s="21">
        <f t="shared" si="30"/>
        <v>3107922</v>
      </c>
      <c r="J96" s="21">
        <f t="shared" si="30"/>
        <v>1731459</v>
      </c>
      <c r="K96" s="21">
        <f t="shared" si="30"/>
        <v>0</v>
      </c>
      <c r="L96" s="21">
        <f t="shared" si="30"/>
        <v>0</v>
      </c>
      <c r="M96" s="21">
        <f t="shared" si="30"/>
        <v>0</v>
      </c>
      <c r="N96" s="21">
        <f t="shared" si="30"/>
        <v>0</v>
      </c>
      <c r="O96" s="21">
        <f t="shared" si="30"/>
        <v>0</v>
      </c>
      <c r="P96" s="21">
        <f t="shared" si="30"/>
        <v>0</v>
      </c>
    </row>
    <row r="97" spans="1:16" ht="12.75">
      <c r="A97"/>
      <c r="B97"/>
      <c r="C97"/>
      <c r="D97"/>
      <c r="E97"/>
      <c r="F97" s="109"/>
      <c r="G97" s="109"/>
      <c r="H97"/>
      <c r="I97"/>
      <c r="J97"/>
      <c r="K97"/>
      <c r="L97"/>
      <c r="M97"/>
      <c r="N97"/>
      <c r="O97"/>
      <c r="P97"/>
    </row>
    <row r="98" spans="1:16" ht="12.75">
      <c r="A98"/>
      <c r="B98"/>
      <c r="C98"/>
      <c r="D98"/>
      <c r="E98"/>
      <c r="F98"/>
      <c r="G98"/>
      <c r="H98"/>
      <c r="I98"/>
      <c r="J98"/>
      <c r="K98"/>
      <c r="L98"/>
      <c r="M98"/>
      <c r="N98"/>
      <c r="O98"/>
      <c r="P98"/>
    </row>
    <row r="99" spans="1:16" ht="12.75">
      <c r="A99" s="6" t="s">
        <v>223</v>
      </c>
      <c r="B99"/>
      <c r="C99"/>
      <c r="D99"/>
      <c r="E99"/>
      <c r="F99"/>
      <c r="G99"/>
      <c r="H99"/>
      <c r="I99"/>
      <c r="J99"/>
      <c r="K99"/>
      <c r="L99"/>
      <c r="M99"/>
      <c r="N99"/>
      <c r="O99"/>
      <c r="P99"/>
    </row>
    <row r="100" spans="1:16" ht="12.75">
      <c r="A100" s="6"/>
      <c r="B100" t="s">
        <v>224</v>
      </c>
      <c r="C100" s="70">
        <v>38687</v>
      </c>
      <c r="D100" s="70">
        <v>38718</v>
      </c>
      <c r="E100" s="70">
        <v>38749</v>
      </c>
      <c r="F100" s="70">
        <v>38777</v>
      </c>
      <c r="G100" s="70">
        <v>38808</v>
      </c>
      <c r="H100" s="70">
        <v>38838</v>
      </c>
      <c r="I100" s="70">
        <v>38869</v>
      </c>
      <c r="J100" s="70">
        <v>38899</v>
      </c>
      <c r="K100" s="70">
        <v>38930</v>
      </c>
      <c r="L100" s="70">
        <v>38961</v>
      </c>
      <c r="M100" s="70">
        <v>38991</v>
      </c>
      <c r="N100" s="70">
        <v>39022</v>
      </c>
      <c r="O100" s="70">
        <v>39052</v>
      </c>
      <c r="P100" s="106" t="s">
        <v>225</v>
      </c>
    </row>
    <row r="101" spans="1:16" ht="12.75">
      <c r="A101" t="s">
        <v>226</v>
      </c>
      <c r="B101" s="107" t="s">
        <v>21</v>
      </c>
      <c r="C101" s="11">
        <v>123861</v>
      </c>
      <c r="D101" s="11">
        <v>124155</v>
      </c>
      <c r="E101" s="11">
        <v>124306</v>
      </c>
      <c r="F101" s="11">
        <v>124387</v>
      </c>
      <c r="G101" s="11">
        <v>124402</v>
      </c>
      <c r="H101" s="11">
        <v>124602</v>
      </c>
      <c r="I101" s="11">
        <v>124358</v>
      </c>
      <c r="J101" s="11">
        <v>124482</v>
      </c>
      <c r="K101" s="11">
        <v>124715</v>
      </c>
      <c r="L101" s="11">
        <v>125061</v>
      </c>
      <c r="M101" s="11">
        <v>125868</v>
      </c>
      <c r="N101" s="11">
        <v>126533</v>
      </c>
      <c r="O101" s="11">
        <v>127078</v>
      </c>
      <c r="P101" s="11">
        <f>SUM(D101:O101)</f>
        <v>1499947</v>
      </c>
    </row>
    <row r="102" spans="1:16" ht="12.75">
      <c r="A102" t="s">
        <v>227</v>
      </c>
      <c r="B102" s="107" t="s">
        <v>22</v>
      </c>
      <c r="C102" s="11">
        <v>11283</v>
      </c>
      <c r="D102" s="11">
        <v>11239</v>
      </c>
      <c r="E102" s="11">
        <v>11279</v>
      </c>
      <c r="F102" s="11">
        <v>11289</v>
      </c>
      <c r="G102" s="11">
        <v>11260</v>
      </c>
      <c r="H102" s="11">
        <v>11225</v>
      </c>
      <c r="I102" s="11">
        <v>11247</v>
      </c>
      <c r="J102" s="11">
        <v>11226</v>
      </c>
      <c r="K102" s="11">
        <v>11300</v>
      </c>
      <c r="L102" s="11">
        <v>11291</v>
      </c>
      <c r="M102" s="11">
        <v>11323</v>
      </c>
      <c r="N102" s="11">
        <v>11388</v>
      </c>
      <c r="O102" s="11">
        <v>11474</v>
      </c>
      <c r="P102" s="11">
        <f>SUM(D102:O102)</f>
        <v>135541</v>
      </c>
    </row>
    <row r="103" spans="1:16" ht="12.75">
      <c r="A103" t="s">
        <v>228</v>
      </c>
      <c r="B103" s="107" t="s">
        <v>70</v>
      </c>
      <c r="C103" s="11">
        <v>92</v>
      </c>
      <c r="D103" s="11">
        <v>94</v>
      </c>
      <c r="E103" s="11">
        <v>92</v>
      </c>
      <c r="F103" s="11">
        <v>91</v>
      </c>
      <c r="G103" s="11">
        <v>91</v>
      </c>
      <c r="H103" s="11">
        <v>88</v>
      </c>
      <c r="I103" s="11">
        <v>91</v>
      </c>
      <c r="J103" s="11">
        <v>91</v>
      </c>
      <c r="K103" s="11">
        <v>90</v>
      </c>
      <c r="L103" s="11">
        <v>91</v>
      </c>
      <c r="M103" s="11">
        <v>88</v>
      </c>
      <c r="N103" s="11">
        <v>92</v>
      </c>
      <c r="O103" s="11">
        <v>93</v>
      </c>
      <c r="P103" s="11">
        <f>SUM(D103:O103)</f>
        <v>1092</v>
      </c>
    </row>
    <row r="104" spans="1:16" ht="12.75">
      <c r="A104" t="s">
        <v>229</v>
      </c>
      <c r="B104" s="107" t="s">
        <v>71</v>
      </c>
      <c r="C104" s="11"/>
      <c r="D104" s="11">
        <v>22</v>
      </c>
      <c r="E104" s="11">
        <v>22</v>
      </c>
      <c r="F104" s="11">
        <v>22</v>
      </c>
      <c r="G104" s="11">
        <v>22</v>
      </c>
      <c r="H104" s="11">
        <v>23</v>
      </c>
      <c r="I104" s="11">
        <v>23</v>
      </c>
      <c r="J104" s="11">
        <v>23</v>
      </c>
      <c r="K104" s="11">
        <v>23</v>
      </c>
      <c r="L104" s="11">
        <v>23</v>
      </c>
      <c r="M104" s="11">
        <v>23</v>
      </c>
      <c r="N104" s="11">
        <v>23</v>
      </c>
      <c r="O104" s="11">
        <v>22</v>
      </c>
      <c r="P104" s="11">
        <f>SUM(D104:O104)</f>
        <v>271</v>
      </c>
    </row>
    <row r="105" spans="1:16" ht="12.75">
      <c r="A105" t="s">
        <v>152</v>
      </c>
      <c r="B105"/>
      <c r="C105"/>
      <c r="D105" s="12">
        <f aca="true" t="shared" si="31" ref="D105:P105">SUM(D101:D104)</f>
        <v>135510</v>
      </c>
      <c r="E105" s="12">
        <f t="shared" si="31"/>
        <v>135699</v>
      </c>
      <c r="F105" s="12">
        <f t="shared" si="31"/>
        <v>135789</v>
      </c>
      <c r="G105" s="12">
        <f t="shared" si="31"/>
        <v>135775</v>
      </c>
      <c r="H105" s="12">
        <f t="shared" si="31"/>
        <v>135938</v>
      </c>
      <c r="I105" s="12">
        <f t="shared" si="31"/>
        <v>135719</v>
      </c>
      <c r="J105" s="12">
        <f t="shared" si="31"/>
        <v>135822</v>
      </c>
      <c r="K105" s="12">
        <f t="shared" si="31"/>
        <v>136128</v>
      </c>
      <c r="L105" s="12">
        <f t="shared" si="31"/>
        <v>136466</v>
      </c>
      <c r="M105" s="12">
        <f t="shared" si="31"/>
        <v>137302</v>
      </c>
      <c r="N105" s="12">
        <f t="shared" si="31"/>
        <v>138036</v>
      </c>
      <c r="O105" s="12">
        <f t="shared" si="31"/>
        <v>138667</v>
      </c>
      <c r="P105" s="12">
        <f t="shared" si="31"/>
        <v>1636851</v>
      </c>
    </row>
  </sheetData>
  <printOptions horizontalCentered="1" verticalCentered="1"/>
  <pageMargins left="0.25" right="0.25" top="0.5" bottom="0.5" header="0.5" footer="0.5"/>
  <pageSetup horizontalDpi="600" verticalDpi="600" orientation="landscape" scale="58" r:id="rId1"/>
  <headerFooter alignWithMargins="0">
    <oddHeader>&amp;RExhibit No.____(BJH-3)</oddHeader>
    <oddFooter>&amp;RPage 2 of 3</oddFooter>
  </headerFooter>
  <rowBreaks count="1" manualBreakCount="1">
    <brk id="32" max="15" man="1"/>
  </rowBreaks>
</worksheet>
</file>

<file path=xl/worksheets/sheet4.xml><?xml version="1.0" encoding="utf-8"?>
<worksheet xmlns="http://schemas.openxmlformats.org/spreadsheetml/2006/main" xmlns:r="http://schemas.openxmlformats.org/officeDocument/2006/relationships">
  <sheetPr>
    <tabColor indexed="35"/>
  </sheetPr>
  <dimension ref="A1:Q129"/>
  <sheetViews>
    <sheetView workbookViewId="0" topLeftCell="F1">
      <selection activeCell="P29" sqref="P29"/>
    </sheetView>
  </sheetViews>
  <sheetFormatPr defaultColWidth="9.140625" defaultRowHeight="12.75"/>
  <cols>
    <col min="1" max="1" width="17.7109375" style="2" customWidth="1"/>
    <col min="2" max="2" width="11.7109375" style="2" customWidth="1"/>
    <col min="3" max="3" width="11.00390625" style="2" customWidth="1"/>
    <col min="4" max="4" width="13.57421875" style="2" customWidth="1"/>
    <col min="5" max="5" width="12.7109375" style="2" customWidth="1"/>
    <col min="6" max="6" width="13.00390625" style="2" customWidth="1"/>
    <col min="7" max="9" width="13.00390625" style="2" bestFit="1" customWidth="1"/>
    <col min="10" max="10" width="13.8515625" style="2" bestFit="1" customWidth="1"/>
    <col min="11" max="11" width="13.00390625" style="2" bestFit="1" customWidth="1"/>
    <col min="12" max="12" width="12.8515625" style="2" bestFit="1" customWidth="1"/>
    <col min="13" max="13" width="13.00390625" style="2" customWidth="1"/>
    <col min="14" max="14" width="12.28125" style="2" customWidth="1"/>
    <col min="15" max="15" width="12.57421875" style="2" customWidth="1"/>
    <col min="16" max="16" width="13.28125" style="2" customWidth="1"/>
    <col min="17" max="17" width="14.00390625" style="2" bestFit="1" customWidth="1"/>
    <col min="18" max="18" width="10.28125" style="2" bestFit="1" customWidth="1"/>
    <col min="19" max="16384" width="9.140625" style="2" customWidth="1"/>
  </cols>
  <sheetData>
    <row r="1" ht="12.75">
      <c r="A1" s="6" t="s">
        <v>0</v>
      </c>
    </row>
    <row r="2" ht="12.75">
      <c r="A2" s="6" t="s">
        <v>149</v>
      </c>
    </row>
    <row r="3" ht="12.75">
      <c r="A3" s="6" t="s">
        <v>185</v>
      </c>
    </row>
    <row r="4" ht="12.75">
      <c r="A4" s="6" t="s">
        <v>254</v>
      </c>
    </row>
    <row r="5" spans="1:10" ht="12.75">
      <c r="A5" s="6" t="s">
        <v>186</v>
      </c>
      <c r="J5" s="143" t="s">
        <v>261</v>
      </c>
    </row>
    <row r="6" spans="1:10" ht="12.75">
      <c r="A6" s="6" t="s">
        <v>239</v>
      </c>
      <c r="J6" s="126"/>
    </row>
    <row r="7" spans="4:16" ht="12.75">
      <c r="D7" s="13">
        <v>2008</v>
      </c>
      <c r="E7" s="13">
        <v>2008</v>
      </c>
      <c r="F7" s="13">
        <v>2008</v>
      </c>
      <c r="G7" s="13">
        <v>2008</v>
      </c>
      <c r="H7" s="13">
        <v>2008</v>
      </c>
      <c r="I7" s="13">
        <v>2008</v>
      </c>
      <c r="J7" s="127">
        <v>2009</v>
      </c>
      <c r="K7" s="13">
        <v>2009</v>
      </c>
      <c r="L7" s="13">
        <v>2009</v>
      </c>
      <c r="M7" s="13">
        <v>2009</v>
      </c>
      <c r="N7" s="13">
        <v>2009</v>
      </c>
      <c r="O7" s="13">
        <v>2009</v>
      </c>
      <c r="P7" s="6" t="s">
        <v>198</v>
      </c>
    </row>
    <row r="8" spans="4:16" ht="12.75">
      <c r="D8" s="69" t="s">
        <v>8</v>
      </c>
      <c r="E8" s="69" t="s">
        <v>9</v>
      </c>
      <c r="F8" s="69" t="s">
        <v>10</v>
      </c>
      <c r="G8" s="69" t="s">
        <v>11</v>
      </c>
      <c r="H8" s="69" t="s">
        <v>12</v>
      </c>
      <c r="I8" s="69" t="s">
        <v>13</v>
      </c>
      <c r="J8" s="128" t="s">
        <v>2</v>
      </c>
      <c r="K8" s="69" t="s">
        <v>3</v>
      </c>
      <c r="L8" s="69" t="s">
        <v>4</v>
      </c>
      <c r="M8" s="69" t="s">
        <v>5</v>
      </c>
      <c r="N8" s="69" t="s">
        <v>6</v>
      </c>
      <c r="O8" s="69" t="s">
        <v>7</v>
      </c>
      <c r="P8" s="69" t="s">
        <v>67</v>
      </c>
    </row>
    <row r="9" spans="1:10" ht="12.75">
      <c r="A9" s="6" t="s">
        <v>240</v>
      </c>
      <c r="B9" s="6"/>
      <c r="J9" s="126"/>
    </row>
    <row r="10" spans="1:15" ht="12.75">
      <c r="A10" s="59" t="s">
        <v>43</v>
      </c>
      <c r="D10" s="1"/>
      <c r="E10" s="1"/>
      <c r="F10" s="1"/>
      <c r="G10" s="52"/>
      <c r="H10" s="52"/>
      <c r="I10" s="52"/>
      <c r="J10" s="129"/>
      <c r="K10" s="52"/>
      <c r="L10" s="52"/>
      <c r="M10" s="52"/>
      <c r="N10" s="52"/>
      <c r="O10" s="52"/>
    </row>
    <row r="11" spans="1:17" ht="12.75">
      <c r="A11" s="2" t="s">
        <v>1</v>
      </c>
      <c r="D11" s="55">
        <v>2763613</v>
      </c>
      <c r="E11" s="55">
        <v>2223233</v>
      </c>
      <c r="F11" s="55">
        <v>2487966</v>
      </c>
      <c r="G11" s="55">
        <v>3933329</v>
      </c>
      <c r="H11" s="55">
        <v>8603159</v>
      </c>
      <c r="I11" s="55">
        <v>15345278</v>
      </c>
      <c r="J11" s="130">
        <v>24885757</v>
      </c>
      <c r="K11" s="55">
        <v>21106338</v>
      </c>
      <c r="L11" s="55">
        <v>17754612</v>
      </c>
      <c r="M11" s="55"/>
      <c r="N11" s="55"/>
      <c r="O11" s="55"/>
      <c r="P11" s="4">
        <f>SUM(D11:O11)</f>
        <v>99103285</v>
      </c>
      <c r="Q11" s="4"/>
    </row>
    <row r="12" spans="1:17" ht="12.75">
      <c r="A12" s="73" t="s">
        <v>183</v>
      </c>
      <c r="D12" s="55">
        <v>-82104</v>
      </c>
      <c r="E12" s="55">
        <v>-66736</v>
      </c>
      <c r="F12" s="55">
        <v>-78849</v>
      </c>
      <c r="G12" s="55">
        <v>-127362</v>
      </c>
      <c r="H12" s="55">
        <v>-276318</v>
      </c>
      <c r="I12" s="55">
        <v>-599812</v>
      </c>
      <c r="J12" s="130">
        <v>-837285</v>
      </c>
      <c r="K12" s="55">
        <v>-628669</v>
      </c>
      <c r="L12" s="55">
        <v>-571631</v>
      </c>
      <c r="M12" s="52"/>
      <c r="N12" s="52"/>
      <c r="O12" s="52"/>
      <c r="P12" s="4">
        <f>SUM(D12:O12)</f>
        <v>-3268766</v>
      </c>
      <c r="Q12" s="4"/>
    </row>
    <row r="13" spans="1:17" ht="12.75">
      <c r="A13" s="2" t="s">
        <v>15</v>
      </c>
      <c r="D13" s="1">
        <f aca="true" t="shared" si="0" ref="D13:I13">-D66</f>
        <v>-1731459</v>
      </c>
      <c r="E13" s="1">
        <f t="shared" si="0"/>
        <v>-1267630</v>
      </c>
      <c r="F13" s="1">
        <f t="shared" si="0"/>
        <v>-1309729</v>
      </c>
      <c r="G13" s="1">
        <f t="shared" si="0"/>
        <v>-1930178</v>
      </c>
      <c r="H13" s="1">
        <f t="shared" si="0"/>
        <v>-6206433</v>
      </c>
      <c r="I13" s="1">
        <f t="shared" si="0"/>
        <v>-9576840</v>
      </c>
      <c r="J13" s="129">
        <f aca="true" t="shared" si="1" ref="J13:O13">-D110</f>
        <v>-16255704</v>
      </c>
      <c r="K13" s="52">
        <f t="shared" si="1"/>
        <v>-12772752</v>
      </c>
      <c r="L13" s="52">
        <f t="shared" si="1"/>
        <v>-10188273</v>
      </c>
      <c r="M13" s="52">
        <f t="shared" si="1"/>
        <v>-9003631</v>
      </c>
      <c r="N13" s="52">
        <f t="shared" si="1"/>
        <v>0</v>
      </c>
      <c r="O13" s="52">
        <f t="shared" si="1"/>
        <v>0</v>
      </c>
      <c r="P13" s="4">
        <f>SUM(D13:O13)</f>
        <v>-70242629</v>
      </c>
      <c r="Q13" s="4"/>
    </row>
    <row r="14" spans="1:17" ht="12.75">
      <c r="A14" s="2" t="s">
        <v>16</v>
      </c>
      <c r="D14" s="1">
        <f aca="true" t="shared" si="2" ref="D14:I14">E66</f>
        <v>1267630</v>
      </c>
      <c r="E14" s="1">
        <f t="shared" si="2"/>
        <v>1309729</v>
      </c>
      <c r="F14" s="1">
        <f t="shared" si="2"/>
        <v>1930178</v>
      </c>
      <c r="G14" s="1">
        <f t="shared" si="2"/>
        <v>6206433</v>
      </c>
      <c r="H14" s="1">
        <f t="shared" si="2"/>
        <v>9576840</v>
      </c>
      <c r="I14" s="1">
        <f t="shared" si="2"/>
        <v>16255704</v>
      </c>
      <c r="J14" s="129">
        <f aca="true" t="shared" si="3" ref="J14:O14">E110</f>
        <v>12772752</v>
      </c>
      <c r="K14" s="52">
        <f t="shared" si="3"/>
        <v>10188273</v>
      </c>
      <c r="L14" s="52">
        <f t="shared" si="3"/>
        <v>9003631</v>
      </c>
      <c r="M14" s="52">
        <f t="shared" si="3"/>
        <v>0</v>
      </c>
      <c r="N14" s="52">
        <f t="shared" si="3"/>
        <v>0</v>
      </c>
      <c r="O14" s="52">
        <f t="shared" si="3"/>
        <v>0</v>
      </c>
      <c r="P14" s="4">
        <f>SUM(D14:O14)</f>
        <v>68511170</v>
      </c>
      <c r="Q14" s="1"/>
    </row>
    <row r="15" spans="1:17" ht="12.75">
      <c r="A15" s="2" t="s">
        <v>42</v>
      </c>
      <c r="D15" s="1">
        <f aca="true" t="shared" si="4" ref="D15:I15">D50</f>
        <v>0</v>
      </c>
      <c r="E15" s="1">
        <f t="shared" si="4"/>
        <v>0</v>
      </c>
      <c r="F15" s="1">
        <f t="shared" si="4"/>
        <v>0</v>
      </c>
      <c r="G15" s="1">
        <f t="shared" si="4"/>
        <v>331716</v>
      </c>
      <c r="H15" s="1">
        <f t="shared" si="4"/>
        <v>1494158</v>
      </c>
      <c r="I15" s="1">
        <f t="shared" si="4"/>
        <v>-2505968</v>
      </c>
      <c r="J15" s="129">
        <f aca="true" t="shared" si="5" ref="J15:O15">D94</f>
        <v>-1544178</v>
      </c>
      <c r="K15" s="52">
        <f t="shared" si="5"/>
        <v>-704787</v>
      </c>
      <c r="L15" s="52">
        <f t="shared" si="5"/>
        <v>-2625925</v>
      </c>
      <c r="M15" s="52">
        <f t="shared" si="5"/>
        <v>0</v>
      </c>
      <c r="N15" s="52">
        <f t="shared" si="5"/>
        <v>0</v>
      </c>
      <c r="O15" s="52">
        <f t="shared" si="5"/>
        <v>0</v>
      </c>
      <c r="P15" s="4">
        <f>SUM(D15:O15)</f>
        <v>-5554984</v>
      </c>
      <c r="Q15" s="1"/>
    </row>
    <row r="16" spans="1:17" ht="12.75">
      <c r="A16" s="2" t="s">
        <v>157</v>
      </c>
      <c r="D16" s="5">
        <f aca="true" t="shared" si="6" ref="D16:P16">SUM(D11:D15)</f>
        <v>2217680</v>
      </c>
      <c r="E16" s="5">
        <f t="shared" si="6"/>
        <v>2198596</v>
      </c>
      <c r="F16" s="5">
        <f t="shared" si="6"/>
        <v>3029566</v>
      </c>
      <c r="G16" s="5">
        <f t="shared" si="6"/>
        <v>8413938</v>
      </c>
      <c r="H16" s="5">
        <f t="shared" si="6"/>
        <v>13191406</v>
      </c>
      <c r="I16" s="5">
        <f t="shared" si="6"/>
        <v>18918362</v>
      </c>
      <c r="J16" s="131">
        <f t="shared" si="6"/>
        <v>19021342</v>
      </c>
      <c r="K16" s="5">
        <f t="shared" si="6"/>
        <v>17188403</v>
      </c>
      <c r="L16" s="5">
        <f t="shared" si="6"/>
        <v>13372414</v>
      </c>
      <c r="M16" s="5">
        <f t="shared" si="6"/>
        <v>-9003631</v>
      </c>
      <c r="N16" s="5">
        <f t="shared" si="6"/>
        <v>0</v>
      </c>
      <c r="O16" s="5">
        <f t="shared" si="6"/>
        <v>0</v>
      </c>
      <c r="P16" s="5">
        <f t="shared" si="6"/>
        <v>88548076</v>
      </c>
      <c r="Q16" s="1"/>
    </row>
    <row r="17" spans="4:17" ht="12.75">
      <c r="D17" s="7"/>
      <c r="E17" s="7"/>
      <c r="F17" s="7"/>
      <c r="G17" s="7"/>
      <c r="H17" s="7"/>
      <c r="I17" s="7"/>
      <c r="J17" s="132"/>
      <c r="K17" s="7"/>
      <c r="L17" s="7"/>
      <c r="M17" s="7"/>
      <c r="N17" s="7"/>
      <c r="O17" s="7"/>
      <c r="P17" s="7"/>
      <c r="Q17" s="1"/>
    </row>
    <row r="18" spans="1:17" ht="12.75">
      <c r="A18" s="2" t="s">
        <v>156</v>
      </c>
      <c r="D18" s="7">
        <f aca="true" t="shared" si="7" ref="D18:O18">D16</f>
        <v>2217680</v>
      </c>
      <c r="E18" s="7">
        <f t="shared" si="7"/>
        <v>2198596</v>
      </c>
      <c r="F18" s="7">
        <f t="shared" si="7"/>
        <v>3029566</v>
      </c>
      <c r="G18" s="7">
        <f t="shared" si="7"/>
        <v>8413938</v>
      </c>
      <c r="H18" s="7">
        <f t="shared" si="7"/>
        <v>13191406</v>
      </c>
      <c r="I18" s="7">
        <f t="shared" si="7"/>
        <v>18918362</v>
      </c>
      <c r="J18" s="132">
        <f t="shared" si="7"/>
        <v>19021342</v>
      </c>
      <c r="K18" s="7">
        <f t="shared" si="7"/>
        <v>17188403</v>
      </c>
      <c r="L18" s="7">
        <f t="shared" si="7"/>
        <v>13372414</v>
      </c>
      <c r="M18" s="7">
        <f t="shared" si="7"/>
        <v>-9003631</v>
      </c>
      <c r="N18" s="7">
        <f t="shared" si="7"/>
        <v>0</v>
      </c>
      <c r="O18" s="7">
        <f t="shared" si="7"/>
        <v>0</v>
      </c>
      <c r="P18" s="4">
        <f>SUM(D18:O18)</f>
        <v>88548076</v>
      </c>
      <c r="Q18" s="1"/>
    </row>
    <row r="19" spans="1:16" ht="12.75">
      <c r="A19" t="s">
        <v>182</v>
      </c>
      <c r="B19"/>
      <c r="C19"/>
      <c r="D19" s="8">
        <v>1983193</v>
      </c>
      <c r="E19" s="8">
        <v>2049321</v>
      </c>
      <c r="F19" s="8">
        <v>3228950</v>
      </c>
      <c r="G19" s="8">
        <v>8830784</v>
      </c>
      <c r="H19" s="8">
        <v>14228112</v>
      </c>
      <c r="I19" s="8">
        <v>20663191</v>
      </c>
      <c r="J19" s="133">
        <v>20189483</v>
      </c>
      <c r="K19" s="8">
        <v>18089596</v>
      </c>
      <c r="L19" s="8">
        <v>13420523</v>
      </c>
      <c r="M19" s="8">
        <v>7791044</v>
      </c>
      <c r="N19" s="8">
        <v>4652911</v>
      </c>
      <c r="O19" s="8">
        <v>2115994</v>
      </c>
      <c r="P19" s="4">
        <f>SUM(D19:O19)</f>
        <v>117243102</v>
      </c>
    </row>
    <row r="20" spans="1:16" ht="12.75">
      <c r="A20" s="2" t="s">
        <v>159</v>
      </c>
      <c r="C20"/>
      <c r="D20" s="12">
        <f aca="true" t="shared" si="8" ref="D20:L20">D18-D19</f>
        <v>234487</v>
      </c>
      <c r="E20" s="12">
        <f t="shared" si="8"/>
        <v>149275</v>
      </c>
      <c r="F20" s="12">
        <f t="shared" si="8"/>
        <v>-199384</v>
      </c>
      <c r="G20" s="12">
        <f t="shared" si="8"/>
        <v>-416846</v>
      </c>
      <c r="H20" s="12">
        <f t="shared" si="8"/>
        <v>-1036706</v>
      </c>
      <c r="I20" s="12">
        <f t="shared" si="8"/>
        <v>-1744829</v>
      </c>
      <c r="J20" s="134">
        <f t="shared" si="8"/>
        <v>-1168141</v>
      </c>
      <c r="K20" s="12">
        <f t="shared" si="8"/>
        <v>-901193</v>
      </c>
      <c r="L20" s="12">
        <f t="shared" si="8"/>
        <v>-48109</v>
      </c>
      <c r="M20" s="12"/>
      <c r="N20" s="12"/>
      <c r="O20" s="12"/>
      <c r="P20" s="4">
        <f>SUM(D20:O20)</f>
        <v>-5131446</v>
      </c>
    </row>
    <row r="21" spans="1:16" ht="12.75">
      <c r="A21" s="2" t="s">
        <v>158</v>
      </c>
      <c r="C21"/>
      <c r="D21" s="58">
        <v>0.21748</v>
      </c>
      <c r="E21" s="58">
        <v>0.21748</v>
      </c>
      <c r="F21" s="58">
        <v>0.21748</v>
      </c>
      <c r="G21" s="58">
        <v>0.21748</v>
      </c>
      <c r="H21" s="58">
        <v>0.21748</v>
      </c>
      <c r="I21" s="58">
        <v>0.21748</v>
      </c>
      <c r="J21" s="135">
        <v>0.24201</v>
      </c>
      <c r="K21" s="58">
        <v>0.24201</v>
      </c>
      <c r="L21" s="58">
        <v>0.24201</v>
      </c>
      <c r="M21" s="58">
        <v>0.24201</v>
      </c>
      <c r="N21" s="58">
        <v>0.24201</v>
      </c>
      <c r="O21" s="58">
        <v>0.24201</v>
      </c>
      <c r="P21"/>
    </row>
    <row r="22" spans="1:16" s="6" customFormat="1" ht="12.75">
      <c r="A22" s="6" t="s">
        <v>190</v>
      </c>
      <c r="D22" s="78">
        <f aca="true" t="shared" si="9" ref="D22:O22">D20*D21</f>
        <v>50996.23276</v>
      </c>
      <c r="E22" s="78">
        <f t="shared" si="9"/>
        <v>32464.327</v>
      </c>
      <c r="F22" s="83">
        <f t="shared" si="9"/>
        <v>-43362.03232</v>
      </c>
      <c r="G22" s="78">
        <f t="shared" si="9"/>
        <v>-90655.66808</v>
      </c>
      <c r="H22" s="78">
        <f t="shared" si="9"/>
        <v>-225462.82088</v>
      </c>
      <c r="I22" s="78">
        <f t="shared" si="9"/>
        <v>-379465.41092</v>
      </c>
      <c r="J22" s="136">
        <f t="shared" si="9"/>
        <v>-282701.80341</v>
      </c>
      <c r="K22" s="78">
        <f t="shared" si="9"/>
        <v>-218097.71793</v>
      </c>
      <c r="L22" s="78">
        <f t="shared" si="9"/>
        <v>-11642.85909</v>
      </c>
      <c r="M22" s="83">
        <f t="shared" si="9"/>
        <v>0</v>
      </c>
      <c r="N22" s="78">
        <f t="shared" si="9"/>
        <v>0</v>
      </c>
      <c r="O22" s="83">
        <f t="shared" si="9"/>
        <v>0</v>
      </c>
      <c r="P22" s="78">
        <f>SUM(D22:O22)</f>
        <v>-1167927.75287</v>
      </c>
    </row>
    <row r="23" spans="2:16" s="6" customFormat="1" ht="13.5" thickBot="1">
      <c r="B23" s="77" t="s">
        <v>191</v>
      </c>
      <c r="C23" s="2"/>
      <c r="D23" s="74">
        <v>0.9</v>
      </c>
      <c r="E23" s="74">
        <v>0.9</v>
      </c>
      <c r="F23" s="74">
        <v>0.9</v>
      </c>
      <c r="G23" s="74">
        <v>0.9</v>
      </c>
      <c r="H23" s="74">
        <v>0.9</v>
      </c>
      <c r="I23" s="74">
        <v>0.9</v>
      </c>
      <c r="J23" s="137">
        <v>0.9</v>
      </c>
      <c r="K23" s="74">
        <v>0.9</v>
      </c>
      <c r="L23" s="74">
        <v>0.9</v>
      </c>
      <c r="M23" s="74">
        <v>0.9</v>
      </c>
      <c r="N23" s="74">
        <v>0.9</v>
      </c>
      <c r="O23" s="74">
        <v>0.9</v>
      </c>
      <c r="P23" s="78"/>
    </row>
    <row r="24" spans="1:16" ht="13.5" thickBot="1">
      <c r="A24" s="6" t="s">
        <v>192</v>
      </c>
      <c r="D24" s="79">
        <f aca="true" t="shared" si="10" ref="D24:O24">D22*D23</f>
        <v>45896.609484</v>
      </c>
      <c r="E24" s="79">
        <f t="shared" si="10"/>
        <v>29217.8943</v>
      </c>
      <c r="F24" s="79">
        <f t="shared" si="10"/>
        <v>-39025.829088</v>
      </c>
      <c r="G24" s="79">
        <f t="shared" si="10"/>
        <v>-81590.101272</v>
      </c>
      <c r="H24" s="79">
        <f t="shared" si="10"/>
        <v>-202916.538792</v>
      </c>
      <c r="I24" s="79">
        <f t="shared" si="10"/>
        <v>-341518.869828</v>
      </c>
      <c r="J24" s="136">
        <f t="shared" si="10"/>
        <v>-254431.623069</v>
      </c>
      <c r="K24" s="79">
        <f t="shared" si="10"/>
        <v>-196287.94613700002</v>
      </c>
      <c r="L24" s="75">
        <f t="shared" si="10"/>
        <v>-10478.573181</v>
      </c>
      <c r="M24" s="79">
        <f t="shared" si="10"/>
        <v>0</v>
      </c>
      <c r="N24" s="79">
        <f t="shared" si="10"/>
        <v>0</v>
      </c>
      <c r="O24" s="79">
        <f t="shared" si="10"/>
        <v>0</v>
      </c>
      <c r="P24" s="79">
        <f>SUM(D24:O24)</f>
        <v>-1051134.977583</v>
      </c>
    </row>
    <row r="25" spans="1:16" ht="12.75">
      <c r="A25"/>
      <c r="B25" s="6" t="s">
        <v>196</v>
      </c>
      <c r="C25"/>
      <c r="D25"/>
      <c r="E25" s="1"/>
      <c r="F25" s="1"/>
      <c r="G25" s="1"/>
      <c r="H25" s="1"/>
      <c r="I25" s="1"/>
      <c r="J25" s="138"/>
      <c r="K25" s="1"/>
      <c r="L25" s="1"/>
      <c r="M25" s="1"/>
      <c r="N25" s="1"/>
      <c r="O25" s="1"/>
      <c r="P25" s="4"/>
    </row>
    <row r="26" spans="1:16" ht="12.75">
      <c r="A26"/>
      <c r="B26" s="6"/>
      <c r="C26"/>
      <c r="D26"/>
      <c r="E26" s="1"/>
      <c r="F26" s="1"/>
      <c r="G26" s="1"/>
      <c r="H26" s="1"/>
      <c r="I26" s="1"/>
      <c r="J26" s="96"/>
      <c r="K26" s="1"/>
      <c r="L26" s="1"/>
      <c r="M26" s="1"/>
      <c r="N26" s="1"/>
      <c r="O26" s="1"/>
      <c r="P26" s="4"/>
    </row>
    <row r="27" spans="1:16" ht="12.75">
      <c r="A27" s="6" t="s">
        <v>259</v>
      </c>
      <c r="B27" s="6"/>
      <c r="C27"/>
      <c r="D27"/>
      <c r="E27" s="1"/>
      <c r="F27" s="1"/>
      <c r="G27" s="1"/>
      <c r="H27" s="1"/>
      <c r="I27" s="1"/>
      <c r="J27" s="79">
        <f>'2008 corrected'!I28</f>
        <v>22566.990204</v>
      </c>
      <c r="K27" s="1"/>
      <c r="L27" s="1"/>
      <c r="M27" s="1"/>
      <c r="N27" s="1"/>
      <c r="O27" s="1"/>
      <c r="P27" s="79">
        <f>SUM(D27:O27)</f>
        <v>22566.990204</v>
      </c>
    </row>
    <row r="28" spans="1:16" ht="12.75">
      <c r="A28" s="6"/>
      <c r="B28" s="6"/>
      <c r="C28"/>
      <c r="D28"/>
      <c r="E28" s="1"/>
      <c r="F28" s="1"/>
      <c r="G28" s="1"/>
      <c r="H28" s="1"/>
      <c r="I28" s="1"/>
      <c r="J28" s="140"/>
      <c r="K28" s="1"/>
      <c r="L28" s="1"/>
      <c r="M28" s="1"/>
      <c r="N28" s="1"/>
      <c r="O28" s="1"/>
      <c r="P28" s="4"/>
    </row>
    <row r="29" spans="1:16" ht="12.75">
      <c r="A29" s="6" t="s">
        <v>260</v>
      </c>
      <c r="B29" s="6"/>
      <c r="C29"/>
      <c r="D29"/>
      <c r="E29" s="1"/>
      <c r="F29" s="1"/>
      <c r="G29" s="1"/>
      <c r="H29" s="1"/>
      <c r="I29" s="1"/>
      <c r="J29" s="144">
        <f>J24+J27</f>
        <v>-231864.632865</v>
      </c>
      <c r="K29" s="1"/>
      <c r="L29" s="1"/>
      <c r="M29" s="1"/>
      <c r="N29" s="1"/>
      <c r="O29" s="1"/>
      <c r="P29" s="79">
        <f>P24+P27</f>
        <v>-1028567.9873789999</v>
      </c>
    </row>
    <row r="30" spans="1:16" ht="12.75">
      <c r="A30" s="6"/>
      <c r="D30" s="79"/>
      <c r="E30" s="79"/>
      <c r="F30" s="79"/>
      <c r="G30" s="79"/>
      <c r="H30" s="79"/>
      <c r="I30" s="79"/>
      <c r="J30" s="79"/>
      <c r="K30" s="79"/>
      <c r="L30" s="79"/>
      <c r="M30" s="79"/>
      <c r="N30" s="79"/>
      <c r="O30" s="79"/>
      <c r="P30" s="79"/>
    </row>
    <row r="31" spans="1:16" ht="12.75">
      <c r="A31" s="73" t="s">
        <v>256</v>
      </c>
      <c r="D31" s="1"/>
      <c r="E31" s="1"/>
      <c r="F31" s="1"/>
      <c r="G31" s="1"/>
      <c r="H31" s="1"/>
      <c r="I31" s="1"/>
      <c r="J31" s="1"/>
      <c r="K31" s="1"/>
      <c r="L31" s="1"/>
      <c r="M31" s="1"/>
      <c r="N31" s="1"/>
      <c r="O31" s="1"/>
      <c r="P31" s="4"/>
    </row>
    <row r="32" spans="1:16" ht="12.75">
      <c r="A32" s="73"/>
      <c r="D32" s="1"/>
      <c r="E32" s="1"/>
      <c r="F32" s="1"/>
      <c r="G32" s="1"/>
      <c r="H32" s="1"/>
      <c r="I32" s="1"/>
      <c r="J32" s="1"/>
      <c r="K32" s="1"/>
      <c r="L32" s="1"/>
      <c r="M32" s="1"/>
      <c r="N32" s="1"/>
      <c r="O32" s="1"/>
      <c r="P32" s="4"/>
    </row>
    <row r="33" spans="1:16" ht="12.75">
      <c r="A33" s="73"/>
      <c r="D33" s="1"/>
      <c r="E33" s="1"/>
      <c r="F33" s="1"/>
      <c r="G33" s="1"/>
      <c r="H33" s="1"/>
      <c r="I33" s="1"/>
      <c r="J33" s="1"/>
      <c r="K33" s="1"/>
      <c r="L33" s="1"/>
      <c r="M33" s="1"/>
      <c r="N33" s="1"/>
      <c r="O33" s="1"/>
      <c r="P33" s="4"/>
    </row>
    <row r="34" spans="1:17" ht="12.75" hidden="1">
      <c r="A34" s="121"/>
      <c r="B34" s="121"/>
      <c r="C34" s="121"/>
      <c r="D34" s="121"/>
      <c r="E34" s="121"/>
      <c r="F34" s="121"/>
      <c r="G34" s="121"/>
      <c r="H34" s="121"/>
      <c r="I34" s="121"/>
      <c r="J34" s="121"/>
      <c r="K34" s="121"/>
      <c r="L34" s="121"/>
      <c r="M34" s="121"/>
      <c r="N34" s="121"/>
      <c r="O34" s="121"/>
      <c r="P34" s="121"/>
      <c r="Q34" s="122"/>
    </row>
    <row r="35" ht="12.75" hidden="1">
      <c r="A35" s="73" t="s">
        <v>230</v>
      </c>
    </row>
    <row r="36" spans="1:16" ht="12.75" hidden="1">
      <c r="A36" s="59" t="s">
        <v>66</v>
      </c>
      <c r="B36"/>
      <c r="C36"/>
      <c r="D36"/>
      <c r="E36"/>
      <c r="F36"/>
      <c r="G36"/>
      <c r="H36"/>
      <c r="I36"/>
      <c r="J36"/>
      <c r="K36"/>
      <c r="L36"/>
      <c r="M36"/>
      <c r="N36"/>
      <c r="O36"/>
      <c r="P36"/>
    </row>
    <row r="37" spans="1:16" ht="12.75" hidden="1">
      <c r="A37"/>
      <c r="B37"/>
      <c r="C37"/>
      <c r="D37" s="62">
        <v>39630</v>
      </c>
      <c r="E37" s="62">
        <v>39661</v>
      </c>
      <c r="F37" s="62">
        <v>39692</v>
      </c>
      <c r="G37" s="62">
        <v>39722</v>
      </c>
      <c r="H37" s="62">
        <v>39753</v>
      </c>
      <c r="I37" s="62">
        <v>39783</v>
      </c>
      <c r="J37" s="62">
        <v>39814</v>
      </c>
      <c r="K37" s="62">
        <v>39845</v>
      </c>
      <c r="L37" s="62">
        <v>39873</v>
      </c>
      <c r="M37" s="62">
        <v>39904</v>
      </c>
      <c r="N37" s="62">
        <v>39934</v>
      </c>
      <c r="O37" s="62">
        <v>39965</v>
      </c>
      <c r="P37" s="61" t="s">
        <v>67</v>
      </c>
    </row>
    <row r="38" spans="1:16" ht="12.75" hidden="1">
      <c r="A38" s="2" t="s">
        <v>17</v>
      </c>
      <c r="D38" s="7">
        <v>44</v>
      </c>
      <c r="E38" s="7">
        <v>42</v>
      </c>
      <c r="F38" s="7">
        <v>196</v>
      </c>
      <c r="G38" s="7">
        <v>554</v>
      </c>
      <c r="H38" s="7">
        <v>897</v>
      </c>
      <c r="I38" s="7">
        <v>1168</v>
      </c>
      <c r="J38" s="7">
        <v>1169</v>
      </c>
      <c r="K38" s="7">
        <f>916</f>
        <v>916</v>
      </c>
      <c r="L38" s="7">
        <v>790</v>
      </c>
      <c r="M38" s="7">
        <v>557</v>
      </c>
      <c r="N38" s="7">
        <v>338</v>
      </c>
      <c r="O38" s="7">
        <v>149</v>
      </c>
      <c r="P38" s="4">
        <f>SUM(D38:O38)</f>
        <v>6820</v>
      </c>
    </row>
    <row r="39" spans="1:16" ht="12.75" hidden="1">
      <c r="A39" s="98" t="s">
        <v>18</v>
      </c>
      <c r="B39"/>
      <c r="C39"/>
      <c r="D39" s="10">
        <v>8</v>
      </c>
      <c r="E39" s="118">
        <v>52</v>
      </c>
      <c r="F39" s="118">
        <v>142</v>
      </c>
      <c r="G39" s="118">
        <v>529</v>
      </c>
      <c r="H39" s="118">
        <v>785</v>
      </c>
      <c r="I39" s="118">
        <v>1328</v>
      </c>
      <c r="J39" s="10">
        <f aca="true" t="shared" si="11" ref="J39:O39">J38</f>
        <v>1169</v>
      </c>
      <c r="K39" s="10">
        <f t="shared" si="11"/>
        <v>916</v>
      </c>
      <c r="L39" s="10">
        <f t="shared" si="11"/>
        <v>790</v>
      </c>
      <c r="M39" s="10">
        <f t="shared" si="11"/>
        <v>557</v>
      </c>
      <c r="N39" s="10">
        <f t="shared" si="11"/>
        <v>338</v>
      </c>
      <c r="O39" s="10">
        <f t="shared" si="11"/>
        <v>149</v>
      </c>
      <c r="P39" s="4">
        <f>SUM(D39:O39)</f>
        <v>6763</v>
      </c>
    </row>
    <row r="40" spans="1:16" ht="12.75" hidden="1">
      <c r="A40" s="6" t="s">
        <v>68</v>
      </c>
      <c r="B40"/>
      <c r="C40"/>
      <c r="D40" s="12">
        <f aca="true" t="shared" si="12" ref="D40:O40">D38-D39</f>
        <v>36</v>
      </c>
      <c r="E40" s="12">
        <f t="shared" si="12"/>
        <v>-10</v>
      </c>
      <c r="F40" s="12">
        <f t="shared" si="12"/>
        <v>54</v>
      </c>
      <c r="G40" s="12">
        <f t="shared" si="12"/>
        <v>25</v>
      </c>
      <c r="H40" s="12">
        <f t="shared" si="12"/>
        <v>112</v>
      </c>
      <c r="I40" s="12">
        <f t="shared" si="12"/>
        <v>-160</v>
      </c>
      <c r="J40" s="12">
        <f t="shared" si="12"/>
        <v>0</v>
      </c>
      <c r="K40" s="12">
        <f t="shared" si="12"/>
        <v>0</v>
      </c>
      <c r="L40" s="12">
        <f t="shared" si="12"/>
        <v>0</v>
      </c>
      <c r="M40" s="12">
        <f t="shared" si="12"/>
        <v>0</v>
      </c>
      <c r="N40" s="12">
        <f t="shared" si="12"/>
        <v>0</v>
      </c>
      <c r="O40" s="12">
        <f t="shared" si="12"/>
        <v>0</v>
      </c>
      <c r="P40" s="5">
        <f>SUM(D40:O40)</f>
        <v>57</v>
      </c>
    </row>
    <row r="41" spans="1:16" ht="12.75" hidden="1">
      <c r="A41" s="6"/>
      <c r="B41" s="60"/>
      <c r="C41" s="103" t="s">
        <v>221</v>
      </c>
      <c r="D41"/>
      <c r="E41"/>
      <c r="F41"/>
      <c r="G41"/>
      <c r="H41"/>
      <c r="I41"/>
      <c r="J41"/>
      <c r="K41"/>
      <c r="L41"/>
      <c r="M41"/>
      <c r="N41"/>
      <c r="O41"/>
      <c r="P41"/>
    </row>
    <row r="42" spans="1:16" ht="12.75" hidden="1">
      <c r="A42" t="s">
        <v>27</v>
      </c>
      <c r="B42"/>
      <c r="C42" s="61" t="s">
        <v>180</v>
      </c>
      <c r="D42" s="104">
        <v>0</v>
      </c>
      <c r="E42" s="104">
        <v>0</v>
      </c>
      <c r="F42" s="104">
        <v>0</v>
      </c>
      <c r="G42" s="104">
        <v>0.09</v>
      </c>
      <c r="H42" s="104">
        <v>0.09</v>
      </c>
      <c r="I42" s="104">
        <v>0.101</v>
      </c>
      <c r="J42" s="104">
        <v>0.101</v>
      </c>
      <c r="K42" s="104">
        <v>0.101</v>
      </c>
      <c r="L42" s="104">
        <v>0.101</v>
      </c>
      <c r="M42" s="104">
        <v>0.09</v>
      </c>
      <c r="N42" s="104">
        <v>0.09</v>
      </c>
      <c r="O42" s="104">
        <v>0.09</v>
      </c>
      <c r="P42"/>
    </row>
    <row r="43" spans="1:16" ht="12.75" hidden="1">
      <c r="A43" t="s">
        <v>28</v>
      </c>
      <c r="B43"/>
      <c r="C43" s="61" t="s">
        <v>180</v>
      </c>
      <c r="D43" s="104">
        <v>0</v>
      </c>
      <c r="E43" s="104">
        <v>0</v>
      </c>
      <c r="F43" s="104">
        <v>0</v>
      </c>
      <c r="G43" s="104">
        <v>0.169</v>
      </c>
      <c r="H43" s="104">
        <v>0.169</v>
      </c>
      <c r="I43" s="104">
        <v>0.243</v>
      </c>
      <c r="J43" s="104">
        <v>0.243</v>
      </c>
      <c r="K43" s="104">
        <v>0.243</v>
      </c>
      <c r="L43" s="104">
        <v>0.243</v>
      </c>
      <c r="M43" s="104">
        <v>0.169</v>
      </c>
      <c r="N43" s="104">
        <v>0.169</v>
      </c>
      <c r="O43" s="104">
        <v>0.169</v>
      </c>
      <c r="P43"/>
    </row>
    <row r="44" spans="1:16" ht="12.75" hidden="1">
      <c r="A44" t="s">
        <v>29</v>
      </c>
      <c r="B44"/>
      <c r="C44" s="61" t="s">
        <v>180</v>
      </c>
      <c r="D44" s="104">
        <v>0</v>
      </c>
      <c r="E44" s="104">
        <v>0</v>
      </c>
      <c r="F44" s="104">
        <v>0</v>
      </c>
      <c r="G44" s="104">
        <v>0.306</v>
      </c>
      <c r="H44" s="104">
        <v>0.306</v>
      </c>
      <c r="I44" s="104">
        <v>0.422</v>
      </c>
      <c r="J44" s="104">
        <v>0.422</v>
      </c>
      <c r="K44" s="104">
        <v>0.422</v>
      </c>
      <c r="L44" s="104">
        <v>0.422</v>
      </c>
      <c r="M44" s="104">
        <v>0.306</v>
      </c>
      <c r="N44" s="104">
        <v>0.306</v>
      </c>
      <c r="O44" s="104">
        <v>0.306</v>
      </c>
      <c r="P44"/>
    </row>
    <row r="45" spans="1:16" ht="12.75" hidden="1">
      <c r="A45"/>
      <c r="B45" s="58"/>
      <c r="C45"/>
      <c r="D45"/>
      <c r="E45"/>
      <c r="F45"/>
      <c r="G45"/>
      <c r="H45"/>
      <c r="I45"/>
      <c r="J45"/>
      <c r="K45"/>
      <c r="L45"/>
      <c r="M45"/>
      <c r="N45"/>
      <c r="O45"/>
      <c r="P45"/>
    </row>
    <row r="46" spans="1:16" ht="12.75" hidden="1">
      <c r="A46" s="59" t="s">
        <v>150</v>
      </c>
      <c r="B46" s="58"/>
      <c r="C46" s="58"/>
      <c r="D46"/>
      <c r="E46"/>
      <c r="F46"/>
      <c r="G46"/>
      <c r="H46"/>
      <c r="I46"/>
      <c r="J46"/>
      <c r="K46"/>
      <c r="L46"/>
      <c r="M46"/>
      <c r="N46"/>
      <c r="O46"/>
      <c r="P46"/>
    </row>
    <row r="47" spans="1:16" ht="12.75" hidden="1">
      <c r="A47" t="s">
        <v>27</v>
      </c>
      <c r="B47"/>
      <c r="C47"/>
      <c r="D47" s="11">
        <f>ROUND(D$40*D42*J71,0)</f>
        <v>0</v>
      </c>
      <c r="E47" s="11">
        <f aca="true" t="shared" si="13" ref="E47:I49">ROUND(E$40*E42*K71,0)</f>
        <v>0</v>
      </c>
      <c r="F47" s="11">
        <f t="shared" si="13"/>
        <v>0</v>
      </c>
      <c r="G47" s="11">
        <f t="shared" si="13"/>
        <v>283203</v>
      </c>
      <c r="H47" s="11">
        <f t="shared" si="13"/>
        <v>1275453</v>
      </c>
      <c r="I47" s="11">
        <f t="shared" si="13"/>
        <v>-2053580</v>
      </c>
      <c r="J47" s="11">
        <f aca="true" t="shared" si="14" ref="J47:O49">ROUND(J$40*J42*D71,0)</f>
        <v>0</v>
      </c>
      <c r="K47" s="11">
        <f t="shared" si="14"/>
        <v>0</v>
      </c>
      <c r="L47" s="11">
        <f t="shared" si="14"/>
        <v>0</v>
      </c>
      <c r="M47" s="11">
        <f t="shared" si="14"/>
        <v>0</v>
      </c>
      <c r="N47" s="11">
        <f t="shared" si="14"/>
        <v>0</v>
      </c>
      <c r="O47" s="11">
        <f t="shared" si="14"/>
        <v>0</v>
      </c>
      <c r="P47" s="11">
        <f>SUM(D47:O47)</f>
        <v>-494924</v>
      </c>
    </row>
    <row r="48" spans="1:16" ht="12.75" hidden="1">
      <c r="A48" t="s">
        <v>28</v>
      </c>
      <c r="B48"/>
      <c r="C48"/>
      <c r="D48" s="11">
        <f>ROUND(D$40*D43*J72,0)</f>
        <v>0</v>
      </c>
      <c r="E48" s="11">
        <f t="shared" si="13"/>
        <v>0</v>
      </c>
      <c r="F48" s="11">
        <f t="shared" si="13"/>
        <v>0</v>
      </c>
      <c r="G48" s="11">
        <f t="shared" si="13"/>
        <v>47840</v>
      </c>
      <c r="H48" s="11">
        <f t="shared" si="13"/>
        <v>215552</v>
      </c>
      <c r="I48" s="11">
        <f t="shared" si="13"/>
        <v>-446109</v>
      </c>
      <c r="J48" s="11">
        <f t="shared" si="14"/>
        <v>0</v>
      </c>
      <c r="K48" s="11">
        <f t="shared" si="14"/>
        <v>0</v>
      </c>
      <c r="L48" s="11">
        <f t="shared" si="14"/>
        <v>0</v>
      </c>
      <c r="M48" s="11">
        <f t="shared" si="14"/>
        <v>0</v>
      </c>
      <c r="N48" s="11">
        <f t="shared" si="14"/>
        <v>0</v>
      </c>
      <c r="O48" s="11">
        <f t="shared" si="14"/>
        <v>0</v>
      </c>
      <c r="P48" s="11">
        <f>SUM(D48:O48)</f>
        <v>-182717</v>
      </c>
    </row>
    <row r="49" spans="1:16" ht="12.75" hidden="1">
      <c r="A49" t="s">
        <v>29</v>
      </c>
      <c r="B49"/>
      <c r="C49"/>
      <c r="D49" s="11">
        <f>ROUND(D$40*D44*J73,0)</f>
        <v>0</v>
      </c>
      <c r="E49" s="11">
        <f t="shared" si="13"/>
        <v>0</v>
      </c>
      <c r="F49" s="11">
        <f t="shared" si="13"/>
        <v>0</v>
      </c>
      <c r="G49" s="11">
        <f t="shared" si="13"/>
        <v>673</v>
      </c>
      <c r="H49" s="11">
        <f t="shared" si="13"/>
        <v>3153</v>
      </c>
      <c r="I49" s="11">
        <f t="shared" si="13"/>
        <v>-6279</v>
      </c>
      <c r="J49" s="11">
        <f t="shared" si="14"/>
        <v>0</v>
      </c>
      <c r="K49" s="11">
        <f t="shared" si="14"/>
        <v>0</v>
      </c>
      <c r="L49" s="11">
        <f t="shared" si="14"/>
        <v>0</v>
      </c>
      <c r="M49" s="11">
        <f t="shared" si="14"/>
        <v>0</v>
      </c>
      <c r="N49" s="11">
        <f t="shared" si="14"/>
        <v>0</v>
      </c>
      <c r="O49" s="11">
        <f t="shared" si="14"/>
        <v>0</v>
      </c>
      <c r="P49" s="11">
        <f>SUM(D49:O49)</f>
        <v>-2453</v>
      </c>
    </row>
    <row r="50" spans="1:16" ht="12.75" hidden="1">
      <c r="A50" t="s">
        <v>151</v>
      </c>
      <c r="B50"/>
      <c r="C50"/>
      <c r="D50" s="21">
        <f aca="true" t="shared" si="15" ref="D50:P50">SUM(D47:D49)</f>
        <v>0</v>
      </c>
      <c r="E50" s="21">
        <f t="shared" si="15"/>
        <v>0</v>
      </c>
      <c r="F50" s="21">
        <f t="shared" si="15"/>
        <v>0</v>
      </c>
      <c r="G50" s="21">
        <f t="shared" si="15"/>
        <v>331716</v>
      </c>
      <c r="H50" s="21">
        <f t="shared" si="15"/>
        <v>1494158</v>
      </c>
      <c r="I50" s="21">
        <f t="shared" si="15"/>
        <v>-2505968</v>
      </c>
      <c r="J50" s="21">
        <f t="shared" si="15"/>
        <v>0</v>
      </c>
      <c r="K50" s="21">
        <f t="shared" si="15"/>
        <v>0</v>
      </c>
      <c r="L50" s="21">
        <f t="shared" si="15"/>
        <v>0</v>
      </c>
      <c r="M50" s="21">
        <f t="shared" si="15"/>
        <v>0</v>
      </c>
      <c r="N50" s="21">
        <f t="shared" si="15"/>
        <v>0</v>
      </c>
      <c r="O50" s="21">
        <f t="shared" si="15"/>
        <v>0</v>
      </c>
      <c r="P50" s="21">
        <f t="shared" si="15"/>
        <v>-680094</v>
      </c>
    </row>
    <row r="51" spans="1:16" ht="12.75" hidden="1">
      <c r="A51"/>
      <c r="B51"/>
      <c r="C51"/>
      <c r="D51"/>
      <c r="E51"/>
      <c r="F51"/>
      <c r="G51"/>
      <c r="H51"/>
      <c r="I51"/>
      <c r="J51"/>
      <c r="K51"/>
      <c r="L51"/>
      <c r="M51"/>
      <c r="N51"/>
      <c r="O51"/>
      <c r="P51"/>
    </row>
    <row r="52" spans="1:16" ht="12.75" hidden="1">
      <c r="A52"/>
      <c r="B52"/>
      <c r="C52"/>
      <c r="D52"/>
      <c r="E52"/>
      <c r="F52"/>
      <c r="G52"/>
      <c r="H52"/>
      <c r="I52"/>
      <c r="J52"/>
      <c r="K52"/>
      <c r="L52"/>
      <c r="M52"/>
      <c r="N52"/>
      <c r="O52"/>
      <c r="P52"/>
    </row>
    <row r="53" spans="1:16" ht="12.75" hidden="1">
      <c r="A53" s="59" t="s">
        <v>153</v>
      </c>
      <c r="B53"/>
      <c r="C53"/>
      <c r="D53" s="22"/>
      <c r="E53"/>
      <c r="F53"/>
      <c r="G53"/>
      <c r="H53"/>
      <c r="I53"/>
      <c r="J53"/>
      <c r="K53"/>
      <c r="L53"/>
      <c r="M53"/>
      <c r="N53"/>
      <c r="O53"/>
      <c r="P53"/>
    </row>
    <row r="54" spans="1:16" ht="12.75" hidden="1">
      <c r="A54" s="14"/>
      <c r="B54"/>
      <c r="C54"/>
      <c r="D54" s="70">
        <v>39600</v>
      </c>
      <c r="E54" s="70">
        <v>39630</v>
      </c>
      <c r="F54" s="70">
        <v>39661</v>
      </c>
      <c r="G54" s="70">
        <v>39692</v>
      </c>
      <c r="H54" s="70">
        <v>39722</v>
      </c>
      <c r="I54" s="70">
        <v>39753</v>
      </c>
      <c r="J54" s="70">
        <v>39783</v>
      </c>
      <c r="K54" s="70">
        <v>39814</v>
      </c>
      <c r="L54" s="70">
        <v>39845</v>
      </c>
      <c r="M54" s="70">
        <v>39873</v>
      </c>
      <c r="N54" s="70">
        <v>39904</v>
      </c>
      <c r="O54" s="70">
        <v>39934</v>
      </c>
      <c r="P54" s="70">
        <v>39965</v>
      </c>
    </row>
    <row r="55" spans="1:16" ht="12.75" hidden="1">
      <c r="A55" t="s">
        <v>25</v>
      </c>
      <c r="B55"/>
      <c r="C55"/>
      <c r="D55" s="120">
        <v>71.2</v>
      </c>
      <c r="E55" s="88">
        <v>4.7</v>
      </c>
      <c r="F55" s="88">
        <v>45.3</v>
      </c>
      <c r="G55" s="88">
        <v>101.5</v>
      </c>
      <c r="H55" s="88">
        <v>369.6</v>
      </c>
      <c r="I55" s="88">
        <v>567.2</v>
      </c>
      <c r="J55" s="88">
        <v>952.4</v>
      </c>
      <c r="K55" s="111"/>
      <c r="L55" s="112"/>
      <c r="M55" s="111"/>
      <c r="N55" s="111"/>
      <c r="O55" s="111"/>
      <c r="P55" s="113"/>
    </row>
    <row r="56" spans="1:16" ht="12.75" hidden="1">
      <c r="A56" t="s">
        <v>26</v>
      </c>
      <c r="B56"/>
      <c r="C56"/>
      <c r="D56" s="65">
        <v>0.633</v>
      </c>
      <c r="E56" s="119">
        <v>0.6332</v>
      </c>
      <c r="F56" s="119">
        <v>0.6528</v>
      </c>
      <c r="G56" s="119">
        <v>0.6281</v>
      </c>
      <c r="H56" s="119">
        <v>0.6531</v>
      </c>
      <c r="I56" s="119">
        <v>0.6916</v>
      </c>
      <c r="J56" s="119">
        <v>0.6863</v>
      </c>
      <c r="K56" s="114">
        <v>0</v>
      </c>
      <c r="L56" s="114">
        <v>0</v>
      </c>
      <c r="M56" s="114">
        <v>0</v>
      </c>
      <c r="N56" s="114">
        <v>0</v>
      </c>
      <c r="O56" s="114">
        <v>0</v>
      </c>
      <c r="P56" s="115">
        <v>0</v>
      </c>
    </row>
    <row r="57" spans="1:16" ht="12.75" hidden="1">
      <c r="A57" s="6"/>
      <c r="B57" s="60" t="s">
        <v>222</v>
      </c>
      <c r="C57" s="103" t="s">
        <v>221</v>
      </c>
      <c r="D57" s="24"/>
      <c r="E57" s="45"/>
      <c r="F57" s="45"/>
      <c r="G57" s="45"/>
      <c r="H57" s="45"/>
      <c r="I57" s="45"/>
      <c r="J57" s="45"/>
      <c r="K57" s="45"/>
      <c r="L57" s="45"/>
      <c r="M57" s="45"/>
      <c r="N57" s="45"/>
      <c r="O57" s="45"/>
      <c r="P57" s="25"/>
    </row>
    <row r="58" spans="1:16" ht="12.75" hidden="1">
      <c r="A58" t="s">
        <v>27</v>
      </c>
      <c r="B58" s="90">
        <v>15</v>
      </c>
      <c r="C58" s="61" t="s">
        <v>180</v>
      </c>
      <c r="D58" s="105">
        <f>P58</f>
        <v>0.0448</v>
      </c>
      <c r="E58" s="105">
        <v>0</v>
      </c>
      <c r="F58" s="105">
        <v>0</v>
      </c>
      <c r="G58" s="105">
        <f>(F58+H58)/2</f>
        <v>0.0448</v>
      </c>
      <c r="H58" s="105">
        <v>0.0896</v>
      </c>
      <c r="I58" s="105">
        <f>(H58+J58)/2</f>
        <v>0.09505</v>
      </c>
      <c r="J58" s="105">
        <v>0.1005</v>
      </c>
      <c r="K58" s="105">
        <v>0.1005</v>
      </c>
      <c r="L58" s="105">
        <v>0.1005</v>
      </c>
      <c r="M58" s="105">
        <f>(L58+N58)/2</f>
        <v>0.09505</v>
      </c>
      <c r="N58" s="105">
        <v>0.0896</v>
      </c>
      <c r="O58" s="105">
        <v>0.0896</v>
      </c>
      <c r="P58" s="105">
        <f>(O58+Q58)/2</f>
        <v>0.0448</v>
      </c>
    </row>
    <row r="59" spans="1:16" ht="12.75" hidden="1">
      <c r="A59" t="s">
        <v>28</v>
      </c>
      <c r="B59" s="90">
        <v>12</v>
      </c>
      <c r="C59" s="61" t="s">
        <v>180</v>
      </c>
      <c r="D59" s="105">
        <f>P59</f>
        <v>0.0844</v>
      </c>
      <c r="E59" s="105">
        <v>0</v>
      </c>
      <c r="F59" s="105">
        <v>0</v>
      </c>
      <c r="G59" s="105">
        <f>(F59+H59)/2</f>
        <v>0.0844</v>
      </c>
      <c r="H59" s="105">
        <v>0.1688</v>
      </c>
      <c r="I59" s="105">
        <f>(H59+J59)/2</f>
        <v>0.20575</v>
      </c>
      <c r="J59" s="105">
        <v>0.2427</v>
      </c>
      <c r="K59" s="105">
        <v>0.2427</v>
      </c>
      <c r="L59" s="105">
        <v>0.2427</v>
      </c>
      <c r="M59" s="105">
        <f>(L59+N59)/2</f>
        <v>0.20575</v>
      </c>
      <c r="N59" s="105">
        <v>0.1688</v>
      </c>
      <c r="O59" s="105">
        <v>0.1688</v>
      </c>
      <c r="P59" s="105">
        <f>(O59+Q59)/2</f>
        <v>0.0844</v>
      </c>
    </row>
    <row r="60" spans="1:16" ht="12.75" hidden="1">
      <c r="A60" t="s">
        <v>29</v>
      </c>
      <c r="B60" s="90">
        <v>0</v>
      </c>
      <c r="C60" s="61" t="s">
        <v>180</v>
      </c>
      <c r="D60" s="105">
        <f>P60</f>
        <v>0.15275</v>
      </c>
      <c r="E60" s="105">
        <v>0</v>
      </c>
      <c r="F60" s="105">
        <v>0</v>
      </c>
      <c r="G60" s="105">
        <f>(F60+H60)/2</f>
        <v>0.15275</v>
      </c>
      <c r="H60" s="105">
        <v>0.3055</v>
      </c>
      <c r="I60" s="105">
        <f>(H60+J60)/2</f>
        <v>0.36385</v>
      </c>
      <c r="J60" s="105">
        <v>0.4222</v>
      </c>
      <c r="K60" s="105">
        <v>0.4222</v>
      </c>
      <c r="L60" s="105">
        <v>0.4222</v>
      </c>
      <c r="M60" s="105">
        <f>(L60+N60)/2</f>
        <v>0.36385</v>
      </c>
      <c r="N60" s="105">
        <v>0.3055</v>
      </c>
      <c r="O60" s="105">
        <v>0.3055</v>
      </c>
      <c r="P60" s="105">
        <f>(O60+Q60)/2</f>
        <v>0.15275</v>
      </c>
    </row>
    <row r="61" spans="1:16" ht="12.75" hidden="1">
      <c r="A61"/>
      <c r="B61"/>
      <c r="C61" s="58"/>
      <c r="D61" s="24"/>
      <c r="E61" s="45"/>
      <c r="F61" s="45"/>
      <c r="G61" s="45"/>
      <c r="H61" s="45"/>
      <c r="I61" s="45"/>
      <c r="J61" s="45"/>
      <c r="K61" s="45"/>
      <c r="L61" s="45"/>
      <c r="M61" s="45"/>
      <c r="N61" s="45"/>
      <c r="O61" s="45"/>
      <c r="P61" s="25"/>
    </row>
    <row r="62" spans="1:16" ht="12.75" hidden="1">
      <c r="A62" s="59" t="s">
        <v>150</v>
      </c>
      <c r="B62" s="60"/>
      <c r="C62" s="61"/>
      <c r="D62" s="24"/>
      <c r="E62" s="45"/>
      <c r="F62" s="45"/>
      <c r="G62" s="45"/>
      <c r="H62" s="45"/>
      <c r="I62" s="45"/>
      <c r="J62" s="45"/>
      <c r="K62" s="45"/>
      <c r="L62" s="45"/>
      <c r="M62" s="45"/>
      <c r="N62" s="45"/>
      <c r="O62" s="45"/>
      <c r="P62" s="25"/>
    </row>
    <row r="63" spans="1:16" ht="12.75" hidden="1">
      <c r="A63" t="s">
        <v>27</v>
      </c>
      <c r="B63"/>
      <c r="C63"/>
      <c r="D63" s="11">
        <f aca="true" t="shared" si="16" ref="D63:J65">ROUND((D$55*D58)*I71,0)+ROUND(($B58*D$56)*I71,0)</f>
        <v>1577451</v>
      </c>
      <c r="E63" s="11">
        <f t="shared" si="16"/>
        <v>1182330</v>
      </c>
      <c r="F63" s="11">
        <f t="shared" si="16"/>
        <v>1221209</v>
      </c>
      <c r="G63" s="11">
        <f t="shared" si="16"/>
        <v>1746939</v>
      </c>
      <c r="H63" s="11">
        <f t="shared" si="16"/>
        <v>5401331</v>
      </c>
      <c r="I63" s="11">
        <f t="shared" si="16"/>
        <v>8134346</v>
      </c>
      <c r="J63" s="11">
        <f t="shared" si="16"/>
        <v>13471627</v>
      </c>
      <c r="K63" s="11">
        <f aca="true" t="shared" si="17" ref="K63:P65">ROUND((K$55*K58)*D71,0)+ROUND(($B58*K$56)*D71,0)</f>
        <v>0</v>
      </c>
      <c r="L63" s="11">
        <f t="shared" si="17"/>
        <v>0</v>
      </c>
      <c r="M63" s="11">
        <f t="shared" si="17"/>
        <v>0</v>
      </c>
      <c r="N63" s="11">
        <f t="shared" si="17"/>
        <v>0</v>
      </c>
      <c r="O63" s="11">
        <f t="shared" si="17"/>
        <v>0</v>
      </c>
      <c r="P63" s="11">
        <f t="shared" si="17"/>
        <v>0</v>
      </c>
    </row>
    <row r="64" spans="1:16" ht="12.75" hidden="1">
      <c r="A64" t="s">
        <v>28</v>
      </c>
      <c r="B64"/>
      <c r="C64"/>
      <c r="D64" s="11">
        <f t="shared" si="16"/>
        <v>153018</v>
      </c>
      <c r="E64" s="11">
        <f t="shared" si="16"/>
        <v>85300</v>
      </c>
      <c r="F64" s="11">
        <f t="shared" si="16"/>
        <v>88520</v>
      </c>
      <c r="G64" s="11">
        <f t="shared" si="16"/>
        <v>181828</v>
      </c>
      <c r="H64" s="11">
        <f t="shared" si="16"/>
        <v>795166</v>
      </c>
      <c r="I64" s="11">
        <f t="shared" si="16"/>
        <v>1423507</v>
      </c>
      <c r="J64" s="11">
        <f t="shared" si="16"/>
        <v>2746681</v>
      </c>
      <c r="K64" s="11">
        <f t="shared" si="17"/>
        <v>0</v>
      </c>
      <c r="L64" s="11">
        <f t="shared" si="17"/>
        <v>0</v>
      </c>
      <c r="M64" s="11">
        <f t="shared" si="17"/>
        <v>0</v>
      </c>
      <c r="N64" s="11">
        <f t="shared" si="17"/>
        <v>0</v>
      </c>
      <c r="O64" s="11">
        <f t="shared" si="17"/>
        <v>0</v>
      </c>
      <c r="P64" s="11">
        <f t="shared" si="17"/>
        <v>0</v>
      </c>
    </row>
    <row r="65" spans="1:16" ht="12.75" hidden="1">
      <c r="A65" t="s">
        <v>29</v>
      </c>
      <c r="B65"/>
      <c r="C65"/>
      <c r="D65" s="11">
        <f t="shared" si="16"/>
        <v>990</v>
      </c>
      <c r="E65" s="11">
        <f t="shared" si="16"/>
        <v>0</v>
      </c>
      <c r="F65" s="11">
        <f t="shared" si="16"/>
        <v>0</v>
      </c>
      <c r="G65" s="11">
        <f t="shared" si="16"/>
        <v>1411</v>
      </c>
      <c r="H65" s="11">
        <f t="shared" si="16"/>
        <v>9936</v>
      </c>
      <c r="I65" s="11">
        <f t="shared" si="16"/>
        <v>18987</v>
      </c>
      <c r="J65" s="11">
        <f t="shared" si="16"/>
        <v>37396</v>
      </c>
      <c r="K65" s="11">
        <f t="shared" si="17"/>
        <v>0</v>
      </c>
      <c r="L65" s="11">
        <f t="shared" si="17"/>
        <v>0</v>
      </c>
      <c r="M65" s="11">
        <f t="shared" si="17"/>
        <v>0</v>
      </c>
      <c r="N65" s="11">
        <f t="shared" si="17"/>
        <v>0</v>
      </c>
      <c r="O65" s="11">
        <f t="shared" si="17"/>
        <v>0</v>
      </c>
      <c r="P65" s="11">
        <f t="shared" si="17"/>
        <v>0</v>
      </c>
    </row>
    <row r="66" spans="1:16" ht="12.75" hidden="1">
      <c r="A66" t="s">
        <v>152</v>
      </c>
      <c r="B66"/>
      <c r="C66"/>
      <c r="D66" s="21">
        <f aca="true" t="shared" si="18" ref="D66:P66">SUM(D63:D65)</f>
        <v>1731459</v>
      </c>
      <c r="E66" s="21">
        <f t="shared" si="18"/>
        <v>1267630</v>
      </c>
      <c r="F66" s="21">
        <f t="shared" si="18"/>
        <v>1309729</v>
      </c>
      <c r="G66" s="21">
        <f t="shared" si="18"/>
        <v>1930178</v>
      </c>
      <c r="H66" s="21">
        <f t="shared" si="18"/>
        <v>6206433</v>
      </c>
      <c r="I66" s="21">
        <f t="shared" si="18"/>
        <v>9576840</v>
      </c>
      <c r="J66" s="21">
        <f t="shared" si="18"/>
        <v>16255704</v>
      </c>
      <c r="K66" s="21">
        <f t="shared" si="18"/>
        <v>0</v>
      </c>
      <c r="L66" s="21">
        <f t="shared" si="18"/>
        <v>0</v>
      </c>
      <c r="M66" s="21">
        <f t="shared" si="18"/>
        <v>0</v>
      </c>
      <c r="N66" s="21">
        <f t="shared" si="18"/>
        <v>0</v>
      </c>
      <c r="O66" s="21">
        <f t="shared" si="18"/>
        <v>0</v>
      </c>
      <c r="P66" s="21">
        <f t="shared" si="18"/>
        <v>0</v>
      </c>
    </row>
    <row r="67" spans="1:16" ht="12.75" hidden="1">
      <c r="A67"/>
      <c r="B67"/>
      <c r="C67"/>
      <c r="D67"/>
      <c r="E67"/>
      <c r="F67"/>
      <c r="G67"/>
      <c r="H67"/>
      <c r="I67"/>
      <c r="J67"/>
      <c r="K67"/>
      <c r="L67"/>
      <c r="M67"/>
      <c r="N67"/>
      <c r="O67"/>
      <c r="P67"/>
    </row>
    <row r="68" spans="1:16" ht="12.75" hidden="1">
      <c r="A68"/>
      <c r="B68"/>
      <c r="C68"/>
      <c r="D68"/>
      <c r="E68"/>
      <c r="F68"/>
      <c r="G68"/>
      <c r="H68"/>
      <c r="I68"/>
      <c r="J68"/>
      <c r="K68"/>
      <c r="L68"/>
      <c r="M68"/>
      <c r="N68"/>
      <c r="O68"/>
      <c r="P68"/>
    </row>
    <row r="69" spans="1:16" ht="12.75" hidden="1">
      <c r="A69" s="6" t="s">
        <v>223</v>
      </c>
      <c r="B69"/>
      <c r="C69"/>
      <c r="D69"/>
      <c r="E69"/>
      <c r="F69"/>
      <c r="G69"/>
      <c r="H69"/>
      <c r="I69"/>
      <c r="J69"/>
      <c r="K69"/>
      <c r="L69"/>
      <c r="M69"/>
      <c r="N69"/>
      <c r="O69"/>
      <c r="P69"/>
    </row>
    <row r="70" spans="1:16" ht="12.75" hidden="1">
      <c r="A70" s="6"/>
      <c r="B70" t="s">
        <v>224</v>
      </c>
      <c r="C70" s="70">
        <v>38687</v>
      </c>
      <c r="D70" s="70">
        <v>38718</v>
      </c>
      <c r="E70" s="70">
        <v>38749</v>
      </c>
      <c r="F70" s="70">
        <v>38777</v>
      </c>
      <c r="G70" s="70">
        <v>38808</v>
      </c>
      <c r="H70" s="70">
        <v>38838</v>
      </c>
      <c r="I70" s="70">
        <v>38869</v>
      </c>
      <c r="J70" s="70">
        <v>38899</v>
      </c>
      <c r="K70" s="70">
        <v>38930</v>
      </c>
      <c r="L70" s="70">
        <v>38961</v>
      </c>
      <c r="M70" s="70">
        <v>38991</v>
      </c>
      <c r="N70" s="70">
        <v>39022</v>
      </c>
      <c r="O70" s="70">
        <v>39052</v>
      </c>
      <c r="P70" s="106" t="s">
        <v>225</v>
      </c>
    </row>
    <row r="71" spans="1:16" ht="12.75" hidden="1">
      <c r="A71" t="s">
        <v>226</v>
      </c>
      <c r="B71" s="107" t="s">
        <v>21</v>
      </c>
      <c r="C71" s="11">
        <v>123861</v>
      </c>
      <c r="D71" s="11">
        <v>124155</v>
      </c>
      <c r="E71" s="11">
        <v>124306</v>
      </c>
      <c r="F71" s="11">
        <v>124387</v>
      </c>
      <c r="G71" s="11">
        <v>124402</v>
      </c>
      <c r="H71" s="11">
        <v>124602</v>
      </c>
      <c r="I71" s="11">
        <v>124358</v>
      </c>
      <c r="J71" s="11">
        <v>124482</v>
      </c>
      <c r="K71" s="11">
        <v>124715</v>
      </c>
      <c r="L71" s="11">
        <v>125061</v>
      </c>
      <c r="M71" s="11">
        <v>125868</v>
      </c>
      <c r="N71" s="11">
        <v>126533</v>
      </c>
      <c r="O71" s="11">
        <v>127078</v>
      </c>
      <c r="P71" s="11">
        <f>SUM(D71:O71)</f>
        <v>1499947</v>
      </c>
    </row>
    <row r="72" spans="1:16" ht="12.75" hidden="1">
      <c r="A72" t="s">
        <v>227</v>
      </c>
      <c r="B72" s="107" t="s">
        <v>22</v>
      </c>
      <c r="C72" s="11">
        <v>11283</v>
      </c>
      <c r="D72" s="11">
        <v>11239</v>
      </c>
      <c r="E72" s="11">
        <v>11279</v>
      </c>
      <c r="F72" s="11">
        <v>11289</v>
      </c>
      <c r="G72" s="11">
        <v>11260</v>
      </c>
      <c r="H72" s="11">
        <v>11225</v>
      </c>
      <c r="I72" s="11">
        <v>11247</v>
      </c>
      <c r="J72" s="11">
        <v>11226</v>
      </c>
      <c r="K72" s="11">
        <v>11300</v>
      </c>
      <c r="L72" s="11">
        <v>11291</v>
      </c>
      <c r="M72" s="11">
        <v>11323</v>
      </c>
      <c r="N72" s="11">
        <v>11388</v>
      </c>
      <c r="O72" s="11">
        <v>11474</v>
      </c>
      <c r="P72" s="11">
        <f>SUM(D72:O72)</f>
        <v>135541</v>
      </c>
    </row>
    <row r="73" spans="1:16" ht="12.75" hidden="1">
      <c r="A73" t="s">
        <v>228</v>
      </c>
      <c r="B73" s="107" t="s">
        <v>70</v>
      </c>
      <c r="C73" s="11">
        <v>92</v>
      </c>
      <c r="D73" s="11">
        <v>94</v>
      </c>
      <c r="E73" s="11">
        <v>92</v>
      </c>
      <c r="F73" s="11">
        <v>91</v>
      </c>
      <c r="G73" s="11">
        <v>91</v>
      </c>
      <c r="H73" s="11">
        <v>88</v>
      </c>
      <c r="I73" s="11">
        <v>91</v>
      </c>
      <c r="J73" s="11">
        <v>91</v>
      </c>
      <c r="K73" s="11">
        <v>90</v>
      </c>
      <c r="L73" s="11">
        <v>91</v>
      </c>
      <c r="M73" s="11">
        <v>88</v>
      </c>
      <c r="N73" s="11">
        <v>92</v>
      </c>
      <c r="O73" s="11">
        <v>93</v>
      </c>
      <c r="P73" s="11">
        <f>SUM(D73:O73)</f>
        <v>1092</v>
      </c>
    </row>
    <row r="74" spans="1:16" ht="12.75" hidden="1">
      <c r="A74" t="s">
        <v>229</v>
      </c>
      <c r="B74" s="107" t="s">
        <v>71</v>
      </c>
      <c r="C74" s="11"/>
      <c r="D74" s="11">
        <v>22</v>
      </c>
      <c r="E74" s="11">
        <v>22</v>
      </c>
      <c r="F74" s="11">
        <v>22</v>
      </c>
      <c r="G74" s="11">
        <v>22</v>
      </c>
      <c r="H74" s="11">
        <v>23</v>
      </c>
      <c r="I74" s="11">
        <v>23</v>
      </c>
      <c r="J74" s="11">
        <v>23</v>
      </c>
      <c r="K74" s="11">
        <v>23</v>
      </c>
      <c r="L74" s="11">
        <v>23</v>
      </c>
      <c r="M74" s="11">
        <v>23</v>
      </c>
      <c r="N74" s="11">
        <v>23</v>
      </c>
      <c r="O74" s="11">
        <v>22</v>
      </c>
      <c r="P74" s="11">
        <f>SUM(D74:O74)</f>
        <v>271</v>
      </c>
    </row>
    <row r="75" spans="1:16" ht="12.75" hidden="1">
      <c r="A75" t="s">
        <v>152</v>
      </c>
      <c r="B75"/>
      <c r="C75"/>
      <c r="D75" s="12">
        <f aca="true" t="shared" si="19" ref="D75:P75">SUM(D71:D74)</f>
        <v>135510</v>
      </c>
      <c r="E75" s="12">
        <f t="shared" si="19"/>
        <v>135699</v>
      </c>
      <c r="F75" s="12">
        <f t="shared" si="19"/>
        <v>135789</v>
      </c>
      <c r="G75" s="12">
        <f t="shared" si="19"/>
        <v>135775</v>
      </c>
      <c r="H75" s="12">
        <f t="shared" si="19"/>
        <v>135938</v>
      </c>
      <c r="I75" s="12">
        <f t="shared" si="19"/>
        <v>135719</v>
      </c>
      <c r="J75" s="12">
        <f t="shared" si="19"/>
        <v>135822</v>
      </c>
      <c r="K75" s="12">
        <f t="shared" si="19"/>
        <v>136128</v>
      </c>
      <c r="L75" s="12">
        <f t="shared" si="19"/>
        <v>136466</v>
      </c>
      <c r="M75" s="12">
        <f t="shared" si="19"/>
        <v>137302</v>
      </c>
      <c r="N75" s="12">
        <f t="shared" si="19"/>
        <v>138036</v>
      </c>
      <c r="O75" s="12">
        <f t="shared" si="19"/>
        <v>138667</v>
      </c>
      <c r="P75" s="12">
        <f t="shared" si="19"/>
        <v>1636851</v>
      </c>
    </row>
    <row r="76" ht="12.75" hidden="1"/>
    <row r="77" ht="12.75" hidden="1"/>
    <row r="78" spans="1:16" ht="12.75">
      <c r="A78" s="108"/>
      <c r="B78" s="108"/>
      <c r="C78" s="108"/>
      <c r="D78" s="108"/>
      <c r="E78" s="108"/>
      <c r="F78" s="108"/>
      <c r="G78" s="108"/>
      <c r="H78" s="108"/>
      <c r="I78" s="108"/>
      <c r="J78" s="108"/>
      <c r="K78" s="108"/>
      <c r="L78" s="108"/>
      <c r="M78" s="108"/>
      <c r="N78" s="108"/>
      <c r="O78" s="108"/>
      <c r="P78" s="108"/>
    </row>
    <row r="79" ht="12.75">
      <c r="A79" s="73" t="s">
        <v>255</v>
      </c>
    </row>
    <row r="80" spans="1:16" ht="12.75">
      <c r="A80" s="59" t="s">
        <v>66</v>
      </c>
      <c r="B80"/>
      <c r="C80"/>
      <c r="D80"/>
      <c r="E80"/>
      <c r="F80"/>
      <c r="G80"/>
      <c r="H80"/>
      <c r="I80"/>
      <c r="J80"/>
      <c r="K80"/>
      <c r="L80"/>
      <c r="M80"/>
      <c r="N80"/>
      <c r="O80"/>
      <c r="P80"/>
    </row>
    <row r="81" spans="1:16" ht="12.75">
      <c r="A81"/>
      <c r="B81"/>
      <c r="C81"/>
      <c r="D81" s="62">
        <v>39814</v>
      </c>
      <c r="E81" s="62">
        <v>39845</v>
      </c>
      <c r="F81" s="62">
        <v>39873</v>
      </c>
      <c r="G81" s="62">
        <v>39904</v>
      </c>
      <c r="H81" s="62">
        <v>39934</v>
      </c>
      <c r="I81" s="62">
        <v>39965</v>
      </c>
      <c r="J81" s="62">
        <v>39995</v>
      </c>
      <c r="K81" s="62">
        <v>40026</v>
      </c>
      <c r="L81" s="62">
        <v>40057</v>
      </c>
      <c r="M81" s="62">
        <v>40087</v>
      </c>
      <c r="N81" s="62">
        <v>40118</v>
      </c>
      <c r="O81" s="62">
        <v>40148</v>
      </c>
      <c r="P81" s="61" t="s">
        <v>67</v>
      </c>
    </row>
    <row r="82" spans="1:16" ht="12.75">
      <c r="A82" s="2" t="s">
        <v>17</v>
      </c>
      <c r="D82" s="7">
        <v>1105</v>
      </c>
      <c r="E82" s="7">
        <v>912</v>
      </c>
      <c r="F82" s="7">
        <v>768</v>
      </c>
      <c r="G82" s="7">
        <v>536</v>
      </c>
      <c r="H82" s="7">
        <v>324</v>
      </c>
      <c r="I82" s="7">
        <v>139</v>
      </c>
      <c r="J82" s="7">
        <v>37</v>
      </c>
      <c r="K82" s="7">
        <v>34</v>
      </c>
      <c r="L82" s="7">
        <v>189</v>
      </c>
      <c r="M82" s="7">
        <v>543</v>
      </c>
      <c r="N82" s="7">
        <v>894</v>
      </c>
      <c r="O82" s="7">
        <v>1171</v>
      </c>
      <c r="P82" s="4">
        <f>SUM(D82:O82)</f>
        <v>6652</v>
      </c>
    </row>
    <row r="83" spans="1:16" ht="12.75">
      <c r="A83" s="98" t="s">
        <v>18</v>
      </c>
      <c r="B83"/>
      <c r="C83"/>
      <c r="D83" s="10">
        <v>1204</v>
      </c>
      <c r="E83" s="10">
        <v>957</v>
      </c>
      <c r="F83" s="10">
        <v>936</v>
      </c>
      <c r="G83" s="10">
        <v>536</v>
      </c>
      <c r="H83" s="10">
        <v>324</v>
      </c>
      <c r="I83" s="10">
        <v>139</v>
      </c>
      <c r="J83" s="10">
        <v>37</v>
      </c>
      <c r="K83" s="10">
        <v>34</v>
      </c>
      <c r="L83" s="10">
        <v>189</v>
      </c>
      <c r="M83" s="10">
        <v>543</v>
      </c>
      <c r="N83" s="10">
        <v>894</v>
      </c>
      <c r="O83" s="10">
        <v>1171</v>
      </c>
      <c r="P83" s="4">
        <f>SUM(D83:O83)</f>
        <v>6964</v>
      </c>
    </row>
    <row r="84" spans="1:16" ht="12.75">
      <c r="A84" s="6" t="s">
        <v>68</v>
      </c>
      <c r="B84"/>
      <c r="C84"/>
      <c r="D84" s="12">
        <f aca="true" t="shared" si="20" ref="D84:P84">D82-D83</f>
        <v>-99</v>
      </c>
      <c r="E84" s="12">
        <f t="shared" si="20"/>
        <v>-45</v>
      </c>
      <c r="F84" s="12">
        <f t="shared" si="20"/>
        <v>-168</v>
      </c>
      <c r="G84" s="12">
        <f t="shared" si="20"/>
        <v>0</v>
      </c>
      <c r="H84" s="12">
        <f t="shared" si="20"/>
        <v>0</v>
      </c>
      <c r="I84" s="12">
        <f t="shared" si="20"/>
        <v>0</v>
      </c>
      <c r="J84" s="12">
        <f t="shared" si="20"/>
        <v>0</v>
      </c>
      <c r="K84" s="12">
        <f t="shared" si="20"/>
        <v>0</v>
      </c>
      <c r="L84" s="12">
        <f t="shared" si="20"/>
        <v>0</v>
      </c>
      <c r="M84" s="12">
        <f t="shared" si="20"/>
        <v>0</v>
      </c>
      <c r="N84" s="12">
        <f t="shared" si="20"/>
        <v>0</v>
      </c>
      <c r="O84" s="12">
        <f t="shared" si="20"/>
        <v>0</v>
      </c>
      <c r="P84" s="12">
        <f t="shared" si="20"/>
        <v>-312</v>
      </c>
    </row>
    <row r="85" spans="1:16" ht="12.75">
      <c r="A85" s="6"/>
      <c r="B85" s="60"/>
      <c r="C85" s="103" t="s">
        <v>221</v>
      </c>
      <c r="D85" s="10"/>
      <c r="E85" s="10"/>
      <c r="F85" s="10"/>
      <c r="G85" s="10"/>
      <c r="H85" s="10"/>
      <c r="I85" s="10"/>
      <c r="J85"/>
      <c r="K85"/>
      <c r="L85"/>
      <c r="M85"/>
      <c r="N85"/>
      <c r="O85"/>
      <c r="P85"/>
    </row>
    <row r="86" spans="1:16" ht="12.75">
      <c r="A86" t="s">
        <v>27</v>
      </c>
      <c r="B86"/>
      <c r="C86" s="61" t="s">
        <v>249</v>
      </c>
      <c r="D86" s="105">
        <v>0.1005</v>
      </c>
      <c r="E86" s="105">
        <v>0.1005</v>
      </c>
      <c r="F86" s="105">
        <v>0.1005</v>
      </c>
      <c r="G86" s="105">
        <v>0.0896</v>
      </c>
      <c r="H86" s="105">
        <v>0.0896</v>
      </c>
      <c r="I86" s="105">
        <v>0.0896</v>
      </c>
      <c r="J86" s="105">
        <v>0</v>
      </c>
      <c r="K86" s="105">
        <v>0</v>
      </c>
      <c r="L86" s="105">
        <v>0</v>
      </c>
      <c r="M86" s="105">
        <v>0.0896</v>
      </c>
      <c r="N86" s="105">
        <v>0.0896</v>
      </c>
      <c r="O86" s="105">
        <v>0.1005</v>
      </c>
      <c r="P86"/>
    </row>
    <row r="87" spans="1:16" ht="12.75">
      <c r="A87" t="s">
        <v>28</v>
      </c>
      <c r="B87"/>
      <c r="C87" s="61" t="s">
        <v>249</v>
      </c>
      <c r="D87" s="105">
        <v>0.2427</v>
      </c>
      <c r="E87" s="105">
        <v>0.2427</v>
      </c>
      <c r="F87" s="105">
        <v>0.2427</v>
      </c>
      <c r="G87" s="105">
        <v>0.1688</v>
      </c>
      <c r="H87" s="105">
        <v>0.1688</v>
      </c>
      <c r="I87" s="105">
        <v>0.1688</v>
      </c>
      <c r="J87" s="105">
        <v>0</v>
      </c>
      <c r="K87" s="105">
        <v>0</v>
      </c>
      <c r="L87" s="105">
        <v>0</v>
      </c>
      <c r="M87" s="105">
        <v>0.1688</v>
      </c>
      <c r="N87" s="105">
        <v>0.1688</v>
      </c>
      <c r="O87" s="105">
        <v>0.2427</v>
      </c>
      <c r="P87"/>
    </row>
    <row r="88" spans="1:16" ht="12.75">
      <c r="A88" t="s">
        <v>29</v>
      </c>
      <c r="B88"/>
      <c r="C88" s="61" t="s">
        <v>249</v>
      </c>
      <c r="D88" s="105">
        <v>0.4222</v>
      </c>
      <c r="E88" s="105">
        <v>0.4222</v>
      </c>
      <c r="F88" s="105">
        <v>0.4222</v>
      </c>
      <c r="G88" s="105">
        <v>0.3055</v>
      </c>
      <c r="H88" s="105">
        <v>0.3055</v>
      </c>
      <c r="I88" s="105">
        <v>0.3055</v>
      </c>
      <c r="J88" s="105">
        <v>0</v>
      </c>
      <c r="K88" s="105">
        <v>0</v>
      </c>
      <c r="L88" s="105">
        <v>0</v>
      </c>
      <c r="M88" s="105">
        <v>0.3055</v>
      </c>
      <c r="N88" s="105">
        <v>0.3055</v>
      </c>
      <c r="O88" s="105">
        <v>0.4222</v>
      </c>
      <c r="P88"/>
    </row>
    <row r="89" spans="1:16" ht="12.75">
      <c r="A89"/>
      <c r="B89" s="58"/>
      <c r="C89"/>
      <c r="D89"/>
      <c r="E89"/>
      <c r="F89"/>
      <c r="G89"/>
      <c r="H89"/>
      <c r="I89"/>
      <c r="J89"/>
      <c r="K89"/>
      <c r="L89"/>
      <c r="M89"/>
      <c r="N89"/>
      <c r="O89"/>
      <c r="P89"/>
    </row>
    <row r="90" spans="1:16" ht="12.75">
      <c r="A90" s="59" t="s">
        <v>150</v>
      </c>
      <c r="B90" s="58"/>
      <c r="C90" s="58"/>
      <c r="D90"/>
      <c r="E90"/>
      <c r="F90"/>
      <c r="G90"/>
      <c r="H90"/>
      <c r="I90"/>
      <c r="J90"/>
      <c r="K90"/>
      <c r="L90"/>
      <c r="M90"/>
      <c r="N90"/>
      <c r="O90"/>
      <c r="P90"/>
    </row>
    <row r="91" spans="1:16" ht="12.75">
      <c r="A91" t="s">
        <v>27</v>
      </c>
      <c r="B91"/>
      <c r="C91"/>
      <c r="D91" s="11">
        <f>ROUND(D$84*D86*D115,0)</f>
        <v>-1266432</v>
      </c>
      <c r="E91" s="11">
        <f aca="true" t="shared" si="21" ref="E91:O91">ROUND(E$84*E86*E115,0)</f>
        <v>-576804</v>
      </c>
      <c r="F91" s="11">
        <f t="shared" si="21"/>
        <v>-2152541</v>
      </c>
      <c r="G91" s="11">
        <f t="shared" si="21"/>
        <v>0</v>
      </c>
      <c r="H91" s="11">
        <f t="shared" si="21"/>
        <v>0</v>
      </c>
      <c r="I91" s="11">
        <f t="shared" si="21"/>
        <v>0</v>
      </c>
      <c r="J91" s="11">
        <f t="shared" si="21"/>
        <v>0</v>
      </c>
      <c r="K91" s="11">
        <f t="shared" si="21"/>
        <v>0</v>
      </c>
      <c r="L91" s="11">
        <f t="shared" si="21"/>
        <v>0</v>
      </c>
      <c r="M91" s="11">
        <f t="shared" si="21"/>
        <v>0</v>
      </c>
      <c r="N91" s="11">
        <f t="shared" si="21"/>
        <v>0</v>
      </c>
      <c r="O91" s="11">
        <f t="shared" si="21"/>
        <v>0</v>
      </c>
      <c r="P91" s="11">
        <f>SUM(D91:O91)</f>
        <v>-3995777</v>
      </c>
    </row>
    <row r="92" spans="1:16" ht="12.75">
      <c r="A92" t="s">
        <v>28</v>
      </c>
      <c r="B92"/>
      <c r="C92"/>
      <c r="D92" s="11">
        <f aca="true" t="shared" si="22" ref="D92:O92">ROUND(D$84*D87*D116,0)</f>
        <v>-274151</v>
      </c>
      <c r="E92" s="11">
        <f t="shared" si="22"/>
        <v>-126121</v>
      </c>
      <c r="F92" s="11">
        <f t="shared" si="22"/>
        <v>-466858</v>
      </c>
      <c r="G92" s="11">
        <f t="shared" si="22"/>
        <v>0</v>
      </c>
      <c r="H92" s="11">
        <f t="shared" si="22"/>
        <v>0</v>
      </c>
      <c r="I92" s="11">
        <f t="shared" si="22"/>
        <v>0</v>
      </c>
      <c r="J92" s="11">
        <f t="shared" si="22"/>
        <v>0</v>
      </c>
      <c r="K92" s="11">
        <f t="shared" si="22"/>
        <v>0</v>
      </c>
      <c r="L92" s="11">
        <f t="shared" si="22"/>
        <v>0</v>
      </c>
      <c r="M92" s="11">
        <f t="shared" si="22"/>
        <v>0</v>
      </c>
      <c r="N92" s="11">
        <f t="shared" si="22"/>
        <v>0</v>
      </c>
      <c r="O92" s="11">
        <f t="shared" si="22"/>
        <v>0</v>
      </c>
      <c r="P92" s="11">
        <f>SUM(D92:O92)</f>
        <v>-867130</v>
      </c>
    </row>
    <row r="93" spans="1:16" ht="12.75">
      <c r="A93" t="s">
        <v>29</v>
      </c>
      <c r="B93"/>
      <c r="C93"/>
      <c r="D93" s="11">
        <f aca="true" t="shared" si="23" ref="D93:O93">ROUND(D$84*D88*D117,0)</f>
        <v>-3595</v>
      </c>
      <c r="E93" s="11">
        <f t="shared" si="23"/>
        <v>-1862</v>
      </c>
      <c r="F93" s="11">
        <f t="shared" si="23"/>
        <v>-6526</v>
      </c>
      <c r="G93" s="11">
        <f t="shared" si="23"/>
        <v>0</v>
      </c>
      <c r="H93" s="11">
        <f t="shared" si="23"/>
        <v>0</v>
      </c>
      <c r="I93" s="11">
        <f t="shared" si="23"/>
        <v>0</v>
      </c>
      <c r="J93" s="11">
        <f t="shared" si="23"/>
        <v>0</v>
      </c>
      <c r="K93" s="11">
        <f t="shared" si="23"/>
        <v>0</v>
      </c>
      <c r="L93" s="11">
        <f t="shared" si="23"/>
        <v>0</v>
      </c>
      <c r="M93" s="11">
        <f t="shared" si="23"/>
        <v>0</v>
      </c>
      <c r="N93" s="11">
        <f t="shared" si="23"/>
        <v>0</v>
      </c>
      <c r="O93" s="11">
        <f t="shared" si="23"/>
        <v>0</v>
      </c>
      <c r="P93" s="11">
        <f>SUM(D93:O93)</f>
        <v>-11983</v>
      </c>
    </row>
    <row r="94" spans="1:16" ht="12.75">
      <c r="A94" t="s">
        <v>151</v>
      </c>
      <c r="B94"/>
      <c r="C94"/>
      <c r="D94" s="21">
        <f aca="true" t="shared" si="24" ref="D94:P94">SUM(D91:D93)</f>
        <v>-1544178</v>
      </c>
      <c r="E94" s="21">
        <f t="shared" si="24"/>
        <v>-704787</v>
      </c>
      <c r="F94" s="21">
        <f t="shared" si="24"/>
        <v>-2625925</v>
      </c>
      <c r="G94" s="21">
        <f t="shared" si="24"/>
        <v>0</v>
      </c>
      <c r="H94" s="21">
        <f t="shared" si="24"/>
        <v>0</v>
      </c>
      <c r="I94" s="21">
        <f t="shared" si="24"/>
        <v>0</v>
      </c>
      <c r="J94" s="21">
        <f t="shared" si="24"/>
        <v>0</v>
      </c>
      <c r="K94" s="21">
        <f t="shared" si="24"/>
        <v>0</v>
      </c>
      <c r="L94" s="21">
        <f t="shared" si="24"/>
        <v>0</v>
      </c>
      <c r="M94" s="21">
        <f t="shared" si="24"/>
        <v>0</v>
      </c>
      <c r="N94" s="21">
        <f t="shared" si="24"/>
        <v>0</v>
      </c>
      <c r="O94" s="21">
        <f t="shared" si="24"/>
        <v>0</v>
      </c>
      <c r="P94" s="21">
        <f t="shared" si="24"/>
        <v>-4874890</v>
      </c>
    </row>
    <row r="95" spans="1:16" ht="12.75">
      <c r="A95"/>
      <c r="B95"/>
      <c r="C95"/>
      <c r="D95"/>
      <c r="E95"/>
      <c r="F95"/>
      <c r="G95"/>
      <c r="H95"/>
      <c r="I95"/>
      <c r="J95"/>
      <c r="K95"/>
      <c r="L95"/>
      <c r="M95"/>
      <c r="N95"/>
      <c r="O95"/>
      <c r="P95"/>
    </row>
    <row r="96" spans="1:16" ht="12.75">
      <c r="A96"/>
      <c r="B96"/>
      <c r="C96"/>
      <c r="D96"/>
      <c r="E96"/>
      <c r="F96"/>
      <c r="G96"/>
      <c r="H96"/>
      <c r="I96"/>
      <c r="J96"/>
      <c r="K96"/>
      <c r="L96"/>
      <c r="M96"/>
      <c r="N96"/>
      <c r="O96"/>
      <c r="P96"/>
    </row>
    <row r="97" spans="1:16" ht="12.75">
      <c r="A97" s="59" t="s">
        <v>153</v>
      </c>
      <c r="B97"/>
      <c r="C97"/>
      <c r="D97" s="22"/>
      <c r="E97"/>
      <c r="F97"/>
      <c r="G97"/>
      <c r="H97"/>
      <c r="I97"/>
      <c r="J97"/>
      <c r="K97"/>
      <c r="L97"/>
      <c r="M97"/>
      <c r="N97"/>
      <c r="O97"/>
      <c r="P97"/>
    </row>
    <row r="98" spans="1:16" ht="12.75">
      <c r="A98" s="14"/>
      <c r="B98"/>
      <c r="C98"/>
      <c r="D98" s="70">
        <v>39783</v>
      </c>
      <c r="E98" s="70">
        <v>39814</v>
      </c>
      <c r="F98" s="70">
        <v>39845</v>
      </c>
      <c r="G98" s="70">
        <v>39873</v>
      </c>
      <c r="H98" s="70">
        <v>39904</v>
      </c>
      <c r="I98" s="70">
        <v>39934</v>
      </c>
      <c r="J98" s="70">
        <v>39965</v>
      </c>
      <c r="K98" s="70">
        <v>39995</v>
      </c>
      <c r="L98" s="70">
        <v>40026</v>
      </c>
      <c r="M98" s="70">
        <v>40057</v>
      </c>
      <c r="N98" s="70">
        <v>40087</v>
      </c>
      <c r="O98" s="70">
        <v>40118</v>
      </c>
      <c r="P98" s="70">
        <v>40148</v>
      </c>
    </row>
    <row r="99" spans="1:16" ht="12.75">
      <c r="A99" t="s">
        <v>250</v>
      </c>
      <c r="B99"/>
      <c r="C99"/>
      <c r="D99" s="88">
        <v>952.4</v>
      </c>
      <c r="E99" s="141">
        <v>740.5</v>
      </c>
      <c r="F99" s="145">
        <v>571.1</v>
      </c>
      <c r="G99" s="141">
        <v>535.7</v>
      </c>
      <c r="H99" s="111">
        <v>0</v>
      </c>
      <c r="I99" s="111">
        <v>0</v>
      </c>
      <c r="J99" s="113">
        <v>0</v>
      </c>
      <c r="K99" s="123"/>
      <c r="L99" s="98"/>
      <c r="M99" s="123"/>
      <c r="N99" s="98"/>
      <c r="O99" s="123"/>
      <c r="P99" s="122"/>
    </row>
    <row r="100" spans="1:16" ht="12.75">
      <c r="A100" t="s">
        <v>251</v>
      </c>
      <c r="B100"/>
      <c r="C100"/>
      <c r="D100" s="119">
        <v>0.6863</v>
      </c>
      <c r="E100" s="142">
        <v>0.5975</v>
      </c>
      <c r="F100" s="142">
        <v>0.6062</v>
      </c>
      <c r="G100" s="142">
        <v>0.6011</v>
      </c>
      <c r="H100" s="114">
        <v>0</v>
      </c>
      <c r="I100" s="114">
        <v>0</v>
      </c>
      <c r="J100" s="115">
        <v>0</v>
      </c>
      <c r="K100" s="124">
        <v>0</v>
      </c>
      <c r="L100" s="124">
        <v>0</v>
      </c>
      <c r="M100" s="124">
        <v>0</v>
      </c>
      <c r="N100" s="124">
        <v>0</v>
      </c>
      <c r="O100" s="124">
        <v>0</v>
      </c>
      <c r="P100" s="125">
        <v>0</v>
      </c>
    </row>
    <row r="101" spans="1:16" ht="12.75">
      <c r="A101" s="6"/>
      <c r="B101" s="60" t="s">
        <v>252</v>
      </c>
      <c r="C101" s="103" t="s">
        <v>221</v>
      </c>
      <c r="D101" s="24"/>
      <c r="E101" s="45"/>
      <c r="F101" s="45"/>
      <c r="G101" s="45"/>
      <c r="H101" s="45"/>
      <c r="I101" s="45"/>
      <c r="J101" s="45"/>
      <c r="K101" s="45"/>
      <c r="L101" s="45"/>
      <c r="M101" s="45"/>
      <c r="N101" s="45"/>
      <c r="O101" s="45"/>
      <c r="P101" s="25"/>
    </row>
    <row r="102" spans="1:16" ht="12.75">
      <c r="A102" t="s">
        <v>27</v>
      </c>
      <c r="B102" s="90">
        <v>15</v>
      </c>
      <c r="C102" s="61" t="s">
        <v>249</v>
      </c>
      <c r="D102" s="105">
        <v>0.1005</v>
      </c>
      <c r="E102" s="105">
        <v>0.1005</v>
      </c>
      <c r="F102" s="105">
        <v>0.1005</v>
      </c>
      <c r="G102" s="105">
        <f>(F102+H102)/2</f>
        <v>0.09505</v>
      </c>
      <c r="H102" s="105">
        <v>0.0896</v>
      </c>
      <c r="I102" s="105">
        <v>0.0896</v>
      </c>
      <c r="J102" s="105">
        <f>(I102+K102)/2</f>
        <v>0.0448</v>
      </c>
      <c r="K102" s="105">
        <v>0</v>
      </c>
      <c r="L102" s="105">
        <v>0</v>
      </c>
      <c r="M102" s="105">
        <f>(L102+N102)/2</f>
        <v>0.0448</v>
      </c>
      <c r="N102" s="105">
        <v>0.0896</v>
      </c>
      <c r="O102" s="105">
        <f>(N102+P102)/2</f>
        <v>0.09505</v>
      </c>
      <c r="P102" s="105">
        <v>0.1005</v>
      </c>
    </row>
    <row r="103" spans="1:16" ht="12.75">
      <c r="A103" t="s">
        <v>28</v>
      </c>
      <c r="B103" s="90">
        <v>12</v>
      </c>
      <c r="C103" s="61" t="s">
        <v>249</v>
      </c>
      <c r="D103" s="105">
        <v>0.2427</v>
      </c>
      <c r="E103" s="105">
        <v>0.2427</v>
      </c>
      <c r="F103" s="105">
        <v>0.2427</v>
      </c>
      <c r="G103" s="105">
        <f>(F103+H103)/2</f>
        <v>0.20575</v>
      </c>
      <c r="H103" s="105">
        <v>0.1688</v>
      </c>
      <c r="I103" s="105">
        <v>0.1688</v>
      </c>
      <c r="J103" s="105">
        <f>(I103+K103)/2</f>
        <v>0.0844</v>
      </c>
      <c r="K103" s="105">
        <v>0</v>
      </c>
      <c r="L103" s="105">
        <v>0</v>
      </c>
      <c r="M103" s="105">
        <f>(L103+N103)/2</f>
        <v>0.0844</v>
      </c>
      <c r="N103" s="105">
        <v>0.1688</v>
      </c>
      <c r="O103" s="105">
        <f>(N103+P103)/2</f>
        <v>0.20575</v>
      </c>
      <c r="P103" s="105">
        <v>0.2427</v>
      </c>
    </row>
    <row r="104" spans="1:16" ht="12.75">
      <c r="A104" t="s">
        <v>29</v>
      </c>
      <c r="B104" s="90">
        <v>0</v>
      </c>
      <c r="C104" s="61" t="s">
        <v>249</v>
      </c>
      <c r="D104" s="105">
        <v>0.4222</v>
      </c>
      <c r="E104" s="105">
        <v>0.4222</v>
      </c>
      <c r="F104" s="105">
        <v>0.4222</v>
      </c>
      <c r="G104" s="105">
        <f>(F104+H104)/2</f>
        <v>0.36385</v>
      </c>
      <c r="H104" s="105">
        <v>0.3055</v>
      </c>
      <c r="I104" s="105">
        <v>0.3055</v>
      </c>
      <c r="J104" s="105">
        <f>(I104+K104)/2</f>
        <v>0.15275</v>
      </c>
      <c r="K104" s="105">
        <v>0</v>
      </c>
      <c r="L104" s="105">
        <v>0</v>
      </c>
      <c r="M104" s="105">
        <f>(L104+N104)/2</f>
        <v>0.15275</v>
      </c>
      <c r="N104" s="105">
        <v>0.3055</v>
      </c>
      <c r="O104" s="105">
        <f>(N104+P104)/2</f>
        <v>0.36385</v>
      </c>
      <c r="P104" s="105">
        <v>0.4222</v>
      </c>
    </row>
    <row r="105" spans="1:16" ht="12.75">
      <c r="A105"/>
      <c r="B105"/>
      <c r="C105" s="58"/>
      <c r="D105" s="24"/>
      <c r="E105" s="45"/>
      <c r="F105" s="45"/>
      <c r="G105" s="45"/>
      <c r="H105" s="45"/>
      <c r="I105" s="45"/>
      <c r="J105" s="45"/>
      <c r="K105" s="45"/>
      <c r="L105" s="45"/>
      <c r="M105" s="45"/>
      <c r="N105" s="45"/>
      <c r="O105" s="45"/>
      <c r="P105" s="25"/>
    </row>
    <row r="106" spans="1:16" ht="12.75">
      <c r="A106" s="59" t="s">
        <v>150</v>
      </c>
      <c r="B106" s="60"/>
      <c r="C106" s="61"/>
      <c r="D106" s="24"/>
      <c r="E106" s="45"/>
      <c r="F106" s="45"/>
      <c r="G106" s="45"/>
      <c r="H106" s="45"/>
      <c r="I106" s="45"/>
      <c r="J106" s="45"/>
      <c r="K106" s="45"/>
      <c r="L106" s="45"/>
      <c r="M106" s="45"/>
      <c r="N106" s="45"/>
      <c r="O106" s="45"/>
      <c r="P106" s="25"/>
    </row>
    <row r="107" spans="1:16" ht="12.75">
      <c r="A107" t="s">
        <v>27</v>
      </c>
      <c r="B107"/>
      <c r="C107"/>
      <c r="D107" s="11">
        <f>ROUND((D$99*D102)*C115,0)+ROUND(($B102*D$100)*C115,0)</f>
        <v>13471627</v>
      </c>
      <c r="E107" s="11">
        <f>ROUND((E$99*E102)*D115,0)+ROUND(($B102*E$100)*D115,0)</f>
        <v>10613457</v>
      </c>
      <c r="F107" s="11">
        <f aca="true" t="shared" si="25" ref="F107:P107">ROUND((F$99*F102)*E115,0)+ROUND(($B102*F$100)*E115,0)</f>
        <v>8480016</v>
      </c>
      <c r="G107" s="11">
        <f t="shared" si="25"/>
        <v>7641086</v>
      </c>
      <c r="H107" s="11">
        <f t="shared" si="25"/>
        <v>0</v>
      </c>
      <c r="I107" s="11">
        <f t="shared" si="25"/>
        <v>0</v>
      </c>
      <c r="J107" s="11">
        <f t="shared" si="25"/>
        <v>0</v>
      </c>
      <c r="K107" s="11">
        <f t="shared" si="25"/>
        <v>0</v>
      </c>
      <c r="L107" s="11">
        <f t="shared" si="25"/>
        <v>0</v>
      </c>
      <c r="M107" s="11">
        <f t="shared" si="25"/>
        <v>0</v>
      </c>
      <c r="N107" s="11">
        <f t="shared" si="25"/>
        <v>0</v>
      </c>
      <c r="O107" s="11">
        <f t="shared" si="25"/>
        <v>0</v>
      </c>
      <c r="P107" s="11">
        <f t="shared" si="25"/>
        <v>0</v>
      </c>
    </row>
    <row r="108" spans="1:16" ht="12.75">
      <c r="A108" t="s">
        <v>28</v>
      </c>
      <c r="B108"/>
      <c r="C108"/>
      <c r="D108" s="11">
        <f>ROUND((D$99*D103)*C116,0)+ROUND(($B103*D$100)*C116,0)</f>
        <v>2746681</v>
      </c>
      <c r="E108" s="11">
        <f aca="true" t="shared" si="26" ref="E108:P108">ROUND((E$99*E103)*D116,0)+ROUND(($B103*E$100)*D116,0)</f>
        <v>2132408</v>
      </c>
      <c r="F108" s="11">
        <f t="shared" si="26"/>
        <v>1684627</v>
      </c>
      <c r="G108" s="11">
        <f t="shared" si="26"/>
        <v>1344613</v>
      </c>
      <c r="H108" s="11">
        <f t="shared" si="26"/>
        <v>0</v>
      </c>
      <c r="I108" s="11">
        <f t="shared" si="26"/>
        <v>0</v>
      </c>
      <c r="J108" s="11">
        <f t="shared" si="26"/>
        <v>0</v>
      </c>
      <c r="K108" s="11">
        <f t="shared" si="26"/>
        <v>0</v>
      </c>
      <c r="L108" s="11">
        <f t="shared" si="26"/>
        <v>0</v>
      </c>
      <c r="M108" s="11">
        <f t="shared" si="26"/>
        <v>0</v>
      </c>
      <c r="N108" s="11">
        <f t="shared" si="26"/>
        <v>0</v>
      </c>
      <c r="O108" s="11">
        <f t="shared" si="26"/>
        <v>0</v>
      </c>
      <c r="P108" s="11">
        <f t="shared" si="26"/>
        <v>0</v>
      </c>
    </row>
    <row r="109" spans="1:16" ht="12.75">
      <c r="A109" t="s">
        <v>29</v>
      </c>
      <c r="B109"/>
      <c r="C109"/>
      <c r="D109" s="11">
        <f>ROUND((D$99*D104)*C117,0)+ROUND(($B104*D$100)*C117,0)</f>
        <v>37396</v>
      </c>
      <c r="E109" s="11">
        <f aca="true" t="shared" si="27" ref="E109:P109">ROUND((E$99*E104)*D117,0)+ROUND(($B104*E$100)*D117,0)</f>
        <v>26887</v>
      </c>
      <c r="F109" s="11">
        <f t="shared" si="27"/>
        <v>23630</v>
      </c>
      <c r="G109" s="11">
        <f t="shared" si="27"/>
        <v>17932</v>
      </c>
      <c r="H109" s="11">
        <f t="shared" si="27"/>
        <v>0</v>
      </c>
      <c r="I109" s="11">
        <f t="shared" si="27"/>
        <v>0</v>
      </c>
      <c r="J109" s="11">
        <f t="shared" si="27"/>
        <v>0</v>
      </c>
      <c r="K109" s="11">
        <f t="shared" si="27"/>
        <v>0</v>
      </c>
      <c r="L109" s="11">
        <f t="shared" si="27"/>
        <v>0</v>
      </c>
      <c r="M109" s="11">
        <f t="shared" si="27"/>
        <v>0</v>
      </c>
      <c r="N109" s="11">
        <f t="shared" si="27"/>
        <v>0</v>
      </c>
      <c r="O109" s="11">
        <f t="shared" si="27"/>
        <v>0</v>
      </c>
      <c r="P109" s="11">
        <f t="shared" si="27"/>
        <v>0</v>
      </c>
    </row>
    <row r="110" spans="1:16" ht="12.75">
      <c r="A110" t="s">
        <v>152</v>
      </c>
      <c r="B110"/>
      <c r="C110"/>
      <c r="D110" s="21">
        <f aca="true" t="shared" si="28" ref="D110:P110">SUM(D107:D109)</f>
        <v>16255704</v>
      </c>
      <c r="E110" s="21">
        <f t="shared" si="28"/>
        <v>12772752</v>
      </c>
      <c r="F110" s="21">
        <f t="shared" si="28"/>
        <v>10188273</v>
      </c>
      <c r="G110" s="21">
        <f t="shared" si="28"/>
        <v>9003631</v>
      </c>
      <c r="H110" s="21">
        <f t="shared" si="28"/>
        <v>0</v>
      </c>
      <c r="I110" s="21">
        <f t="shared" si="28"/>
        <v>0</v>
      </c>
      <c r="J110" s="21">
        <f t="shared" si="28"/>
        <v>0</v>
      </c>
      <c r="K110" s="21">
        <f t="shared" si="28"/>
        <v>0</v>
      </c>
      <c r="L110" s="21">
        <f t="shared" si="28"/>
        <v>0</v>
      </c>
      <c r="M110" s="21">
        <f t="shared" si="28"/>
        <v>0</v>
      </c>
      <c r="N110" s="21">
        <f t="shared" si="28"/>
        <v>0</v>
      </c>
      <c r="O110" s="21">
        <f t="shared" si="28"/>
        <v>0</v>
      </c>
      <c r="P110" s="21">
        <f t="shared" si="28"/>
        <v>0</v>
      </c>
    </row>
    <row r="111" spans="1:16" ht="12.75">
      <c r="A111"/>
      <c r="B111"/>
      <c r="C111"/>
      <c r="D111"/>
      <c r="E111"/>
      <c r="F111"/>
      <c r="G111"/>
      <c r="H111"/>
      <c r="I111"/>
      <c r="J111"/>
      <c r="K111"/>
      <c r="L111"/>
      <c r="M111"/>
      <c r="N111"/>
      <c r="O111"/>
      <c r="P111"/>
    </row>
    <row r="112" spans="1:16" ht="12.75">
      <c r="A112"/>
      <c r="B112"/>
      <c r="C112"/>
      <c r="D112"/>
      <c r="E112"/>
      <c r="F112"/>
      <c r="G112"/>
      <c r="H112"/>
      <c r="I112"/>
      <c r="J112"/>
      <c r="K112"/>
      <c r="L112"/>
      <c r="M112"/>
      <c r="N112"/>
      <c r="O112"/>
      <c r="P112"/>
    </row>
    <row r="113" spans="1:16" ht="12.75">
      <c r="A113" s="6" t="s">
        <v>223</v>
      </c>
      <c r="B113"/>
      <c r="C113"/>
      <c r="D113"/>
      <c r="E113"/>
      <c r="F113"/>
      <c r="G113"/>
      <c r="H113"/>
      <c r="I113"/>
      <c r="J113"/>
      <c r="K113"/>
      <c r="L113"/>
      <c r="M113"/>
      <c r="N113"/>
      <c r="O113"/>
      <c r="P113"/>
    </row>
    <row r="114" spans="1:16" ht="12.75">
      <c r="A114" s="6"/>
      <c r="B114" t="s">
        <v>224</v>
      </c>
      <c r="C114" s="70">
        <v>39052</v>
      </c>
      <c r="D114" s="70">
        <v>39083</v>
      </c>
      <c r="E114" s="70">
        <v>39114</v>
      </c>
      <c r="F114" s="70">
        <v>39142</v>
      </c>
      <c r="G114" s="70">
        <v>39173</v>
      </c>
      <c r="H114" s="70">
        <v>39203</v>
      </c>
      <c r="I114" s="70">
        <v>39234</v>
      </c>
      <c r="J114" s="70">
        <v>39264</v>
      </c>
      <c r="K114" s="70">
        <v>39295</v>
      </c>
      <c r="L114" s="70">
        <v>39326</v>
      </c>
      <c r="M114" s="70">
        <v>39356</v>
      </c>
      <c r="N114" s="70">
        <v>39387</v>
      </c>
      <c r="O114" s="70">
        <v>39417</v>
      </c>
      <c r="P114" s="106" t="s">
        <v>253</v>
      </c>
    </row>
    <row r="115" spans="1:16" ht="12.75">
      <c r="A115" t="s">
        <v>226</v>
      </c>
      <c r="B115" s="107" t="s">
        <v>21</v>
      </c>
      <c r="C115" s="11">
        <v>127078</v>
      </c>
      <c r="D115" s="11">
        <v>127286</v>
      </c>
      <c r="E115" s="11">
        <v>127541</v>
      </c>
      <c r="F115" s="11">
        <v>127490</v>
      </c>
      <c r="G115" s="11">
        <v>127528</v>
      </c>
      <c r="H115" s="11">
        <v>127415</v>
      </c>
      <c r="I115" s="11">
        <v>127215</v>
      </c>
      <c r="J115" s="11">
        <v>127256</v>
      </c>
      <c r="K115" s="11">
        <v>127482</v>
      </c>
      <c r="L115" s="11">
        <v>127898</v>
      </c>
      <c r="M115" s="11">
        <v>128371</v>
      </c>
      <c r="N115" s="11">
        <v>129218</v>
      </c>
      <c r="O115" s="11">
        <v>129424</v>
      </c>
      <c r="P115" s="11">
        <f>SUM(D115:O115)</f>
        <v>1534124</v>
      </c>
    </row>
    <row r="116" spans="1:16" ht="12.75">
      <c r="A116" t="s">
        <v>227</v>
      </c>
      <c r="B116" s="107" t="s">
        <v>22</v>
      </c>
      <c r="C116" s="11">
        <v>11474</v>
      </c>
      <c r="D116" s="11">
        <v>11410</v>
      </c>
      <c r="E116" s="11">
        <v>11548</v>
      </c>
      <c r="F116" s="11">
        <v>11450</v>
      </c>
      <c r="G116" s="11">
        <v>11469</v>
      </c>
      <c r="H116" s="11">
        <v>11480</v>
      </c>
      <c r="I116" s="11">
        <v>11504</v>
      </c>
      <c r="J116" s="11">
        <v>11503</v>
      </c>
      <c r="K116" s="11">
        <v>11497</v>
      </c>
      <c r="L116" s="11">
        <v>11551</v>
      </c>
      <c r="M116" s="11">
        <v>11552</v>
      </c>
      <c r="N116" s="11">
        <v>11597</v>
      </c>
      <c r="O116" s="11">
        <v>11702</v>
      </c>
      <c r="P116" s="11">
        <f>SUM(D116:O116)</f>
        <v>138263</v>
      </c>
    </row>
    <row r="117" spans="1:16" ht="12.75">
      <c r="A117" t="s">
        <v>228</v>
      </c>
      <c r="B117" s="107" t="s">
        <v>70</v>
      </c>
      <c r="C117" s="11">
        <v>93</v>
      </c>
      <c r="D117" s="11">
        <v>86</v>
      </c>
      <c r="E117" s="11">
        <v>98</v>
      </c>
      <c r="F117" s="11">
        <v>92</v>
      </c>
      <c r="G117" s="11">
        <v>92</v>
      </c>
      <c r="H117" s="11">
        <v>93</v>
      </c>
      <c r="I117" s="11">
        <v>95</v>
      </c>
      <c r="J117" s="11">
        <v>94</v>
      </c>
      <c r="K117" s="11">
        <v>93</v>
      </c>
      <c r="L117" s="11">
        <v>95</v>
      </c>
      <c r="M117" s="11">
        <v>93</v>
      </c>
      <c r="N117" s="11">
        <v>92</v>
      </c>
      <c r="O117" s="11">
        <v>93</v>
      </c>
      <c r="P117" s="11">
        <f>SUM(D117:O117)</f>
        <v>1116</v>
      </c>
    </row>
    <row r="118" spans="1:16" ht="12.75">
      <c r="A118" t="s">
        <v>229</v>
      </c>
      <c r="B118" s="107" t="s">
        <v>71</v>
      </c>
      <c r="C118" s="11">
        <v>22</v>
      </c>
      <c r="D118" s="11">
        <v>22</v>
      </c>
      <c r="E118" s="11">
        <v>23</v>
      </c>
      <c r="F118" s="11">
        <v>23</v>
      </c>
      <c r="G118" s="11">
        <v>24</v>
      </c>
      <c r="H118" s="11">
        <v>24</v>
      </c>
      <c r="I118" s="11">
        <v>24</v>
      </c>
      <c r="J118" s="11">
        <v>24</v>
      </c>
      <c r="K118" s="11">
        <v>24</v>
      </c>
      <c r="L118" s="11">
        <v>24</v>
      </c>
      <c r="M118" s="11">
        <v>23</v>
      </c>
      <c r="N118" s="11">
        <v>23</v>
      </c>
      <c r="O118" s="11">
        <v>23</v>
      </c>
      <c r="P118" s="11">
        <f>SUM(D118:O118)</f>
        <v>281</v>
      </c>
    </row>
    <row r="119" spans="1:16" ht="12.75">
      <c r="A119" t="s">
        <v>152</v>
      </c>
      <c r="B119"/>
      <c r="C119" s="12">
        <f aca="true" t="shared" si="29" ref="C119:P119">SUM(C115:C118)</f>
        <v>138667</v>
      </c>
      <c r="D119" s="12">
        <f t="shared" si="29"/>
        <v>138804</v>
      </c>
      <c r="E119" s="12">
        <f t="shared" si="29"/>
        <v>139210</v>
      </c>
      <c r="F119" s="12">
        <f t="shared" si="29"/>
        <v>139055</v>
      </c>
      <c r="G119" s="12">
        <f t="shared" si="29"/>
        <v>139113</v>
      </c>
      <c r="H119" s="12">
        <f t="shared" si="29"/>
        <v>139012</v>
      </c>
      <c r="I119" s="12">
        <f t="shared" si="29"/>
        <v>138838</v>
      </c>
      <c r="J119" s="12">
        <f t="shared" si="29"/>
        <v>138877</v>
      </c>
      <c r="K119" s="12">
        <f t="shared" si="29"/>
        <v>139096</v>
      </c>
      <c r="L119" s="12">
        <f t="shared" si="29"/>
        <v>139568</v>
      </c>
      <c r="M119" s="12">
        <f t="shared" si="29"/>
        <v>140039</v>
      </c>
      <c r="N119" s="12">
        <f t="shared" si="29"/>
        <v>140930</v>
      </c>
      <c r="O119" s="12">
        <f t="shared" si="29"/>
        <v>141242</v>
      </c>
      <c r="P119" s="12">
        <f t="shared" si="29"/>
        <v>1673784</v>
      </c>
    </row>
    <row r="121" spans="1:6" ht="12.75">
      <c r="A121" s="2" t="s">
        <v>262</v>
      </c>
      <c r="D121" s="146">
        <v>143747</v>
      </c>
      <c r="E121" s="146">
        <v>143734</v>
      </c>
      <c r="F121" s="146">
        <v>143649</v>
      </c>
    </row>
    <row r="122" spans="1:6" ht="12.75">
      <c r="A122" s="2" t="s">
        <v>263</v>
      </c>
      <c r="D122" s="4">
        <f>D121-D119</f>
        <v>4943</v>
      </c>
      <c r="E122" s="4">
        <f>E121-E119</f>
        <v>4524</v>
      </c>
      <c r="F122" s="4">
        <f>F121-F119</f>
        <v>4594</v>
      </c>
    </row>
    <row r="123" spans="1:6" ht="12.75">
      <c r="A123" s="2" t="s">
        <v>264</v>
      </c>
      <c r="D123" s="1">
        <v>5233</v>
      </c>
      <c r="E123" s="1">
        <v>4875</v>
      </c>
      <c r="F123" s="1">
        <v>5259</v>
      </c>
    </row>
    <row r="124" spans="1:6" ht="12.75">
      <c r="A124" s="2" t="s">
        <v>268</v>
      </c>
      <c r="D124" s="4">
        <f>D123-D122</f>
        <v>290</v>
      </c>
      <c r="E124" s="4">
        <f>E123-E122</f>
        <v>351</v>
      </c>
      <c r="F124" s="4">
        <f>F123-F122</f>
        <v>665</v>
      </c>
    </row>
    <row r="126" ht="12.75">
      <c r="A126" s="2" t="s">
        <v>265</v>
      </c>
    </row>
    <row r="127" spans="1:6" ht="12.75">
      <c r="A127" s="2" t="s">
        <v>267</v>
      </c>
      <c r="D127" s="147">
        <f>J12/D123</f>
        <v>-160.000955474871</v>
      </c>
      <c r="E127" s="147">
        <f>K12/E123</f>
        <v>-128.9577435897436</v>
      </c>
      <c r="F127" s="147">
        <f>L12/F123</f>
        <v>-108.69575965012359</v>
      </c>
    </row>
    <row r="128" spans="1:6" ht="12.75">
      <c r="A128" s="2" t="s">
        <v>266</v>
      </c>
      <c r="D128" s="147">
        <f aca="true" t="shared" si="30" ref="D128:F129">J11/D121</f>
        <v>173.1219225444705</v>
      </c>
      <c r="E128" s="147">
        <f t="shared" si="30"/>
        <v>146.84304339961318</v>
      </c>
      <c r="F128" s="147">
        <f t="shared" si="30"/>
        <v>123.59718480462794</v>
      </c>
    </row>
    <row r="129" spans="1:6" ht="12.75">
      <c r="A129" s="2" t="s">
        <v>269</v>
      </c>
      <c r="D129" s="147">
        <f t="shared" si="30"/>
        <v>-169.38802346752985</v>
      </c>
      <c r="E129" s="147">
        <f t="shared" si="30"/>
        <v>-138.9630857648099</v>
      </c>
      <c r="F129" s="147">
        <f t="shared" si="30"/>
        <v>-124.429908576404</v>
      </c>
    </row>
  </sheetData>
  <printOptions horizontalCentered="1" verticalCentered="1"/>
  <pageMargins left="0.25" right="0.25" top="0.5" bottom="0.4" header="0.5" footer="0.25"/>
  <pageSetup horizontalDpi="600" verticalDpi="600" orientation="landscape" scale="65" r:id="rId1"/>
  <headerFooter alignWithMargins="0">
    <oddHeader>&amp;RExhibit No.____(BJH-3)</oddHeader>
    <oddFooter>&amp;RPage 3 of 3</oddFooter>
  </headerFooter>
  <rowBreaks count="1" manualBreakCount="1">
    <brk id="77" max="255" man="1"/>
  </rowBreaks>
</worksheet>
</file>

<file path=xl/worksheets/sheet5.xml><?xml version="1.0" encoding="utf-8"?>
<worksheet xmlns="http://schemas.openxmlformats.org/spreadsheetml/2006/main" xmlns:r="http://schemas.openxmlformats.org/officeDocument/2006/relationships">
  <dimension ref="A1:Q88"/>
  <sheetViews>
    <sheetView workbookViewId="0" topLeftCell="A10">
      <selection activeCell="A84" sqref="A84"/>
    </sheetView>
  </sheetViews>
  <sheetFormatPr defaultColWidth="9.140625" defaultRowHeight="12.75"/>
  <cols>
    <col min="1" max="1" width="2.8515625" style="0" customWidth="1"/>
    <col min="2" max="2" width="19.57421875" style="0" customWidth="1"/>
    <col min="3" max="3" width="2.57421875" style="0" customWidth="1"/>
    <col min="4" max="4" width="13.57421875" style="0" customWidth="1"/>
    <col min="5" max="5" width="12.8515625" style="0" customWidth="1"/>
    <col min="6" max="6" width="11.8515625" style="0" customWidth="1"/>
    <col min="7" max="7" width="11.57421875" style="0" customWidth="1"/>
    <col min="8" max="8" width="11.28125" style="0" customWidth="1"/>
    <col min="9" max="10" width="10.7109375" style="0" customWidth="1"/>
    <col min="11" max="11" width="11.57421875" style="0" customWidth="1"/>
    <col min="12" max="13" width="10.7109375" style="0" customWidth="1"/>
    <col min="14" max="14" width="11.28125" style="0" customWidth="1"/>
    <col min="15" max="15" width="11.421875" style="0" customWidth="1"/>
    <col min="16" max="17" width="11.57421875" style="0" customWidth="1"/>
  </cols>
  <sheetData>
    <row r="1" ht="12.75">
      <c r="A1" s="6" t="s">
        <v>45</v>
      </c>
    </row>
    <row r="2" ht="12.75">
      <c r="A2" s="6" t="s">
        <v>161</v>
      </c>
    </row>
    <row r="3" ht="12.75">
      <c r="A3" s="6" t="s">
        <v>162</v>
      </c>
    </row>
    <row r="4" ht="12.75">
      <c r="A4" s="6"/>
    </row>
    <row r="6" spans="1:17" ht="12.75">
      <c r="A6" s="59" t="s">
        <v>43</v>
      </c>
      <c r="D6" s="68" t="s">
        <v>164</v>
      </c>
      <c r="E6" s="59" t="s">
        <v>14</v>
      </c>
      <c r="F6" s="69" t="s">
        <v>2</v>
      </c>
      <c r="G6" s="69" t="s">
        <v>3</v>
      </c>
      <c r="H6" s="69" t="s">
        <v>4</v>
      </c>
      <c r="I6" s="69" t="s">
        <v>5</v>
      </c>
      <c r="J6" s="69" t="s">
        <v>6</v>
      </c>
      <c r="K6" s="69" t="s">
        <v>7</v>
      </c>
      <c r="L6" s="69" t="s">
        <v>8</v>
      </c>
      <c r="M6" s="69" t="s">
        <v>9</v>
      </c>
      <c r="N6" s="69" t="s">
        <v>10</v>
      </c>
      <c r="O6" s="69" t="s">
        <v>11</v>
      </c>
      <c r="P6" s="69" t="s">
        <v>12</v>
      </c>
      <c r="Q6" s="69" t="s">
        <v>13</v>
      </c>
    </row>
    <row r="7" ht="12.75">
      <c r="A7" s="59" t="s">
        <v>46</v>
      </c>
    </row>
    <row r="8" spans="1:17" ht="12.75">
      <c r="A8" t="s">
        <v>171</v>
      </c>
      <c r="D8" s="11">
        <v>109743639</v>
      </c>
      <c r="E8" s="11">
        <f>SUM(F8:Q8)</f>
        <v>109743639</v>
      </c>
      <c r="F8" s="11">
        <f>'2004 Data'!D13</f>
        <v>22410561</v>
      </c>
      <c r="G8" s="11">
        <f>'2004 Data'!E13</f>
        <v>17879449</v>
      </c>
      <c r="H8" s="11">
        <f>'2004 Data'!F13</f>
        <v>14445062</v>
      </c>
      <c r="I8" s="11">
        <f>'2004 Data'!G13</f>
        <v>8516833</v>
      </c>
      <c r="J8" s="11">
        <f>'2004 Data'!H13</f>
        <v>5529377</v>
      </c>
      <c r="K8" s="11">
        <f>'2004 Data'!I13</f>
        <v>4030609</v>
      </c>
      <c r="L8" s="11">
        <f>'2004 Data'!J13</f>
        <v>2503345</v>
      </c>
      <c r="M8" s="11">
        <f>'2004 Data'!K13</f>
        <v>2146936</v>
      </c>
      <c r="N8" s="11">
        <f>'2004 Data'!L13</f>
        <v>2446019</v>
      </c>
      <c r="O8" s="11">
        <f>'2004 Data'!M13</f>
        <v>4010761</v>
      </c>
      <c r="P8" s="11">
        <f>'2004 Data'!N13</f>
        <v>9850486</v>
      </c>
      <c r="Q8" s="11">
        <f>'2004 Data'!O13</f>
        <v>15974201</v>
      </c>
    </row>
    <row r="9" spans="1:17" ht="12.75">
      <c r="A9" t="s">
        <v>166</v>
      </c>
      <c r="D9" s="11">
        <v>-12348051</v>
      </c>
      <c r="E9" s="11">
        <f>SUM(F9:Q9)</f>
        <v>-70774804.9765</v>
      </c>
      <c r="F9" s="11">
        <f>-'2004 Data'!D107</f>
        <v>-12348050.239199998</v>
      </c>
      <c r="G9" s="11">
        <f aca="true" t="shared" si="0" ref="G9:Q9">-F10</f>
        <v>-10543827.399000002</v>
      </c>
      <c r="H9" s="11">
        <f t="shared" si="0"/>
        <v>-9015296.1582</v>
      </c>
      <c r="I9" s="11">
        <f t="shared" si="0"/>
        <v>-6814816.8026</v>
      </c>
      <c r="J9" s="11">
        <f t="shared" si="0"/>
        <v>-5255593.9066</v>
      </c>
      <c r="K9" s="11">
        <f t="shared" si="0"/>
        <v>-3937792.4344999995</v>
      </c>
      <c r="L9" s="11">
        <f t="shared" si="0"/>
        <v>-1590737.5731000002</v>
      </c>
      <c r="M9" s="11">
        <f t="shared" si="0"/>
        <v>-640039.4441</v>
      </c>
      <c r="N9" s="11">
        <f t="shared" si="0"/>
        <v>-993519.7104</v>
      </c>
      <c r="O9" s="11">
        <f t="shared" si="0"/>
        <v>-2637291.8243</v>
      </c>
      <c r="P9" s="11">
        <f t="shared" si="0"/>
        <v>-6466349.464400002</v>
      </c>
      <c r="Q9" s="11">
        <f t="shared" si="0"/>
        <v>-10531490.0201</v>
      </c>
    </row>
    <row r="10" spans="1:17" ht="12.75">
      <c r="A10" t="s">
        <v>167</v>
      </c>
      <c r="D10" s="11">
        <v>11321301</v>
      </c>
      <c r="E10" s="11">
        <f>SUM(F10:Q10)</f>
        <v>69748054.9293</v>
      </c>
      <c r="F10" s="11">
        <f>'2004 Data'!E107</f>
        <v>10543827.399000002</v>
      </c>
      <c r="G10" s="11">
        <f>'2004 Data'!F107</f>
        <v>9015296.1582</v>
      </c>
      <c r="H10" s="11">
        <f>'2004 Data'!G107</f>
        <v>6814816.8026</v>
      </c>
      <c r="I10" s="11">
        <f>'2004 Data'!H107</f>
        <v>5255593.9066</v>
      </c>
      <c r="J10" s="11">
        <f>'2004 Data'!I107</f>
        <v>3937792.4344999995</v>
      </c>
      <c r="K10" s="11">
        <f>'2004 Data'!J107</f>
        <v>1590737.5731000002</v>
      </c>
      <c r="L10" s="11">
        <f>'2004 Data'!K107</f>
        <v>640039.4441</v>
      </c>
      <c r="M10" s="11">
        <f>'2004 Data'!L107</f>
        <v>993519.7104</v>
      </c>
      <c r="N10" s="11">
        <f>'2004 Data'!M107</f>
        <v>2637291.8243</v>
      </c>
      <c r="O10" s="11">
        <f>'2004 Data'!N107</f>
        <v>6466349.464400002</v>
      </c>
      <c r="P10" s="11">
        <f>'2004 Data'!O107</f>
        <v>10531490.0201</v>
      </c>
      <c r="Q10" s="11">
        <f>'2004 Data'!P107</f>
        <v>11321300.192</v>
      </c>
    </row>
    <row r="11" spans="1:17" ht="15">
      <c r="A11" t="s">
        <v>168</v>
      </c>
      <c r="D11" s="66">
        <v>8449229</v>
      </c>
      <c r="E11" s="11">
        <f>SUM(F11:Q11)</f>
        <v>8479316.705</v>
      </c>
      <c r="F11" s="11">
        <f>'2004 Data'!D90</f>
        <v>-376304.04000000004</v>
      </c>
      <c r="G11" s="11">
        <f>'2004 Data'!E90</f>
        <v>47137.62299999999</v>
      </c>
      <c r="H11" s="11">
        <f>'2004 Data'!F90</f>
        <v>1916298.408</v>
      </c>
      <c r="I11" s="11">
        <f>'2004 Data'!G90</f>
        <v>1601733.54</v>
      </c>
      <c r="J11" s="11">
        <f>'2004 Data'!H90</f>
        <v>377080.728</v>
      </c>
      <c r="K11" s="11">
        <f>'2004 Data'!I90</f>
        <v>282886.34400000004</v>
      </c>
      <c r="L11" s="11">
        <f>'2004 Data'!J90</f>
        <v>440734.16800000006</v>
      </c>
      <c r="M11" s="11">
        <f>'2004 Data'!K90</f>
        <v>126262.13600000001</v>
      </c>
      <c r="N11" s="11">
        <f>'2004 Data'!L90</f>
        <v>-126634.36799999999</v>
      </c>
      <c r="O11" s="11">
        <f>'2004 Data'!M90</f>
        <v>1176164.066</v>
      </c>
      <c r="P11" s="11">
        <f>'2004 Data'!N90</f>
        <v>639881.96</v>
      </c>
      <c r="Q11" s="11">
        <f>'2004 Data'!O90</f>
        <v>2374076.1399999997</v>
      </c>
    </row>
    <row r="12" spans="1:17" ht="12.75">
      <c r="A12" t="s">
        <v>165</v>
      </c>
      <c r="D12" s="11">
        <f aca="true" t="shared" si="1" ref="D12:Q12">SUM(D8:D11)</f>
        <v>117166118</v>
      </c>
      <c r="E12" s="12">
        <f t="shared" si="1"/>
        <v>117196205.65779999</v>
      </c>
      <c r="F12" s="12">
        <f t="shared" si="1"/>
        <v>20230034.119800005</v>
      </c>
      <c r="G12" s="12">
        <f t="shared" si="1"/>
        <v>16398055.382199997</v>
      </c>
      <c r="H12" s="12">
        <f t="shared" si="1"/>
        <v>14160881.0524</v>
      </c>
      <c r="I12" s="12">
        <f t="shared" si="1"/>
        <v>8559343.644000001</v>
      </c>
      <c r="J12" s="12">
        <f t="shared" si="1"/>
        <v>4588656.255899999</v>
      </c>
      <c r="K12" s="12">
        <f t="shared" si="1"/>
        <v>1966440.4826000007</v>
      </c>
      <c r="L12" s="12">
        <f t="shared" si="1"/>
        <v>1993381.0389999999</v>
      </c>
      <c r="M12" s="12">
        <f t="shared" si="1"/>
        <v>2626678.4023</v>
      </c>
      <c r="N12" s="12">
        <f t="shared" si="1"/>
        <v>3963156.7459000004</v>
      </c>
      <c r="O12" s="12">
        <f t="shared" si="1"/>
        <v>9015982.706100002</v>
      </c>
      <c r="P12" s="12">
        <f t="shared" si="1"/>
        <v>14555508.515699998</v>
      </c>
      <c r="Q12" s="12">
        <f t="shared" si="1"/>
        <v>19138087.3119</v>
      </c>
    </row>
    <row r="13" spans="4:17" ht="12.75">
      <c r="D13" s="11"/>
      <c r="E13" s="8"/>
      <c r="F13" s="8"/>
      <c r="G13" s="8"/>
      <c r="H13" s="8"/>
      <c r="I13" s="8"/>
      <c r="J13" s="8"/>
      <c r="K13" s="8"/>
      <c r="L13" s="8"/>
      <c r="M13" s="8"/>
      <c r="N13" s="8"/>
      <c r="O13" s="8"/>
      <c r="P13" s="8"/>
      <c r="Q13" s="8"/>
    </row>
    <row r="14" spans="2:17" ht="15">
      <c r="B14" t="s">
        <v>155</v>
      </c>
      <c r="D14" s="11"/>
      <c r="E14" s="63">
        <f>D12-E12</f>
        <v>-30087.657799988985</v>
      </c>
      <c r="F14" s="64">
        <f aca="true" t="shared" si="2" ref="F14:Q14">F12/$E$12*$E$14</f>
        <v>-5193.6352415359415</v>
      </c>
      <c r="G14" s="64">
        <f t="shared" si="2"/>
        <v>-4209.8553972430955</v>
      </c>
      <c r="H14" s="64">
        <f t="shared" si="2"/>
        <v>-3635.5080001056517</v>
      </c>
      <c r="I14" s="64">
        <f t="shared" si="2"/>
        <v>-2197.4312317341037</v>
      </c>
      <c r="J14" s="64">
        <f t="shared" si="2"/>
        <v>-1178.0408624526929</v>
      </c>
      <c r="K14" s="64">
        <f t="shared" si="2"/>
        <v>-504.8421831784471</v>
      </c>
      <c r="L14" s="64">
        <f t="shared" si="2"/>
        <v>-511.7586037003816</v>
      </c>
      <c r="M14" s="64">
        <f t="shared" si="2"/>
        <v>-674.34436529272</v>
      </c>
      <c r="N14" s="64">
        <f t="shared" si="2"/>
        <v>-1017.4570354822828</v>
      </c>
      <c r="O14" s="64">
        <f t="shared" si="2"/>
        <v>-2314.663694691904</v>
      </c>
      <c r="P14" s="64">
        <f t="shared" si="2"/>
        <v>-3736.820290956749</v>
      </c>
      <c r="Q14" s="64">
        <f t="shared" si="2"/>
        <v>-4913.300893615019</v>
      </c>
    </row>
    <row r="15" spans="4:17" ht="12.75">
      <c r="D15" s="11"/>
      <c r="E15" s="11"/>
      <c r="F15" s="8"/>
      <c r="G15" s="8"/>
      <c r="H15" s="8"/>
      <c r="I15" s="8"/>
      <c r="J15" s="8"/>
      <c r="K15" s="8"/>
      <c r="L15" s="8"/>
      <c r="M15" s="8"/>
      <c r="N15" s="8"/>
      <c r="O15" s="8"/>
      <c r="P15" s="8"/>
      <c r="Q15" s="8"/>
    </row>
    <row r="16" spans="1:17" ht="12.75">
      <c r="A16" t="s">
        <v>51</v>
      </c>
      <c r="D16" s="11"/>
      <c r="E16" s="11">
        <f>SUM(F16:Q16)</f>
        <v>117166118.00000001</v>
      </c>
      <c r="F16" s="8">
        <f aca="true" t="shared" si="3" ref="F16:Q16">F12+F14</f>
        <v>20224840.48455847</v>
      </c>
      <c r="G16" s="8">
        <f t="shared" si="3"/>
        <v>16393845.526802754</v>
      </c>
      <c r="H16" s="8">
        <f t="shared" si="3"/>
        <v>14157245.544399895</v>
      </c>
      <c r="I16" s="8">
        <f t="shared" si="3"/>
        <v>8557146.212768268</v>
      </c>
      <c r="J16" s="8">
        <f t="shared" si="3"/>
        <v>4587478.215037547</v>
      </c>
      <c r="K16" s="8">
        <f t="shared" si="3"/>
        <v>1965935.6404168222</v>
      </c>
      <c r="L16" s="8">
        <f t="shared" si="3"/>
        <v>1992869.2803962994</v>
      </c>
      <c r="M16" s="8">
        <f t="shared" si="3"/>
        <v>2626004.0579347075</v>
      </c>
      <c r="N16" s="8">
        <f t="shared" si="3"/>
        <v>3962139.288864518</v>
      </c>
      <c r="O16" s="8">
        <f t="shared" si="3"/>
        <v>9013668.04240531</v>
      </c>
      <c r="P16" s="8">
        <f t="shared" si="3"/>
        <v>14551771.69540904</v>
      </c>
      <c r="Q16" s="8">
        <f t="shared" si="3"/>
        <v>19133174.011006385</v>
      </c>
    </row>
    <row r="17" spans="4:5" ht="12.75">
      <c r="D17" s="11"/>
      <c r="E17" s="10"/>
    </row>
    <row r="18" spans="1:4" ht="12.75">
      <c r="A18" s="59" t="s">
        <v>52</v>
      </c>
      <c r="D18" s="11"/>
    </row>
    <row r="19" spans="1:17" ht="12.75">
      <c r="A19" t="s">
        <v>173</v>
      </c>
      <c r="D19" s="11">
        <v>1555912</v>
      </c>
      <c r="E19" s="11">
        <f>SUM(F19:Q19)</f>
        <v>1555912</v>
      </c>
      <c r="F19" s="8">
        <f>'2004 Data'!D130</f>
        <v>128840</v>
      </c>
      <c r="G19" s="8">
        <f>'2004 Data'!E130</f>
        <v>129031</v>
      </c>
      <c r="H19" s="8">
        <f>'2004 Data'!F130</f>
        <v>129013</v>
      </c>
      <c r="I19" s="8">
        <f>'2004 Data'!G130</f>
        <v>128996</v>
      </c>
      <c r="J19" s="8">
        <f>'2004 Data'!H130</f>
        <v>129023</v>
      </c>
      <c r="K19" s="8">
        <f>'2004 Data'!I130</f>
        <v>129061</v>
      </c>
      <c r="L19" s="8">
        <f>'2004 Data'!J130</f>
        <v>129192</v>
      </c>
      <c r="M19" s="8">
        <f>'2004 Data'!K130</f>
        <v>129490</v>
      </c>
      <c r="N19" s="8">
        <f>'2004 Data'!L130</f>
        <v>129888</v>
      </c>
      <c r="O19" s="8">
        <f>'2004 Data'!M130</f>
        <v>130451</v>
      </c>
      <c r="P19" s="8">
        <f>'2004 Data'!N130</f>
        <v>131281</v>
      </c>
      <c r="Q19" s="8">
        <f>'2004 Data'!O130</f>
        <v>131646</v>
      </c>
    </row>
    <row r="20" spans="1:17" ht="12.75">
      <c r="A20" t="s">
        <v>53</v>
      </c>
      <c r="D20" s="11"/>
      <c r="E20" s="8">
        <f aca="true" t="shared" si="4" ref="E20:Q20">E16/E19</f>
        <v>75.3038205245541</v>
      </c>
      <c r="F20" s="8">
        <f t="shared" si="4"/>
        <v>156.97640860414833</v>
      </c>
      <c r="G20" s="8">
        <f t="shared" si="4"/>
        <v>127.05354160475198</v>
      </c>
      <c r="H20" s="8">
        <f t="shared" si="4"/>
        <v>109.73503092246436</v>
      </c>
      <c r="I20" s="8">
        <f t="shared" si="4"/>
        <v>66.33652371211718</v>
      </c>
      <c r="J20" s="8">
        <f t="shared" si="4"/>
        <v>35.55550727418791</v>
      </c>
      <c r="K20" s="8">
        <f t="shared" si="4"/>
        <v>15.232608149765012</v>
      </c>
      <c r="L20" s="8">
        <f t="shared" si="4"/>
        <v>15.425639980775122</v>
      </c>
      <c r="M20" s="8">
        <f t="shared" si="4"/>
        <v>20.279589604870704</v>
      </c>
      <c r="N20" s="8">
        <f t="shared" si="4"/>
        <v>30.504275135998075</v>
      </c>
      <c r="O20" s="8">
        <f t="shared" si="4"/>
        <v>69.09619736456837</v>
      </c>
      <c r="P20" s="8">
        <f t="shared" si="4"/>
        <v>110.84446108278456</v>
      </c>
      <c r="Q20" s="8">
        <f t="shared" si="4"/>
        <v>145.33805820918514</v>
      </c>
    </row>
    <row r="21" spans="4:17" ht="12.75">
      <c r="D21" s="11"/>
      <c r="E21" s="11"/>
      <c r="F21" s="8"/>
      <c r="G21" s="8"/>
      <c r="H21" s="8"/>
      <c r="I21" s="8"/>
      <c r="J21" s="8"/>
      <c r="K21" s="8"/>
      <c r="L21" s="8"/>
      <c r="M21" s="8"/>
      <c r="N21" s="8"/>
      <c r="O21" s="8"/>
      <c r="P21" s="8"/>
      <c r="Q21" s="8"/>
    </row>
    <row r="22" spans="1:7" ht="12.75">
      <c r="A22" s="6" t="s">
        <v>169</v>
      </c>
      <c r="D22" s="2">
        <v>0.89117</v>
      </c>
      <c r="E22" s="2"/>
      <c r="F22" s="57"/>
      <c r="G22" s="57"/>
    </row>
    <row r="23" spans="1:7" ht="12.75">
      <c r="A23" s="6" t="s">
        <v>170</v>
      </c>
      <c r="D23" s="58">
        <v>0.68522</v>
      </c>
      <c r="E23" s="2"/>
      <c r="F23" s="57"/>
      <c r="G23" s="57"/>
    </row>
    <row r="24" spans="1:7" ht="12.75">
      <c r="A24" s="6" t="s">
        <v>160</v>
      </c>
      <c r="D24" s="6">
        <f>D22-D23</f>
        <v>0.20594999999999997</v>
      </c>
      <c r="E24" s="2"/>
      <c r="F24" s="57"/>
      <c r="G24" s="57"/>
    </row>
    <row r="25" spans="4:17" ht="12.75">
      <c r="D25" s="56"/>
      <c r="E25" s="11"/>
      <c r="F25" s="9"/>
      <c r="G25" s="9"/>
      <c r="H25" s="9"/>
      <c r="I25" s="9"/>
      <c r="J25" s="9"/>
      <c r="K25" s="9"/>
      <c r="L25" s="9"/>
      <c r="M25" s="9"/>
      <c r="N25" s="9"/>
      <c r="O25" s="9"/>
      <c r="P25" s="9"/>
      <c r="Q25" s="9"/>
    </row>
    <row r="27" spans="1:17" ht="12.75" hidden="1">
      <c r="A27" s="59" t="s">
        <v>44</v>
      </c>
      <c r="D27" s="68" t="s">
        <v>164</v>
      </c>
      <c r="E27" s="59" t="s">
        <v>14</v>
      </c>
      <c r="F27" s="69" t="s">
        <v>2</v>
      </c>
      <c r="G27" s="69" t="s">
        <v>3</v>
      </c>
      <c r="H27" s="69" t="s">
        <v>4</v>
      </c>
      <c r="I27" s="69" t="s">
        <v>5</v>
      </c>
      <c r="J27" s="69" t="s">
        <v>6</v>
      </c>
      <c r="K27" s="69" t="s">
        <v>7</v>
      </c>
      <c r="L27" s="69" t="s">
        <v>8</v>
      </c>
      <c r="M27" s="69" t="s">
        <v>9</v>
      </c>
      <c r="N27" s="69" t="s">
        <v>10</v>
      </c>
      <c r="O27" s="69" t="s">
        <v>11</v>
      </c>
      <c r="P27" s="69" t="s">
        <v>12</v>
      </c>
      <c r="Q27" s="69" t="s">
        <v>13</v>
      </c>
    </row>
    <row r="28" ht="12.75" hidden="1">
      <c r="A28" s="6" t="s">
        <v>46</v>
      </c>
    </row>
    <row r="29" spans="1:17" ht="12.75" hidden="1">
      <c r="A29" t="s">
        <v>163</v>
      </c>
      <c r="D29" s="11">
        <v>46353749</v>
      </c>
      <c r="E29" s="11">
        <f>SUM(F29:Q29)</f>
        <v>46353749</v>
      </c>
      <c r="F29" s="11">
        <f>'2004 Data'!D18+'2004 Data'!D21+'2004 Data'!D23+'2004 Data'!D25</f>
        <v>8442385</v>
      </c>
      <c r="G29" s="11">
        <f>'2004 Data'!E18+'2004 Data'!E21+'2004 Data'!E23+'2004 Data'!E25</f>
        <v>7036517</v>
      </c>
      <c r="H29" s="11">
        <f>'2004 Data'!F18+'2004 Data'!F21+'2004 Data'!F23+'2004 Data'!F25</f>
        <v>5890168</v>
      </c>
      <c r="I29" s="11">
        <f>'2004 Data'!G18+'2004 Data'!G21+'2004 Data'!G23+'2004 Data'!G25</f>
        <v>3882650</v>
      </c>
      <c r="J29" s="11">
        <f>'2004 Data'!H18+'2004 Data'!H21+'2004 Data'!H23+'2004 Data'!H25</f>
        <v>2731623</v>
      </c>
      <c r="K29" s="11">
        <f>'2004 Data'!I18+'2004 Data'!I21+'2004 Data'!I23+'2004 Data'!I25</f>
        <v>2035797</v>
      </c>
      <c r="L29" s="11">
        <f>'2004 Data'!J18+'2004 Data'!J21+'2004 Data'!J23+'2004 Data'!J25</f>
        <v>1380975</v>
      </c>
      <c r="M29" s="11">
        <f>'2004 Data'!K18+'2004 Data'!K21+'2004 Data'!K23+'2004 Data'!K25</f>
        <v>1201591</v>
      </c>
      <c r="N29" s="11">
        <f>'2004 Data'!L18+'2004 Data'!L21+'2004 Data'!L23+'2004 Data'!L25</f>
        <v>1623810</v>
      </c>
      <c r="O29" s="11">
        <f>'2004 Data'!M18+'2004 Data'!M21+'2004 Data'!M23+'2004 Data'!M25</f>
        <v>1921476</v>
      </c>
      <c r="P29" s="11">
        <f>'2004 Data'!N18+'2004 Data'!N21+'2004 Data'!N23+'2004 Data'!N25</f>
        <v>4076154</v>
      </c>
      <c r="Q29" s="11">
        <f>'2004 Data'!O18+'2004 Data'!O21+'2004 Data'!O23+'2004 Data'!O25</f>
        <v>6130603</v>
      </c>
    </row>
    <row r="30" spans="1:17" ht="12.75" hidden="1">
      <c r="A30" t="s">
        <v>47</v>
      </c>
      <c r="D30" s="11">
        <v>-4861525</v>
      </c>
      <c r="E30" s="11">
        <f>SUM(F30:Q30)</f>
        <v>-29586789.4297</v>
      </c>
      <c r="F30" s="11">
        <f>-'2004 Data'!D113</f>
        <v>-4861524.394799999</v>
      </c>
      <c r="G30" s="10">
        <f aca="true" t="shared" si="5" ref="G30:Q30">-F31</f>
        <v>-4151463.0072999997</v>
      </c>
      <c r="H30" s="10">
        <f t="shared" si="5"/>
        <v>-3622711.0596000003</v>
      </c>
      <c r="I30" s="10">
        <f t="shared" si="5"/>
        <v>-2856896.9346</v>
      </c>
      <c r="J30" s="10">
        <f t="shared" si="5"/>
        <v>-2290618.9389</v>
      </c>
      <c r="K30" s="10">
        <f t="shared" si="5"/>
        <v>-1793714.9697999996</v>
      </c>
      <c r="L30" s="10">
        <f t="shared" si="5"/>
        <v>-984316.2089</v>
      </c>
      <c r="M30" s="10">
        <f t="shared" si="5"/>
        <v>-616207.459</v>
      </c>
      <c r="N30" s="10">
        <f t="shared" si="5"/>
        <v>-726167.1440000001</v>
      </c>
      <c r="O30" s="10">
        <f t="shared" si="5"/>
        <v>-1260564.0572000002</v>
      </c>
      <c r="P30" s="10">
        <f t="shared" si="5"/>
        <v>-2528227.172</v>
      </c>
      <c r="Q30" s="10">
        <f t="shared" si="5"/>
        <v>-3894378.0835999995</v>
      </c>
    </row>
    <row r="31" spans="1:17" ht="12.75" hidden="1">
      <c r="A31" t="s">
        <v>48</v>
      </c>
      <c r="D31" s="11">
        <v>4139976</v>
      </c>
      <c r="E31" s="11">
        <f>SUM(F31:Q31)</f>
        <v>28865240.274499994</v>
      </c>
      <c r="F31" s="11">
        <f>'2004 Data'!E113</f>
        <v>4151463.0072999997</v>
      </c>
      <c r="G31" s="11">
        <f>'2004 Data'!F113</f>
        <v>3622711.0596000003</v>
      </c>
      <c r="H31" s="11">
        <f>'2004 Data'!G113</f>
        <v>2856896.9346</v>
      </c>
      <c r="I31" s="11">
        <f>'2004 Data'!H113</f>
        <v>2290618.9389</v>
      </c>
      <c r="J31" s="11">
        <f>'2004 Data'!I113</f>
        <v>1793714.9697999996</v>
      </c>
      <c r="K31" s="11">
        <f>'2004 Data'!J113</f>
        <v>984316.2089</v>
      </c>
      <c r="L31" s="11">
        <f>'2004 Data'!K113</f>
        <v>616207.459</v>
      </c>
      <c r="M31" s="11">
        <f>'2004 Data'!L113</f>
        <v>726167.1440000001</v>
      </c>
      <c r="N31" s="11">
        <f>'2004 Data'!M113</f>
        <v>1260564.0572000002</v>
      </c>
      <c r="O31" s="11">
        <f>'2004 Data'!N113</f>
        <v>2528227.172</v>
      </c>
      <c r="P31" s="11">
        <f>'2004 Data'!O113</f>
        <v>3894378.0835999995</v>
      </c>
      <c r="Q31" s="11">
        <f>'2004 Data'!P113</f>
        <v>4139975.2396</v>
      </c>
    </row>
    <row r="32" spans="1:17" ht="15" hidden="1">
      <c r="A32" t="s">
        <v>49</v>
      </c>
      <c r="D32" s="66">
        <v>2929994</v>
      </c>
      <c r="E32" s="11">
        <f>SUM(F32:Q32)</f>
        <v>2927571.928</v>
      </c>
      <c r="F32" s="11">
        <f>'2004 Data'!D96</f>
        <v>-135047.328</v>
      </c>
      <c r="G32" s="11">
        <f>'2004 Data'!E96</f>
        <v>16941.144</v>
      </c>
      <c r="H32" s="11">
        <f>'2004 Data'!F96</f>
        <v>692526.1680000001</v>
      </c>
      <c r="I32" s="11">
        <f>'2004 Data'!G96</f>
        <v>574442.3759999999</v>
      </c>
      <c r="J32" s="11">
        <f>'2004 Data'!H96</f>
        <v>133353.792</v>
      </c>
      <c r="K32" s="11">
        <f>'2004 Data'!I96</f>
        <v>102060.07199999999</v>
      </c>
      <c r="L32" s="11">
        <f>'2004 Data'!J96</f>
        <v>153577.2</v>
      </c>
      <c r="M32" s="11">
        <f>'2004 Data'!K96</f>
        <v>42221.76</v>
      </c>
      <c r="N32" s="11">
        <f>'2004 Data'!L96</f>
        <v>-42245.856</v>
      </c>
      <c r="O32" s="11">
        <f>'2004 Data'!M96</f>
        <v>389641.08</v>
      </c>
      <c r="P32" s="11">
        <f>'2004 Data'!N96</f>
        <v>211584.15999999997</v>
      </c>
      <c r="Q32" s="11">
        <f>'2004 Data'!O96</f>
        <v>788517.36</v>
      </c>
    </row>
    <row r="33" spans="1:17" ht="12.75" hidden="1">
      <c r="A33" t="s">
        <v>165</v>
      </c>
      <c r="D33" s="11">
        <f aca="true" t="shared" si="6" ref="D33:Q33">SUM(D29:D32)</f>
        <v>48562194</v>
      </c>
      <c r="E33" s="12">
        <f t="shared" si="6"/>
        <v>48559771.7728</v>
      </c>
      <c r="F33" s="12">
        <f t="shared" si="6"/>
        <v>7597276.284500001</v>
      </c>
      <c r="G33" s="12">
        <f t="shared" si="6"/>
        <v>6524706.196300001</v>
      </c>
      <c r="H33" s="12">
        <f t="shared" si="6"/>
        <v>5816880.043</v>
      </c>
      <c r="I33" s="12">
        <f t="shared" si="6"/>
        <v>3890814.3803000003</v>
      </c>
      <c r="J33" s="12">
        <f t="shared" si="6"/>
        <v>2368072.8228999996</v>
      </c>
      <c r="K33" s="12">
        <f t="shared" si="6"/>
        <v>1328458.3111000003</v>
      </c>
      <c r="L33" s="12">
        <f t="shared" si="6"/>
        <v>1166443.4501</v>
      </c>
      <c r="M33" s="12">
        <f t="shared" si="6"/>
        <v>1353772.445</v>
      </c>
      <c r="N33" s="12">
        <f t="shared" si="6"/>
        <v>2115961.0572</v>
      </c>
      <c r="O33" s="12">
        <f t="shared" si="6"/>
        <v>3578780.1947999997</v>
      </c>
      <c r="P33" s="12">
        <f t="shared" si="6"/>
        <v>5653889.071599999</v>
      </c>
      <c r="Q33" s="12">
        <f t="shared" si="6"/>
        <v>7164717.516000001</v>
      </c>
    </row>
    <row r="34" ht="12.75" hidden="1"/>
    <row r="35" spans="2:17" ht="15" hidden="1">
      <c r="B35" t="s">
        <v>50</v>
      </c>
      <c r="E35" s="63">
        <f>D33-E33</f>
        <v>2422.227200001478</v>
      </c>
      <c r="F35" s="63">
        <f aca="true" t="shared" si="7" ref="F35:Q35">F33/$E33*$E$35</f>
        <v>378.9624331090833</v>
      </c>
      <c r="G35" s="63">
        <f t="shared" si="7"/>
        <v>325.4611840978336</v>
      </c>
      <c r="H35" s="63">
        <f t="shared" si="7"/>
        <v>290.1538566783906</v>
      </c>
      <c r="I35" s="63">
        <f t="shared" si="7"/>
        <v>194.0790921797229</v>
      </c>
      <c r="J35" s="63">
        <f t="shared" si="7"/>
        <v>118.12268043701144</v>
      </c>
      <c r="K35" s="63">
        <f t="shared" si="7"/>
        <v>66.26530022154805</v>
      </c>
      <c r="L35" s="63">
        <f t="shared" si="7"/>
        <v>58.183779473164364</v>
      </c>
      <c r="M35" s="63">
        <f t="shared" si="7"/>
        <v>67.52800351356402</v>
      </c>
      <c r="N35" s="63">
        <f t="shared" si="7"/>
        <v>105.54700402781964</v>
      </c>
      <c r="O35" s="63">
        <f t="shared" si="7"/>
        <v>178.5144042939415</v>
      </c>
      <c r="P35" s="63">
        <f t="shared" si="7"/>
        <v>282.0236462209171</v>
      </c>
      <c r="Q35" s="63">
        <f t="shared" si="7"/>
        <v>357.38581574848183</v>
      </c>
    </row>
    <row r="36" ht="12.75" hidden="1"/>
    <row r="37" spans="1:17" ht="12.75" hidden="1">
      <c r="A37" t="s">
        <v>51</v>
      </c>
      <c r="E37" s="11">
        <f>SUM(F37:Q37)</f>
        <v>48562194</v>
      </c>
      <c r="F37" s="10">
        <f aca="true" t="shared" si="8" ref="F37:Q37">F33+F35</f>
        <v>7597655.24693311</v>
      </c>
      <c r="G37" s="10">
        <f t="shared" si="8"/>
        <v>6525031.657484098</v>
      </c>
      <c r="H37" s="10">
        <f t="shared" si="8"/>
        <v>5817170.1968566775</v>
      </c>
      <c r="I37" s="10">
        <f t="shared" si="8"/>
        <v>3891008.45939218</v>
      </c>
      <c r="J37" s="10">
        <f t="shared" si="8"/>
        <v>2368190.9455804364</v>
      </c>
      <c r="K37" s="10">
        <f t="shared" si="8"/>
        <v>1328524.5764002218</v>
      </c>
      <c r="L37" s="10">
        <f t="shared" si="8"/>
        <v>1166501.6338794732</v>
      </c>
      <c r="M37" s="10">
        <f t="shared" si="8"/>
        <v>1353839.9730035136</v>
      </c>
      <c r="N37" s="10">
        <f t="shared" si="8"/>
        <v>2116066.604204028</v>
      </c>
      <c r="O37" s="10">
        <f t="shared" si="8"/>
        <v>3578958.709204294</v>
      </c>
      <c r="P37" s="10">
        <f t="shared" si="8"/>
        <v>5654171.09524622</v>
      </c>
      <c r="Q37" s="10">
        <f t="shared" si="8"/>
        <v>7165074.90181575</v>
      </c>
    </row>
    <row r="38" ht="12.75" hidden="1"/>
    <row r="39" spans="2:17" ht="12.75" hidden="1">
      <c r="B39" t="s">
        <v>146</v>
      </c>
      <c r="D39" s="1">
        <v>4889405</v>
      </c>
      <c r="E39" s="11">
        <f>SUM(F39:Q39)</f>
        <v>4889405</v>
      </c>
      <c r="F39" s="54">
        <v>444601</v>
      </c>
      <c r="G39" s="54">
        <v>440963</v>
      </c>
      <c r="H39" s="55">
        <v>440526</v>
      </c>
      <c r="I39" s="54">
        <v>435162</v>
      </c>
      <c r="J39" s="54">
        <v>421501</v>
      </c>
      <c r="K39" s="54">
        <v>405094</v>
      </c>
      <c r="L39" s="54">
        <v>346156</v>
      </c>
      <c r="M39" s="54">
        <v>315420</v>
      </c>
      <c r="N39" s="54">
        <v>346656</v>
      </c>
      <c r="O39" s="54">
        <v>407419</v>
      </c>
      <c r="P39" s="54">
        <v>441261</v>
      </c>
      <c r="Q39" s="54">
        <v>444646</v>
      </c>
    </row>
    <row r="40" spans="1:17" ht="12.75" hidden="1">
      <c r="A40" s="6"/>
      <c r="B40" t="s">
        <v>147</v>
      </c>
      <c r="D40" s="1">
        <v>13178283</v>
      </c>
      <c r="E40" s="11">
        <f>SUM(F40:Q40)</f>
        <v>13178283</v>
      </c>
      <c r="F40" s="54">
        <v>1631105</v>
      </c>
      <c r="G40" s="54">
        <v>1581336</v>
      </c>
      <c r="H40" s="55">
        <v>1510410</v>
      </c>
      <c r="I40" s="54">
        <v>1292323</v>
      </c>
      <c r="J40" s="54">
        <v>1008125</v>
      </c>
      <c r="K40" s="54">
        <v>805565</v>
      </c>
      <c r="L40" s="54">
        <v>558940</v>
      </c>
      <c r="M40" s="54">
        <v>506824</v>
      </c>
      <c r="N40" s="54">
        <v>576592</v>
      </c>
      <c r="O40" s="54">
        <v>833938</v>
      </c>
      <c r="P40" s="54">
        <v>1326410</v>
      </c>
      <c r="Q40" s="54">
        <v>1546715</v>
      </c>
    </row>
    <row r="41" spans="2:17" ht="12.75" hidden="1">
      <c r="B41" t="s">
        <v>148</v>
      </c>
      <c r="D41" s="1">
        <v>30134887</v>
      </c>
      <c r="E41" s="11">
        <f>SUM(F41:Q41)</f>
        <v>30134887</v>
      </c>
      <c r="F41" s="54">
        <v>6273543</v>
      </c>
      <c r="G41" s="54">
        <v>4962461</v>
      </c>
      <c r="H41" s="55">
        <v>4333070</v>
      </c>
      <c r="I41" s="54">
        <v>2144194</v>
      </c>
      <c r="J41" s="54">
        <v>1305469</v>
      </c>
      <c r="K41" s="54">
        <v>864264</v>
      </c>
      <c r="L41" s="54">
        <v>482050</v>
      </c>
      <c r="M41" s="54">
        <v>448761</v>
      </c>
      <c r="N41" s="54">
        <v>730019</v>
      </c>
      <c r="O41" s="54">
        <v>900244</v>
      </c>
      <c r="P41" s="54">
        <v>3451280</v>
      </c>
      <c r="Q41" s="54">
        <v>4239532</v>
      </c>
    </row>
    <row r="42" spans="5:17" ht="12.75" hidden="1">
      <c r="E42" s="11">
        <f aca="true" t="shared" si="9" ref="E42:Q42">SUM(E39:E41)</f>
        <v>48202575</v>
      </c>
      <c r="F42" s="11">
        <f t="shared" si="9"/>
        <v>8349249</v>
      </c>
      <c r="G42" s="10">
        <f t="shared" si="9"/>
        <v>6984760</v>
      </c>
      <c r="H42" s="18">
        <f t="shared" si="9"/>
        <v>6284006</v>
      </c>
      <c r="I42" s="10">
        <f t="shared" si="9"/>
        <v>3871679</v>
      </c>
      <c r="J42" s="10">
        <f t="shared" si="9"/>
        <v>2735095</v>
      </c>
      <c r="K42" s="10">
        <f t="shared" si="9"/>
        <v>2074923</v>
      </c>
      <c r="L42" s="10">
        <f t="shared" si="9"/>
        <v>1387146</v>
      </c>
      <c r="M42" s="10">
        <f t="shared" si="9"/>
        <v>1271005</v>
      </c>
      <c r="N42" s="10">
        <f t="shared" si="9"/>
        <v>1653267</v>
      </c>
      <c r="O42" s="10">
        <f t="shared" si="9"/>
        <v>2141601</v>
      </c>
      <c r="P42" s="10">
        <f t="shared" si="9"/>
        <v>5218951</v>
      </c>
      <c r="Q42" s="10">
        <f t="shared" si="9"/>
        <v>6230893</v>
      </c>
    </row>
    <row r="43" spans="5:17" ht="12.75" hidden="1">
      <c r="E43" s="11">
        <f aca="true" t="shared" si="10" ref="E43:Q43">E42-E37</f>
        <v>-359619</v>
      </c>
      <c r="F43" s="11">
        <f t="shared" si="10"/>
        <v>751593.7530668899</v>
      </c>
      <c r="G43" s="17">
        <f t="shared" si="10"/>
        <v>459728.34251590166</v>
      </c>
      <c r="H43" s="17">
        <f t="shared" si="10"/>
        <v>466835.80314332247</v>
      </c>
      <c r="I43" s="17">
        <f t="shared" si="10"/>
        <v>-19329.4593921802</v>
      </c>
      <c r="J43" s="53">
        <f t="shared" si="10"/>
        <v>366904.0544195636</v>
      </c>
      <c r="K43" s="19">
        <f t="shared" si="10"/>
        <v>746398.4235997782</v>
      </c>
      <c r="L43" s="53">
        <f t="shared" si="10"/>
        <v>220644.3661205268</v>
      </c>
      <c r="M43" s="11">
        <f t="shared" si="10"/>
        <v>-82834.97300351365</v>
      </c>
      <c r="N43" s="19">
        <f t="shared" si="10"/>
        <v>-462799.6042040279</v>
      </c>
      <c r="O43" s="19">
        <f t="shared" si="10"/>
        <v>-1437357.7092042938</v>
      </c>
      <c r="P43" s="17">
        <f t="shared" si="10"/>
        <v>-435220.09524622</v>
      </c>
      <c r="Q43" s="53">
        <f t="shared" si="10"/>
        <v>-934181.9018157497</v>
      </c>
    </row>
    <row r="44" spans="5:17" ht="12.75" hidden="1">
      <c r="E44" s="11"/>
      <c r="F44" s="20">
        <f aca="true" t="shared" si="11" ref="F44:Q44">F43/F37</f>
        <v>0.09892443505781344</v>
      </c>
      <c r="G44" s="20">
        <f t="shared" si="11"/>
        <v>0.07045610912685783</v>
      </c>
      <c r="H44" s="20">
        <f t="shared" si="11"/>
        <v>0.08025135716255619</v>
      </c>
      <c r="I44" s="20">
        <f t="shared" si="11"/>
        <v>-0.004967724844062581</v>
      </c>
      <c r="J44" s="20">
        <f t="shared" si="11"/>
        <v>0.1549300976360403</v>
      </c>
      <c r="K44" s="20">
        <f t="shared" si="11"/>
        <v>0.5618250778786674</v>
      </c>
      <c r="L44" s="20">
        <f t="shared" si="11"/>
        <v>0.18915049898963493</v>
      </c>
      <c r="M44" s="20">
        <f t="shared" si="11"/>
        <v>-0.06118520257585766</v>
      </c>
      <c r="N44" s="20">
        <f t="shared" si="11"/>
        <v>-0.21870748457755326</v>
      </c>
      <c r="O44" s="20">
        <f t="shared" si="11"/>
        <v>-0.4016133814306732</v>
      </c>
      <c r="P44" s="20">
        <f t="shared" si="11"/>
        <v>-0.07697328006436417</v>
      </c>
      <c r="Q44" s="20">
        <f t="shared" si="11"/>
        <v>-0.13037992130117335</v>
      </c>
    </row>
    <row r="45" spans="5:17" ht="12.75" hidden="1">
      <c r="E45" s="11"/>
      <c r="F45" s="11"/>
      <c r="G45" s="17"/>
      <c r="H45" s="17"/>
      <c r="I45" s="17"/>
      <c r="J45" s="17"/>
      <c r="K45" s="17"/>
      <c r="L45" s="11"/>
      <c r="M45" s="11"/>
      <c r="N45" s="17"/>
      <c r="O45" s="17"/>
      <c r="P45" s="17"/>
      <c r="Q45" s="17"/>
    </row>
    <row r="46" spans="2:17" ht="12.75" hidden="1">
      <c r="B46" t="s">
        <v>54</v>
      </c>
      <c r="E46" s="20"/>
      <c r="F46" s="20">
        <f aca="true" t="shared" si="12" ref="F46:Q46">F39/F$42</f>
        <v>0.053250418091495416</v>
      </c>
      <c r="G46" s="20">
        <f t="shared" si="12"/>
        <v>0.06313216202131498</v>
      </c>
      <c r="H46" s="20">
        <f t="shared" si="12"/>
        <v>0.0701027338293439</v>
      </c>
      <c r="I46" s="20">
        <f t="shared" si="12"/>
        <v>0.11239619813522764</v>
      </c>
      <c r="J46" s="20">
        <f t="shared" si="12"/>
        <v>0.15410835821059232</v>
      </c>
      <c r="K46" s="20">
        <f t="shared" si="12"/>
        <v>0.19523326889720727</v>
      </c>
      <c r="L46" s="20">
        <f t="shared" si="12"/>
        <v>0.24954546961891538</v>
      </c>
      <c r="M46" s="20">
        <f t="shared" si="12"/>
        <v>0.24816582153492708</v>
      </c>
      <c r="N46" s="20">
        <f t="shared" si="12"/>
        <v>0.20967938028158792</v>
      </c>
      <c r="O46" s="20">
        <f t="shared" si="12"/>
        <v>0.19024038558069406</v>
      </c>
      <c r="P46" s="20">
        <f t="shared" si="12"/>
        <v>0.0845497495569512</v>
      </c>
      <c r="Q46" s="20">
        <f t="shared" si="12"/>
        <v>0.07136152073226101</v>
      </c>
    </row>
    <row r="47" spans="2:17" ht="12.75" hidden="1">
      <c r="B47" t="s">
        <v>55</v>
      </c>
      <c r="F47" s="20">
        <f aca="true" t="shared" si="13" ref="F47:Q47">F40/F$42</f>
        <v>0.1953594868233059</v>
      </c>
      <c r="G47" s="20">
        <f t="shared" si="13"/>
        <v>0.22639804374094458</v>
      </c>
      <c r="H47" s="20">
        <f t="shared" si="13"/>
        <v>0.2403578227009968</v>
      </c>
      <c r="I47" s="20">
        <f t="shared" si="13"/>
        <v>0.33378877742705426</v>
      </c>
      <c r="J47" s="20">
        <f t="shared" si="13"/>
        <v>0.36858865962608245</v>
      </c>
      <c r="K47" s="20">
        <f t="shared" si="13"/>
        <v>0.38823850330831555</v>
      </c>
      <c r="L47" s="20">
        <f t="shared" si="13"/>
        <v>0.40294244441464705</v>
      </c>
      <c r="M47" s="20">
        <f t="shared" si="13"/>
        <v>0.39875846279125576</v>
      </c>
      <c r="N47" s="20">
        <f t="shared" si="13"/>
        <v>0.3487591538450837</v>
      </c>
      <c r="O47" s="20">
        <f t="shared" si="13"/>
        <v>0.38939933255541065</v>
      </c>
      <c r="P47" s="20">
        <f t="shared" si="13"/>
        <v>0.2541526065295497</v>
      </c>
      <c r="Q47" s="20">
        <f t="shared" si="13"/>
        <v>0.24823327892165697</v>
      </c>
    </row>
    <row r="48" spans="2:17" ht="12.75" hidden="1">
      <c r="B48" t="s">
        <v>56</v>
      </c>
      <c r="F48" s="20">
        <f aca="true" t="shared" si="14" ref="F48:Q48">F41/F$42</f>
        <v>0.7513900950851987</v>
      </c>
      <c r="G48" s="20">
        <f t="shared" si="14"/>
        <v>0.7104697942377405</v>
      </c>
      <c r="H48" s="20">
        <f t="shared" si="14"/>
        <v>0.6895394434696593</v>
      </c>
      <c r="I48" s="20">
        <f t="shared" si="14"/>
        <v>0.5538150244377181</v>
      </c>
      <c r="J48" s="20">
        <f t="shared" si="14"/>
        <v>0.47730298216332523</v>
      </c>
      <c r="K48" s="20">
        <f t="shared" si="14"/>
        <v>0.4165282277944772</v>
      </c>
      <c r="L48" s="20">
        <f t="shared" si="14"/>
        <v>0.34751208596643757</v>
      </c>
      <c r="M48" s="20">
        <f t="shared" si="14"/>
        <v>0.3530757156738172</v>
      </c>
      <c r="N48" s="20">
        <f t="shared" si="14"/>
        <v>0.4415614658733284</v>
      </c>
      <c r="O48" s="20">
        <f t="shared" si="14"/>
        <v>0.4203602818638953</v>
      </c>
      <c r="P48" s="20">
        <f t="shared" si="14"/>
        <v>0.6612976439134991</v>
      </c>
      <c r="Q48" s="20">
        <f t="shared" si="14"/>
        <v>0.680405200346082</v>
      </c>
    </row>
    <row r="49" ht="12.75" hidden="1"/>
    <row r="50" ht="12.75" hidden="1">
      <c r="A50" t="s">
        <v>57</v>
      </c>
    </row>
    <row r="51" spans="2:17" ht="12.75" hidden="1">
      <c r="B51" t="s">
        <v>58</v>
      </c>
      <c r="E51" s="11">
        <f>SUM(F51:Q51)</f>
        <v>5026981.397714883</v>
      </c>
      <c r="F51" s="10">
        <f aca="true" t="shared" si="15" ref="F51:Q51">F$37*F46</f>
        <v>404578.31841423194</v>
      </c>
      <c r="G51" s="10">
        <f t="shared" si="15"/>
        <v>411939.35579449555</v>
      </c>
      <c r="H51" s="10">
        <f t="shared" si="15"/>
        <v>407799.5339502357</v>
      </c>
      <c r="I51" s="10">
        <f t="shared" si="15"/>
        <v>437334.5577476903</v>
      </c>
      <c r="J51" s="10">
        <f t="shared" si="15"/>
        <v>364958.01855259127</v>
      </c>
      <c r="K51" s="10">
        <f t="shared" si="15"/>
        <v>259372.19586089288</v>
      </c>
      <c r="L51" s="10">
        <f t="shared" si="15"/>
        <v>291095.19803768524</v>
      </c>
      <c r="M51" s="10">
        <f t="shared" si="15"/>
        <v>335976.80912724044</v>
      </c>
      <c r="N51" s="10">
        <f t="shared" si="15"/>
        <v>443695.53420406475</v>
      </c>
      <c r="O51" s="10">
        <f t="shared" si="15"/>
        <v>680862.4848164079</v>
      </c>
      <c r="P51" s="10">
        <f t="shared" si="15"/>
        <v>478058.7500552204</v>
      </c>
      <c r="Q51" s="10">
        <f t="shared" si="15"/>
        <v>511310.64115412766</v>
      </c>
    </row>
    <row r="52" spans="2:17" ht="12.75" hidden="1">
      <c r="B52" t="s">
        <v>59</v>
      </c>
      <c r="E52" s="11">
        <f>SUM(F52:Q52)</f>
        <v>13404340.72709661</v>
      </c>
      <c r="F52" s="10">
        <f aca="true" t="shared" si="16" ref="F52:Q52">F$37*F47</f>
        <v>1484274.0301012497</v>
      </c>
      <c r="G52" s="10">
        <f t="shared" si="16"/>
        <v>1477254.4026021329</v>
      </c>
      <c r="H52" s="10">
        <f t="shared" si="16"/>
        <v>1398202.3627976</v>
      </c>
      <c r="I52" s="10">
        <f t="shared" si="16"/>
        <v>1298774.9566188417</v>
      </c>
      <c r="J52" s="10">
        <f t="shared" si="16"/>
        <v>872888.3263701178</v>
      </c>
      <c r="K52" s="10">
        <f t="shared" si="16"/>
        <v>515784.39314993605</v>
      </c>
      <c r="L52" s="10">
        <f t="shared" si="16"/>
        <v>470033.01976907457</v>
      </c>
      <c r="M52" s="10">
        <f t="shared" si="16"/>
        <v>539855.1465002364</v>
      </c>
      <c r="N52" s="10">
        <f t="shared" si="16"/>
        <v>737997.5983620364</v>
      </c>
      <c r="O52" s="10">
        <f t="shared" si="16"/>
        <v>1393644.1326075261</v>
      </c>
      <c r="P52" s="10">
        <f t="shared" si="16"/>
        <v>1437022.3216208655</v>
      </c>
      <c r="Q52" s="10">
        <f t="shared" si="16"/>
        <v>1778610.036596993</v>
      </c>
    </row>
    <row r="53" spans="2:17" ht="12.75" hidden="1">
      <c r="B53" t="s">
        <v>60</v>
      </c>
      <c r="E53" s="11">
        <f>SUM(F53:Q53)</f>
        <v>30130871.875188515</v>
      </c>
      <c r="F53" s="10">
        <f aca="true" t="shared" si="17" ref="F53:Q53">F$37*F48</f>
        <v>5708802.898417628</v>
      </c>
      <c r="G53" s="10">
        <f t="shared" si="17"/>
        <v>4635837.89908747</v>
      </c>
      <c r="H53" s="10">
        <f t="shared" si="17"/>
        <v>4011168.300108842</v>
      </c>
      <c r="I53" s="10">
        <f t="shared" si="17"/>
        <v>2154898.9450256485</v>
      </c>
      <c r="J53" s="10">
        <f t="shared" si="17"/>
        <v>1130344.6006577273</v>
      </c>
      <c r="K53" s="10">
        <f t="shared" si="17"/>
        <v>553367.9873893929</v>
      </c>
      <c r="L53" s="10">
        <f t="shared" si="17"/>
        <v>405373.4160727134</v>
      </c>
      <c r="M53" s="10">
        <f t="shared" si="17"/>
        <v>478008.0173760369</v>
      </c>
      <c r="N53" s="10">
        <f t="shared" si="17"/>
        <v>934373.4716379268</v>
      </c>
      <c r="O53" s="10">
        <f t="shared" si="17"/>
        <v>1504452.0917803599</v>
      </c>
      <c r="P53" s="10">
        <f t="shared" si="17"/>
        <v>3739090.023570134</v>
      </c>
      <c r="Q53" s="10">
        <f t="shared" si="17"/>
        <v>4875154.224064629</v>
      </c>
    </row>
    <row r="54" ht="12.75" hidden="1"/>
    <row r="55" spans="2:17" ht="12.75" hidden="1">
      <c r="B55" t="s">
        <v>61</v>
      </c>
      <c r="F55" s="10">
        <f>F69*200</f>
        <v>466800</v>
      </c>
      <c r="G55" s="10">
        <f aca="true" t="shared" si="18" ref="G55:Q55">G69*200</f>
        <v>468400</v>
      </c>
      <c r="H55" s="10">
        <f t="shared" si="18"/>
        <v>470800</v>
      </c>
      <c r="I55" s="10">
        <f t="shared" si="18"/>
        <v>467200</v>
      </c>
      <c r="J55" s="10">
        <f t="shared" si="18"/>
        <v>460800</v>
      </c>
      <c r="K55" s="10">
        <f t="shared" si="18"/>
        <v>470400</v>
      </c>
      <c r="L55" s="10">
        <f t="shared" si="18"/>
        <v>455000</v>
      </c>
      <c r="M55" s="10">
        <f t="shared" si="18"/>
        <v>438000</v>
      </c>
      <c r="N55" s="10">
        <f t="shared" si="18"/>
        <v>438200</v>
      </c>
      <c r="O55" s="10">
        <f t="shared" si="18"/>
        <v>437000</v>
      </c>
      <c r="P55" s="10">
        <f t="shared" si="18"/>
        <v>439000</v>
      </c>
      <c r="Q55" s="10">
        <f t="shared" si="18"/>
        <v>442200</v>
      </c>
    </row>
    <row r="56" spans="2:17" ht="12.75" hidden="1">
      <c r="B56" t="s">
        <v>62</v>
      </c>
      <c r="F56" s="10">
        <f>F69*800</f>
        <v>1867200</v>
      </c>
      <c r="G56" s="10">
        <f aca="true" t="shared" si="19" ref="G56:Q56">G69*800</f>
        <v>1873600</v>
      </c>
      <c r="H56" s="10">
        <f t="shared" si="19"/>
        <v>1883200</v>
      </c>
      <c r="I56" s="10">
        <f t="shared" si="19"/>
        <v>1868800</v>
      </c>
      <c r="J56" s="10">
        <f t="shared" si="19"/>
        <v>1843200</v>
      </c>
      <c r="K56" s="10">
        <f t="shared" si="19"/>
        <v>1881600</v>
      </c>
      <c r="L56" s="10">
        <f t="shared" si="19"/>
        <v>1820000</v>
      </c>
      <c r="M56" s="10">
        <f t="shared" si="19"/>
        <v>1752000</v>
      </c>
      <c r="N56" s="10">
        <f t="shared" si="19"/>
        <v>1752800</v>
      </c>
      <c r="O56" s="10">
        <f t="shared" si="19"/>
        <v>1748000</v>
      </c>
      <c r="P56" s="10">
        <f t="shared" si="19"/>
        <v>1756000</v>
      </c>
      <c r="Q56" s="10">
        <f t="shared" si="19"/>
        <v>1768800</v>
      </c>
    </row>
    <row r="57" spans="6:17" ht="12.75" hidden="1">
      <c r="F57" s="10"/>
      <c r="G57" s="10"/>
      <c r="H57" s="10"/>
      <c r="I57" s="10"/>
      <c r="J57" s="10"/>
      <c r="K57" s="10"/>
      <c r="L57" s="10"/>
      <c r="M57" s="10"/>
      <c r="N57" s="10"/>
      <c r="O57" s="10"/>
      <c r="P57" s="10"/>
      <c r="Q57" s="10"/>
    </row>
    <row r="58" spans="2:17" ht="12.75" hidden="1">
      <c r="B58" t="s">
        <v>63</v>
      </c>
      <c r="F58" s="10"/>
      <c r="G58" s="10"/>
      <c r="H58" s="10"/>
      <c r="I58" s="10"/>
      <c r="J58" s="10"/>
      <c r="K58" s="10"/>
      <c r="L58" s="10"/>
      <c r="M58" s="10"/>
      <c r="N58" s="10"/>
      <c r="O58" s="10"/>
      <c r="P58" s="10"/>
      <c r="Q58" s="10"/>
    </row>
    <row r="59" spans="2:17" ht="12.75" hidden="1">
      <c r="B59" t="s">
        <v>58</v>
      </c>
      <c r="E59" s="11">
        <f>SUM(F59:Q59)</f>
        <v>-277007.4102298207</v>
      </c>
      <c r="F59" s="10">
        <v>10520</v>
      </c>
      <c r="G59" s="10">
        <v>10000</v>
      </c>
      <c r="H59" s="10">
        <v>10000</v>
      </c>
      <c r="I59" s="10">
        <v>10000</v>
      </c>
      <c r="J59" s="10">
        <v>10000</v>
      </c>
      <c r="K59" s="10">
        <v>10000</v>
      </c>
      <c r="L59" s="10">
        <v>10000</v>
      </c>
      <c r="M59" s="10">
        <v>10000</v>
      </c>
      <c r="N59" s="10">
        <f>N55-N51</f>
        <v>-5495.534204064752</v>
      </c>
      <c r="O59" s="10">
        <f>O55-O51</f>
        <v>-243862.4848164079</v>
      </c>
      <c r="P59" s="10">
        <f>P55-P51</f>
        <v>-39058.750055220386</v>
      </c>
      <c r="Q59" s="10">
        <f>Q55-Q51</f>
        <v>-69110.64115412766</v>
      </c>
    </row>
    <row r="60" spans="2:17" ht="12.75" hidden="1">
      <c r="B60" t="s">
        <v>59</v>
      </c>
      <c r="E60" s="11">
        <f>SUM(F60:Q60)</f>
        <v>-9810.036596992984</v>
      </c>
      <c r="F60" s="10">
        <v>0</v>
      </c>
      <c r="G60" s="10">
        <v>0</v>
      </c>
      <c r="H60" s="10">
        <v>0</v>
      </c>
      <c r="I60" s="10">
        <v>0</v>
      </c>
      <c r="J60" s="10">
        <v>0</v>
      </c>
      <c r="K60" s="10">
        <v>0</v>
      </c>
      <c r="L60" s="10">
        <v>0</v>
      </c>
      <c r="M60" s="10">
        <v>0</v>
      </c>
      <c r="N60" s="10">
        <v>0</v>
      </c>
      <c r="O60" s="10">
        <v>0</v>
      </c>
      <c r="P60" s="10">
        <v>0</v>
      </c>
      <c r="Q60" s="10">
        <f>Q56-Q52</f>
        <v>-9810.036596992984</v>
      </c>
    </row>
    <row r="61" spans="2:17" ht="12.75" hidden="1">
      <c r="B61" t="s">
        <v>60</v>
      </c>
      <c r="E61" s="11">
        <f>SUM(F61:Q61)</f>
        <v>286817.4468268137</v>
      </c>
      <c r="F61" s="10">
        <f aca="true" t="shared" si="20" ref="F61:Q61">-F60-F59</f>
        <v>-10520</v>
      </c>
      <c r="G61" s="10">
        <f t="shared" si="20"/>
        <v>-10000</v>
      </c>
      <c r="H61" s="10">
        <f t="shared" si="20"/>
        <v>-10000</v>
      </c>
      <c r="I61" s="10">
        <f t="shared" si="20"/>
        <v>-10000</v>
      </c>
      <c r="J61" s="10">
        <f t="shared" si="20"/>
        <v>-10000</v>
      </c>
      <c r="K61" s="10">
        <f t="shared" si="20"/>
        <v>-10000</v>
      </c>
      <c r="L61" s="10">
        <f t="shared" si="20"/>
        <v>-10000</v>
      </c>
      <c r="M61" s="10">
        <f t="shared" si="20"/>
        <v>-10000</v>
      </c>
      <c r="N61" s="10">
        <f t="shared" si="20"/>
        <v>5495.534204064752</v>
      </c>
      <c r="O61" s="10">
        <f t="shared" si="20"/>
        <v>243862.4848164079</v>
      </c>
      <c r="P61" s="10">
        <f t="shared" si="20"/>
        <v>39058.750055220386</v>
      </c>
      <c r="Q61" s="10">
        <f t="shared" si="20"/>
        <v>78920.67775112065</v>
      </c>
    </row>
    <row r="62" spans="6:17" ht="12.75" hidden="1">
      <c r="F62" s="10"/>
      <c r="G62" s="10"/>
      <c r="H62" s="10"/>
      <c r="I62" s="10"/>
      <c r="J62" s="10"/>
      <c r="K62" s="10"/>
      <c r="L62" s="10"/>
      <c r="M62" s="10"/>
      <c r="N62" s="10"/>
      <c r="O62" s="10"/>
      <c r="P62" s="10"/>
      <c r="Q62" s="10"/>
    </row>
    <row r="63" spans="1:17" ht="12.75" hidden="1">
      <c r="A63" t="s">
        <v>64</v>
      </c>
      <c r="F63" s="10"/>
      <c r="G63" s="10"/>
      <c r="H63" s="10"/>
      <c r="I63" s="10"/>
      <c r="J63" s="10"/>
      <c r="K63" s="10"/>
      <c r="L63" s="10"/>
      <c r="M63" s="10"/>
      <c r="N63" s="10"/>
      <c r="O63" s="10"/>
      <c r="P63" s="10"/>
      <c r="Q63" s="10"/>
    </row>
    <row r="64" spans="2:17" ht="12.75" hidden="1">
      <c r="B64" t="s">
        <v>58</v>
      </c>
      <c r="E64" s="11">
        <f>SUM(F64:Q64)</f>
        <v>4749973.987485063</v>
      </c>
      <c r="F64" s="10">
        <f aca="true" t="shared" si="21" ref="F64:Q64">F51+F59</f>
        <v>415098.31841423194</v>
      </c>
      <c r="G64" s="10">
        <f t="shared" si="21"/>
        <v>421939.35579449555</v>
      </c>
      <c r="H64" s="10">
        <f t="shared" si="21"/>
        <v>417799.5339502357</v>
      </c>
      <c r="I64" s="10">
        <f t="shared" si="21"/>
        <v>447334.5577476903</v>
      </c>
      <c r="J64" s="10">
        <f t="shared" si="21"/>
        <v>374958.01855259127</v>
      </c>
      <c r="K64" s="10">
        <f t="shared" si="21"/>
        <v>269372.1958608929</v>
      </c>
      <c r="L64" s="10">
        <f t="shared" si="21"/>
        <v>301095.19803768524</v>
      </c>
      <c r="M64" s="10">
        <f t="shared" si="21"/>
        <v>345976.80912724044</v>
      </c>
      <c r="N64" s="10">
        <f t="shared" si="21"/>
        <v>438200</v>
      </c>
      <c r="O64" s="10">
        <f t="shared" si="21"/>
        <v>437000</v>
      </c>
      <c r="P64" s="10">
        <f t="shared" si="21"/>
        <v>439000</v>
      </c>
      <c r="Q64" s="10">
        <f t="shared" si="21"/>
        <v>442200</v>
      </c>
    </row>
    <row r="65" spans="2:17" ht="12.75" hidden="1">
      <c r="B65" t="s">
        <v>59</v>
      </c>
      <c r="E65" s="11">
        <f>SUM(F65:Q65)</f>
        <v>13394530.690499617</v>
      </c>
      <c r="F65" s="10">
        <f aca="true" t="shared" si="22" ref="F65:Q65">F52+F60</f>
        <v>1484274.0301012497</v>
      </c>
      <c r="G65" s="10">
        <f t="shared" si="22"/>
        <v>1477254.4026021329</v>
      </c>
      <c r="H65" s="10">
        <f t="shared" si="22"/>
        <v>1398202.3627976</v>
      </c>
      <c r="I65" s="10">
        <f t="shared" si="22"/>
        <v>1298774.9566188417</v>
      </c>
      <c r="J65" s="10">
        <f t="shared" si="22"/>
        <v>872888.3263701178</v>
      </c>
      <c r="K65" s="10">
        <f t="shared" si="22"/>
        <v>515784.39314993605</v>
      </c>
      <c r="L65" s="10">
        <f t="shared" si="22"/>
        <v>470033.01976907457</v>
      </c>
      <c r="M65" s="10">
        <f t="shared" si="22"/>
        <v>539855.1465002364</v>
      </c>
      <c r="N65" s="10">
        <f t="shared" si="22"/>
        <v>737997.5983620364</v>
      </c>
      <c r="O65" s="10">
        <f t="shared" si="22"/>
        <v>1393644.1326075261</v>
      </c>
      <c r="P65" s="10">
        <f t="shared" si="22"/>
        <v>1437022.3216208655</v>
      </c>
      <c r="Q65" s="10">
        <f t="shared" si="22"/>
        <v>1768800</v>
      </c>
    </row>
    <row r="66" spans="2:17" ht="12.75" hidden="1">
      <c r="B66" t="s">
        <v>60</v>
      </c>
      <c r="E66" s="11">
        <f>SUM(F66:Q66)</f>
        <v>30417689.322015326</v>
      </c>
      <c r="F66" s="10">
        <f aca="true" t="shared" si="23" ref="F66:Q66">F53+F61</f>
        <v>5698282.898417628</v>
      </c>
      <c r="G66" s="10">
        <f t="shared" si="23"/>
        <v>4625837.89908747</v>
      </c>
      <c r="H66" s="10">
        <f t="shared" si="23"/>
        <v>4001168.300108842</v>
      </c>
      <c r="I66" s="10">
        <f t="shared" si="23"/>
        <v>2144898.9450256485</v>
      </c>
      <c r="J66" s="10">
        <f t="shared" si="23"/>
        <v>1120344.6006577273</v>
      </c>
      <c r="K66" s="10">
        <f t="shared" si="23"/>
        <v>543367.9873893929</v>
      </c>
      <c r="L66" s="10">
        <f t="shared" si="23"/>
        <v>395373.4160727134</v>
      </c>
      <c r="M66" s="10">
        <f t="shared" si="23"/>
        <v>468008.0173760369</v>
      </c>
      <c r="N66" s="10">
        <f t="shared" si="23"/>
        <v>939869.0058419915</v>
      </c>
      <c r="O66" s="10">
        <f t="shared" si="23"/>
        <v>1748314.5765967676</v>
      </c>
      <c r="P66" s="10">
        <f t="shared" si="23"/>
        <v>3778148.7736253543</v>
      </c>
      <c r="Q66" s="10">
        <f t="shared" si="23"/>
        <v>4954074.90181575</v>
      </c>
    </row>
    <row r="67" spans="6:17" ht="12.75" hidden="1">
      <c r="F67" s="10"/>
      <c r="G67" s="10"/>
      <c r="H67" s="10"/>
      <c r="I67" s="10"/>
      <c r="J67" s="10"/>
      <c r="K67" s="10"/>
      <c r="L67" s="10"/>
      <c r="M67" s="10"/>
      <c r="N67" s="10"/>
      <c r="O67" s="10"/>
      <c r="P67" s="10"/>
      <c r="Q67" s="10"/>
    </row>
    <row r="68" ht="12.75" hidden="1">
      <c r="A68" s="59" t="s">
        <v>52</v>
      </c>
    </row>
    <row r="69" spans="1:17" ht="12.75" hidden="1">
      <c r="A69" t="s">
        <v>172</v>
      </c>
      <c r="D69" s="11">
        <v>27269</v>
      </c>
      <c r="E69" s="11">
        <f>SUM(F69:Q69)</f>
        <v>27269</v>
      </c>
      <c r="F69" s="11">
        <f>'2004 Data'!D135+'2004 Data'!D138+'2004 Data'!D140+'2004 Data'!D142</f>
        <v>2334</v>
      </c>
      <c r="G69" s="11">
        <f>'2004 Data'!E135+'2004 Data'!E138+'2004 Data'!E140+'2004 Data'!E142</f>
        <v>2342</v>
      </c>
      <c r="H69" s="11">
        <f>'2004 Data'!F135+'2004 Data'!F138+'2004 Data'!F140+'2004 Data'!F142</f>
        <v>2354</v>
      </c>
      <c r="I69" s="11">
        <f>'2004 Data'!G135+'2004 Data'!G138+'2004 Data'!G140+'2004 Data'!G142</f>
        <v>2336</v>
      </c>
      <c r="J69" s="11">
        <f>'2004 Data'!H135+'2004 Data'!H138+'2004 Data'!H140+'2004 Data'!H142</f>
        <v>2304</v>
      </c>
      <c r="K69" s="11">
        <f>'2004 Data'!I135+'2004 Data'!I138+'2004 Data'!I140+'2004 Data'!I142</f>
        <v>2352</v>
      </c>
      <c r="L69" s="11">
        <f>'2004 Data'!J135+'2004 Data'!J138+'2004 Data'!J140+'2004 Data'!J142</f>
        <v>2275</v>
      </c>
      <c r="M69" s="11">
        <f>'2004 Data'!K135+'2004 Data'!K138+'2004 Data'!K140+'2004 Data'!K142</f>
        <v>2190</v>
      </c>
      <c r="N69" s="11">
        <f>'2004 Data'!L135+'2004 Data'!L138+'2004 Data'!L140+'2004 Data'!L142</f>
        <v>2191</v>
      </c>
      <c r="O69" s="11">
        <f>'2004 Data'!M135+'2004 Data'!M138+'2004 Data'!M140+'2004 Data'!M142</f>
        <v>2185</v>
      </c>
      <c r="P69" s="11">
        <f>'2004 Data'!N135+'2004 Data'!N138+'2004 Data'!N140+'2004 Data'!N142</f>
        <v>2195</v>
      </c>
      <c r="Q69" s="11">
        <f>'2004 Data'!O135+'2004 Data'!O138+'2004 Data'!O140+'2004 Data'!O142</f>
        <v>2211</v>
      </c>
    </row>
    <row r="70" spans="1:17" ht="12.75" hidden="1">
      <c r="A70" t="s">
        <v>53</v>
      </c>
      <c r="D70" s="11"/>
      <c r="E70" s="8">
        <f>E37/E69</f>
        <v>1780.8571638123876</v>
      </c>
      <c r="F70" s="8">
        <f aca="true" t="shared" si="24" ref="F70:Q70">F37/F69</f>
        <v>3255.2079035703127</v>
      </c>
      <c r="G70" s="8">
        <f t="shared" si="24"/>
        <v>2786.093790556831</v>
      </c>
      <c r="H70" s="8">
        <f t="shared" si="24"/>
        <v>2471.1853002789626</v>
      </c>
      <c r="I70" s="8">
        <f t="shared" si="24"/>
        <v>1665.6714295343238</v>
      </c>
      <c r="J70" s="8">
        <f t="shared" si="24"/>
        <v>1027.860653463731</v>
      </c>
      <c r="K70" s="8">
        <f t="shared" si="24"/>
        <v>564.8488845239038</v>
      </c>
      <c r="L70" s="8">
        <f t="shared" si="24"/>
        <v>512.7479709360322</v>
      </c>
      <c r="M70" s="8">
        <f t="shared" si="24"/>
        <v>618.1917684947551</v>
      </c>
      <c r="N70" s="8">
        <f t="shared" si="24"/>
        <v>965.799454223655</v>
      </c>
      <c r="O70" s="8">
        <f t="shared" si="24"/>
        <v>1637.967372633544</v>
      </c>
      <c r="P70" s="8">
        <f t="shared" si="24"/>
        <v>2575.9321618433805</v>
      </c>
      <c r="Q70" s="8">
        <f t="shared" si="24"/>
        <v>3240.6489831821573</v>
      </c>
    </row>
    <row r="71" spans="4:17" ht="12.75" hidden="1">
      <c r="D71" s="11"/>
      <c r="E71" s="8"/>
      <c r="F71" s="8"/>
      <c r="G71" s="8"/>
      <c r="H71" s="8"/>
      <c r="I71" s="8"/>
      <c r="J71" s="8"/>
      <c r="K71" s="8"/>
      <c r="L71" s="8"/>
      <c r="M71" s="8"/>
      <c r="N71" s="8"/>
      <c r="O71" s="8"/>
      <c r="P71" s="8"/>
      <c r="Q71" s="8"/>
    </row>
    <row r="72" spans="1:7" ht="12.75" hidden="1">
      <c r="A72" s="6" t="s">
        <v>174</v>
      </c>
      <c r="D72" s="2">
        <v>0.78483</v>
      </c>
      <c r="E72" s="2"/>
      <c r="F72" s="57"/>
      <c r="G72" s="57"/>
    </row>
    <row r="73" spans="1:7" ht="12.75" hidden="1">
      <c r="A73" s="6" t="s">
        <v>170</v>
      </c>
      <c r="D73" s="58">
        <v>0.68257</v>
      </c>
      <c r="E73" s="2"/>
      <c r="F73" s="57"/>
      <c r="G73" s="57"/>
    </row>
    <row r="74" spans="1:7" ht="12.75" hidden="1">
      <c r="A74" s="6" t="s">
        <v>160</v>
      </c>
      <c r="D74" s="6">
        <f>D72-D73</f>
        <v>0.10226000000000002</v>
      </c>
      <c r="E74" s="2"/>
      <c r="F74" s="57"/>
      <c r="G74" s="57"/>
    </row>
    <row r="75" ht="12.75" hidden="1"/>
    <row r="77" ht="12.75">
      <c r="A77" s="2" t="s">
        <v>175</v>
      </c>
    </row>
    <row r="78" ht="12.75">
      <c r="A78" s="2" t="s">
        <v>176</v>
      </c>
    </row>
    <row r="79" ht="12.75">
      <c r="A79" s="2" t="s">
        <v>177</v>
      </c>
    </row>
    <row r="80" ht="12.75">
      <c r="A80" s="2" t="s">
        <v>178</v>
      </c>
    </row>
    <row r="82" ht="12.75">
      <c r="A82" s="6" t="s">
        <v>202</v>
      </c>
    </row>
    <row r="83" spans="1:4" ht="12.75">
      <c r="A83" s="95" t="s">
        <v>208</v>
      </c>
      <c r="D83" s="91"/>
    </row>
    <row r="84" spans="2:5" ht="12.75">
      <c r="B84" s="1" t="s">
        <v>203</v>
      </c>
      <c r="C84" s="1"/>
      <c r="D84" s="1"/>
      <c r="E84" s="92">
        <v>0.89117</v>
      </c>
    </row>
    <row r="85" spans="2:5" ht="12.75">
      <c r="B85" s="1" t="s">
        <v>204</v>
      </c>
      <c r="C85" s="1"/>
      <c r="D85" s="1"/>
      <c r="E85" s="2">
        <v>0.956533</v>
      </c>
    </row>
    <row r="86" spans="2:5" ht="12.75">
      <c r="B86" s="1" t="s">
        <v>205</v>
      </c>
      <c r="C86" s="1"/>
      <c r="D86" s="1"/>
      <c r="E86" s="93">
        <f>ROUND(E84*E85,5)</f>
        <v>0.85243</v>
      </c>
    </row>
    <row r="87" spans="2:5" ht="12.75">
      <c r="B87" s="1" t="s">
        <v>206</v>
      </c>
      <c r="C87" s="1"/>
      <c r="D87" s="1"/>
      <c r="E87" s="92">
        <f>0.65315+0.00106</f>
        <v>0.65421</v>
      </c>
    </row>
    <row r="88" spans="2:5" ht="12.75">
      <c r="B88" s="80" t="s">
        <v>207</v>
      </c>
      <c r="C88" s="80"/>
      <c r="D88" s="80"/>
      <c r="E88" s="94">
        <f>E86-E87</f>
        <v>0.19822000000000006</v>
      </c>
    </row>
  </sheetData>
  <printOptions horizontalCentered="1" verticalCentered="1"/>
  <pageMargins left="0.25" right="0.25" top="0.5" bottom="0.25" header="0.5" footer="0.5"/>
  <pageSetup horizontalDpi="600" verticalDpi="600" orientation="landscape" scale="72" r:id="rId1"/>
</worksheet>
</file>

<file path=xl/worksheets/sheet6.xml><?xml version="1.0" encoding="utf-8"?>
<worksheet xmlns="http://schemas.openxmlformats.org/spreadsheetml/2006/main" xmlns:r="http://schemas.openxmlformats.org/officeDocument/2006/relationships">
  <sheetPr>
    <pageSetUpPr fitToPage="1"/>
  </sheetPr>
  <dimension ref="A1:P195"/>
  <sheetViews>
    <sheetView workbookViewId="0" topLeftCell="A11">
      <selection activeCell="D106" sqref="D106"/>
    </sheetView>
  </sheetViews>
  <sheetFormatPr defaultColWidth="9.140625" defaultRowHeight="12.75"/>
  <cols>
    <col min="1" max="1" width="8.140625" style="0" customWidth="1"/>
    <col min="2" max="2" width="11.57421875" style="0" customWidth="1"/>
    <col min="3" max="3" width="13.7109375" style="0" customWidth="1"/>
    <col min="4" max="15" width="11.00390625" style="0" customWidth="1"/>
    <col min="16" max="16" width="13.28125" style="0" customWidth="1"/>
    <col min="17" max="17" width="12.28125" style="0" customWidth="1"/>
  </cols>
  <sheetData>
    <row r="1" ht="12.75">
      <c r="A1" t="s">
        <v>65</v>
      </c>
    </row>
    <row r="2" ht="12.75">
      <c r="A2" t="s">
        <v>96</v>
      </c>
    </row>
    <row r="4" ht="12.75">
      <c r="A4" s="26" t="s">
        <v>97</v>
      </c>
    </row>
    <row r="6" spans="1:16" ht="12.75">
      <c r="A6" s="32"/>
      <c r="B6" s="33"/>
      <c r="C6" s="34"/>
      <c r="D6" s="27" t="s">
        <v>98</v>
      </c>
      <c r="E6" s="27"/>
      <c r="F6" s="27"/>
      <c r="G6" s="27"/>
      <c r="H6" s="27"/>
      <c r="I6" s="27"/>
      <c r="J6" s="27"/>
      <c r="K6" s="27"/>
      <c r="L6" s="27"/>
      <c r="M6" s="27"/>
      <c r="N6" s="27"/>
      <c r="O6" s="27"/>
      <c r="P6" s="27"/>
    </row>
    <row r="7" spans="1:16" ht="12.75">
      <c r="A7" s="35"/>
      <c r="B7" s="36"/>
      <c r="C7" s="37" t="s">
        <v>99</v>
      </c>
      <c r="D7" s="26" t="s">
        <v>100</v>
      </c>
      <c r="E7" s="26" t="s">
        <v>101</v>
      </c>
      <c r="F7" s="26" t="s">
        <v>102</v>
      </c>
      <c r="G7" s="26" t="s">
        <v>103</v>
      </c>
      <c r="H7" s="26" t="s">
        <v>104</v>
      </c>
      <c r="I7" s="26" t="s">
        <v>105</v>
      </c>
      <c r="J7" s="26" t="s">
        <v>106</v>
      </c>
      <c r="K7" s="26" t="s">
        <v>107</v>
      </c>
      <c r="L7" s="26" t="s">
        <v>108</v>
      </c>
      <c r="M7" s="26" t="s">
        <v>109</v>
      </c>
      <c r="N7" s="26" t="s">
        <v>110</v>
      </c>
      <c r="O7" s="26" t="s">
        <v>111</v>
      </c>
      <c r="P7" s="47" t="s">
        <v>112</v>
      </c>
    </row>
    <row r="8" spans="1:16" ht="12.75">
      <c r="A8" s="38" t="s">
        <v>113</v>
      </c>
      <c r="B8" s="38" t="s">
        <v>114</v>
      </c>
      <c r="C8" s="39"/>
      <c r="D8" s="39"/>
      <c r="E8" s="39"/>
      <c r="F8" s="39"/>
      <c r="G8" s="39"/>
      <c r="H8" s="39"/>
      <c r="I8" s="39"/>
      <c r="J8" s="39"/>
      <c r="K8" s="39"/>
      <c r="L8" s="39"/>
      <c r="M8" s="39"/>
      <c r="N8" s="39"/>
      <c r="O8" s="39"/>
      <c r="P8" s="39"/>
    </row>
    <row r="9" spans="1:16" ht="12.75">
      <c r="A9" s="40" t="s">
        <v>40</v>
      </c>
      <c r="B9" s="38" t="s">
        <v>21</v>
      </c>
      <c r="C9" s="39"/>
      <c r="D9" s="51">
        <v>18683203</v>
      </c>
      <c r="E9" s="51">
        <v>14757018</v>
      </c>
      <c r="F9" s="51">
        <v>12159759</v>
      </c>
      <c r="G9" s="51">
        <v>7477930</v>
      </c>
      <c r="H9" s="51">
        <v>4921084</v>
      </c>
      <c r="I9" s="51">
        <v>3654491</v>
      </c>
      <c r="J9" s="51">
        <v>2248401</v>
      </c>
      <c r="K9" s="51">
        <v>1932765</v>
      </c>
      <c r="L9" s="51">
        <v>2222919</v>
      </c>
      <c r="M9" s="51">
        <v>3612040</v>
      </c>
      <c r="N9" s="51">
        <v>8463550</v>
      </c>
      <c r="O9" s="51">
        <v>13355312</v>
      </c>
      <c r="P9" s="29">
        <v>93488472</v>
      </c>
    </row>
    <row r="10" spans="1:16" ht="12.75">
      <c r="A10" s="41"/>
      <c r="B10" s="38" t="s">
        <v>22</v>
      </c>
      <c r="C10" s="39"/>
      <c r="D10" s="51">
        <v>3657725</v>
      </c>
      <c r="E10" s="51">
        <v>3070007</v>
      </c>
      <c r="F10" s="51">
        <v>2246781</v>
      </c>
      <c r="G10" s="51">
        <v>1022174</v>
      </c>
      <c r="H10" s="51">
        <v>601325</v>
      </c>
      <c r="I10" s="51">
        <v>372376</v>
      </c>
      <c r="J10" s="51">
        <v>252746</v>
      </c>
      <c r="K10" s="51">
        <v>212549</v>
      </c>
      <c r="L10" s="51">
        <v>220927</v>
      </c>
      <c r="M10" s="51">
        <v>392705</v>
      </c>
      <c r="N10" s="51">
        <v>1363127</v>
      </c>
      <c r="O10" s="51">
        <v>2568510</v>
      </c>
      <c r="P10" s="29">
        <v>15980952</v>
      </c>
    </row>
    <row r="11" spans="1:16" ht="12.75">
      <c r="A11" s="41"/>
      <c r="B11" s="38" t="s">
        <v>70</v>
      </c>
      <c r="C11" s="39"/>
      <c r="D11" s="51">
        <v>56715</v>
      </c>
      <c r="E11" s="51">
        <v>41879</v>
      </c>
      <c r="F11" s="51">
        <v>30258</v>
      </c>
      <c r="G11" s="51">
        <v>12607</v>
      </c>
      <c r="H11" s="51">
        <v>5152</v>
      </c>
      <c r="I11" s="51">
        <v>2706</v>
      </c>
      <c r="J11" s="51">
        <v>1807</v>
      </c>
      <c r="K11" s="51">
        <v>1373</v>
      </c>
      <c r="L11" s="51">
        <v>1979</v>
      </c>
      <c r="M11" s="51">
        <v>4826</v>
      </c>
      <c r="N11" s="51">
        <v>19291</v>
      </c>
      <c r="O11" s="51">
        <v>40842</v>
      </c>
      <c r="P11" s="29">
        <v>219435</v>
      </c>
    </row>
    <row r="12" spans="1:16" ht="12.75">
      <c r="A12" s="41"/>
      <c r="B12" s="38" t="s">
        <v>71</v>
      </c>
      <c r="C12" s="39"/>
      <c r="D12" s="51">
        <v>12918</v>
      </c>
      <c r="E12" s="51">
        <v>10545</v>
      </c>
      <c r="F12" s="51">
        <v>8264</v>
      </c>
      <c r="G12" s="51">
        <v>4122</v>
      </c>
      <c r="H12" s="51">
        <v>1816</v>
      </c>
      <c r="I12" s="51">
        <v>1036</v>
      </c>
      <c r="J12" s="51">
        <v>391</v>
      </c>
      <c r="K12" s="51">
        <v>249</v>
      </c>
      <c r="L12" s="51">
        <v>194</v>
      </c>
      <c r="M12" s="51">
        <v>1190</v>
      </c>
      <c r="N12" s="51">
        <v>4518</v>
      </c>
      <c r="O12" s="51">
        <v>9537</v>
      </c>
      <c r="P12" s="29">
        <v>54780</v>
      </c>
    </row>
    <row r="13" spans="1:16" ht="12.75">
      <c r="A13" s="42"/>
      <c r="B13" s="43" t="s">
        <v>115</v>
      </c>
      <c r="C13" s="39"/>
      <c r="D13" s="50">
        <v>22410561</v>
      </c>
      <c r="E13" s="50">
        <v>17879449</v>
      </c>
      <c r="F13" s="50">
        <v>14445062</v>
      </c>
      <c r="G13" s="50">
        <v>8516833</v>
      </c>
      <c r="H13" s="50">
        <v>5529377</v>
      </c>
      <c r="I13" s="50">
        <v>4030609</v>
      </c>
      <c r="J13" s="50">
        <v>2503345</v>
      </c>
      <c r="K13" s="50">
        <v>2146936</v>
      </c>
      <c r="L13" s="50">
        <v>2446019</v>
      </c>
      <c r="M13" s="50">
        <v>4010761</v>
      </c>
      <c r="N13" s="50">
        <v>9850486</v>
      </c>
      <c r="O13" s="50">
        <v>15974201</v>
      </c>
      <c r="P13" s="50">
        <v>109743639</v>
      </c>
    </row>
    <row r="14" spans="1:16" ht="12.75">
      <c r="A14" s="40" t="s">
        <v>34</v>
      </c>
      <c r="B14" s="38" t="s">
        <v>21</v>
      </c>
      <c r="C14" s="39"/>
      <c r="D14" s="51">
        <v>692448</v>
      </c>
      <c r="E14" s="51">
        <v>795931</v>
      </c>
      <c r="F14" s="51">
        <v>812176</v>
      </c>
      <c r="G14" s="51">
        <v>482856</v>
      </c>
      <c r="H14" s="51">
        <v>335693</v>
      </c>
      <c r="I14" s="51">
        <v>274153</v>
      </c>
      <c r="J14" s="51">
        <v>133308</v>
      </c>
      <c r="K14" s="51">
        <v>101265</v>
      </c>
      <c r="L14" s="51">
        <v>108195</v>
      </c>
      <c r="M14" s="51">
        <v>178520</v>
      </c>
      <c r="N14" s="51">
        <v>324223</v>
      </c>
      <c r="O14" s="51">
        <v>585523</v>
      </c>
      <c r="P14" s="29">
        <v>4824291</v>
      </c>
    </row>
    <row r="15" spans="1:16" ht="12.75">
      <c r="A15" s="41"/>
      <c r="B15" s="38" t="s">
        <v>22</v>
      </c>
      <c r="C15" s="39"/>
      <c r="D15" s="51">
        <v>7217871</v>
      </c>
      <c r="E15" s="51">
        <v>5779508</v>
      </c>
      <c r="F15" s="51">
        <v>4687561</v>
      </c>
      <c r="G15" s="51">
        <v>3145836</v>
      </c>
      <c r="H15" s="51">
        <v>2187596</v>
      </c>
      <c r="I15" s="51">
        <v>1643124</v>
      </c>
      <c r="J15" s="51">
        <v>1154257</v>
      </c>
      <c r="K15" s="51">
        <v>1027680</v>
      </c>
      <c r="L15" s="51">
        <v>1434257</v>
      </c>
      <c r="M15" s="51">
        <v>1597390</v>
      </c>
      <c r="N15" s="51">
        <v>3473089</v>
      </c>
      <c r="O15" s="51">
        <v>5133580</v>
      </c>
      <c r="P15" s="29">
        <v>38481749</v>
      </c>
    </row>
    <row r="16" spans="1:16" ht="12.75">
      <c r="A16" s="41"/>
      <c r="B16" s="38" t="s">
        <v>70</v>
      </c>
      <c r="C16" s="39"/>
      <c r="D16" s="51">
        <v>306307</v>
      </c>
      <c r="E16" s="51">
        <v>254249</v>
      </c>
      <c r="F16" s="51">
        <v>229800</v>
      </c>
      <c r="G16" s="51">
        <v>145145</v>
      </c>
      <c r="H16" s="51">
        <v>137108</v>
      </c>
      <c r="I16" s="51">
        <v>76852</v>
      </c>
      <c r="J16" s="51">
        <v>73730</v>
      </c>
      <c r="K16" s="51">
        <v>64475</v>
      </c>
      <c r="L16" s="51">
        <v>73171</v>
      </c>
      <c r="M16" s="51">
        <v>110376</v>
      </c>
      <c r="N16" s="51">
        <v>202773</v>
      </c>
      <c r="O16" s="51">
        <v>242689</v>
      </c>
      <c r="P16" s="29">
        <v>1916675</v>
      </c>
    </row>
    <row r="17" spans="1:16" ht="12.75">
      <c r="A17" s="41"/>
      <c r="B17" s="38" t="s">
        <v>71</v>
      </c>
      <c r="C17" s="39"/>
      <c r="D17" s="51">
        <v>72632</v>
      </c>
      <c r="E17" s="51">
        <v>72936</v>
      </c>
      <c r="F17" s="51">
        <v>55685</v>
      </c>
      <c r="G17" s="51">
        <v>40158</v>
      </c>
      <c r="H17" s="51">
        <v>25742</v>
      </c>
      <c r="I17" s="51">
        <v>16922</v>
      </c>
      <c r="J17" s="51">
        <v>10603</v>
      </c>
      <c r="K17" s="51">
        <v>2741</v>
      </c>
      <c r="L17" s="51">
        <v>111</v>
      </c>
      <c r="M17" s="51">
        <v>11212</v>
      </c>
      <c r="N17" s="51">
        <v>26631</v>
      </c>
      <c r="O17" s="51">
        <v>53003</v>
      </c>
      <c r="P17" s="29">
        <v>388376</v>
      </c>
    </row>
    <row r="18" spans="1:16" ht="12.75">
      <c r="A18" s="42"/>
      <c r="B18" s="43" t="s">
        <v>116</v>
      </c>
      <c r="C18" s="39"/>
      <c r="D18" s="50">
        <v>8289258</v>
      </c>
      <c r="E18" s="50">
        <v>6902624</v>
      </c>
      <c r="F18" s="50">
        <v>5785222</v>
      </c>
      <c r="G18" s="50">
        <v>3813995</v>
      </c>
      <c r="H18" s="50">
        <v>2686139</v>
      </c>
      <c r="I18" s="50">
        <v>2011051</v>
      </c>
      <c r="J18" s="50">
        <v>1371898</v>
      </c>
      <c r="K18" s="50">
        <v>1196161</v>
      </c>
      <c r="L18" s="50">
        <v>1615734</v>
      </c>
      <c r="M18" s="50">
        <v>1897498</v>
      </c>
      <c r="N18" s="50">
        <v>4026716</v>
      </c>
      <c r="O18" s="50">
        <v>6014795</v>
      </c>
      <c r="P18" s="50">
        <v>45611091</v>
      </c>
    </row>
    <row r="19" spans="1:16" ht="12.75">
      <c r="A19" s="40" t="s">
        <v>39</v>
      </c>
      <c r="B19" s="38" t="s">
        <v>22</v>
      </c>
      <c r="C19" s="39"/>
      <c r="D19" s="51" t="s">
        <v>117</v>
      </c>
      <c r="E19" s="51" t="s">
        <v>117</v>
      </c>
      <c r="F19" s="51" t="s">
        <v>117</v>
      </c>
      <c r="G19" s="51" t="s">
        <v>117</v>
      </c>
      <c r="H19" s="51" t="s">
        <v>117</v>
      </c>
      <c r="I19" s="51" t="s">
        <v>117</v>
      </c>
      <c r="J19" s="51" t="s">
        <v>117</v>
      </c>
      <c r="K19" s="51" t="s">
        <v>117</v>
      </c>
      <c r="L19" s="51" t="s">
        <v>117</v>
      </c>
      <c r="M19" s="51" t="s">
        <v>117</v>
      </c>
      <c r="N19" s="51" t="s">
        <v>117</v>
      </c>
      <c r="O19" s="51">
        <v>115808</v>
      </c>
      <c r="P19" s="29">
        <v>115808</v>
      </c>
    </row>
    <row r="20" spans="1:16" ht="12.75">
      <c r="A20" s="41"/>
      <c r="B20" s="38" t="s">
        <v>70</v>
      </c>
      <c r="C20" s="39"/>
      <c r="D20" s="51">
        <v>5179</v>
      </c>
      <c r="E20" s="51">
        <v>4191</v>
      </c>
      <c r="F20" s="51">
        <v>4172</v>
      </c>
      <c r="G20" s="51">
        <v>1522</v>
      </c>
      <c r="H20" s="51">
        <v>1232</v>
      </c>
      <c r="I20" s="51">
        <v>920</v>
      </c>
      <c r="J20" s="51">
        <v>307</v>
      </c>
      <c r="K20" s="51">
        <v>281</v>
      </c>
      <c r="L20" s="51">
        <v>1177</v>
      </c>
      <c r="M20" s="51">
        <v>710</v>
      </c>
      <c r="N20" s="51">
        <v>1840</v>
      </c>
      <c r="O20" s="51">
        <v>0</v>
      </c>
      <c r="P20" s="29">
        <v>21531</v>
      </c>
    </row>
    <row r="21" spans="1:16" ht="12.75">
      <c r="A21" s="42"/>
      <c r="B21" s="43" t="s">
        <v>118</v>
      </c>
      <c r="C21" s="39"/>
      <c r="D21" s="50">
        <v>5179</v>
      </c>
      <c r="E21" s="50">
        <v>4191</v>
      </c>
      <c r="F21" s="50">
        <v>4172</v>
      </c>
      <c r="G21" s="50">
        <v>1522</v>
      </c>
      <c r="H21" s="50">
        <v>1232</v>
      </c>
      <c r="I21" s="50">
        <v>920</v>
      </c>
      <c r="J21" s="50">
        <v>307</v>
      </c>
      <c r="K21" s="50">
        <v>281</v>
      </c>
      <c r="L21" s="50">
        <v>1177</v>
      </c>
      <c r="M21" s="50">
        <v>710</v>
      </c>
      <c r="N21" s="50">
        <v>1840</v>
      </c>
      <c r="O21" s="50">
        <v>115808</v>
      </c>
      <c r="P21" s="50">
        <v>137339</v>
      </c>
    </row>
    <row r="22" spans="1:16" ht="12.75">
      <c r="A22" s="40" t="s">
        <v>86</v>
      </c>
      <c r="B22" s="38" t="s">
        <v>22</v>
      </c>
      <c r="C22" s="39"/>
      <c r="D22" s="51">
        <v>100948</v>
      </c>
      <c r="E22" s="51">
        <v>75788</v>
      </c>
      <c r="F22" s="51">
        <v>54908</v>
      </c>
      <c r="G22" s="51">
        <v>39317</v>
      </c>
      <c r="H22" s="51">
        <v>25937</v>
      </c>
      <c r="I22" s="51">
        <v>13113</v>
      </c>
      <c r="J22" s="51">
        <v>4006</v>
      </c>
      <c r="K22" s="51">
        <v>3142</v>
      </c>
      <c r="L22" s="51">
        <v>4752</v>
      </c>
      <c r="M22" s="51">
        <v>14441</v>
      </c>
      <c r="N22" s="51">
        <v>29241</v>
      </c>
      <c r="O22" s="51">
        <v>0</v>
      </c>
      <c r="P22" s="29">
        <v>365593</v>
      </c>
    </row>
    <row r="23" spans="1:16" ht="12.75">
      <c r="A23" s="42"/>
      <c r="B23" s="43" t="s">
        <v>119</v>
      </c>
      <c r="C23" s="39"/>
      <c r="D23" s="50">
        <v>100948</v>
      </c>
      <c r="E23" s="50">
        <v>75788</v>
      </c>
      <c r="F23" s="50">
        <v>54908</v>
      </c>
      <c r="G23" s="50">
        <v>39317</v>
      </c>
      <c r="H23" s="50">
        <v>25937</v>
      </c>
      <c r="I23" s="50">
        <v>13113</v>
      </c>
      <c r="J23" s="50">
        <v>4006</v>
      </c>
      <c r="K23" s="50">
        <v>3142</v>
      </c>
      <c r="L23" s="50">
        <v>4752</v>
      </c>
      <c r="M23" s="50">
        <v>14441</v>
      </c>
      <c r="N23" s="50">
        <v>29241</v>
      </c>
      <c r="O23" s="50">
        <v>0</v>
      </c>
      <c r="P23" s="50">
        <v>365593</v>
      </c>
    </row>
    <row r="24" spans="1:16" ht="12.75">
      <c r="A24" s="40" t="s">
        <v>87</v>
      </c>
      <c r="B24" s="38" t="s">
        <v>22</v>
      </c>
      <c r="C24" s="39"/>
      <c r="D24" s="51">
        <v>47000</v>
      </c>
      <c r="E24" s="51">
        <v>53914</v>
      </c>
      <c r="F24" s="51">
        <v>45866</v>
      </c>
      <c r="G24" s="51">
        <v>27816</v>
      </c>
      <c r="H24" s="51">
        <v>18315</v>
      </c>
      <c r="I24" s="51">
        <v>10713</v>
      </c>
      <c r="J24" s="51">
        <v>4764</v>
      </c>
      <c r="K24" s="51">
        <v>2007</v>
      </c>
      <c r="L24" s="51">
        <v>2147</v>
      </c>
      <c r="M24" s="51">
        <v>8827</v>
      </c>
      <c r="N24" s="51">
        <v>18357</v>
      </c>
      <c r="O24" s="51">
        <v>0</v>
      </c>
      <c r="P24" s="29">
        <v>239726</v>
      </c>
    </row>
    <row r="25" spans="1:16" ht="12.75">
      <c r="A25" s="42"/>
      <c r="B25" s="43" t="s">
        <v>120</v>
      </c>
      <c r="C25" s="39"/>
      <c r="D25" s="50">
        <v>47000</v>
      </c>
      <c r="E25" s="50">
        <v>53914</v>
      </c>
      <c r="F25" s="50">
        <v>45866</v>
      </c>
      <c r="G25" s="50">
        <v>27816</v>
      </c>
      <c r="H25" s="50">
        <v>18315</v>
      </c>
      <c r="I25" s="50">
        <v>10713</v>
      </c>
      <c r="J25" s="50">
        <v>4764</v>
      </c>
      <c r="K25" s="50">
        <v>2007</v>
      </c>
      <c r="L25" s="50">
        <v>2147</v>
      </c>
      <c r="M25" s="50">
        <v>8827</v>
      </c>
      <c r="N25" s="50">
        <v>18357</v>
      </c>
      <c r="O25" s="50">
        <v>0</v>
      </c>
      <c r="P25" s="50">
        <v>239726</v>
      </c>
    </row>
    <row r="26" spans="1:16" ht="12.75">
      <c r="A26" s="40" t="s">
        <v>72</v>
      </c>
      <c r="B26" s="38" t="s">
        <v>21</v>
      </c>
      <c r="C26" s="39"/>
      <c r="D26" s="51">
        <v>10537</v>
      </c>
      <c r="E26" s="51">
        <v>10927</v>
      </c>
      <c r="F26" s="51">
        <v>10108</v>
      </c>
      <c r="G26" s="51">
        <v>7597</v>
      </c>
      <c r="H26" s="51">
        <v>7141</v>
      </c>
      <c r="I26" s="51">
        <v>4611</v>
      </c>
      <c r="J26" s="51">
        <v>3482</v>
      </c>
      <c r="K26" s="51">
        <v>1774</v>
      </c>
      <c r="L26" s="51">
        <v>1485</v>
      </c>
      <c r="M26" s="51">
        <v>3785</v>
      </c>
      <c r="N26" s="51">
        <v>5311</v>
      </c>
      <c r="O26" s="51">
        <v>7579</v>
      </c>
      <c r="P26" s="29">
        <v>74337</v>
      </c>
    </row>
    <row r="27" spans="1:16" ht="12.75">
      <c r="A27" s="41"/>
      <c r="B27" s="38" t="s">
        <v>22</v>
      </c>
      <c r="C27" s="39"/>
      <c r="D27" s="51">
        <v>450267</v>
      </c>
      <c r="E27" s="51">
        <v>449700</v>
      </c>
      <c r="F27" s="51">
        <v>432534</v>
      </c>
      <c r="G27" s="51">
        <v>345255</v>
      </c>
      <c r="H27" s="51">
        <v>329805</v>
      </c>
      <c r="I27" s="51">
        <v>314952</v>
      </c>
      <c r="J27" s="51">
        <v>325212</v>
      </c>
      <c r="K27" s="51">
        <v>309659</v>
      </c>
      <c r="L27" s="51">
        <v>299711</v>
      </c>
      <c r="M27" s="51">
        <v>336080</v>
      </c>
      <c r="N27" s="51">
        <v>434301</v>
      </c>
      <c r="O27" s="51">
        <v>449258</v>
      </c>
      <c r="P27" s="29">
        <v>4476734</v>
      </c>
    </row>
    <row r="28" spans="1:16" ht="12.75">
      <c r="A28" s="41"/>
      <c r="B28" s="38" t="s">
        <v>70</v>
      </c>
      <c r="C28" s="39"/>
      <c r="D28" s="51">
        <v>104207</v>
      </c>
      <c r="E28" s="51">
        <v>92613</v>
      </c>
      <c r="F28" s="51">
        <v>74779</v>
      </c>
      <c r="G28" s="51">
        <v>82501</v>
      </c>
      <c r="H28" s="51">
        <v>108644</v>
      </c>
      <c r="I28" s="51">
        <v>73011</v>
      </c>
      <c r="J28" s="51">
        <v>114394</v>
      </c>
      <c r="K28" s="51">
        <v>118005</v>
      </c>
      <c r="L28" s="51">
        <v>85947</v>
      </c>
      <c r="M28" s="51">
        <v>142491</v>
      </c>
      <c r="N28" s="51">
        <v>144643</v>
      </c>
      <c r="O28" s="51">
        <v>110530</v>
      </c>
      <c r="P28" s="29">
        <v>1251765</v>
      </c>
    </row>
    <row r="29" spans="1:16" ht="12.75">
      <c r="A29" s="42"/>
      <c r="B29" s="43" t="s">
        <v>121</v>
      </c>
      <c r="C29" s="39"/>
      <c r="D29" s="50">
        <v>565011</v>
      </c>
      <c r="E29" s="50">
        <v>553240</v>
      </c>
      <c r="F29" s="50">
        <v>517421</v>
      </c>
      <c r="G29" s="50">
        <v>435353</v>
      </c>
      <c r="H29" s="50">
        <v>445590</v>
      </c>
      <c r="I29" s="50">
        <v>392574</v>
      </c>
      <c r="J29" s="50">
        <v>443088</v>
      </c>
      <c r="K29" s="50">
        <v>429438</v>
      </c>
      <c r="L29" s="50">
        <v>387143</v>
      </c>
      <c r="M29" s="50">
        <v>482356</v>
      </c>
      <c r="N29" s="50">
        <v>584255</v>
      </c>
      <c r="O29" s="50">
        <v>567367</v>
      </c>
      <c r="P29" s="50">
        <v>5802836</v>
      </c>
    </row>
    <row r="30" spans="1:16" ht="12.75">
      <c r="A30" s="40" t="s">
        <v>122</v>
      </c>
      <c r="B30" s="38" t="s">
        <v>22</v>
      </c>
      <c r="C30" s="39"/>
      <c r="D30" s="51" t="s">
        <v>117</v>
      </c>
      <c r="E30" s="51" t="s">
        <v>117</v>
      </c>
      <c r="F30" s="51" t="s">
        <v>117</v>
      </c>
      <c r="G30" s="51" t="s">
        <v>117</v>
      </c>
      <c r="H30" s="51" t="s">
        <v>117</v>
      </c>
      <c r="I30" s="51" t="s">
        <v>117</v>
      </c>
      <c r="J30" s="51" t="s">
        <v>117</v>
      </c>
      <c r="K30" s="51" t="s">
        <v>117</v>
      </c>
      <c r="L30" s="51" t="s">
        <v>117</v>
      </c>
      <c r="M30" s="51" t="s">
        <v>117</v>
      </c>
      <c r="N30" s="51">
        <v>22899</v>
      </c>
      <c r="O30" s="51">
        <v>87105</v>
      </c>
      <c r="P30" s="29">
        <v>110004</v>
      </c>
    </row>
    <row r="31" spans="1:16" ht="12.75">
      <c r="A31" s="41"/>
      <c r="B31" s="38" t="s">
        <v>70</v>
      </c>
      <c r="C31" s="39"/>
      <c r="D31" s="51">
        <v>51372</v>
      </c>
      <c r="E31" s="51">
        <v>63839</v>
      </c>
      <c r="F31" s="51">
        <v>57274</v>
      </c>
      <c r="G31" s="51">
        <v>58347</v>
      </c>
      <c r="H31" s="51">
        <v>55631</v>
      </c>
      <c r="I31" s="51">
        <v>53630</v>
      </c>
      <c r="J31" s="51">
        <v>58382</v>
      </c>
      <c r="K31" s="51">
        <v>60859</v>
      </c>
      <c r="L31" s="51">
        <v>55473</v>
      </c>
      <c r="M31" s="51">
        <v>52097</v>
      </c>
      <c r="N31" s="51">
        <v>95282</v>
      </c>
      <c r="O31" s="51">
        <v>98587</v>
      </c>
      <c r="P31" s="29">
        <v>760773</v>
      </c>
    </row>
    <row r="32" spans="1:16" ht="12.75">
      <c r="A32" s="42"/>
      <c r="B32" s="43" t="s">
        <v>123</v>
      </c>
      <c r="C32" s="39"/>
      <c r="D32" s="50">
        <v>51372</v>
      </c>
      <c r="E32" s="50">
        <v>63839</v>
      </c>
      <c r="F32" s="50">
        <v>57274</v>
      </c>
      <c r="G32" s="50">
        <v>58347</v>
      </c>
      <c r="H32" s="50">
        <v>55631</v>
      </c>
      <c r="I32" s="50">
        <v>53630</v>
      </c>
      <c r="J32" s="50">
        <v>58382</v>
      </c>
      <c r="K32" s="50">
        <v>60859</v>
      </c>
      <c r="L32" s="50">
        <v>55473</v>
      </c>
      <c r="M32" s="50">
        <v>52097</v>
      </c>
      <c r="N32" s="50">
        <v>118181</v>
      </c>
      <c r="O32" s="50">
        <v>185692</v>
      </c>
      <c r="P32" s="50">
        <v>870777</v>
      </c>
    </row>
    <row r="33" spans="1:16" ht="12.75">
      <c r="A33" s="40" t="s">
        <v>88</v>
      </c>
      <c r="B33" s="38" t="s">
        <v>22</v>
      </c>
      <c r="C33" s="39"/>
      <c r="D33" s="51">
        <v>105656</v>
      </c>
      <c r="E33" s="51">
        <v>113306</v>
      </c>
      <c r="F33" s="51">
        <v>106586</v>
      </c>
      <c r="G33" s="51">
        <v>70583</v>
      </c>
      <c r="H33" s="51">
        <v>54110</v>
      </c>
      <c r="I33" s="51">
        <v>28260</v>
      </c>
      <c r="J33" s="51">
        <v>12543</v>
      </c>
      <c r="K33" s="51">
        <v>10498</v>
      </c>
      <c r="L33" s="51">
        <v>9540</v>
      </c>
      <c r="M33" s="51">
        <v>27532</v>
      </c>
      <c r="N33" s="51">
        <v>60286</v>
      </c>
      <c r="O33" s="51">
        <v>90110</v>
      </c>
      <c r="P33" s="29">
        <v>689010</v>
      </c>
    </row>
    <row r="34" spans="1:16" ht="12.75">
      <c r="A34" s="42"/>
      <c r="B34" s="43" t="s">
        <v>124</v>
      </c>
      <c r="C34" s="39"/>
      <c r="D34" s="50">
        <v>105656</v>
      </c>
      <c r="E34" s="50">
        <v>113306</v>
      </c>
      <c r="F34" s="50">
        <v>106586</v>
      </c>
      <c r="G34" s="50">
        <v>70583</v>
      </c>
      <c r="H34" s="50">
        <v>54110</v>
      </c>
      <c r="I34" s="50">
        <v>28260</v>
      </c>
      <c r="J34" s="50">
        <v>12543</v>
      </c>
      <c r="K34" s="50">
        <v>10498</v>
      </c>
      <c r="L34" s="50">
        <v>9540</v>
      </c>
      <c r="M34" s="50">
        <v>27532</v>
      </c>
      <c r="N34" s="50">
        <v>60286</v>
      </c>
      <c r="O34" s="50">
        <v>90110</v>
      </c>
      <c r="P34" s="50">
        <v>689010</v>
      </c>
    </row>
    <row r="35" spans="1:16" ht="12.75">
      <c r="A35" s="40" t="s">
        <v>89</v>
      </c>
      <c r="B35" s="38" t="s">
        <v>22</v>
      </c>
      <c r="C35" s="39"/>
      <c r="D35" s="51">
        <v>16586</v>
      </c>
      <c r="E35" s="51">
        <v>27911</v>
      </c>
      <c r="F35" s="51">
        <v>20957</v>
      </c>
      <c r="G35" s="51">
        <v>20104</v>
      </c>
      <c r="H35" s="51">
        <v>18811</v>
      </c>
      <c r="I35" s="51">
        <v>26585</v>
      </c>
      <c r="J35" s="51">
        <v>49848</v>
      </c>
      <c r="K35" s="51">
        <v>44635</v>
      </c>
      <c r="L35" s="51">
        <v>24931</v>
      </c>
      <c r="M35" s="51">
        <v>20338</v>
      </c>
      <c r="N35" s="51">
        <v>0</v>
      </c>
      <c r="O35" s="51">
        <v>0</v>
      </c>
      <c r="P35" s="29">
        <v>270706</v>
      </c>
    </row>
    <row r="36" spans="1:16" ht="12.75">
      <c r="A36" s="42"/>
      <c r="B36" s="43" t="s">
        <v>125</v>
      </c>
      <c r="C36" s="39"/>
      <c r="D36" s="50">
        <v>16586</v>
      </c>
      <c r="E36" s="50">
        <v>27911</v>
      </c>
      <c r="F36" s="50">
        <v>20957</v>
      </c>
      <c r="G36" s="50">
        <v>20104</v>
      </c>
      <c r="H36" s="50">
        <v>18811</v>
      </c>
      <c r="I36" s="50">
        <v>26585</v>
      </c>
      <c r="J36" s="50">
        <v>49848</v>
      </c>
      <c r="K36" s="50">
        <v>44635</v>
      </c>
      <c r="L36" s="50">
        <v>24931</v>
      </c>
      <c r="M36" s="50">
        <v>20338</v>
      </c>
      <c r="N36" s="50">
        <v>0</v>
      </c>
      <c r="O36" s="50">
        <v>0</v>
      </c>
      <c r="P36" s="50">
        <v>270706</v>
      </c>
    </row>
    <row r="37" spans="1:16" ht="12.75">
      <c r="A37" s="40" t="s">
        <v>90</v>
      </c>
      <c r="B37" s="38" t="s">
        <v>70</v>
      </c>
      <c r="C37" s="39"/>
      <c r="D37" s="51">
        <v>29626</v>
      </c>
      <c r="E37" s="51">
        <v>29138</v>
      </c>
      <c r="F37" s="51">
        <v>30892</v>
      </c>
      <c r="G37" s="51">
        <v>29864</v>
      </c>
      <c r="H37" s="51">
        <v>29898</v>
      </c>
      <c r="I37" s="51">
        <v>27168</v>
      </c>
      <c r="J37" s="51">
        <v>28447</v>
      </c>
      <c r="K37" s="51">
        <v>34301</v>
      </c>
      <c r="L37" s="51">
        <v>29049</v>
      </c>
      <c r="M37" s="51">
        <v>35441</v>
      </c>
      <c r="N37" s="51">
        <v>0</v>
      </c>
      <c r="O37" s="51">
        <v>0</v>
      </c>
      <c r="P37" s="29">
        <v>303824</v>
      </c>
    </row>
    <row r="38" spans="1:16" ht="12.75">
      <c r="A38" s="42"/>
      <c r="B38" s="43" t="s">
        <v>126</v>
      </c>
      <c r="C38" s="39"/>
      <c r="D38" s="50">
        <v>29626</v>
      </c>
      <c r="E38" s="50">
        <v>29138</v>
      </c>
      <c r="F38" s="50">
        <v>30892</v>
      </c>
      <c r="G38" s="50">
        <v>29864</v>
      </c>
      <c r="H38" s="50">
        <v>29898</v>
      </c>
      <c r="I38" s="50">
        <v>27168</v>
      </c>
      <c r="J38" s="50">
        <v>28447</v>
      </c>
      <c r="K38" s="50">
        <v>34301</v>
      </c>
      <c r="L38" s="50">
        <v>29049</v>
      </c>
      <c r="M38" s="50">
        <v>35441</v>
      </c>
      <c r="N38" s="50">
        <v>0</v>
      </c>
      <c r="O38" s="50">
        <v>0</v>
      </c>
      <c r="P38" s="50">
        <v>303824</v>
      </c>
    </row>
    <row r="39" spans="1:16" ht="12.75">
      <c r="A39" s="40" t="s">
        <v>91</v>
      </c>
      <c r="B39" s="38" t="s">
        <v>22</v>
      </c>
      <c r="C39" s="39"/>
      <c r="D39" s="51">
        <v>66557</v>
      </c>
      <c r="E39" s="51">
        <v>72306</v>
      </c>
      <c r="F39" s="51">
        <v>57811</v>
      </c>
      <c r="G39" s="51">
        <v>45102</v>
      </c>
      <c r="H39" s="51">
        <v>33997</v>
      </c>
      <c r="I39" s="51">
        <v>31217</v>
      </c>
      <c r="J39" s="51">
        <v>25779</v>
      </c>
      <c r="K39" s="51">
        <v>27224</v>
      </c>
      <c r="L39" s="51">
        <v>23679</v>
      </c>
      <c r="M39" s="51">
        <v>30335</v>
      </c>
      <c r="N39" s="51">
        <v>40632</v>
      </c>
      <c r="O39" s="51">
        <v>0</v>
      </c>
      <c r="P39" s="29">
        <v>454639</v>
      </c>
    </row>
    <row r="40" spans="1:16" ht="12.75">
      <c r="A40" s="42"/>
      <c r="B40" s="43" t="s">
        <v>127</v>
      </c>
      <c r="C40" s="39"/>
      <c r="D40" s="50">
        <v>66557</v>
      </c>
      <c r="E40" s="50">
        <v>72306</v>
      </c>
      <c r="F40" s="50">
        <v>57811</v>
      </c>
      <c r="G40" s="50">
        <v>45102</v>
      </c>
      <c r="H40" s="50">
        <v>33997</v>
      </c>
      <c r="I40" s="50">
        <v>31217</v>
      </c>
      <c r="J40" s="50">
        <v>25779</v>
      </c>
      <c r="K40" s="50">
        <v>27224</v>
      </c>
      <c r="L40" s="50">
        <v>23679</v>
      </c>
      <c r="M40" s="50">
        <v>30335</v>
      </c>
      <c r="N40" s="50">
        <v>40632</v>
      </c>
      <c r="O40" s="50">
        <v>0</v>
      </c>
      <c r="P40" s="50">
        <v>454639</v>
      </c>
    </row>
    <row r="41" spans="1:16" ht="12.75">
      <c r="A41" s="40" t="s">
        <v>92</v>
      </c>
      <c r="B41" s="38" t="s">
        <v>22</v>
      </c>
      <c r="C41" s="39"/>
      <c r="D41" s="51">
        <v>46461</v>
      </c>
      <c r="E41" s="51">
        <v>50664</v>
      </c>
      <c r="F41" s="51">
        <v>43197</v>
      </c>
      <c r="G41" s="51">
        <v>30688</v>
      </c>
      <c r="H41" s="51">
        <v>24336</v>
      </c>
      <c r="I41" s="51">
        <v>19553</v>
      </c>
      <c r="J41" s="51">
        <v>16263</v>
      </c>
      <c r="K41" s="51">
        <v>16072</v>
      </c>
      <c r="L41" s="51">
        <v>14417</v>
      </c>
      <c r="M41" s="51">
        <v>18582</v>
      </c>
      <c r="N41" s="51">
        <v>29350</v>
      </c>
      <c r="O41" s="51">
        <v>41288</v>
      </c>
      <c r="P41" s="29">
        <v>350871</v>
      </c>
    </row>
    <row r="42" spans="1:16" ht="12.75">
      <c r="A42" s="42"/>
      <c r="B42" s="43" t="s">
        <v>128</v>
      </c>
      <c r="C42" s="39"/>
      <c r="D42" s="50">
        <v>46461</v>
      </c>
      <c r="E42" s="50">
        <v>50664</v>
      </c>
      <c r="F42" s="50">
        <v>43197</v>
      </c>
      <c r="G42" s="50">
        <v>30688</v>
      </c>
      <c r="H42" s="50">
        <v>24336</v>
      </c>
      <c r="I42" s="50">
        <v>19553</v>
      </c>
      <c r="J42" s="50">
        <v>16263</v>
      </c>
      <c r="K42" s="50">
        <v>16072</v>
      </c>
      <c r="L42" s="50">
        <v>14417</v>
      </c>
      <c r="M42" s="50">
        <v>18582</v>
      </c>
      <c r="N42" s="50">
        <v>29350</v>
      </c>
      <c r="O42" s="50">
        <v>41288</v>
      </c>
      <c r="P42" s="50">
        <v>350871</v>
      </c>
    </row>
    <row r="43" spans="1:16" ht="12.75">
      <c r="A43" s="40" t="s">
        <v>74</v>
      </c>
      <c r="B43" s="38" t="s">
        <v>75</v>
      </c>
      <c r="C43" s="39"/>
      <c r="D43" s="51">
        <v>0</v>
      </c>
      <c r="E43" s="51">
        <v>0</v>
      </c>
      <c r="F43" s="51">
        <v>0</v>
      </c>
      <c r="G43" s="51">
        <v>0</v>
      </c>
      <c r="H43" s="51">
        <v>0</v>
      </c>
      <c r="I43" s="51">
        <v>0</v>
      </c>
      <c r="J43" s="51">
        <v>0</v>
      </c>
      <c r="K43" s="51">
        <v>0</v>
      </c>
      <c r="L43" s="51">
        <v>0</v>
      </c>
      <c r="M43" s="51">
        <v>0</v>
      </c>
      <c r="N43" s="51">
        <v>0</v>
      </c>
      <c r="O43" s="51">
        <v>0</v>
      </c>
      <c r="P43" s="29">
        <v>0</v>
      </c>
    </row>
    <row r="44" spans="1:16" ht="12.75">
      <c r="A44" s="42"/>
      <c r="B44" s="43" t="s">
        <v>129</v>
      </c>
      <c r="C44" s="39"/>
      <c r="D44" s="50">
        <v>0</v>
      </c>
      <c r="E44" s="50">
        <v>0</v>
      </c>
      <c r="F44" s="50">
        <v>0</v>
      </c>
      <c r="G44" s="50">
        <v>0</v>
      </c>
      <c r="H44" s="50">
        <v>0</v>
      </c>
      <c r="I44" s="50">
        <v>0</v>
      </c>
      <c r="J44" s="50">
        <v>0</v>
      </c>
      <c r="K44" s="50">
        <v>0</v>
      </c>
      <c r="L44" s="50">
        <v>0</v>
      </c>
      <c r="M44" s="50">
        <v>0</v>
      </c>
      <c r="N44" s="50">
        <v>0</v>
      </c>
      <c r="O44" s="50">
        <v>0</v>
      </c>
      <c r="P44" s="50">
        <v>0</v>
      </c>
    </row>
    <row r="45" spans="1:16" ht="12.75">
      <c r="A45" s="40" t="s">
        <v>76</v>
      </c>
      <c r="B45" s="38" t="s">
        <v>75</v>
      </c>
      <c r="C45" s="39"/>
      <c r="D45" s="51">
        <v>10291</v>
      </c>
      <c r="E45" s="51">
        <v>34177</v>
      </c>
      <c r="F45" s="51">
        <v>43351</v>
      </c>
      <c r="G45" s="51">
        <v>10607</v>
      </c>
      <c r="H45" s="51">
        <v>0</v>
      </c>
      <c r="I45" s="51">
        <v>0</v>
      </c>
      <c r="J45" s="51">
        <v>0</v>
      </c>
      <c r="K45" s="51">
        <v>0</v>
      </c>
      <c r="L45" s="51">
        <v>0</v>
      </c>
      <c r="M45" s="51">
        <v>0</v>
      </c>
      <c r="N45" s="51">
        <v>0</v>
      </c>
      <c r="O45" s="51">
        <v>0</v>
      </c>
      <c r="P45" s="29">
        <v>98426</v>
      </c>
    </row>
    <row r="46" spans="1:16" ht="12.75">
      <c r="A46" s="42"/>
      <c r="B46" s="43" t="s">
        <v>130</v>
      </c>
      <c r="C46" s="39"/>
      <c r="D46" s="50">
        <v>10291</v>
      </c>
      <c r="E46" s="50">
        <v>34177</v>
      </c>
      <c r="F46" s="50">
        <v>43351</v>
      </c>
      <c r="G46" s="50">
        <v>10607</v>
      </c>
      <c r="H46" s="50">
        <v>0</v>
      </c>
      <c r="I46" s="50">
        <v>0</v>
      </c>
      <c r="J46" s="50">
        <v>0</v>
      </c>
      <c r="K46" s="50">
        <v>0</v>
      </c>
      <c r="L46" s="50">
        <v>0</v>
      </c>
      <c r="M46" s="50">
        <v>0</v>
      </c>
      <c r="N46" s="50">
        <v>0</v>
      </c>
      <c r="O46" s="50">
        <v>0</v>
      </c>
      <c r="P46" s="50">
        <v>98426</v>
      </c>
    </row>
    <row r="47" spans="1:16" ht="12.75">
      <c r="A47" s="40" t="s">
        <v>93</v>
      </c>
      <c r="B47" s="38" t="s">
        <v>75</v>
      </c>
      <c r="C47" s="39"/>
      <c r="D47" s="51">
        <v>75817</v>
      </c>
      <c r="E47" s="51">
        <v>82050</v>
      </c>
      <c r="F47" s="51">
        <v>71124</v>
      </c>
      <c r="G47" s="51">
        <v>55957</v>
      </c>
      <c r="H47" s="51">
        <v>50812</v>
      </c>
      <c r="I47" s="51">
        <v>42188</v>
      </c>
      <c r="J47" s="51">
        <v>30101</v>
      </c>
      <c r="K47" s="51">
        <v>27667</v>
      </c>
      <c r="L47" s="51">
        <v>25262</v>
      </c>
      <c r="M47" s="51">
        <v>34295</v>
      </c>
      <c r="N47" s="51">
        <v>52789</v>
      </c>
      <c r="O47" s="51">
        <v>65184</v>
      </c>
      <c r="P47" s="29">
        <v>613246</v>
      </c>
    </row>
    <row r="48" spans="1:16" ht="12.75">
      <c r="A48" s="42"/>
      <c r="B48" s="43" t="s">
        <v>131</v>
      </c>
      <c r="C48" s="39"/>
      <c r="D48" s="50">
        <v>75817</v>
      </c>
      <c r="E48" s="50">
        <v>82050</v>
      </c>
      <c r="F48" s="50">
        <v>71124</v>
      </c>
      <c r="G48" s="50">
        <v>55957</v>
      </c>
      <c r="H48" s="50">
        <v>50812</v>
      </c>
      <c r="I48" s="50">
        <v>42188</v>
      </c>
      <c r="J48" s="50">
        <v>30101</v>
      </c>
      <c r="K48" s="50">
        <v>27667</v>
      </c>
      <c r="L48" s="50">
        <v>25262</v>
      </c>
      <c r="M48" s="50">
        <v>34295</v>
      </c>
      <c r="N48" s="50">
        <v>52789</v>
      </c>
      <c r="O48" s="50">
        <v>65184</v>
      </c>
      <c r="P48" s="50">
        <v>613246</v>
      </c>
    </row>
    <row r="49" spans="1:16" ht="12.75">
      <c r="A49" s="40" t="s">
        <v>77</v>
      </c>
      <c r="B49" s="38" t="s">
        <v>23</v>
      </c>
      <c r="C49" s="39"/>
      <c r="D49" s="51">
        <v>1388248</v>
      </c>
      <c r="E49" s="51">
        <v>1346075</v>
      </c>
      <c r="F49" s="51">
        <v>910061</v>
      </c>
      <c r="G49" s="51">
        <v>889073</v>
      </c>
      <c r="H49" s="51">
        <v>689677</v>
      </c>
      <c r="I49" s="51">
        <v>514337</v>
      </c>
      <c r="J49" s="51">
        <v>422833</v>
      </c>
      <c r="K49" s="51">
        <v>360918</v>
      </c>
      <c r="L49" s="51">
        <v>396075</v>
      </c>
      <c r="M49" s="51">
        <v>491791</v>
      </c>
      <c r="N49" s="51">
        <v>831088</v>
      </c>
      <c r="O49" s="51">
        <v>1174873</v>
      </c>
      <c r="P49" s="29">
        <v>9415049</v>
      </c>
    </row>
    <row r="50" spans="1:16" ht="12.75">
      <c r="A50" s="41"/>
      <c r="B50" s="38" t="s">
        <v>73</v>
      </c>
      <c r="C50" s="39"/>
      <c r="D50" s="51">
        <v>775700</v>
      </c>
      <c r="E50" s="51">
        <v>796298</v>
      </c>
      <c r="F50" s="51">
        <v>865772</v>
      </c>
      <c r="G50" s="51">
        <v>823661</v>
      </c>
      <c r="H50" s="51">
        <v>741019</v>
      </c>
      <c r="I50" s="51">
        <v>736414</v>
      </c>
      <c r="J50" s="51">
        <v>1113415</v>
      </c>
      <c r="K50" s="51">
        <v>739287</v>
      </c>
      <c r="L50" s="51">
        <v>753012</v>
      </c>
      <c r="M50" s="51">
        <v>895449</v>
      </c>
      <c r="N50" s="51">
        <v>1015582</v>
      </c>
      <c r="O50" s="51">
        <v>1000592</v>
      </c>
      <c r="P50" s="29">
        <v>10256201</v>
      </c>
    </row>
    <row r="51" spans="1:16" ht="12.75">
      <c r="A51" s="42"/>
      <c r="B51" s="43" t="s">
        <v>132</v>
      </c>
      <c r="C51" s="39"/>
      <c r="D51" s="50">
        <v>2163948</v>
      </c>
      <c r="E51" s="50">
        <v>2142373</v>
      </c>
      <c r="F51" s="50">
        <v>1775833</v>
      </c>
      <c r="G51" s="50">
        <v>1712734</v>
      </c>
      <c r="H51" s="50">
        <v>1430696</v>
      </c>
      <c r="I51" s="50">
        <v>1250751</v>
      </c>
      <c r="J51" s="50">
        <v>1536248</v>
      </c>
      <c r="K51" s="50">
        <v>1100205</v>
      </c>
      <c r="L51" s="50">
        <v>1149087</v>
      </c>
      <c r="M51" s="50">
        <v>1387240</v>
      </c>
      <c r="N51" s="50">
        <v>1846670</v>
      </c>
      <c r="O51" s="50">
        <v>2175465</v>
      </c>
      <c r="P51" s="50">
        <v>19671250</v>
      </c>
    </row>
    <row r="52" spans="1:16" ht="12.75">
      <c r="A52" s="40" t="s">
        <v>94</v>
      </c>
      <c r="B52" s="38" t="s">
        <v>73</v>
      </c>
      <c r="C52" s="39"/>
      <c r="D52" s="51">
        <v>28718</v>
      </c>
      <c r="E52" s="51">
        <v>28942</v>
      </c>
      <c r="F52" s="51">
        <v>24315</v>
      </c>
      <c r="G52" s="51">
        <v>24491</v>
      </c>
      <c r="H52" s="51">
        <v>21276</v>
      </c>
      <c r="I52" s="51">
        <v>18274</v>
      </c>
      <c r="J52" s="51">
        <v>16867</v>
      </c>
      <c r="K52" s="51">
        <v>16484</v>
      </c>
      <c r="L52" s="51">
        <v>16585</v>
      </c>
      <c r="M52" s="51">
        <v>17226</v>
      </c>
      <c r="N52" s="51">
        <v>18873</v>
      </c>
      <c r="O52" s="51">
        <v>24038</v>
      </c>
      <c r="P52" s="29">
        <v>256089</v>
      </c>
    </row>
    <row r="53" spans="1:16" ht="12.75">
      <c r="A53" s="42"/>
      <c r="B53" s="43" t="s">
        <v>133</v>
      </c>
      <c r="C53" s="39"/>
      <c r="D53" s="50">
        <v>28718</v>
      </c>
      <c r="E53" s="50">
        <v>28942</v>
      </c>
      <c r="F53" s="50">
        <v>24315</v>
      </c>
      <c r="G53" s="50">
        <v>24491</v>
      </c>
      <c r="H53" s="50">
        <v>21276</v>
      </c>
      <c r="I53" s="50">
        <v>18274</v>
      </c>
      <c r="J53" s="50">
        <v>16867</v>
      </c>
      <c r="K53" s="50">
        <v>16484</v>
      </c>
      <c r="L53" s="50">
        <v>16585</v>
      </c>
      <c r="M53" s="50">
        <v>17226</v>
      </c>
      <c r="N53" s="50">
        <v>18873</v>
      </c>
      <c r="O53" s="50">
        <v>24038</v>
      </c>
      <c r="P53" s="50">
        <v>256089</v>
      </c>
    </row>
    <row r="54" spans="1:16" ht="12.75">
      <c r="A54" s="40" t="s">
        <v>78</v>
      </c>
      <c r="B54" s="38" t="s">
        <v>134</v>
      </c>
      <c r="C54" s="39"/>
      <c r="D54" s="51">
        <v>4381</v>
      </c>
      <c r="E54" s="51">
        <v>169048</v>
      </c>
      <c r="F54" s="51">
        <v>269</v>
      </c>
      <c r="G54" s="51">
        <v>479</v>
      </c>
      <c r="H54" s="51">
        <v>143747</v>
      </c>
      <c r="I54" s="51">
        <v>180006</v>
      </c>
      <c r="J54" s="51">
        <v>50740</v>
      </c>
      <c r="K54" s="51">
        <v>845208</v>
      </c>
      <c r="L54" s="51">
        <v>920460</v>
      </c>
      <c r="M54" s="51">
        <v>185101</v>
      </c>
      <c r="N54" s="51">
        <v>44183</v>
      </c>
      <c r="O54" s="51">
        <v>7326</v>
      </c>
      <c r="P54" s="29">
        <v>2550948</v>
      </c>
    </row>
    <row r="55" spans="1:16" ht="12.75">
      <c r="A55" s="42"/>
      <c r="B55" s="43" t="s">
        <v>135</v>
      </c>
      <c r="C55" s="39"/>
      <c r="D55" s="50">
        <v>4381</v>
      </c>
      <c r="E55" s="50">
        <v>169048</v>
      </c>
      <c r="F55" s="50">
        <v>269</v>
      </c>
      <c r="G55" s="50">
        <v>479</v>
      </c>
      <c r="H55" s="50">
        <v>143747</v>
      </c>
      <c r="I55" s="50">
        <v>180006</v>
      </c>
      <c r="J55" s="50">
        <v>50740</v>
      </c>
      <c r="K55" s="50">
        <v>845208</v>
      </c>
      <c r="L55" s="50">
        <v>920460</v>
      </c>
      <c r="M55" s="50">
        <v>185101</v>
      </c>
      <c r="N55" s="50">
        <v>44183</v>
      </c>
      <c r="O55" s="50">
        <v>7326</v>
      </c>
      <c r="P55" s="50">
        <v>2550948</v>
      </c>
    </row>
    <row r="56" spans="1:16" ht="12.75">
      <c r="A56" s="40" t="s">
        <v>79</v>
      </c>
      <c r="B56" s="38" t="s">
        <v>23</v>
      </c>
      <c r="C56" s="39"/>
      <c r="D56" s="51">
        <v>611748</v>
      </c>
      <c r="E56" s="51">
        <v>802654</v>
      </c>
      <c r="F56" s="51">
        <v>761271</v>
      </c>
      <c r="G56" s="51">
        <v>842435</v>
      </c>
      <c r="H56" s="51">
        <v>684323</v>
      </c>
      <c r="I56" s="51">
        <v>605514</v>
      </c>
      <c r="J56" s="51">
        <v>469242</v>
      </c>
      <c r="K56" s="51">
        <v>399336</v>
      </c>
      <c r="L56" s="51">
        <v>383743</v>
      </c>
      <c r="M56" s="51">
        <v>484317</v>
      </c>
      <c r="N56" s="51">
        <v>684659</v>
      </c>
      <c r="O56" s="51">
        <v>695415</v>
      </c>
      <c r="P56" s="29">
        <v>7424657</v>
      </c>
    </row>
    <row r="57" spans="1:16" ht="12.75">
      <c r="A57" s="41"/>
      <c r="B57" s="38" t="s">
        <v>73</v>
      </c>
      <c r="C57" s="39"/>
      <c r="D57" s="51">
        <v>2265738</v>
      </c>
      <c r="E57" s="51">
        <v>2300694</v>
      </c>
      <c r="F57" s="51">
        <v>2283127</v>
      </c>
      <c r="G57" s="51">
        <v>2380871</v>
      </c>
      <c r="H57" s="51">
        <v>2035978</v>
      </c>
      <c r="I57" s="51">
        <v>2137310</v>
      </c>
      <c r="J57" s="51">
        <v>2235687</v>
      </c>
      <c r="K57" s="51">
        <v>2148395</v>
      </c>
      <c r="L57" s="51">
        <v>2321455</v>
      </c>
      <c r="M57" s="51">
        <v>2311568</v>
      </c>
      <c r="N57" s="51">
        <v>2491423</v>
      </c>
      <c r="O57" s="51">
        <v>2573285</v>
      </c>
      <c r="P57" s="29">
        <v>27485531</v>
      </c>
    </row>
    <row r="58" spans="1:16" ht="12.75">
      <c r="A58" s="42"/>
      <c r="B58" s="43" t="s">
        <v>136</v>
      </c>
      <c r="C58" s="39"/>
      <c r="D58" s="50">
        <v>2877486</v>
      </c>
      <c r="E58" s="50">
        <v>3103348</v>
      </c>
      <c r="F58" s="50">
        <v>3044398</v>
      </c>
      <c r="G58" s="50">
        <v>3223306</v>
      </c>
      <c r="H58" s="50">
        <v>2720301</v>
      </c>
      <c r="I58" s="50">
        <v>2742824</v>
      </c>
      <c r="J58" s="50">
        <v>2704929</v>
      </c>
      <c r="K58" s="50">
        <v>2547731</v>
      </c>
      <c r="L58" s="50">
        <v>2705198</v>
      </c>
      <c r="M58" s="50">
        <v>2795885</v>
      </c>
      <c r="N58" s="50">
        <v>3176082</v>
      </c>
      <c r="O58" s="50">
        <v>3268700</v>
      </c>
      <c r="P58" s="50">
        <v>34910188</v>
      </c>
    </row>
    <row r="59" spans="1:16" ht="12.75">
      <c r="A59" s="40" t="s">
        <v>80</v>
      </c>
      <c r="B59" s="38" t="s">
        <v>21</v>
      </c>
      <c r="C59" s="39"/>
      <c r="D59" s="51">
        <v>0</v>
      </c>
      <c r="E59" s="51">
        <v>0</v>
      </c>
      <c r="F59" s="51">
        <v>0</v>
      </c>
      <c r="G59" s="51">
        <v>0</v>
      </c>
      <c r="H59" s="51">
        <v>0</v>
      </c>
      <c r="I59" s="51">
        <v>0</v>
      </c>
      <c r="J59" s="51">
        <v>0</v>
      </c>
      <c r="K59" s="51">
        <v>0</v>
      </c>
      <c r="L59" s="51">
        <v>0</v>
      </c>
      <c r="M59" s="51">
        <v>0</v>
      </c>
      <c r="N59" s="51">
        <v>0</v>
      </c>
      <c r="O59" s="51">
        <v>0</v>
      </c>
      <c r="P59" s="29">
        <v>0</v>
      </c>
    </row>
    <row r="60" spans="1:16" ht="12.75">
      <c r="A60" s="41"/>
      <c r="B60" s="38" t="s">
        <v>81</v>
      </c>
      <c r="C60" s="39"/>
      <c r="D60" s="51" t="s">
        <v>117</v>
      </c>
      <c r="E60" s="51" t="s">
        <v>117</v>
      </c>
      <c r="F60" s="51" t="s">
        <v>117</v>
      </c>
      <c r="G60" s="51" t="s">
        <v>117</v>
      </c>
      <c r="H60" s="51" t="s">
        <v>117</v>
      </c>
      <c r="I60" s="51" t="s">
        <v>117</v>
      </c>
      <c r="J60" s="51" t="s">
        <v>117</v>
      </c>
      <c r="K60" s="51" t="s">
        <v>117</v>
      </c>
      <c r="L60" s="51" t="s">
        <v>117</v>
      </c>
      <c r="M60" s="51" t="s">
        <v>117</v>
      </c>
      <c r="N60" s="51">
        <v>0</v>
      </c>
      <c r="O60" s="51">
        <v>0</v>
      </c>
      <c r="P60" s="29">
        <v>0</v>
      </c>
    </row>
    <row r="61" spans="1:16" ht="12.75">
      <c r="A61" s="41"/>
      <c r="B61" s="38" t="s">
        <v>82</v>
      </c>
      <c r="C61" s="39"/>
      <c r="D61" s="51" t="s">
        <v>117</v>
      </c>
      <c r="E61" s="51" t="s">
        <v>117</v>
      </c>
      <c r="F61" s="51" t="s">
        <v>117</v>
      </c>
      <c r="G61" s="51" t="s">
        <v>117</v>
      </c>
      <c r="H61" s="51" t="s">
        <v>117</v>
      </c>
      <c r="I61" s="51" t="s">
        <v>117</v>
      </c>
      <c r="J61" s="51" t="s">
        <v>117</v>
      </c>
      <c r="K61" s="51" t="s">
        <v>117</v>
      </c>
      <c r="L61" s="51" t="s">
        <v>117</v>
      </c>
      <c r="M61" s="51" t="s">
        <v>117</v>
      </c>
      <c r="N61" s="51">
        <v>0</v>
      </c>
      <c r="O61" s="51">
        <v>0</v>
      </c>
      <c r="P61" s="29">
        <v>0</v>
      </c>
    </row>
    <row r="62" spans="1:16" ht="12.75">
      <c r="A62" s="41"/>
      <c r="B62" s="38" t="s">
        <v>22</v>
      </c>
      <c r="C62" s="39"/>
      <c r="D62" s="51">
        <v>0</v>
      </c>
      <c r="E62" s="51">
        <v>0</v>
      </c>
      <c r="F62" s="51">
        <v>0</v>
      </c>
      <c r="G62" s="51">
        <v>0</v>
      </c>
      <c r="H62" s="51">
        <v>0</v>
      </c>
      <c r="I62" s="51">
        <v>0</v>
      </c>
      <c r="J62" s="51">
        <v>0</v>
      </c>
      <c r="K62" s="51">
        <v>0</v>
      </c>
      <c r="L62" s="51">
        <v>0</v>
      </c>
      <c r="M62" s="51">
        <v>0</v>
      </c>
      <c r="N62" s="51">
        <v>0</v>
      </c>
      <c r="O62" s="51">
        <v>0</v>
      </c>
      <c r="P62" s="29">
        <v>0</v>
      </c>
    </row>
    <row r="63" spans="1:16" ht="12.75">
      <c r="A63" s="41"/>
      <c r="B63" s="38" t="s">
        <v>75</v>
      </c>
      <c r="C63" s="39"/>
      <c r="D63" s="51">
        <v>0</v>
      </c>
      <c r="E63" s="51">
        <v>0</v>
      </c>
      <c r="F63" s="51">
        <v>0</v>
      </c>
      <c r="G63" s="51">
        <v>0</v>
      </c>
      <c r="H63" s="51">
        <v>0</v>
      </c>
      <c r="I63" s="51">
        <v>0</v>
      </c>
      <c r="J63" s="51">
        <v>0</v>
      </c>
      <c r="K63" s="51">
        <v>0</v>
      </c>
      <c r="L63" s="51">
        <v>0</v>
      </c>
      <c r="M63" s="51">
        <v>0</v>
      </c>
      <c r="N63" s="51">
        <v>0</v>
      </c>
      <c r="O63" s="51">
        <v>0</v>
      </c>
      <c r="P63" s="29">
        <v>0</v>
      </c>
    </row>
    <row r="64" spans="1:16" ht="12.75">
      <c r="A64" s="41"/>
      <c r="B64" s="38" t="s">
        <v>70</v>
      </c>
      <c r="C64" s="39"/>
      <c r="D64" s="51">
        <v>0</v>
      </c>
      <c r="E64" s="51">
        <v>0</v>
      </c>
      <c r="F64" s="51">
        <v>0</v>
      </c>
      <c r="G64" s="51">
        <v>0</v>
      </c>
      <c r="H64" s="51">
        <v>0</v>
      </c>
      <c r="I64" s="51">
        <v>0</v>
      </c>
      <c r="J64" s="51">
        <v>0</v>
      </c>
      <c r="K64" s="51">
        <v>0</v>
      </c>
      <c r="L64" s="51">
        <v>0</v>
      </c>
      <c r="M64" s="51">
        <v>0</v>
      </c>
      <c r="N64" s="51">
        <v>0</v>
      </c>
      <c r="O64" s="51">
        <v>0</v>
      </c>
      <c r="P64" s="29">
        <v>0</v>
      </c>
    </row>
    <row r="65" spans="1:16" ht="12.75">
      <c r="A65" s="41"/>
      <c r="B65" s="38" t="s">
        <v>71</v>
      </c>
      <c r="C65" s="39"/>
      <c r="D65" s="51">
        <v>0</v>
      </c>
      <c r="E65" s="51">
        <v>0</v>
      </c>
      <c r="F65" s="51">
        <v>0</v>
      </c>
      <c r="G65" s="51">
        <v>0</v>
      </c>
      <c r="H65" s="51">
        <v>0</v>
      </c>
      <c r="I65" s="51">
        <v>0</v>
      </c>
      <c r="J65" s="51">
        <v>0</v>
      </c>
      <c r="K65" s="51">
        <v>0</v>
      </c>
      <c r="L65" s="51">
        <v>0</v>
      </c>
      <c r="M65" s="51">
        <v>0</v>
      </c>
      <c r="N65" s="51">
        <v>0</v>
      </c>
      <c r="O65" s="51">
        <v>0</v>
      </c>
      <c r="P65" s="29">
        <v>0</v>
      </c>
    </row>
    <row r="66" spans="1:16" ht="12.75">
      <c r="A66" s="41"/>
      <c r="B66" s="38" t="s">
        <v>23</v>
      </c>
      <c r="C66" s="39"/>
      <c r="D66" s="51">
        <v>0</v>
      </c>
      <c r="E66" s="51">
        <v>0</v>
      </c>
      <c r="F66" s="51">
        <v>0</v>
      </c>
      <c r="G66" s="51">
        <v>0</v>
      </c>
      <c r="H66" s="51">
        <v>0</v>
      </c>
      <c r="I66" s="51">
        <v>0</v>
      </c>
      <c r="J66" s="51">
        <v>0</v>
      </c>
      <c r="K66" s="51">
        <v>0</v>
      </c>
      <c r="L66" s="51">
        <v>0</v>
      </c>
      <c r="M66" s="51">
        <v>0</v>
      </c>
      <c r="N66" s="51">
        <v>0</v>
      </c>
      <c r="O66" s="51">
        <v>0</v>
      </c>
      <c r="P66" s="29">
        <v>0</v>
      </c>
    </row>
    <row r="67" spans="1:16" ht="12.75">
      <c r="A67" s="41"/>
      <c r="B67" s="38" t="s">
        <v>73</v>
      </c>
      <c r="C67" s="39"/>
      <c r="D67" s="51">
        <v>0</v>
      </c>
      <c r="E67" s="51">
        <v>0</v>
      </c>
      <c r="F67" s="51">
        <v>0</v>
      </c>
      <c r="G67" s="51">
        <v>0</v>
      </c>
      <c r="H67" s="51">
        <v>0</v>
      </c>
      <c r="I67" s="51">
        <v>0</v>
      </c>
      <c r="J67" s="51">
        <v>0</v>
      </c>
      <c r="K67" s="51">
        <v>0</v>
      </c>
      <c r="L67" s="51">
        <v>0</v>
      </c>
      <c r="M67" s="51">
        <v>0</v>
      </c>
      <c r="N67" s="51">
        <v>0</v>
      </c>
      <c r="O67" s="51">
        <v>0</v>
      </c>
      <c r="P67" s="29">
        <v>0</v>
      </c>
    </row>
    <row r="68" spans="1:16" ht="12.75">
      <c r="A68" s="42"/>
      <c r="B68" s="43" t="s">
        <v>137</v>
      </c>
      <c r="C68" s="39"/>
      <c r="D68" s="50">
        <v>0</v>
      </c>
      <c r="E68" s="50">
        <v>0</v>
      </c>
      <c r="F68" s="50">
        <v>0</v>
      </c>
      <c r="G68" s="50">
        <v>0</v>
      </c>
      <c r="H68" s="50">
        <v>0</v>
      </c>
      <c r="I68" s="50">
        <v>0</v>
      </c>
      <c r="J68" s="50">
        <v>0</v>
      </c>
      <c r="K68" s="50">
        <v>0</v>
      </c>
      <c r="L68" s="50">
        <v>0</v>
      </c>
      <c r="M68" s="50">
        <v>0</v>
      </c>
      <c r="N68" s="50">
        <v>0</v>
      </c>
      <c r="O68" s="50">
        <v>0</v>
      </c>
      <c r="P68" s="50">
        <v>0</v>
      </c>
    </row>
    <row r="69" spans="1:16" ht="12.75">
      <c r="A69" s="40" t="s">
        <v>95</v>
      </c>
      <c r="B69" s="38" t="s">
        <v>22</v>
      </c>
      <c r="C69" s="39"/>
      <c r="D69" s="51" t="s">
        <v>117</v>
      </c>
      <c r="E69" s="51" t="s">
        <v>117</v>
      </c>
      <c r="F69" s="51" t="s">
        <v>117</v>
      </c>
      <c r="G69" s="51" t="s">
        <v>117</v>
      </c>
      <c r="H69" s="51" t="s">
        <v>117</v>
      </c>
      <c r="I69" s="51" t="s">
        <v>117</v>
      </c>
      <c r="J69" s="51">
        <v>0</v>
      </c>
      <c r="K69" s="51">
        <v>0</v>
      </c>
      <c r="L69" s="51">
        <v>0</v>
      </c>
      <c r="M69" s="51">
        <v>0</v>
      </c>
      <c r="N69" s="51">
        <v>0</v>
      </c>
      <c r="O69" s="51">
        <v>0</v>
      </c>
      <c r="P69" s="29">
        <v>0</v>
      </c>
    </row>
    <row r="70" spans="1:16" ht="12.75">
      <c r="A70" s="42"/>
      <c r="B70" s="43" t="s">
        <v>138</v>
      </c>
      <c r="C70" s="39"/>
      <c r="D70" s="50"/>
      <c r="E70" s="50"/>
      <c r="F70" s="50"/>
      <c r="G70" s="50"/>
      <c r="H70" s="50"/>
      <c r="I70" s="50"/>
      <c r="J70" s="50">
        <v>0</v>
      </c>
      <c r="K70" s="50">
        <v>0</v>
      </c>
      <c r="L70" s="50">
        <v>0</v>
      </c>
      <c r="M70" s="50">
        <v>0</v>
      </c>
      <c r="N70" s="50">
        <v>0</v>
      </c>
      <c r="O70" s="50">
        <v>0</v>
      </c>
      <c r="P70" s="50">
        <v>0</v>
      </c>
    </row>
    <row r="71" spans="1:16" ht="12.75">
      <c r="A71" s="40" t="s">
        <v>83</v>
      </c>
      <c r="B71" s="38" t="s">
        <v>81</v>
      </c>
      <c r="C71" s="39"/>
      <c r="D71" s="51" t="s">
        <v>117</v>
      </c>
      <c r="E71" s="51" t="s">
        <v>117</v>
      </c>
      <c r="F71" s="51" t="s">
        <v>117</v>
      </c>
      <c r="G71" s="51" t="s">
        <v>117</v>
      </c>
      <c r="H71" s="51" t="s">
        <v>117</v>
      </c>
      <c r="I71" s="51" t="s">
        <v>117</v>
      </c>
      <c r="J71" s="51" t="s">
        <v>117</v>
      </c>
      <c r="K71" s="51" t="s">
        <v>117</v>
      </c>
      <c r="L71" s="51" t="s">
        <v>117</v>
      </c>
      <c r="M71" s="51" t="s">
        <v>117</v>
      </c>
      <c r="N71" s="51">
        <v>0</v>
      </c>
      <c r="O71" s="51">
        <v>0</v>
      </c>
      <c r="P71" s="29">
        <v>0</v>
      </c>
    </row>
    <row r="72" spans="1:16" ht="12.75">
      <c r="A72" s="41"/>
      <c r="B72" s="38" t="s">
        <v>82</v>
      </c>
      <c r="C72" s="39"/>
      <c r="D72" s="51" t="s">
        <v>117</v>
      </c>
      <c r="E72" s="51" t="s">
        <v>117</v>
      </c>
      <c r="F72" s="51" t="s">
        <v>117</v>
      </c>
      <c r="G72" s="51" t="s">
        <v>117</v>
      </c>
      <c r="H72" s="51" t="s">
        <v>117</v>
      </c>
      <c r="I72" s="51" t="s">
        <v>117</v>
      </c>
      <c r="J72" s="51" t="s">
        <v>117</v>
      </c>
      <c r="K72" s="51" t="s">
        <v>117</v>
      </c>
      <c r="L72" s="51" t="s">
        <v>117</v>
      </c>
      <c r="M72" s="51" t="s">
        <v>117</v>
      </c>
      <c r="N72" s="51">
        <v>0</v>
      </c>
      <c r="O72" s="51">
        <v>0</v>
      </c>
      <c r="P72" s="29">
        <v>0</v>
      </c>
    </row>
    <row r="73" spans="1:16" ht="12.75">
      <c r="A73" s="41"/>
      <c r="B73" s="38" t="s">
        <v>84</v>
      </c>
      <c r="C73" s="39"/>
      <c r="D73" s="51">
        <v>0</v>
      </c>
      <c r="E73" s="51">
        <v>0</v>
      </c>
      <c r="F73" s="51">
        <v>0</v>
      </c>
      <c r="G73" s="51">
        <v>0</v>
      </c>
      <c r="H73" s="51">
        <v>0</v>
      </c>
      <c r="I73" s="51">
        <v>0</v>
      </c>
      <c r="J73" s="51">
        <v>0</v>
      </c>
      <c r="K73" s="51">
        <v>0</v>
      </c>
      <c r="L73" s="51">
        <v>0</v>
      </c>
      <c r="M73" s="51">
        <v>0</v>
      </c>
      <c r="N73" s="51">
        <v>0</v>
      </c>
      <c r="O73" s="51">
        <v>0</v>
      </c>
      <c r="P73" s="29">
        <v>0</v>
      </c>
    </row>
    <row r="74" spans="1:16" ht="12.75">
      <c r="A74" s="41"/>
      <c r="B74" s="38" t="s">
        <v>85</v>
      </c>
      <c r="C74" s="39"/>
      <c r="D74" s="51">
        <v>0</v>
      </c>
      <c r="E74" s="51">
        <v>0</v>
      </c>
      <c r="F74" s="51">
        <v>0</v>
      </c>
      <c r="G74" s="51">
        <v>0</v>
      </c>
      <c r="H74" s="51">
        <v>0</v>
      </c>
      <c r="I74" s="51">
        <v>0</v>
      </c>
      <c r="J74" s="51">
        <v>0</v>
      </c>
      <c r="K74" s="51">
        <v>0</v>
      </c>
      <c r="L74" s="51">
        <v>0</v>
      </c>
      <c r="M74" s="51">
        <v>0</v>
      </c>
      <c r="N74" s="51">
        <v>0</v>
      </c>
      <c r="O74" s="51">
        <v>0</v>
      </c>
      <c r="P74" s="29">
        <v>0</v>
      </c>
    </row>
    <row r="75" spans="1:16" ht="12.75">
      <c r="A75" s="41"/>
      <c r="B75" s="38" t="s">
        <v>139</v>
      </c>
      <c r="C75" s="39"/>
      <c r="D75" s="51">
        <v>0</v>
      </c>
      <c r="E75" s="51">
        <v>0</v>
      </c>
      <c r="F75" s="51">
        <v>0</v>
      </c>
      <c r="G75" s="51">
        <v>0</v>
      </c>
      <c r="H75" s="51">
        <v>0</v>
      </c>
      <c r="I75" s="51">
        <v>0</v>
      </c>
      <c r="J75" s="51">
        <v>0</v>
      </c>
      <c r="K75" s="51">
        <v>0</v>
      </c>
      <c r="L75" s="51">
        <v>0</v>
      </c>
      <c r="M75" s="51">
        <v>0</v>
      </c>
      <c r="N75" s="51">
        <v>0</v>
      </c>
      <c r="O75" s="51">
        <v>0</v>
      </c>
      <c r="P75" s="29">
        <v>0</v>
      </c>
    </row>
    <row r="76" spans="1:16" ht="12.75">
      <c r="A76" s="42"/>
      <c r="B76" s="43" t="s">
        <v>140</v>
      </c>
      <c r="C76" s="39"/>
      <c r="D76" s="50">
        <v>0</v>
      </c>
      <c r="E76" s="50">
        <v>0</v>
      </c>
      <c r="F76" s="50">
        <v>0</v>
      </c>
      <c r="G76" s="50">
        <v>0</v>
      </c>
      <c r="H76" s="50">
        <v>0</v>
      </c>
      <c r="I76" s="50">
        <v>0</v>
      </c>
      <c r="J76" s="50">
        <v>0</v>
      </c>
      <c r="K76" s="50">
        <v>0</v>
      </c>
      <c r="L76" s="50">
        <v>0</v>
      </c>
      <c r="M76" s="50">
        <v>0</v>
      </c>
      <c r="N76" s="50">
        <v>0</v>
      </c>
      <c r="O76" s="50">
        <v>0</v>
      </c>
      <c r="P76" s="50">
        <v>0</v>
      </c>
    </row>
    <row r="77" spans="1:16" ht="12.75">
      <c r="A77" s="43" t="s">
        <v>141</v>
      </c>
      <c r="B77" s="43"/>
      <c r="C77" s="39"/>
      <c r="D77" s="50">
        <v>36894856</v>
      </c>
      <c r="E77" s="50">
        <v>31386308</v>
      </c>
      <c r="F77" s="50">
        <v>26128658</v>
      </c>
      <c r="G77" s="50">
        <v>18117098</v>
      </c>
      <c r="H77" s="50">
        <v>13290205</v>
      </c>
      <c r="I77" s="50">
        <v>10879436</v>
      </c>
      <c r="J77" s="50">
        <v>8857555</v>
      </c>
      <c r="K77" s="50">
        <v>8508849</v>
      </c>
      <c r="L77" s="50">
        <v>9430653</v>
      </c>
      <c r="M77" s="50">
        <v>11018665</v>
      </c>
      <c r="N77" s="50">
        <v>19897941</v>
      </c>
      <c r="O77" s="50">
        <v>28529974</v>
      </c>
      <c r="P77" s="50">
        <v>222940198</v>
      </c>
    </row>
    <row r="78" spans="1:16" ht="12.75">
      <c r="A78" s="43" t="s">
        <v>67</v>
      </c>
      <c r="B78" s="43"/>
      <c r="C78" s="39"/>
      <c r="D78" s="29">
        <v>36894856</v>
      </c>
      <c r="E78" s="29">
        <v>31386308</v>
      </c>
      <c r="F78" s="29">
        <v>26128658</v>
      </c>
      <c r="G78" s="29">
        <v>18117098</v>
      </c>
      <c r="H78" s="29">
        <v>13290205</v>
      </c>
      <c r="I78" s="29">
        <v>10879436</v>
      </c>
      <c r="J78" s="29">
        <v>8857555</v>
      </c>
      <c r="K78" s="29">
        <v>8508849</v>
      </c>
      <c r="L78" s="29">
        <v>9430653</v>
      </c>
      <c r="M78" s="29">
        <v>11018665</v>
      </c>
      <c r="N78" s="29">
        <v>19897941</v>
      </c>
      <c r="O78" s="29">
        <v>28529974</v>
      </c>
      <c r="P78" s="29">
        <v>222940198</v>
      </c>
    </row>
    <row r="82" ht="12.75">
      <c r="A82" s="59" t="s">
        <v>66</v>
      </c>
    </row>
    <row r="83" spans="4:16" ht="12.75">
      <c r="D83" s="62">
        <v>37987</v>
      </c>
      <c r="E83" s="62">
        <v>38018</v>
      </c>
      <c r="F83" s="62">
        <v>38047</v>
      </c>
      <c r="G83" s="62">
        <v>38078</v>
      </c>
      <c r="H83" s="62">
        <v>38108</v>
      </c>
      <c r="I83" s="62">
        <v>38139</v>
      </c>
      <c r="J83" s="62">
        <v>38169</v>
      </c>
      <c r="K83" s="62">
        <v>38200</v>
      </c>
      <c r="L83" s="62">
        <v>38231</v>
      </c>
      <c r="M83" s="62">
        <v>38261</v>
      </c>
      <c r="N83" s="62">
        <v>38292</v>
      </c>
      <c r="O83" s="62">
        <v>38322</v>
      </c>
      <c r="P83" s="61" t="s">
        <v>67</v>
      </c>
    </row>
    <row r="84" spans="1:16" ht="12.75">
      <c r="A84" s="6" t="s">
        <v>68</v>
      </c>
      <c r="D84">
        <v>-24</v>
      </c>
      <c r="E84">
        <v>3</v>
      </c>
      <c r="F84">
        <v>122</v>
      </c>
      <c r="G84">
        <v>102</v>
      </c>
      <c r="H84">
        <v>24</v>
      </c>
      <c r="I84">
        <v>18</v>
      </c>
      <c r="J84">
        <v>28</v>
      </c>
      <c r="K84">
        <v>8</v>
      </c>
      <c r="L84">
        <v>-8</v>
      </c>
      <c r="M84">
        <v>74</v>
      </c>
      <c r="N84">
        <v>40</v>
      </c>
      <c r="O84">
        <v>148</v>
      </c>
      <c r="P84">
        <f>SUM(D84:O84)</f>
        <v>535</v>
      </c>
    </row>
    <row r="85" ht="12.75">
      <c r="B85" s="58"/>
    </row>
    <row r="86" spans="1:3" ht="12.75">
      <c r="A86" s="59" t="s">
        <v>150</v>
      </c>
      <c r="B86" s="58"/>
      <c r="C86" s="58" t="s">
        <v>180</v>
      </c>
    </row>
    <row r="87" spans="1:16" ht="12.75">
      <c r="A87" t="s">
        <v>27</v>
      </c>
      <c r="C87">
        <v>0.11</v>
      </c>
      <c r="D87" s="11">
        <f aca="true" t="shared" si="0" ref="D87:O87">D$84*D$126*$C87</f>
        <v>-311731.2</v>
      </c>
      <c r="E87" s="11">
        <f t="shared" si="0"/>
        <v>39000.06</v>
      </c>
      <c r="F87" s="11">
        <f t="shared" si="0"/>
        <v>1586069.54</v>
      </c>
      <c r="G87" s="11">
        <f t="shared" si="0"/>
        <v>1326046.92</v>
      </c>
      <c r="H87" s="11">
        <f t="shared" si="0"/>
        <v>311982</v>
      </c>
      <c r="I87" s="11">
        <f t="shared" si="0"/>
        <v>234053.82</v>
      </c>
      <c r="J87" s="11">
        <f t="shared" si="0"/>
        <v>364280.84</v>
      </c>
      <c r="K87" s="11">
        <f t="shared" si="0"/>
        <v>104280.88</v>
      </c>
      <c r="L87" s="11">
        <f t="shared" si="0"/>
        <v>-104617.04</v>
      </c>
      <c r="M87" s="11">
        <f t="shared" si="0"/>
        <v>972111.36</v>
      </c>
      <c r="N87" s="11">
        <f t="shared" si="0"/>
        <v>528743.6</v>
      </c>
      <c r="O87" s="11">
        <f t="shared" si="0"/>
        <v>1961821.4</v>
      </c>
      <c r="P87" s="11">
        <f>SUM(D87:O87)</f>
        <v>7012042.18</v>
      </c>
    </row>
    <row r="88" spans="1:16" ht="12.75">
      <c r="A88" t="s">
        <v>28</v>
      </c>
      <c r="C88">
        <v>0.249</v>
      </c>
      <c r="D88" s="11">
        <f aca="true" t="shared" si="1" ref="D88:O88">D$84*(D$127)*$C88</f>
        <v>-63626.472</v>
      </c>
      <c r="E88" s="11">
        <f t="shared" si="1"/>
        <v>8020.539</v>
      </c>
      <c r="F88" s="11">
        <f t="shared" si="1"/>
        <v>325469.892</v>
      </c>
      <c r="G88" s="11">
        <f t="shared" si="1"/>
        <v>271707.804</v>
      </c>
      <c r="H88" s="11">
        <f t="shared" si="1"/>
        <v>64152.36</v>
      </c>
      <c r="I88" s="11">
        <f t="shared" si="1"/>
        <v>48145.644</v>
      </c>
      <c r="J88" s="11">
        <f t="shared" si="1"/>
        <v>75325.488</v>
      </c>
      <c r="K88" s="11">
        <f t="shared" si="1"/>
        <v>21659.016</v>
      </c>
      <c r="L88" s="11">
        <f t="shared" si="1"/>
        <v>-21684.912</v>
      </c>
      <c r="M88" s="11">
        <f t="shared" si="1"/>
        <v>201009.234</v>
      </c>
      <c r="N88" s="11">
        <f t="shared" si="1"/>
        <v>109510.2</v>
      </c>
      <c r="O88" s="11">
        <f t="shared" si="1"/>
        <v>406293.3</v>
      </c>
      <c r="P88" s="11">
        <f>SUM(D88:O88)</f>
        <v>1445982.0929999999</v>
      </c>
    </row>
    <row r="89" spans="1:16" ht="12.75">
      <c r="A89" t="s">
        <v>29</v>
      </c>
      <c r="C89">
        <v>0.424</v>
      </c>
      <c r="D89" s="11">
        <f aca="true" t="shared" si="2" ref="D89:O89">D$84*D$128*$C89</f>
        <v>-946.3679999999999</v>
      </c>
      <c r="E89" s="11">
        <f t="shared" si="2"/>
        <v>117.024</v>
      </c>
      <c r="F89" s="11">
        <f t="shared" si="2"/>
        <v>4758.976</v>
      </c>
      <c r="G89" s="11">
        <f t="shared" si="2"/>
        <v>3978.816</v>
      </c>
      <c r="H89" s="11">
        <f t="shared" si="2"/>
        <v>946.3679999999999</v>
      </c>
      <c r="I89" s="11">
        <f t="shared" si="2"/>
        <v>686.88</v>
      </c>
      <c r="J89" s="11">
        <f t="shared" si="2"/>
        <v>1127.84</v>
      </c>
      <c r="K89" s="11">
        <f t="shared" si="2"/>
        <v>322.24</v>
      </c>
      <c r="L89" s="11">
        <f t="shared" si="2"/>
        <v>-332.416</v>
      </c>
      <c r="M89" s="11">
        <f t="shared" si="2"/>
        <v>3043.4719999999998</v>
      </c>
      <c r="N89" s="11">
        <f t="shared" si="2"/>
        <v>1628.1599999999999</v>
      </c>
      <c r="O89" s="11">
        <f t="shared" si="2"/>
        <v>5961.44</v>
      </c>
      <c r="P89" s="11">
        <f>SUM(D89:O89)</f>
        <v>21292.431999999997</v>
      </c>
    </row>
    <row r="90" spans="1:16" ht="12.75">
      <c r="A90" t="s">
        <v>151</v>
      </c>
      <c r="D90" s="21">
        <f aca="true" t="shared" si="3" ref="D90:P90">SUM(D87:D89)</f>
        <v>-376304.04000000004</v>
      </c>
      <c r="E90" s="21">
        <f t="shared" si="3"/>
        <v>47137.62299999999</v>
      </c>
      <c r="F90" s="21">
        <f t="shared" si="3"/>
        <v>1916298.408</v>
      </c>
      <c r="G90" s="21">
        <f t="shared" si="3"/>
        <v>1601733.54</v>
      </c>
      <c r="H90" s="21">
        <f t="shared" si="3"/>
        <v>377080.728</v>
      </c>
      <c r="I90" s="21">
        <f t="shared" si="3"/>
        <v>282886.34400000004</v>
      </c>
      <c r="J90" s="21">
        <f t="shared" si="3"/>
        <v>440734.16800000006</v>
      </c>
      <c r="K90" s="21">
        <f t="shared" si="3"/>
        <v>126262.13600000001</v>
      </c>
      <c r="L90" s="21">
        <f t="shared" si="3"/>
        <v>-126634.36799999999</v>
      </c>
      <c r="M90" s="21">
        <f t="shared" si="3"/>
        <v>1176164.066</v>
      </c>
      <c r="N90" s="21">
        <f t="shared" si="3"/>
        <v>639881.96</v>
      </c>
      <c r="O90" s="21">
        <f t="shared" si="3"/>
        <v>2374076.1399999997</v>
      </c>
      <c r="P90" s="21">
        <f t="shared" si="3"/>
        <v>8479316.705</v>
      </c>
    </row>
    <row r="91" spans="4:16" ht="12.75">
      <c r="D91" s="22"/>
      <c r="E91" s="22"/>
      <c r="F91" s="22"/>
      <c r="G91" s="22"/>
      <c r="H91" s="22"/>
      <c r="I91" s="22"/>
      <c r="J91" s="22"/>
      <c r="K91" s="22"/>
      <c r="L91" s="22"/>
      <c r="M91" s="22"/>
      <c r="N91" s="22"/>
      <c r="O91" s="22"/>
      <c r="P91" s="22"/>
    </row>
    <row r="92" spans="1:16" ht="12.75">
      <c r="A92" s="59" t="s">
        <v>154</v>
      </c>
      <c r="B92" s="58"/>
      <c r="C92" s="58" t="s">
        <v>180</v>
      </c>
      <c r="D92" s="11"/>
      <c r="E92" s="11"/>
      <c r="F92" s="11"/>
      <c r="G92" s="11"/>
      <c r="H92" s="11"/>
      <c r="I92" s="11"/>
      <c r="J92" s="11"/>
      <c r="K92" s="11"/>
      <c r="L92" s="11"/>
      <c r="M92" s="11"/>
      <c r="N92" s="11"/>
      <c r="O92" s="11"/>
      <c r="P92" s="11"/>
    </row>
    <row r="93" spans="1:16" ht="12.75">
      <c r="A93" t="s">
        <v>31</v>
      </c>
      <c r="C93">
        <v>2.356</v>
      </c>
      <c r="D93" s="11">
        <f aca="true" t="shared" si="4" ref="D93:O93">D$84*D131*$C93</f>
        <v>-13853.279999999999</v>
      </c>
      <c r="E93" s="11">
        <f t="shared" si="4"/>
        <v>1710.456</v>
      </c>
      <c r="F93" s="11">
        <f t="shared" si="4"/>
        <v>70420.84</v>
      </c>
      <c r="G93" s="11">
        <f t="shared" si="4"/>
        <v>58876.439999999995</v>
      </c>
      <c r="H93" s="11">
        <f t="shared" si="4"/>
        <v>13457.472</v>
      </c>
      <c r="I93" s="11">
        <f t="shared" si="4"/>
        <v>10644.408</v>
      </c>
      <c r="J93" s="11">
        <f t="shared" si="4"/>
        <v>16162.16</v>
      </c>
      <c r="K93" s="11">
        <f t="shared" si="4"/>
        <v>4335.04</v>
      </c>
      <c r="L93" s="11">
        <f t="shared" si="4"/>
        <v>-4353.888</v>
      </c>
      <c r="M93" s="11">
        <f t="shared" si="4"/>
        <v>40970.84</v>
      </c>
      <c r="N93" s="11">
        <f t="shared" si="4"/>
        <v>21957.92</v>
      </c>
      <c r="O93" s="11">
        <f t="shared" si="4"/>
        <v>83336.432</v>
      </c>
      <c r="P93" s="11">
        <f>SUM(D93:O93)</f>
        <v>303664.83999999997</v>
      </c>
    </row>
    <row r="94" spans="1:16" ht="12.75">
      <c r="A94" t="s">
        <v>32</v>
      </c>
      <c r="C94">
        <v>2.408</v>
      </c>
      <c r="D94" s="11">
        <f aca="true" t="shared" si="5" ref="D94:O94">D$84*(D132+D136+D139+D141)*$C94</f>
        <v>-116855.424</v>
      </c>
      <c r="E94" s="11">
        <f t="shared" si="5"/>
        <v>14679.168</v>
      </c>
      <c r="F94" s="11">
        <f t="shared" si="5"/>
        <v>599303.04</v>
      </c>
      <c r="G94" s="11">
        <f t="shared" si="5"/>
        <v>497126.784</v>
      </c>
      <c r="H94" s="11">
        <f t="shared" si="5"/>
        <v>115410.624</v>
      </c>
      <c r="I94" s="11">
        <f t="shared" si="5"/>
        <v>88161.696</v>
      </c>
      <c r="J94" s="11">
        <f t="shared" si="5"/>
        <v>132353.312</v>
      </c>
      <c r="K94" s="11">
        <f t="shared" si="5"/>
        <v>36563.072</v>
      </c>
      <c r="L94" s="11">
        <f t="shared" si="5"/>
        <v>-36543.808</v>
      </c>
      <c r="M94" s="11">
        <f t="shared" si="5"/>
        <v>336426.496</v>
      </c>
      <c r="N94" s="11">
        <f t="shared" si="5"/>
        <v>183008</v>
      </c>
      <c r="O94" s="11">
        <f t="shared" si="5"/>
        <v>680693.44</v>
      </c>
      <c r="P94" s="11">
        <f>SUM(D94:O94)</f>
        <v>2530326.4</v>
      </c>
    </row>
    <row r="95" spans="1:16" ht="12.75">
      <c r="A95" t="s">
        <v>33</v>
      </c>
      <c r="C95">
        <v>3.064</v>
      </c>
      <c r="D95" s="11">
        <f aca="true" t="shared" si="6" ref="D95:O95">D$84*(D133+D137)*$C95</f>
        <v>-4338.624</v>
      </c>
      <c r="E95" s="11">
        <f t="shared" si="6"/>
        <v>551.52</v>
      </c>
      <c r="F95" s="11">
        <f t="shared" si="6"/>
        <v>22802.288</v>
      </c>
      <c r="G95" s="11">
        <f t="shared" si="6"/>
        <v>18439.152000000002</v>
      </c>
      <c r="H95" s="11">
        <f t="shared" si="6"/>
        <v>4485.696</v>
      </c>
      <c r="I95" s="11">
        <f t="shared" si="6"/>
        <v>3253.968</v>
      </c>
      <c r="J95" s="11">
        <f t="shared" si="6"/>
        <v>5061.728</v>
      </c>
      <c r="K95" s="11">
        <f t="shared" si="6"/>
        <v>1323.6480000000001</v>
      </c>
      <c r="L95" s="11">
        <f t="shared" si="6"/>
        <v>-1348.16</v>
      </c>
      <c r="M95" s="11">
        <f t="shared" si="6"/>
        <v>12243.744</v>
      </c>
      <c r="N95" s="11">
        <f t="shared" si="6"/>
        <v>6618.24</v>
      </c>
      <c r="O95" s="11">
        <f t="shared" si="6"/>
        <v>24487.488</v>
      </c>
      <c r="P95" s="11">
        <f>SUM(D95:O95)</f>
        <v>93580.68800000001</v>
      </c>
    </row>
    <row r="96" spans="1:16" ht="12.75">
      <c r="A96" t="s">
        <v>152</v>
      </c>
      <c r="D96" s="21">
        <f aca="true" t="shared" si="7" ref="D96:P96">SUM(D93:D95)</f>
        <v>-135047.328</v>
      </c>
      <c r="E96" s="21">
        <f t="shared" si="7"/>
        <v>16941.144</v>
      </c>
      <c r="F96" s="21">
        <f t="shared" si="7"/>
        <v>692526.1680000001</v>
      </c>
      <c r="G96" s="21">
        <f t="shared" si="7"/>
        <v>574442.3759999999</v>
      </c>
      <c r="H96" s="21">
        <f t="shared" si="7"/>
        <v>133353.792</v>
      </c>
      <c r="I96" s="21">
        <f t="shared" si="7"/>
        <v>102060.07199999999</v>
      </c>
      <c r="J96" s="21">
        <f t="shared" si="7"/>
        <v>153577.2</v>
      </c>
      <c r="K96" s="21">
        <f t="shared" si="7"/>
        <v>42221.76</v>
      </c>
      <c r="L96" s="21">
        <f t="shared" si="7"/>
        <v>-42245.856</v>
      </c>
      <c r="M96" s="21">
        <f t="shared" si="7"/>
        <v>389641.08</v>
      </c>
      <c r="N96" s="21">
        <f t="shared" si="7"/>
        <v>211584.15999999997</v>
      </c>
      <c r="O96" s="21">
        <f t="shared" si="7"/>
        <v>788517.36</v>
      </c>
      <c r="P96" s="21">
        <f t="shared" si="7"/>
        <v>2927571.928</v>
      </c>
    </row>
    <row r="97" spans="4:16" ht="12.75">
      <c r="D97" s="22"/>
      <c r="E97" s="22"/>
      <c r="F97" s="22"/>
      <c r="G97" s="22"/>
      <c r="H97" s="22"/>
      <c r="I97" s="22"/>
      <c r="J97" s="22"/>
      <c r="K97" s="22"/>
      <c r="L97" s="22"/>
      <c r="M97" s="22"/>
      <c r="N97" s="22"/>
      <c r="O97" s="22"/>
      <c r="P97" s="11"/>
    </row>
    <row r="98" ht="12.75">
      <c r="D98" s="22"/>
    </row>
    <row r="99" spans="1:4" ht="12.75">
      <c r="A99" s="59" t="s">
        <v>153</v>
      </c>
      <c r="D99" s="22"/>
    </row>
    <row r="100" spans="1:16" ht="12.75">
      <c r="A100" s="14"/>
      <c r="D100" s="70">
        <v>37956</v>
      </c>
      <c r="E100" s="70">
        <v>37987</v>
      </c>
      <c r="F100" s="70">
        <v>38018</v>
      </c>
      <c r="G100" s="70">
        <v>38047</v>
      </c>
      <c r="H100" s="70">
        <v>38078</v>
      </c>
      <c r="I100" s="70">
        <v>38108</v>
      </c>
      <c r="J100" s="70">
        <v>38139</v>
      </c>
      <c r="K100" s="70">
        <v>38169</v>
      </c>
      <c r="L100" s="70">
        <v>38200</v>
      </c>
      <c r="M100" s="70">
        <v>38231</v>
      </c>
      <c r="N100" s="70">
        <v>38261</v>
      </c>
      <c r="O100" s="70">
        <v>38292</v>
      </c>
      <c r="P100" s="70">
        <v>38322</v>
      </c>
    </row>
    <row r="101" spans="1:16" ht="12.75">
      <c r="A101" t="s">
        <v>25</v>
      </c>
      <c r="D101" s="23">
        <v>752.8</v>
      </c>
      <c r="E101" s="2">
        <v>641</v>
      </c>
      <c r="F101" s="2">
        <v>541.2</v>
      </c>
      <c r="G101" s="2">
        <v>400.5</v>
      </c>
      <c r="H101" s="46">
        <v>300</v>
      </c>
      <c r="I101" s="46">
        <v>216</v>
      </c>
      <c r="J101" s="2">
        <v>66.4</v>
      </c>
      <c r="K101" s="2">
        <v>6.3</v>
      </c>
      <c r="L101" s="2">
        <v>27.1</v>
      </c>
      <c r="M101" s="46">
        <v>132</v>
      </c>
      <c r="N101" s="2">
        <v>371.6</v>
      </c>
      <c r="O101" s="2">
        <v>620.9</v>
      </c>
      <c r="P101">
        <v>671.5</v>
      </c>
    </row>
    <row r="102" spans="1:16" ht="12.75">
      <c r="A102" t="s">
        <v>26</v>
      </c>
      <c r="D102" s="24">
        <v>0.6756</v>
      </c>
      <c r="E102" s="45">
        <v>0.5969</v>
      </c>
      <c r="F102" s="45">
        <v>0.6185</v>
      </c>
      <c r="G102" s="45">
        <v>0.6334</v>
      </c>
      <c r="H102" s="45">
        <v>0.6583</v>
      </c>
      <c r="I102" s="45">
        <v>0.6577</v>
      </c>
      <c r="J102" s="45">
        <v>0.6613</v>
      </c>
      <c r="K102" s="45">
        <v>0.6533</v>
      </c>
      <c r="L102" s="45">
        <v>0.6821</v>
      </c>
      <c r="M102" s="45">
        <v>0.6583</v>
      </c>
      <c r="N102" s="45">
        <v>0.67</v>
      </c>
      <c r="O102" s="45">
        <v>0.712</v>
      </c>
      <c r="P102" s="25">
        <v>0.6517</v>
      </c>
    </row>
    <row r="103" spans="1:16" ht="12.75">
      <c r="A103" s="59" t="s">
        <v>150</v>
      </c>
      <c r="B103" s="60" t="s">
        <v>179</v>
      </c>
      <c r="C103" s="61" t="s">
        <v>180</v>
      </c>
      <c r="D103" s="24"/>
      <c r="E103" s="45"/>
      <c r="F103" s="45"/>
      <c r="G103" s="45"/>
      <c r="H103" s="45"/>
      <c r="I103" s="45"/>
      <c r="J103" s="45"/>
      <c r="K103" s="45"/>
      <c r="L103" s="45"/>
      <c r="M103" s="45"/>
      <c r="N103" s="45"/>
      <c r="O103" s="45"/>
      <c r="P103" s="25"/>
    </row>
    <row r="104" spans="1:16" ht="12.75">
      <c r="A104" t="s">
        <v>27</v>
      </c>
      <c r="B104">
        <v>7</v>
      </c>
      <c r="C104">
        <v>0.11</v>
      </c>
      <c r="D104" s="11">
        <f>D$101*$C104*117874+$B104*D$102*117874</f>
        <v>10318359.9128</v>
      </c>
      <c r="E104" s="11">
        <f aca="true" t="shared" si="8" ref="E104:P104">E$101*$C104*D126+$B104*E$102*D126</f>
        <v>8819194.464000002</v>
      </c>
      <c r="F104" s="11">
        <f t="shared" si="8"/>
        <v>7547279.793</v>
      </c>
      <c r="G104" s="11">
        <f t="shared" si="8"/>
        <v>5730745.805600001</v>
      </c>
      <c r="H104" s="11">
        <f t="shared" si="8"/>
        <v>4444750.9066</v>
      </c>
      <c r="I104" s="11">
        <f t="shared" si="8"/>
        <v>3351903.8825</v>
      </c>
      <c r="J104" s="11">
        <f t="shared" si="8"/>
        <v>1410599.8179000001</v>
      </c>
      <c r="K104" s="11">
        <f t="shared" si="8"/>
        <v>622837.4453</v>
      </c>
      <c r="L104" s="11">
        <f t="shared" si="8"/>
        <v>919058.2057</v>
      </c>
      <c r="M104" s="11">
        <f t="shared" si="8"/>
        <v>2274005.9123</v>
      </c>
      <c r="N104" s="11">
        <f t="shared" si="8"/>
        <v>5441673.984000001</v>
      </c>
      <c r="O104" s="11">
        <f t="shared" si="8"/>
        <v>8806344.827</v>
      </c>
      <c r="P104" s="11">
        <f t="shared" si="8"/>
        <v>9450833.5845</v>
      </c>
    </row>
    <row r="105" spans="1:16" ht="12.75">
      <c r="A105" t="s">
        <v>28</v>
      </c>
      <c r="B105">
        <v>0</v>
      </c>
      <c r="C105">
        <v>0.249</v>
      </c>
      <c r="D105" s="11">
        <f>D$101*$C105*10668+$B105*D$102*10668</f>
        <v>1999686.7295999997</v>
      </c>
      <c r="E105" s="11">
        <f aca="true" t="shared" si="9" ref="E105:P105">E$101*$C105*(D127)+$B105*E$102*(D127)</f>
        <v>1699357.023</v>
      </c>
      <c r="F105" s="11">
        <f t="shared" si="9"/>
        <v>1446905.2356</v>
      </c>
      <c r="G105" s="11">
        <f t="shared" si="9"/>
        <v>1068448.293</v>
      </c>
      <c r="H105" s="11">
        <f t="shared" si="9"/>
        <v>799140.6</v>
      </c>
      <c r="I105" s="11">
        <f t="shared" si="9"/>
        <v>577371.24</v>
      </c>
      <c r="J105" s="11">
        <f t="shared" si="9"/>
        <v>177603.9312</v>
      </c>
      <c r="K105" s="11">
        <f t="shared" si="9"/>
        <v>16948.2348</v>
      </c>
      <c r="L105" s="11">
        <f t="shared" si="9"/>
        <v>73369.9167</v>
      </c>
      <c r="M105" s="11">
        <f t="shared" si="9"/>
        <v>357801.048</v>
      </c>
      <c r="N105" s="11">
        <f t="shared" si="9"/>
        <v>1009392.3156000001</v>
      </c>
      <c r="O105" s="11">
        <f t="shared" si="9"/>
        <v>1699872.0794999998</v>
      </c>
      <c r="P105" s="11">
        <f t="shared" si="9"/>
        <v>1843418.5875</v>
      </c>
    </row>
    <row r="106" spans="1:16" ht="12.75">
      <c r="A106" t="s">
        <v>29</v>
      </c>
      <c r="B106">
        <v>0</v>
      </c>
      <c r="C106">
        <v>0.424</v>
      </c>
      <c r="D106" s="11">
        <f>D$101*$C106*94+$B106*D$102*94</f>
        <v>30003.596799999996</v>
      </c>
      <c r="E106" s="11">
        <f aca="true" t="shared" si="10" ref="E106:P106">E$101*$C106*D128+$B106*E$102*D128</f>
        <v>25275.912</v>
      </c>
      <c r="F106" s="11">
        <f t="shared" si="10"/>
        <v>21111.1296</v>
      </c>
      <c r="G106" s="11">
        <f t="shared" si="10"/>
        <v>15622.703999999998</v>
      </c>
      <c r="H106" s="11">
        <f t="shared" si="10"/>
        <v>11702.4</v>
      </c>
      <c r="I106" s="11">
        <f t="shared" si="10"/>
        <v>8517.312</v>
      </c>
      <c r="J106" s="11">
        <f t="shared" si="10"/>
        <v>2533.824</v>
      </c>
      <c r="K106" s="11">
        <f t="shared" si="10"/>
        <v>253.76399999999998</v>
      </c>
      <c r="L106" s="11">
        <f t="shared" si="10"/>
        <v>1091.5880000000002</v>
      </c>
      <c r="M106" s="11">
        <f t="shared" si="10"/>
        <v>5484.864</v>
      </c>
      <c r="N106" s="11">
        <f t="shared" si="10"/>
        <v>15283.1648</v>
      </c>
      <c r="O106" s="11">
        <f t="shared" si="10"/>
        <v>25273.113599999997</v>
      </c>
      <c r="P106" s="11">
        <f t="shared" si="10"/>
        <v>27048.02</v>
      </c>
    </row>
    <row r="107" spans="1:16" ht="12.75">
      <c r="A107" t="s">
        <v>152</v>
      </c>
      <c r="D107" s="21">
        <f aca="true" t="shared" si="11" ref="D107:P107">SUM(D104:D106)</f>
        <v>12348050.239199998</v>
      </c>
      <c r="E107" s="21">
        <f t="shared" si="11"/>
        <v>10543827.399000002</v>
      </c>
      <c r="F107" s="21">
        <f t="shared" si="11"/>
        <v>9015296.1582</v>
      </c>
      <c r="G107" s="21">
        <f t="shared" si="11"/>
        <v>6814816.8026</v>
      </c>
      <c r="H107" s="21">
        <f t="shared" si="11"/>
        <v>5255593.9066</v>
      </c>
      <c r="I107" s="21">
        <f t="shared" si="11"/>
        <v>3937792.4344999995</v>
      </c>
      <c r="J107" s="21">
        <f t="shared" si="11"/>
        <v>1590737.5731000002</v>
      </c>
      <c r="K107" s="21">
        <f t="shared" si="11"/>
        <v>640039.4441</v>
      </c>
      <c r="L107" s="21">
        <f t="shared" si="11"/>
        <v>993519.7104</v>
      </c>
      <c r="M107" s="21">
        <f t="shared" si="11"/>
        <v>2637291.8243</v>
      </c>
      <c r="N107" s="21">
        <f t="shared" si="11"/>
        <v>6466349.464400002</v>
      </c>
      <c r="O107" s="21">
        <f t="shared" si="11"/>
        <v>10531490.0201</v>
      </c>
      <c r="P107" s="21">
        <f t="shared" si="11"/>
        <v>11321300.192</v>
      </c>
    </row>
    <row r="108" spans="4:16" ht="12.75">
      <c r="D108" s="22"/>
      <c r="E108" s="22"/>
      <c r="F108" s="22"/>
      <c r="G108" s="22"/>
      <c r="H108" s="22"/>
      <c r="I108" s="22"/>
      <c r="J108" s="22"/>
      <c r="K108" s="22"/>
      <c r="L108" s="22"/>
      <c r="M108" s="22"/>
      <c r="N108" s="22"/>
      <c r="O108" s="22"/>
      <c r="P108" s="22"/>
    </row>
    <row r="109" spans="1:16" ht="12.75">
      <c r="A109" s="59" t="s">
        <v>154</v>
      </c>
      <c r="B109" s="60" t="s">
        <v>179</v>
      </c>
      <c r="C109" s="61" t="s">
        <v>180</v>
      </c>
      <c r="D109" s="22"/>
      <c r="E109" s="22"/>
      <c r="F109" s="22"/>
      <c r="G109" s="22"/>
      <c r="H109" s="22"/>
      <c r="I109" s="22"/>
      <c r="J109" s="22"/>
      <c r="K109" s="22"/>
      <c r="L109" s="22"/>
      <c r="M109" s="22"/>
      <c r="N109" s="22"/>
      <c r="O109" s="22"/>
      <c r="P109" s="22"/>
    </row>
    <row r="110" spans="1:16" ht="12.75">
      <c r="A110" t="s">
        <v>31</v>
      </c>
      <c r="B110">
        <v>388</v>
      </c>
      <c r="C110">
        <v>2.356</v>
      </c>
      <c r="D110" s="11">
        <f>D$101*$C110*247+$B110*D$102*247</f>
        <v>502825.21119999996</v>
      </c>
      <c r="E110" s="11">
        <f aca="true" t="shared" si="12" ref="E110:P110">E$101*$C110*D131+$B110*E$102*D131</f>
        <v>426739.334</v>
      </c>
      <c r="F110" s="11">
        <f t="shared" si="12"/>
        <v>366640.9384</v>
      </c>
      <c r="G110" s="11">
        <f t="shared" si="12"/>
        <v>291387.614</v>
      </c>
      <c r="H110" s="11">
        <f t="shared" si="12"/>
        <v>235743.998</v>
      </c>
      <c r="I110" s="11">
        <f t="shared" si="12"/>
        <v>181851.8968</v>
      </c>
      <c r="J110" s="11">
        <f t="shared" si="12"/>
        <v>103668.7228</v>
      </c>
      <c r="K110" s="11">
        <f t="shared" si="12"/>
        <v>65739.18400000001</v>
      </c>
      <c r="L110" s="11">
        <f t="shared" si="12"/>
        <v>75555.55200000001</v>
      </c>
      <c r="M110" s="11">
        <f t="shared" si="12"/>
        <v>130841.26439999999</v>
      </c>
      <c r="N110" s="11">
        <f t="shared" si="12"/>
        <v>266830.656</v>
      </c>
      <c r="O110" s="11">
        <f t="shared" si="12"/>
        <v>405209.46119999996</v>
      </c>
      <c r="P110" s="11">
        <f t="shared" si="12"/>
        <v>438544.35039999994</v>
      </c>
    </row>
    <row r="111" spans="1:16" ht="12.75">
      <c r="A111" t="s">
        <v>32</v>
      </c>
      <c r="B111">
        <v>373</v>
      </c>
      <c r="C111">
        <v>2.408</v>
      </c>
      <c r="D111" s="11">
        <f>D$101*$C111*2023+$B111*D$102*2023</f>
        <v>4176971.4475999996</v>
      </c>
      <c r="E111" s="11">
        <f aca="true" t="shared" si="13" ref="E111:P111">E$101*$C111*(D132+D136+D139+D141)+$B111*E$102*(D132+D136+D139+D141)</f>
        <v>3571199.1774</v>
      </c>
      <c r="F111" s="11">
        <f t="shared" si="13"/>
        <v>3116905.3232000005</v>
      </c>
      <c r="G111" s="11">
        <f t="shared" si="13"/>
        <v>2449350.888</v>
      </c>
      <c r="H111" s="11">
        <f t="shared" si="13"/>
        <v>1959122.5015999998</v>
      </c>
      <c r="I111" s="11">
        <f t="shared" si="13"/>
        <v>1528603.8496999997</v>
      </c>
      <c r="J111" s="11">
        <f t="shared" si="13"/>
        <v>826935.1074</v>
      </c>
      <c r="K111" s="11">
        <f t="shared" si="13"/>
        <v>508125.1019</v>
      </c>
      <c r="L111" s="11">
        <f t="shared" si="13"/>
        <v>606752.8298000001</v>
      </c>
      <c r="M111" s="11">
        <f t="shared" si="13"/>
        <v>1068773.4043</v>
      </c>
      <c r="N111" s="11">
        <f t="shared" si="13"/>
        <v>2161236.6464</v>
      </c>
      <c r="O111" s="11">
        <f t="shared" si="13"/>
        <v>3345336.0799999996</v>
      </c>
      <c r="P111" s="11">
        <f t="shared" si="13"/>
        <v>3552707.151</v>
      </c>
    </row>
    <row r="112" spans="1:16" ht="12.75">
      <c r="A112" t="s">
        <v>33</v>
      </c>
      <c r="B112">
        <v>1069</v>
      </c>
      <c r="C112">
        <v>3.064</v>
      </c>
      <c r="D112" s="11">
        <f>D$101*$C112*60+$B112*D$102*60</f>
        <v>181727.736</v>
      </c>
      <c r="E112" s="11">
        <f aca="true" t="shared" si="14" ref="E112:P112">E$101*$C112*(D133+D137)+$B112*E$102*(D133+D137)</f>
        <v>153524.4959</v>
      </c>
      <c r="F112" s="11">
        <f t="shared" si="14"/>
        <v>139164.798</v>
      </c>
      <c r="G112" s="11">
        <f t="shared" si="14"/>
        <v>116158.4326</v>
      </c>
      <c r="H112" s="11">
        <f t="shared" si="14"/>
        <v>95752.4393</v>
      </c>
      <c r="I112" s="11">
        <f t="shared" si="14"/>
        <v>83259.2233</v>
      </c>
      <c r="J112" s="11">
        <f t="shared" si="14"/>
        <v>53712.3787</v>
      </c>
      <c r="K112" s="11">
        <f t="shared" si="14"/>
        <v>42343.1731</v>
      </c>
      <c r="L112" s="11">
        <f t="shared" si="14"/>
        <v>43858.762200000005</v>
      </c>
      <c r="M112" s="11">
        <f t="shared" si="14"/>
        <v>60949.3885</v>
      </c>
      <c r="N112" s="11">
        <f t="shared" si="14"/>
        <v>100159.8696</v>
      </c>
      <c r="O112" s="11">
        <f t="shared" si="14"/>
        <v>143832.54239999998</v>
      </c>
      <c r="P112" s="11">
        <f t="shared" si="14"/>
        <v>148723.73820000002</v>
      </c>
    </row>
    <row r="113" spans="1:16" ht="12.75">
      <c r="A113" t="s">
        <v>152</v>
      </c>
      <c r="D113" s="21">
        <f aca="true" t="shared" si="15" ref="D113:P113">SUM(D110:D112)</f>
        <v>4861524.394799999</v>
      </c>
      <c r="E113" s="21">
        <f t="shared" si="15"/>
        <v>4151463.0072999997</v>
      </c>
      <c r="F113" s="21">
        <f t="shared" si="15"/>
        <v>3622711.0596000003</v>
      </c>
      <c r="G113" s="21">
        <f t="shared" si="15"/>
        <v>2856896.9346</v>
      </c>
      <c r="H113" s="21">
        <f t="shared" si="15"/>
        <v>2290618.9389</v>
      </c>
      <c r="I113" s="21">
        <f t="shared" si="15"/>
        <v>1793714.9697999996</v>
      </c>
      <c r="J113" s="21">
        <f t="shared" si="15"/>
        <v>984316.2089</v>
      </c>
      <c r="K113" s="21">
        <f t="shared" si="15"/>
        <v>616207.459</v>
      </c>
      <c r="L113" s="21">
        <f t="shared" si="15"/>
        <v>726167.1440000001</v>
      </c>
      <c r="M113" s="21">
        <f t="shared" si="15"/>
        <v>1260564.0572000002</v>
      </c>
      <c r="N113" s="21">
        <f t="shared" si="15"/>
        <v>2528227.172</v>
      </c>
      <c r="O113" s="21">
        <f t="shared" si="15"/>
        <v>3894378.0835999995</v>
      </c>
      <c r="P113" s="21">
        <f t="shared" si="15"/>
        <v>4139975.2396</v>
      </c>
    </row>
    <row r="114" spans="4:16" ht="12.75">
      <c r="D114" s="22"/>
      <c r="E114" s="22"/>
      <c r="F114" s="22"/>
      <c r="G114" s="22"/>
      <c r="H114" s="22"/>
      <c r="I114" s="22"/>
      <c r="J114" s="22"/>
      <c r="K114" s="22"/>
      <c r="L114" s="22"/>
      <c r="M114" s="22"/>
      <c r="N114" s="22"/>
      <c r="O114" s="22"/>
      <c r="P114" s="22"/>
    </row>
    <row r="115" spans="1:4" ht="12.75">
      <c r="A115" t="s">
        <v>181</v>
      </c>
      <c r="D115" s="22"/>
    </row>
    <row r="116" ht="9" customHeight="1">
      <c r="D116" s="22"/>
    </row>
    <row r="117" ht="12.75">
      <c r="D117" s="22"/>
    </row>
    <row r="118" ht="12.75">
      <c r="A118" t="s">
        <v>69</v>
      </c>
    </row>
    <row r="119" ht="12.75">
      <c r="A119" t="s">
        <v>142</v>
      </c>
    </row>
    <row r="121" ht="12.75">
      <c r="A121" s="26" t="s">
        <v>97</v>
      </c>
    </row>
    <row r="123" spans="1:16" ht="12.75">
      <c r="A123" s="32"/>
      <c r="B123" s="33"/>
      <c r="C123" s="34"/>
      <c r="D123" s="27" t="s">
        <v>143</v>
      </c>
      <c r="E123" s="27"/>
      <c r="F123" s="27"/>
      <c r="G123" s="27"/>
      <c r="H123" s="27"/>
      <c r="I123" s="27"/>
      <c r="J123" s="27"/>
      <c r="K123" s="27"/>
      <c r="L123" s="27"/>
      <c r="M123" s="27"/>
      <c r="N123" s="27"/>
      <c r="O123" s="27"/>
      <c r="P123" s="27"/>
    </row>
    <row r="124" spans="1:16" ht="12.75">
      <c r="A124" s="35"/>
      <c r="B124" s="36"/>
      <c r="C124" s="37" t="s">
        <v>99</v>
      </c>
      <c r="D124" s="26" t="s">
        <v>100</v>
      </c>
      <c r="E124" s="26" t="s">
        <v>101</v>
      </c>
      <c r="F124" s="26" t="s">
        <v>102</v>
      </c>
      <c r="G124" s="26" t="s">
        <v>103</v>
      </c>
      <c r="H124" s="26" t="s">
        <v>104</v>
      </c>
      <c r="I124" s="26" t="s">
        <v>105</v>
      </c>
      <c r="J124" s="26" t="s">
        <v>106</v>
      </c>
      <c r="K124" s="26" t="s">
        <v>107</v>
      </c>
      <c r="L124" s="26" t="s">
        <v>108</v>
      </c>
      <c r="M124" s="26" t="s">
        <v>109</v>
      </c>
      <c r="N124" s="26" t="s">
        <v>110</v>
      </c>
      <c r="O124" s="26" t="s">
        <v>111</v>
      </c>
      <c r="P124" s="28" t="s">
        <v>144</v>
      </c>
    </row>
    <row r="125" spans="1:16" ht="12.75">
      <c r="A125" s="38" t="s">
        <v>113</v>
      </c>
      <c r="B125" s="38" t="s">
        <v>114</v>
      </c>
      <c r="C125" s="39"/>
      <c r="D125" s="39"/>
      <c r="E125" s="39"/>
      <c r="F125" s="39"/>
      <c r="G125" s="39"/>
      <c r="H125" s="39"/>
      <c r="I125" s="39"/>
      <c r="J125" s="39"/>
      <c r="K125" s="39"/>
      <c r="L125" s="39"/>
      <c r="M125" s="39"/>
      <c r="N125" s="39"/>
      <c r="O125" s="39"/>
      <c r="P125" s="39"/>
    </row>
    <row r="126" spans="1:16" ht="12.75">
      <c r="A126" s="40" t="s">
        <v>40</v>
      </c>
      <c r="B126" s="38" t="s">
        <v>21</v>
      </c>
      <c r="C126" s="39"/>
      <c r="D126" s="48">
        <v>118080</v>
      </c>
      <c r="E126" s="48">
        <v>118182</v>
      </c>
      <c r="F126" s="48">
        <v>118187</v>
      </c>
      <c r="G126" s="48">
        <v>118186</v>
      </c>
      <c r="H126" s="48">
        <v>118175</v>
      </c>
      <c r="I126" s="48">
        <v>118209</v>
      </c>
      <c r="J126" s="48">
        <v>118273</v>
      </c>
      <c r="K126" s="48">
        <v>118501</v>
      </c>
      <c r="L126" s="48">
        <v>118883</v>
      </c>
      <c r="M126" s="48">
        <v>119424</v>
      </c>
      <c r="N126" s="48">
        <v>120169</v>
      </c>
      <c r="O126" s="48">
        <v>120505</v>
      </c>
      <c r="P126" s="30">
        <v>118731.166666667</v>
      </c>
    </row>
    <row r="127" spans="1:16" ht="12.75">
      <c r="A127" s="41"/>
      <c r="B127" s="38" t="s">
        <v>22</v>
      </c>
      <c r="C127" s="39"/>
      <c r="D127" s="48">
        <v>10647</v>
      </c>
      <c r="E127" s="48">
        <v>10737</v>
      </c>
      <c r="F127" s="48">
        <v>10714</v>
      </c>
      <c r="G127" s="48">
        <v>10698</v>
      </c>
      <c r="H127" s="48">
        <v>10735</v>
      </c>
      <c r="I127" s="48">
        <v>10742</v>
      </c>
      <c r="J127" s="48">
        <v>10804</v>
      </c>
      <c r="K127" s="48">
        <v>10873</v>
      </c>
      <c r="L127" s="48">
        <v>10886</v>
      </c>
      <c r="M127" s="48">
        <v>10909</v>
      </c>
      <c r="N127" s="48">
        <v>10995</v>
      </c>
      <c r="O127" s="48">
        <v>11025</v>
      </c>
      <c r="P127" s="30">
        <v>10813.75</v>
      </c>
    </row>
    <row r="128" spans="1:16" ht="12.75">
      <c r="A128" s="41"/>
      <c r="B128" s="38" t="s">
        <v>70</v>
      </c>
      <c r="C128" s="39"/>
      <c r="D128" s="48">
        <v>93</v>
      </c>
      <c r="E128" s="48">
        <v>92</v>
      </c>
      <c r="F128" s="48">
        <v>92</v>
      </c>
      <c r="G128" s="48">
        <v>92</v>
      </c>
      <c r="H128" s="48">
        <v>93</v>
      </c>
      <c r="I128" s="48">
        <v>90</v>
      </c>
      <c r="J128" s="48">
        <v>95</v>
      </c>
      <c r="K128" s="48">
        <v>95</v>
      </c>
      <c r="L128" s="48">
        <v>98</v>
      </c>
      <c r="M128" s="48">
        <v>97</v>
      </c>
      <c r="N128" s="48">
        <v>96</v>
      </c>
      <c r="O128" s="48">
        <v>95</v>
      </c>
      <c r="P128" s="30">
        <v>94</v>
      </c>
    </row>
    <row r="129" spans="1:16" ht="12.75">
      <c r="A129" s="41"/>
      <c r="B129" s="38" t="s">
        <v>71</v>
      </c>
      <c r="C129" s="39"/>
      <c r="D129" s="48">
        <v>20</v>
      </c>
      <c r="E129" s="48">
        <v>20</v>
      </c>
      <c r="F129" s="48">
        <v>20</v>
      </c>
      <c r="G129" s="48">
        <v>20</v>
      </c>
      <c r="H129" s="48">
        <v>20</v>
      </c>
      <c r="I129" s="48">
        <v>20</v>
      </c>
      <c r="J129" s="48">
        <v>20</v>
      </c>
      <c r="K129" s="48">
        <v>21</v>
      </c>
      <c r="L129" s="48">
        <v>21</v>
      </c>
      <c r="M129" s="48">
        <v>21</v>
      </c>
      <c r="N129" s="48">
        <v>21</v>
      </c>
      <c r="O129" s="48">
        <v>21</v>
      </c>
      <c r="P129" s="30">
        <v>20.4166666666667</v>
      </c>
    </row>
    <row r="130" spans="1:16" ht="12.75">
      <c r="A130" s="42"/>
      <c r="B130" s="43" t="s">
        <v>115</v>
      </c>
      <c r="C130" s="39"/>
      <c r="D130" s="49">
        <v>128840</v>
      </c>
      <c r="E130" s="49">
        <v>129031</v>
      </c>
      <c r="F130" s="49">
        <v>129013</v>
      </c>
      <c r="G130" s="49">
        <v>128996</v>
      </c>
      <c r="H130" s="49">
        <v>129023</v>
      </c>
      <c r="I130" s="49">
        <v>129061</v>
      </c>
      <c r="J130" s="49">
        <v>129192</v>
      </c>
      <c r="K130" s="49">
        <v>129490</v>
      </c>
      <c r="L130" s="49">
        <v>129888</v>
      </c>
      <c r="M130" s="49">
        <v>130451</v>
      </c>
      <c r="N130" s="49">
        <v>131281</v>
      </c>
      <c r="O130" s="49">
        <v>131646</v>
      </c>
      <c r="P130" s="49"/>
    </row>
    <row r="131" spans="1:16" ht="12.75">
      <c r="A131" s="40" t="s">
        <v>34</v>
      </c>
      <c r="B131" s="38" t="s">
        <v>21</v>
      </c>
      <c r="C131" s="39"/>
      <c r="D131" s="48">
        <v>245</v>
      </c>
      <c r="E131" s="48">
        <v>242</v>
      </c>
      <c r="F131" s="48">
        <v>245</v>
      </c>
      <c r="G131" s="48">
        <v>245</v>
      </c>
      <c r="H131" s="48">
        <v>238</v>
      </c>
      <c r="I131" s="48">
        <v>251</v>
      </c>
      <c r="J131" s="48">
        <v>245</v>
      </c>
      <c r="K131" s="48">
        <v>230</v>
      </c>
      <c r="L131" s="48">
        <v>231</v>
      </c>
      <c r="M131" s="48">
        <v>235</v>
      </c>
      <c r="N131" s="48">
        <v>233</v>
      </c>
      <c r="O131" s="48">
        <v>239</v>
      </c>
      <c r="P131" s="30">
        <v>239.916666666667</v>
      </c>
    </row>
    <row r="132" spans="1:16" ht="12.75">
      <c r="A132" s="41"/>
      <c r="B132" s="38" t="s">
        <v>22</v>
      </c>
      <c r="C132" s="39"/>
      <c r="D132" s="48">
        <v>2020</v>
      </c>
      <c r="E132" s="48">
        <v>2030</v>
      </c>
      <c r="F132" s="48">
        <v>2038</v>
      </c>
      <c r="G132" s="48">
        <v>2022</v>
      </c>
      <c r="H132" s="48">
        <v>1995</v>
      </c>
      <c r="I132" s="48">
        <v>2032</v>
      </c>
      <c r="J132" s="48">
        <v>1961</v>
      </c>
      <c r="K132" s="48">
        <v>1896</v>
      </c>
      <c r="L132" s="48">
        <v>1895</v>
      </c>
      <c r="M132" s="48">
        <v>1886</v>
      </c>
      <c r="N132" s="48">
        <v>1898</v>
      </c>
      <c r="O132" s="48">
        <v>1908</v>
      </c>
      <c r="P132" s="30">
        <v>1965.08333333333</v>
      </c>
    </row>
    <row r="133" spans="1:16" ht="12.75">
      <c r="A133" s="41"/>
      <c r="B133" s="38" t="s">
        <v>70</v>
      </c>
      <c r="C133" s="39"/>
      <c r="D133" s="48">
        <v>58</v>
      </c>
      <c r="E133" s="48">
        <v>59</v>
      </c>
      <c r="F133" s="48">
        <v>60</v>
      </c>
      <c r="G133" s="48">
        <v>58</v>
      </c>
      <c r="H133" s="48">
        <v>60</v>
      </c>
      <c r="I133" s="48">
        <v>58</v>
      </c>
      <c r="J133" s="48">
        <v>58</v>
      </c>
      <c r="K133" s="48">
        <v>53</v>
      </c>
      <c r="L133" s="48">
        <v>54</v>
      </c>
      <c r="M133" s="48">
        <v>53</v>
      </c>
      <c r="N133" s="48">
        <v>53</v>
      </c>
      <c r="O133" s="48">
        <v>54</v>
      </c>
      <c r="P133" s="30">
        <v>56.5</v>
      </c>
    </row>
    <row r="134" spans="1:16" ht="12.75">
      <c r="A134" s="41"/>
      <c r="B134" s="38" t="s">
        <v>71</v>
      </c>
      <c r="C134" s="39"/>
      <c r="D134" s="48">
        <v>8</v>
      </c>
      <c r="E134" s="48">
        <v>8</v>
      </c>
      <c r="F134" s="48">
        <v>8</v>
      </c>
      <c r="G134" s="48">
        <v>8</v>
      </c>
      <c r="H134" s="48">
        <v>8</v>
      </c>
      <c r="I134" s="48">
        <v>8</v>
      </c>
      <c r="J134" s="48">
        <v>8</v>
      </c>
      <c r="K134" s="48">
        <v>8</v>
      </c>
      <c r="L134" s="48">
        <v>8</v>
      </c>
      <c r="M134" s="48">
        <v>8</v>
      </c>
      <c r="N134" s="48">
        <v>8</v>
      </c>
      <c r="O134" s="48">
        <v>8</v>
      </c>
      <c r="P134" s="30">
        <v>8</v>
      </c>
    </row>
    <row r="135" spans="1:16" ht="12.75">
      <c r="A135" s="42"/>
      <c r="B135" s="43" t="s">
        <v>116</v>
      </c>
      <c r="C135" s="39"/>
      <c r="D135" s="49">
        <v>2331</v>
      </c>
      <c r="E135" s="49">
        <v>2339</v>
      </c>
      <c r="F135" s="49">
        <v>2351</v>
      </c>
      <c r="G135" s="49">
        <v>2333</v>
      </c>
      <c r="H135" s="49">
        <v>2301</v>
      </c>
      <c r="I135" s="49">
        <v>2349</v>
      </c>
      <c r="J135" s="49">
        <v>2272</v>
      </c>
      <c r="K135" s="49">
        <v>2187</v>
      </c>
      <c r="L135" s="49">
        <v>2188</v>
      </c>
      <c r="M135" s="49">
        <v>2182</v>
      </c>
      <c r="N135" s="49">
        <v>2192</v>
      </c>
      <c r="O135" s="49">
        <v>2209</v>
      </c>
      <c r="P135" s="49"/>
    </row>
    <row r="136" spans="1:16" ht="12.75">
      <c r="A136" s="40" t="s">
        <v>39</v>
      </c>
      <c r="B136" s="38" t="s">
        <v>22</v>
      </c>
      <c r="C136" s="39"/>
      <c r="D136" s="48">
        <v>0</v>
      </c>
      <c r="E136" s="48">
        <v>0</v>
      </c>
      <c r="F136" s="48">
        <v>0</v>
      </c>
      <c r="G136" s="48">
        <v>0</v>
      </c>
      <c r="H136" s="48">
        <v>0</v>
      </c>
      <c r="I136" s="48">
        <v>0</v>
      </c>
      <c r="J136" s="48">
        <v>0</v>
      </c>
      <c r="K136" s="48">
        <v>0</v>
      </c>
      <c r="L136" s="48">
        <v>0</v>
      </c>
      <c r="M136" s="48">
        <v>0</v>
      </c>
      <c r="N136" s="48">
        <v>0</v>
      </c>
      <c r="O136" s="48">
        <v>2</v>
      </c>
      <c r="P136" s="30">
        <v>2</v>
      </c>
    </row>
    <row r="137" spans="1:16" ht="12.75">
      <c r="A137" s="41"/>
      <c r="B137" s="38" t="s">
        <v>70</v>
      </c>
      <c r="C137" s="39"/>
      <c r="D137" s="48">
        <v>1</v>
      </c>
      <c r="E137" s="48">
        <v>1</v>
      </c>
      <c r="F137" s="48">
        <v>1</v>
      </c>
      <c r="G137" s="48">
        <v>1</v>
      </c>
      <c r="H137" s="48">
        <v>1</v>
      </c>
      <c r="I137" s="48">
        <v>1</v>
      </c>
      <c r="J137" s="48">
        <v>1</v>
      </c>
      <c r="K137" s="48">
        <v>1</v>
      </c>
      <c r="L137" s="48">
        <v>1</v>
      </c>
      <c r="M137" s="48">
        <v>1</v>
      </c>
      <c r="N137" s="48">
        <v>1</v>
      </c>
      <c r="O137" s="48">
        <v>0</v>
      </c>
      <c r="P137" s="30">
        <v>0.9166666666666671</v>
      </c>
    </row>
    <row r="138" spans="1:16" ht="12.75">
      <c r="A138" s="42"/>
      <c r="B138" s="43" t="s">
        <v>118</v>
      </c>
      <c r="C138" s="39"/>
      <c r="D138" s="49">
        <v>1</v>
      </c>
      <c r="E138" s="49">
        <v>1</v>
      </c>
      <c r="F138" s="49">
        <v>1</v>
      </c>
      <c r="G138" s="49">
        <v>1</v>
      </c>
      <c r="H138" s="49">
        <v>1</v>
      </c>
      <c r="I138" s="49">
        <v>1</v>
      </c>
      <c r="J138" s="49">
        <v>1</v>
      </c>
      <c r="K138" s="49">
        <v>1</v>
      </c>
      <c r="L138" s="49">
        <v>1</v>
      </c>
      <c r="M138" s="49">
        <v>1</v>
      </c>
      <c r="N138" s="49">
        <v>1</v>
      </c>
      <c r="O138" s="49">
        <v>2</v>
      </c>
      <c r="P138" s="49"/>
    </row>
    <row r="139" spans="1:16" ht="12.75">
      <c r="A139" s="40" t="s">
        <v>86</v>
      </c>
      <c r="B139" s="38" t="s">
        <v>22</v>
      </c>
      <c r="C139" s="39"/>
      <c r="D139" s="48">
        <v>1</v>
      </c>
      <c r="E139" s="48">
        <v>1</v>
      </c>
      <c r="F139" s="48">
        <v>1</v>
      </c>
      <c r="G139" s="48">
        <v>1</v>
      </c>
      <c r="H139" s="48">
        <v>1</v>
      </c>
      <c r="I139" s="48">
        <v>1</v>
      </c>
      <c r="J139" s="48">
        <v>1</v>
      </c>
      <c r="K139" s="48">
        <v>1</v>
      </c>
      <c r="L139" s="48">
        <v>1</v>
      </c>
      <c r="M139" s="48">
        <v>1</v>
      </c>
      <c r="N139" s="48">
        <v>1</v>
      </c>
      <c r="O139" s="48">
        <v>0</v>
      </c>
      <c r="P139" s="30">
        <v>0.9166666666666671</v>
      </c>
    </row>
    <row r="140" spans="1:16" ht="12.75">
      <c r="A140" s="42"/>
      <c r="B140" s="43" t="s">
        <v>119</v>
      </c>
      <c r="C140" s="39"/>
      <c r="D140" s="49">
        <v>1</v>
      </c>
      <c r="E140" s="49">
        <v>1</v>
      </c>
      <c r="F140" s="49">
        <v>1</v>
      </c>
      <c r="G140" s="49">
        <v>1</v>
      </c>
      <c r="H140" s="49">
        <v>1</v>
      </c>
      <c r="I140" s="49">
        <v>1</v>
      </c>
      <c r="J140" s="49">
        <v>1</v>
      </c>
      <c r="K140" s="49">
        <v>1</v>
      </c>
      <c r="L140" s="49">
        <v>1</v>
      </c>
      <c r="M140" s="49">
        <v>1</v>
      </c>
      <c r="N140" s="49">
        <v>1</v>
      </c>
      <c r="O140" s="49">
        <v>0</v>
      </c>
      <c r="P140" s="49"/>
    </row>
    <row r="141" spans="1:16" ht="12.75">
      <c r="A141" s="40" t="s">
        <v>87</v>
      </c>
      <c r="B141" s="38" t="s">
        <v>22</v>
      </c>
      <c r="C141" s="39"/>
      <c r="D141" s="48">
        <v>1</v>
      </c>
      <c r="E141" s="48">
        <v>1</v>
      </c>
      <c r="F141" s="48">
        <v>1</v>
      </c>
      <c r="G141" s="48">
        <v>1</v>
      </c>
      <c r="H141" s="48">
        <v>1</v>
      </c>
      <c r="I141" s="48">
        <v>1</v>
      </c>
      <c r="J141" s="48">
        <v>1</v>
      </c>
      <c r="K141" s="48">
        <v>1</v>
      </c>
      <c r="L141" s="48">
        <v>1</v>
      </c>
      <c r="M141" s="48">
        <v>1</v>
      </c>
      <c r="N141" s="48">
        <v>1</v>
      </c>
      <c r="O141" s="48">
        <v>0</v>
      </c>
      <c r="P141" s="30">
        <v>0.9166666666666671</v>
      </c>
    </row>
    <row r="142" spans="1:16" ht="12.75">
      <c r="A142" s="42"/>
      <c r="B142" s="43" t="s">
        <v>120</v>
      </c>
      <c r="C142" s="39"/>
      <c r="D142" s="49">
        <v>1</v>
      </c>
      <c r="E142" s="49">
        <v>1</v>
      </c>
      <c r="F142" s="49">
        <v>1</v>
      </c>
      <c r="G142" s="49">
        <v>1</v>
      </c>
      <c r="H142" s="49">
        <v>1</v>
      </c>
      <c r="I142" s="49">
        <v>1</v>
      </c>
      <c r="J142" s="49">
        <v>1</v>
      </c>
      <c r="K142" s="49">
        <v>1</v>
      </c>
      <c r="L142" s="49">
        <v>1</v>
      </c>
      <c r="M142" s="49">
        <v>1</v>
      </c>
      <c r="N142" s="49">
        <v>1</v>
      </c>
      <c r="O142" s="49">
        <v>0</v>
      </c>
      <c r="P142" s="49"/>
    </row>
    <row r="143" spans="1:16" ht="12.75">
      <c r="A143" s="40" t="s">
        <v>72</v>
      </c>
      <c r="B143" s="38" t="s">
        <v>21</v>
      </c>
      <c r="C143" s="39"/>
      <c r="D143" s="48">
        <v>1</v>
      </c>
      <c r="E143" s="48">
        <v>1</v>
      </c>
      <c r="F143" s="48">
        <v>1</v>
      </c>
      <c r="G143" s="48">
        <v>1</v>
      </c>
      <c r="H143" s="48">
        <v>1</v>
      </c>
      <c r="I143" s="48">
        <v>1</v>
      </c>
      <c r="J143" s="48">
        <v>1</v>
      </c>
      <c r="K143" s="48">
        <v>1</v>
      </c>
      <c r="L143" s="48">
        <v>1</v>
      </c>
      <c r="M143" s="48">
        <v>1</v>
      </c>
      <c r="N143" s="48">
        <v>1</v>
      </c>
      <c r="O143" s="48">
        <v>1</v>
      </c>
      <c r="P143" s="30">
        <v>1</v>
      </c>
    </row>
    <row r="144" spans="1:16" ht="12.75">
      <c r="A144" s="41"/>
      <c r="B144" s="38" t="s">
        <v>22</v>
      </c>
      <c r="C144" s="39"/>
      <c r="D144" s="48">
        <v>24</v>
      </c>
      <c r="E144" s="48">
        <v>24</v>
      </c>
      <c r="F144" s="48">
        <v>24</v>
      </c>
      <c r="G144" s="48">
        <v>22</v>
      </c>
      <c r="H144" s="48">
        <v>23</v>
      </c>
      <c r="I144" s="48">
        <v>24</v>
      </c>
      <c r="J144" s="48">
        <v>28</v>
      </c>
      <c r="K144" s="48">
        <v>25</v>
      </c>
      <c r="L144" s="48">
        <v>24</v>
      </c>
      <c r="M144" s="48">
        <v>23</v>
      </c>
      <c r="N144" s="48">
        <v>25</v>
      </c>
      <c r="O144" s="48">
        <v>25</v>
      </c>
      <c r="P144" s="30">
        <v>24.25</v>
      </c>
    </row>
    <row r="145" spans="1:16" ht="12.75">
      <c r="A145" s="41"/>
      <c r="B145" s="38" t="s">
        <v>70</v>
      </c>
      <c r="C145" s="39"/>
      <c r="D145" s="48">
        <v>6</v>
      </c>
      <c r="E145" s="48">
        <v>6</v>
      </c>
      <c r="F145" s="48">
        <v>5</v>
      </c>
      <c r="G145" s="48">
        <v>6</v>
      </c>
      <c r="H145" s="48">
        <v>7</v>
      </c>
      <c r="I145" s="48">
        <v>4</v>
      </c>
      <c r="J145" s="48">
        <v>7</v>
      </c>
      <c r="K145" s="48">
        <v>7</v>
      </c>
      <c r="L145" s="48">
        <v>5</v>
      </c>
      <c r="M145" s="48">
        <v>6</v>
      </c>
      <c r="N145" s="48">
        <v>7</v>
      </c>
      <c r="O145" s="48">
        <v>8</v>
      </c>
      <c r="P145" s="30">
        <v>6.16666666666667</v>
      </c>
    </row>
    <row r="146" spans="1:16" ht="12.75">
      <c r="A146" s="42"/>
      <c r="B146" s="43" t="s">
        <v>121</v>
      </c>
      <c r="C146" s="39"/>
      <c r="D146" s="49">
        <v>31</v>
      </c>
      <c r="E146" s="49">
        <v>31</v>
      </c>
      <c r="F146" s="49">
        <v>30</v>
      </c>
      <c r="G146" s="49">
        <v>29</v>
      </c>
      <c r="H146" s="49">
        <v>31</v>
      </c>
      <c r="I146" s="49">
        <v>29</v>
      </c>
      <c r="J146" s="49">
        <v>36</v>
      </c>
      <c r="K146" s="49">
        <v>33</v>
      </c>
      <c r="L146" s="49">
        <v>30</v>
      </c>
      <c r="M146" s="49">
        <v>30</v>
      </c>
      <c r="N146" s="49">
        <v>33</v>
      </c>
      <c r="O146" s="49">
        <v>34</v>
      </c>
      <c r="P146" s="49"/>
    </row>
    <row r="147" spans="1:16" ht="12.75">
      <c r="A147" s="40" t="s">
        <v>122</v>
      </c>
      <c r="B147" s="38" t="s">
        <v>22</v>
      </c>
      <c r="C147" s="39"/>
      <c r="D147" s="48" t="s">
        <v>117</v>
      </c>
      <c r="E147" s="48" t="s">
        <v>117</v>
      </c>
      <c r="F147" s="48" t="s">
        <v>117</v>
      </c>
      <c r="G147" s="48" t="s">
        <v>117</v>
      </c>
      <c r="H147" s="48" t="s">
        <v>117</v>
      </c>
      <c r="I147" s="48" t="s">
        <v>117</v>
      </c>
      <c r="J147" s="48" t="s">
        <v>117</v>
      </c>
      <c r="K147" s="48" t="s">
        <v>117</v>
      </c>
      <c r="L147" s="48" t="s">
        <v>117</v>
      </c>
      <c r="M147" s="48" t="s">
        <v>117</v>
      </c>
      <c r="N147" s="48">
        <v>1</v>
      </c>
      <c r="O147" s="48">
        <v>2</v>
      </c>
      <c r="P147" s="30">
        <v>1.5</v>
      </c>
    </row>
    <row r="148" spans="1:16" ht="12.75">
      <c r="A148" s="41"/>
      <c r="B148" s="38" t="s">
        <v>70</v>
      </c>
      <c r="C148" s="39"/>
      <c r="D148" s="48">
        <v>2</v>
      </c>
      <c r="E148" s="48">
        <v>2</v>
      </c>
      <c r="F148" s="48">
        <v>2</v>
      </c>
      <c r="G148" s="48">
        <v>2</v>
      </c>
      <c r="H148" s="48">
        <v>2</v>
      </c>
      <c r="I148" s="48">
        <v>2</v>
      </c>
      <c r="J148" s="48">
        <v>2</v>
      </c>
      <c r="K148" s="48">
        <v>2</v>
      </c>
      <c r="L148" s="48">
        <v>2</v>
      </c>
      <c r="M148" s="48">
        <v>2</v>
      </c>
      <c r="N148" s="48">
        <v>3</v>
      </c>
      <c r="O148" s="48">
        <v>3</v>
      </c>
      <c r="P148" s="30">
        <v>2.16666666666667</v>
      </c>
    </row>
    <row r="149" spans="1:16" ht="12.75">
      <c r="A149" s="42"/>
      <c r="B149" s="43" t="s">
        <v>123</v>
      </c>
      <c r="C149" s="39"/>
      <c r="D149" s="49">
        <v>2</v>
      </c>
      <c r="E149" s="49">
        <v>2</v>
      </c>
      <c r="F149" s="49">
        <v>2</v>
      </c>
      <c r="G149" s="49">
        <v>2</v>
      </c>
      <c r="H149" s="49">
        <v>2</v>
      </c>
      <c r="I149" s="49">
        <v>2</v>
      </c>
      <c r="J149" s="49">
        <v>2</v>
      </c>
      <c r="K149" s="49">
        <v>2</v>
      </c>
      <c r="L149" s="49">
        <v>2</v>
      </c>
      <c r="M149" s="49">
        <v>2</v>
      </c>
      <c r="N149" s="49">
        <v>4</v>
      </c>
      <c r="O149" s="49">
        <v>5</v>
      </c>
      <c r="P149" s="49"/>
    </row>
    <row r="150" spans="1:16" ht="12.75">
      <c r="A150" s="40" t="s">
        <v>88</v>
      </c>
      <c r="B150" s="38" t="s">
        <v>22</v>
      </c>
      <c r="C150" s="39"/>
      <c r="D150" s="48">
        <v>1</v>
      </c>
      <c r="E150" s="48">
        <v>1</v>
      </c>
      <c r="F150" s="48">
        <v>1</v>
      </c>
      <c r="G150" s="48">
        <v>1</v>
      </c>
      <c r="H150" s="48">
        <v>1</v>
      </c>
      <c r="I150" s="48">
        <v>1</v>
      </c>
      <c r="J150" s="48">
        <v>1</v>
      </c>
      <c r="K150" s="48">
        <v>1</v>
      </c>
      <c r="L150" s="48">
        <v>1</v>
      </c>
      <c r="M150" s="48">
        <v>1</v>
      </c>
      <c r="N150" s="48">
        <v>1</v>
      </c>
      <c r="O150" s="48">
        <v>1</v>
      </c>
      <c r="P150" s="30">
        <v>1</v>
      </c>
    </row>
    <row r="151" spans="1:16" ht="12.75">
      <c r="A151" s="42"/>
      <c r="B151" s="43" t="s">
        <v>124</v>
      </c>
      <c r="C151" s="39"/>
      <c r="D151" s="49">
        <v>1</v>
      </c>
      <c r="E151" s="49">
        <v>1</v>
      </c>
      <c r="F151" s="49">
        <v>1</v>
      </c>
      <c r="G151" s="49">
        <v>1</v>
      </c>
      <c r="H151" s="49">
        <v>1</v>
      </c>
      <c r="I151" s="49">
        <v>1</v>
      </c>
      <c r="J151" s="49">
        <v>1</v>
      </c>
      <c r="K151" s="49">
        <v>1</v>
      </c>
      <c r="L151" s="49">
        <v>1</v>
      </c>
      <c r="M151" s="49">
        <v>1</v>
      </c>
      <c r="N151" s="49">
        <v>1</v>
      </c>
      <c r="O151" s="49">
        <v>1</v>
      </c>
      <c r="P151" s="49"/>
    </row>
    <row r="152" spans="1:16" ht="12.75">
      <c r="A152" s="40" t="s">
        <v>89</v>
      </c>
      <c r="B152" s="38" t="s">
        <v>22</v>
      </c>
      <c r="C152" s="39"/>
      <c r="D152" s="48">
        <v>1</v>
      </c>
      <c r="E152" s="48">
        <v>1</v>
      </c>
      <c r="F152" s="48">
        <v>1</v>
      </c>
      <c r="G152" s="48">
        <v>1</v>
      </c>
      <c r="H152" s="48">
        <v>1</v>
      </c>
      <c r="I152" s="48">
        <v>1</v>
      </c>
      <c r="J152" s="48">
        <v>1</v>
      </c>
      <c r="K152" s="48">
        <v>1</v>
      </c>
      <c r="L152" s="48">
        <v>1</v>
      </c>
      <c r="M152" s="48">
        <v>1</v>
      </c>
      <c r="N152" s="48">
        <v>0</v>
      </c>
      <c r="O152" s="48">
        <v>0</v>
      </c>
      <c r="P152" s="30">
        <v>0.833333333333333</v>
      </c>
    </row>
    <row r="153" spans="1:16" ht="12.75">
      <c r="A153" s="42"/>
      <c r="B153" s="43" t="s">
        <v>125</v>
      </c>
      <c r="C153" s="39"/>
      <c r="D153" s="49">
        <v>1</v>
      </c>
      <c r="E153" s="49">
        <v>1</v>
      </c>
      <c r="F153" s="49">
        <v>1</v>
      </c>
      <c r="G153" s="49">
        <v>1</v>
      </c>
      <c r="H153" s="49">
        <v>1</v>
      </c>
      <c r="I153" s="49">
        <v>1</v>
      </c>
      <c r="J153" s="49">
        <v>1</v>
      </c>
      <c r="K153" s="49">
        <v>1</v>
      </c>
      <c r="L153" s="49">
        <v>1</v>
      </c>
      <c r="M153" s="49">
        <v>1</v>
      </c>
      <c r="N153" s="49">
        <v>0</v>
      </c>
      <c r="O153" s="49">
        <v>0</v>
      </c>
      <c r="P153" s="49"/>
    </row>
    <row r="154" spans="1:16" ht="12.75">
      <c r="A154" s="40" t="s">
        <v>90</v>
      </c>
      <c r="B154" s="38" t="s">
        <v>70</v>
      </c>
      <c r="C154" s="39"/>
      <c r="D154" s="48">
        <v>1</v>
      </c>
      <c r="E154" s="48">
        <v>1</v>
      </c>
      <c r="F154" s="48">
        <v>1</v>
      </c>
      <c r="G154" s="48">
        <v>1</v>
      </c>
      <c r="H154" s="48">
        <v>1</v>
      </c>
      <c r="I154" s="48">
        <v>1</v>
      </c>
      <c r="J154" s="48">
        <v>1</v>
      </c>
      <c r="K154" s="48">
        <v>1</v>
      </c>
      <c r="L154" s="48">
        <v>1</v>
      </c>
      <c r="M154" s="48">
        <v>1</v>
      </c>
      <c r="N154" s="48">
        <v>0</v>
      </c>
      <c r="O154" s="48">
        <v>0</v>
      </c>
      <c r="P154" s="30">
        <v>0.833333333333333</v>
      </c>
    </row>
    <row r="155" spans="1:16" ht="12.75">
      <c r="A155" s="42"/>
      <c r="B155" s="43" t="s">
        <v>126</v>
      </c>
      <c r="C155" s="39"/>
      <c r="D155" s="49">
        <v>1</v>
      </c>
      <c r="E155" s="49">
        <v>1</v>
      </c>
      <c r="F155" s="49">
        <v>1</v>
      </c>
      <c r="G155" s="49">
        <v>1</v>
      </c>
      <c r="H155" s="49">
        <v>1</v>
      </c>
      <c r="I155" s="49">
        <v>1</v>
      </c>
      <c r="J155" s="49">
        <v>1</v>
      </c>
      <c r="K155" s="49">
        <v>1</v>
      </c>
      <c r="L155" s="49">
        <v>1</v>
      </c>
      <c r="M155" s="49">
        <v>1</v>
      </c>
      <c r="N155" s="49">
        <v>0</v>
      </c>
      <c r="O155" s="49">
        <v>0</v>
      </c>
      <c r="P155" s="49"/>
    </row>
    <row r="156" spans="1:16" ht="12.75">
      <c r="A156" s="40" t="s">
        <v>91</v>
      </c>
      <c r="B156" s="38" t="s">
        <v>22</v>
      </c>
      <c r="C156" s="39"/>
      <c r="D156" s="48">
        <v>1</v>
      </c>
      <c r="E156" s="48">
        <v>1</v>
      </c>
      <c r="F156" s="48">
        <v>1</v>
      </c>
      <c r="G156" s="48">
        <v>1</v>
      </c>
      <c r="H156" s="48">
        <v>1</v>
      </c>
      <c r="I156" s="48">
        <v>1</v>
      </c>
      <c r="J156" s="48">
        <v>1</v>
      </c>
      <c r="K156" s="48">
        <v>1</v>
      </c>
      <c r="L156" s="48">
        <v>1</v>
      </c>
      <c r="M156" s="48">
        <v>1</v>
      </c>
      <c r="N156" s="48">
        <v>1</v>
      </c>
      <c r="O156" s="48">
        <v>0</v>
      </c>
      <c r="P156" s="30">
        <v>0.9166666666666671</v>
      </c>
    </row>
    <row r="157" spans="1:16" ht="12.75">
      <c r="A157" s="42"/>
      <c r="B157" s="43" t="s">
        <v>127</v>
      </c>
      <c r="C157" s="39"/>
      <c r="D157" s="49">
        <v>1</v>
      </c>
      <c r="E157" s="49">
        <v>1</v>
      </c>
      <c r="F157" s="49">
        <v>1</v>
      </c>
      <c r="G157" s="49">
        <v>1</v>
      </c>
      <c r="H157" s="49">
        <v>1</v>
      </c>
      <c r="I157" s="49">
        <v>1</v>
      </c>
      <c r="J157" s="49">
        <v>1</v>
      </c>
      <c r="K157" s="49">
        <v>1</v>
      </c>
      <c r="L157" s="49">
        <v>1</v>
      </c>
      <c r="M157" s="49">
        <v>1</v>
      </c>
      <c r="N157" s="49">
        <v>1</v>
      </c>
      <c r="O157" s="49">
        <v>0</v>
      </c>
      <c r="P157" s="49"/>
    </row>
    <row r="158" spans="1:16" ht="12.75">
      <c r="A158" s="40" t="s">
        <v>92</v>
      </c>
      <c r="B158" s="38" t="s">
        <v>22</v>
      </c>
      <c r="C158" s="39"/>
      <c r="D158" s="48">
        <v>1</v>
      </c>
      <c r="E158" s="48">
        <v>1</v>
      </c>
      <c r="F158" s="48">
        <v>1</v>
      </c>
      <c r="G158" s="48">
        <v>1</v>
      </c>
      <c r="H158" s="48">
        <v>1</v>
      </c>
      <c r="I158" s="48">
        <v>1</v>
      </c>
      <c r="J158" s="48">
        <v>1</v>
      </c>
      <c r="K158" s="48">
        <v>1</v>
      </c>
      <c r="L158" s="48">
        <v>1</v>
      </c>
      <c r="M158" s="48">
        <v>1</v>
      </c>
      <c r="N158" s="48">
        <v>1</v>
      </c>
      <c r="O158" s="48">
        <v>1</v>
      </c>
      <c r="P158" s="30">
        <v>1</v>
      </c>
    </row>
    <row r="159" spans="1:16" ht="12.75">
      <c r="A159" s="42"/>
      <c r="B159" s="43" t="s">
        <v>128</v>
      </c>
      <c r="C159" s="39"/>
      <c r="D159" s="49">
        <v>1</v>
      </c>
      <c r="E159" s="49">
        <v>1</v>
      </c>
      <c r="F159" s="49">
        <v>1</v>
      </c>
      <c r="G159" s="49">
        <v>1</v>
      </c>
      <c r="H159" s="49">
        <v>1</v>
      </c>
      <c r="I159" s="49">
        <v>1</v>
      </c>
      <c r="J159" s="49">
        <v>1</v>
      </c>
      <c r="K159" s="49">
        <v>1</v>
      </c>
      <c r="L159" s="49">
        <v>1</v>
      </c>
      <c r="M159" s="49">
        <v>1</v>
      </c>
      <c r="N159" s="49">
        <v>1</v>
      </c>
      <c r="O159" s="49">
        <v>1</v>
      </c>
      <c r="P159" s="49"/>
    </row>
    <row r="160" spans="1:16" ht="12.75">
      <c r="A160" s="40" t="s">
        <v>74</v>
      </c>
      <c r="B160" s="38" t="s">
        <v>75</v>
      </c>
      <c r="C160" s="39"/>
      <c r="D160" s="48">
        <v>0</v>
      </c>
      <c r="E160" s="48">
        <v>0</v>
      </c>
      <c r="F160" s="48">
        <v>0</v>
      </c>
      <c r="G160" s="48">
        <v>0</v>
      </c>
      <c r="H160" s="48">
        <v>0</v>
      </c>
      <c r="I160" s="48">
        <v>0</v>
      </c>
      <c r="J160" s="48">
        <v>0</v>
      </c>
      <c r="K160" s="48">
        <v>0</v>
      </c>
      <c r="L160" s="48">
        <v>0</v>
      </c>
      <c r="M160" s="48">
        <v>0</v>
      </c>
      <c r="N160" s="48">
        <v>0</v>
      </c>
      <c r="O160" s="48">
        <v>0</v>
      </c>
      <c r="P160" s="30">
        <v>0</v>
      </c>
    </row>
    <row r="161" spans="1:16" ht="12.75">
      <c r="A161" s="42"/>
      <c r="B161" s="43" t="s">
        <v>129</v>
      </c>
      <c r="C161" s="39"/>
      <c r="D161" s="49">
        <v>0</v>
      </c>
      <c r="E161" s="49">
        <v>0</v>
      </c>
      <c r="F161" s="49">
        <v>0</v>
      </c>
      <c r="G161" s="49">
        <v>0</v>
      </c>
      <c r="H161" s="49">
        <v>0</v>
      </c>
      <c r="I161" s="49">
        <v>0</v>
      </c>
      <c r="J161" s="49">
        <v>0</v>
      </c>
      <c r="K161" s="49">
        <v>0</v>
      </c>
      <c r="L161" s="49">
        <v>0</v>
      </c>
      <c r="M161" s="49">
        <v>0</v>
      </c>
      <c r="N161" s="49">
        <v>0</v>
      </c>
      <c r="O161" s="49">
        <v>0</v>
      </c>
      <c r="P161" s="49"/>
    </row>
    <row r="162" spans="1:16" ht="12.75">
      <c r="A162" s="40" t="s">
        <v>76</v>
      </c>
      <c r="B162" s="38" t="s">
        <v>75</v>
      </c>
      <c r="C162" s="39"/>
      <c r="D162" s="48">
        <v>1</v>
      </c>
      <c r="E162" s="48">
        <v>1</v>
      </c>
      <c r="F162" s="48">
        <v>1</v>
      </c>
      <c r="G162" s="48">
        <v>1</v>
      </c>
      <c r="H162" s="48">
        <v>0</v>
      </c>
      <c r="I162" s="48">
        <v>0</v>
      </c>
      <c r="J162" s="48">
        <v>0</v>
      </c>
      <c r="K162" s="48">
        <v>0</v>
      </c>
      <c r="L162" s="48">
        <v>0</v>
      </c>
      <c r="M162" s="48">
        <v>0</v>
      </c>
      <c r="N162" s="48">
        <v>0</v>
      </c>
      <c r="O162" s="48">
        <v>0</v>
      </c>
      <c r="P162" s="30">
        <v>0.333333333333333</v>
      </c>
    </row>
    <row r="163" spans="1:16" ht="12.75">
      <c r="A163" s="42"/>
      <c r="B163" s="43" t="s">
        <v>130</v>
      </c>
      <c r="C163" s="39"/>
      <c r="D163" s="49">
        <v>1</v>
      </c>
      <c r="E163" s="49">
        <v>1</v>
      </c>
      <c r="F163" s="49">
        <v>1</v>
      </c>
      <c r="G163" s="49">
        <v>1</v>
      </c>
      <c r="H163" s="49">
        <v>0</v>
      </c>
      <c r="I163" s="49">
        <v>0</v>
      </c>
      <c r="J163" s="49">
        <v>0</v>
      </c>
      <c r="K163" s="49">
        <v>0</v>
      </c>
      <c r="L163" s="49">
        <v>0</v>
      </c>
      <c r="M163" s="49">
        <v>0</v>
      </c>
      <c r="N163" s="49">
        <v>0</v>
      </c>
      <c r="O163" s="49">
        <v>0</v>
      </c>
      <c r="P163" s="49"/>
    </row>
    <row r="164" spans="1:16" ht="12.75">
      <c r="A164" s="40" t="s">
        <v>93</v>
      </c>
      <c r="B164" s="38" t="s">
        <v>75</v>
      </c>
      <c r="C164" s="39"/>
      <c r="D164" s="48">
        <v>1</v>
      </c>
      <c r="E164" s="48">
        <v>1</v>
      </c>
      <c r="F164" s="48">
        <v>1</v>
      </c>
      <c r="G164" s="48">
        <v>1</v>
      </c>
      <c r="H164" s="48">
        <v>1</v>
      </c>
      <c r="I164" s="48">
        <v>1</v>
      </c>
      <c r="J164" s="48">
        <v>1</v>
      </c>
      <c r="K164" s="48">
        <v>1</v>
      </c>
      <c r="L164" s="48">
        <v>1</v>
      </c>
      <c r="M164" s="48">
        <v>1</v>
      </c>
      <c r="N164" s="48">
        <v>1</v>
      </c>
      <c r="O164" s="48">
        <v>1</v>
      </c>
      <c r="P164" s="30">
        <v>1</v>
      </c>
    </row>
    <row r="165" spans="1:16" ht="12.75" hidden="1">
      <c r="A165" s="42"/>
      <c r="B165" s="43" t="s">
        <v>131</v>
      </c>
      <c r="C165" s="39"/>
      <c r="D165" s="48">
        <v>1</v>
      </c>
      <c r="E165" s="48">
        <v>1</v>
      </c>
      <c r="F165" s="48">
        <v>1</v>
      </c>
      <c r="G165" s="48">
        <v>1</v>
      </c>
      <c r="H165" s="48">
        <v>1</v>
      </c>
      <c r="I165" s="48">
        <v>1</v>
      </c>
      <c r="J165" s="48">
        <v>1</v>
      </c>
      <c r="K165" s="48">
        <v>1</v>
      </c>
      <c r="L165" s="48">
        <v>1</v>
      </c>
      <c r="M165" s="48">
        <v>1</v>
      </c>
      <c r="N165" s="48">
        <v>1</v>
      </c>
      <c r="O165" s="48">
        <v>1</v>
      </c>
      <c r="P165" s="31"/>
    </row>
    <row r="166" spans="1:16" ht="12.75" hidden="1">
      <c r="A166" s="40" t="s">
        <v>77</v>
      </c>
      <c r="B166" s="38" t="s">
        <v>23</v>
      </c>
      <c r="C166" s="39"/>
      <c r="D166" s="48">
        <v>8</v>
      </c>
      <c r="E166" s="48">
        <v>8</v>
      </c>
      <c r="F166" s="48">
        <v>8</v>
      </c>
      <c r="G166" s="48">
        <v>8</v>
      </c>
      <c r="H166" s="48">
        <v>9</v>
      </c>
      <c r="I166" s="48">
        <v>9</v>
      </c>
      <c r="J166" s="48">
        <v>9</v>
      </c>
      <c r="K166" s="48">
        <v>9</v>
      </c>
      <c r="L166" s="48">
        <v>9</v>
      </c>
      <c r="M166" s="48">
        <v>10</v>
      </c>
      <c r="N166" s="48">
        <v>9</v>
      </c>
      <c r="O166" s="48">
        <v>9</v>
      </c>
      <c r="P166" s="30">
        <v>8.75</v>
      </c>
    </row>
    <row r="167" spans="1:16" ht="12.75" hidden="1">
      <c r="A167" s="41"/>
      <c r="B167" s="38" t="s">
        <v>73</v>
      </c>
      <c r="C167" s="39"/>
      <c r="D167" s="48">
        <v>14</v>
      </c>
      <c r="E167" s="48">
        <v>18</v>
      </c>
      <c r="F167" s="48">
        <v>14</v>
      </c>
      <c r="G167" s="48">
        <v>14</v>
      </c>
      <c r="H167" s="48">
        <v>14</v>
      </c>
      <c r="I167" s="48">
        <v>14</v>
      </c>
      <c r="J167" s="48">
        <v>14</v>
      </c>
      <c r="K167" s="48">
        <v>14</v>
      </c>
      <c r="L167" s="48">
        <v>14</v>
      </c>
      <c r="M167" s="48">
        <v>15</v>
      </c>
      <c r="N167" s="48">
        <v>14</v>
      </c>
      <c r="O167" s="48">
        <v>14</v>
      </c>
      <c r="P167" s="30">
        <v>14.4166666666667</v>
      </c>
    </row>
    <row r="168" spans="1:16" ht="12.75" hidden="1">
      <c r="A168" s="42"/>
      <c r="B168" s="43" t="s">
        <v>132</v>
      </c>
      <c r="C168" s="39"/>
      <c r="D168" s="48">
        <v>22</v>
      </c>
      <c r="E168" s="48">
        <v>26</v>
      </c>
      <c r="F168" s="48">
        <v>22</v>
      </c>
      <c r="G168" s="48">
        <v>22</v>
      </c>
      <c r="H168" s="48">
        <v>23</v>
      </c>
      <c r="I168" s="48">
        <v>23</v>
      </c>
      <c r="J168" s="48">
        <v>23</v>
      </c>
      <c r="K168" s="48">
        <v>23</v>
      </c>
      <c r="L168" s="48">
        <v>23</v>
      </c>
      <c r="M168" s="48">
        <v>25</v>
      </c>
      <c r="N168" s="48">
        <v>23</v>
      </c>
      <c r="O168" s="48">
        <v>23</v>
      </c>
      <c r="P168" s="31"/>
    </row>
    <row r="169" spans="1:16" ht="12.75" hidden="1">
      <c r="A169" s="40" t="s">
        <v>94</v>
      </c>
      <c r="B169" s="38" t="s">
        <v>73</v>
      </c>
      <c r="C169" s="39"/>
      <c r="D169" s="48">
        <v>1</v>
      </c>
      <c r="E169" s="48">
        <v>1</v>
      </c>
      <c r="F169" s="48">
        <v>1</v>
      </c>
      <c r="G169" s="48">
        <v>1</v>
      </c>
      <c r="H169" s="48">
        <v>1</v>
      </c>
      <c r="I169" s="48">
        <v>1</v>
      </c>
      <c r="J169" s="48">
        <v>1</v>
      </c>
      <c r="K169" s="48">
        <v>1</v>
      </c>
      <c r="L169" s="48">
        <v>1</v>
      </c>
      <c r="M169" s="48">
        <v>1</v>
      </c>
      <c r="N169" s="48">
        <v>1</v>
      </c>
      <c r="O169" s="48">
        <v>1</v>
      </c>
      <c r="P169" s="30">
        <v>1</v>
      </c>
    </row>
    <row r="170" spans="1:16" ht="12.75" hidden="1">
      <c r="A170" s="42"/>
      <c r="B170" s="43" t="s">
        <v>133</v>
      </c>
      <c r="C170" s="39"/>
      <c r="D170" s="48">
        <v>1</v>
      </c>
      <c r="E170" s="48">
        <v>1</v>
      </c>
      <c r="F170" s="48">
        <v>1</v>
      </c>
      <c r="G170" s="48">
        <v>1</v>
      </c>
      <c r="H170" s="48">
        <v>1</v>
      </c>
      <c r="I170" s="48">
        <v>1</v>
      </c>
      <c r="J170" s="48">
        <v>1</v>
      </c>
      <c r="K170" s="48">
        <v>1</v>
      </c>
      <c r="L170" s="48">
        <v>1</v>
      </c>
      <c r="M170" s="48">
        <v>1</v>
      </c>
      <c r="N170" s="48">
        <v>1</v>
      </c>
      <c r="O170" s="48">
        <v>1</v>
      </c>
      <c r="P170" s="31"/>
    </row>
    <row r="171" spans="1:16" ht="12.75" hidden="1">
      <c r="A171" s="40" t="s">
        <v>78</v>
      </c>
      <c r="B171" s="38" t="s">
        <v>134</v>
      </c>
      <c r="C171" s="39"/>
      <c r="D171" s="48">
        <v>1</v>
      </c>
      <c r="E171" s="48">
        <v>3</v>
      </c>
      <c r="F171" s="48">
        <v>1</v>
      </c>
      <c r="G171" s="48">
        <v>1</v>
      </c>
      <c r="H171" s="48">
        <v>3</v>
      </c>
      <c r="I171" s="48">
        <v>3</v>
      </c>
      <c r="J171" s="48">
        <v>3</v>
      </c>
      <c r="K171" s="48">
        <v>3</v>
      </c>
      <c r="L171" s="48">
        <v>3</v>
      </c>
      <c r="M171" s="48">
        <v>3</v>
      </c>
      <c r="N171" s="48">
        <v>3</v>
      </c>
      <c r="O171" s="48">
        <v>3</v>
      </c>
      <c r="P171" s="30">
        <v>2.5</v>
      </c>
    </row>
    <row r="172" spans="1:16" ht="12.75" hidden="1">
      <c r="A172" s="42"/>
      <c r="B172" s="43" t="s">
        <v>135</v>
      </c>
      <c r="C172" s="39"/>
      <c r="D172" s="48">
        <v>1</v>
      </c>
      <c r="E172" s="48">
        <v>3</v>
      </c>
      <c r="F172" s="48">
        <v>1</v>
      </c>
      <c r="G172" s="48">
        <v>1</v>
      </c>
      <c r="H172" s="48">
        <v>3</v>
      </c>
      <c r="I172" s="48">
        <v>3</v>
      </c>
      <c r="J172" s="48">
        <v>3</v>
      </c>
      <c r="K172" s="48">
        <v>3</v>
      </c>
      <c r="L172" s="48">
        <v>3</v>
      </c>
      <c r="M172" s="48">
        <v>3</v>
      </c>
      <c r="N172" s="48">
        <v>3</v>
      </c>
      <c r="O172" s="48">
        <v>3</v>
      </c>
      <c r="P172" s="31"/>
    </row>
    <row r="173" spans="1:16" ht="12.75" hidden="1">
      <c r="A173" s="40" t="s">
        <v>79</v>
      </c>
      <c r="B173" s="38" t="s">
        <v>23</v>
      </c>
      <c r="C173" s="39"/>
      <c r="D173" s="48">
        <v>1</v>
      </c>
      <c r="E173" s="48">
        <v>1</v>
      </c>
      <c r="F173" s="48">
        <v>1</v>
      </c>
      <c r="G173" s="48">
        <v>1</v>
      </c>
      <c r="H173" s="48">
        <v>1</v>
      </c>
      <c r="I173" s="48">
        <v>1</v>
      </c>
      <c r="J173" s="48">
        <v>1</v>
      </c>
      <c r="K173" s="48">
        <v>1</v>
      </c>
      <c r="L173" s="48">
        <v>2</v>
      </c>
      <c r="M173" s="48">
        <v>1</v>
      </c>
      <c r="N173" s="48">
        <v>1</v>
      </c>
      <c r="O173" s="48">
        <v>1</v>
      </c>
      <c r="P173" s="30">
        <v>1.08333333333333</v>
      </c>
    </row>
    <row r="174" spans="1:16" ht="12.75">
      <c r="A174" s="41"/>
      <c r="B174" s="38" t="s">
        <v>73</v>
      </c>
      <c r="C174" s="39"/>
      <c r="D174" s="48">
        <v>5</v>
      </c>
      <c r="E174" s="48">
        <v>5</v>
      </c>
      <c r="F174" s="48">
        <v>5</v>
      </c>
      <c r="G174" s="48">
        <v>5</v>
      </c>
      <c r="H174" s="48">
        <v>5</v>
      </c>
      <c r="I174" s="48">
        <v>5</v>
      </c>
      <c r="J174" s="48">
        <v>5</v>
      </c>
      <c r="K174" s="48">
        <v>5</v>
      </c>
      <c r="L174" s="48">
        <v>5</v>
      </c>
      <c r="M174" s="48">
        <v>4</v>
      </c>
      <c r="N174" s="48">
        <v>4</v>
      </c>
      <c r="O174" s="48">
        <v>4</v>
      </c>
      <c r="P174" s="30">
        <v>4.75</v>
      </c>
    </row>
    <row r="175" spans="1:16" ht="12.75">
      <c r="A175" s="42"/>
      <c r="B175" s="43" t="s">
        <v>136</v>
      </c>
      <c r="C175" s="39"/>
      <c r="D175" s="49">
        <v>6</v>
      </c>
      <c r="E175" s="49">
        <v>6</v>
      </c>
      <c r="F175" s="49">
        <v>6</v>
      </c>
      <c r="G175" s="49">
        <v>6</v>
      </c>
      <c r="H175" s="49">
        <v>6</v>
      </c>
      <c r="I175" s="49">
        <v>6</v>
      </c>
      <c r="J175" s="49">
        <v>6</v>
      </c>
      <c r="K175" s="49">
        <v>6</v>
      </c>
      <c r="L175" s="49">
        <v>7</v>
      </c>
      <c r="M175" s="49">
        <v>5</v>
      </c>
      <c r="N175" s="49">
        <v>5</v>
      </c>
      <c r="O175" s="49">
        <v>5</v>
      </c>
      <c r="P175" s="49"/>
    </row>
    <row r="176" spans="1:16" ht="12.75">
      <c r="A176" s="40" t="s">
        <v>80</v>
      </c>
      <c r="B176" s="38" t="s">
        <v>21</v>
      </c>
      <c r="C176" s="39"/>
      <c r="D176" s="48">
        <v>0</v>
      </c>
      <c r="E176" s="48">
        <v>0</v>
      </c>
      <c r="F176" s="48">
        <v>0</v>
      </c>
      <c r="G176" s="48">
        <v>0</v>
      </c>
      <c r="H176" s="48">
        <v>0</v>
      </c>
      <c r="I176" s="48">
        <v>0</v>
      </c>
      <c r="J176" s="48">
        <v>0</v>
      </c>
      <c r="K176" s="48">
        <v>0</v>
      </c>
      <c r="L176" s="48">
        <v>0</v>
      </c>
      <c r="M176" s="48">
        <v>0</v>
      </c>
      <c r="N176" s="48">
        <v>0</v>
      </c>
      <c r="O176" s="48">
        <v>0</v>
      </c>
      <c r="P176" s="30">
        <v>0</v>
      </c>
    </row>
    <row r="177" spans="1:16" ht="12.75">
      <c r="A177" s="41"/>
      <c r="B177" s="38" t="s">
        <v>81</v>
      </c>
      <c r="C177" s="39"/>
      <c r="D177" s="48" t="s">
        <v>117</v>
      </c>
      <c r="E177" s="48" t="s">
        <v>117</v>
      </c>
      <c r="F177" s="48" t="s">
        <v>117</v>
      </c>
      <c r="G177" s="48" t="s">
        <v>117</v>
      </c>
      <c r="H177" s="48" t="s">
        <v>117</v>
      </c>
      <c r="I177" s="48" t="s">
        <v>117</v>
      </c>
      <c r="J177" s="48" t="s">
        <v>117</v>
      </c>
      <c r="K177" s="48" t="s">
        <v>117</v>
      </c>
      <c r="L177" s="48" t="s">
        <v>117</v>
      </c>
      <c r="M177" s="48" t="s">
        <v>117</v>
      </c>
      <c r="N177" s="48">
        <v>0</v>
      </c>
      <c r="O177" s="48">
        <v>0</v>
      </c>
      <c r="P177" s="30">
        <v>0</v>
      </c>
    </row>
    <row r="178" spans="1:16" ht="12.75">
      <c r="A178" s="41"/>
      <c r="B178" s="38" t="s">
        <v>82</v>
      </c>
      <c r="C178" s="39"/>
      <c r="D178" s="48" t="s">
        <v>117</v>
      </c>
      <c r="E178" s="48" t="s">
        <v>117</v>
      </c>
      <c r="F178" s="48" t="s">
        <v>117</v>
      </c>
      <c r="G178" s="48" t="s">
        <v>117</v>
      </c>
      <c r="H178" s="48" t="s">
        <v>117</v>
      </c>
      <c r="I178" s="48" t="s">
        <v>117</v>
      </c>
      <c r="J178" s="48" t="s">
        <v>117</v>
      </c>
      <c r="K178" s="48" t="s">
        <v>117</v>
      </c>
      <c r="L178" s="48" t="s">
        <v>117</v>
      </c>
      <c r="M178" s="48" t="s">
        <v>117</v>
      </c>
      <c r="N178" s="48">
        <v>0</v>
      </c>
      <c r="O178" s="48">
        <v>0</v>
      </c>
      <c r="P178" s="30">
        <v>0</v>
      </c>
    </row>
    <row r="179" spans="1:16" ht="12.75" hidden="1">
      <c r="A179" s="41"/>
      <c r="B179" s="38" t="s">
        <v>22</v>
      </c>
      <c r="C179" s="39"/>
      <c r="D179" s="48">
        <v>0</v>
      </c>
      <c r="E179" s="48">
        <v>0</v>
      </c>
      <c r="F179" s="48">
        <v>0</v>
      </c>
      <c r="G179" s="48">
        <v>0</v>
      </c>
      <c r="H179" s="48">
        <v>0</v>
      </c>
      <c r="I179" s="48">
        <v>0</v>
      </c>
      <c r="J179" s="48">
        <v>0</v>
      </c>
      <c r="K179" s="48">
        <v>0</v>
      </c>
      <c r="L179" s="48">
        <v>0</v>
      </c>
      <c r="M179" s="48">
        <v>0</v>
      </c>
      <c r="N179" s="48">
        <v>0</v>
      </c>
      <c r="O179" s="48">
        <v>0</v>
      </c>
      <c r="P179" s="30">
        <v>0</v>
      </c>
    </row>
    <row r="180" spans="1:16" ht="12.75" hidden="1">
      <c r="A180" s="41"/>
      <c r="B180" s="38" t="s">
        <v>75</v>
      </c>
      <c r="C180" s="39"/>
      <c r="D180" s="48">
        <v>0</v>
      </c>
      <c r="E180" s="48">
        <v>0</v>
      </c>
      <c r="F180" s="48">
        <v>0</v>
      </c>
      <c r="G180" s="48">
        <v>0</v>
      </c>
      <c r="H180" s="48">
        <v>0</v>
      </c>
      <c r="I180" s="48">
        <v>0</v>
      </c>
      <c r="J180" s="48">
        <v>0</v>
      </c>
      <c r="K180" s="48">
        <v>0</v>
      </c>
      <c r="L180" s="48">
        <v>0</v>
      </c>
      <c r="M180" s="48">
        <v>0</v>
      </c>
      <c r="N180" s="48">
        <v>0</v>
      </c>
      <c r="O180" s="48">
        <v>0</v>
      </c>
      <c r="P180" s="30">
        <v>0</v>
      </c>
    </row>
    <row r="181" spans="1:16" ht="12.75" hidden="1">
      <c r="A181" s="41"/>
      <c r="B181" s="38" t="s">
        <v>70</v>
      </c>
      <c r="C181" s="39"/>
      <c r="D181" s="48">
        <v>0</v>
      </c>
      <c r="E181" s="48">
        <v>0</v>
      </c>
      <c r="F181" s="48">
        <v>0</v>
      </c>
      <c r="G181" s="48">
        <v>0</v>
      </c>
      <c r="H181" s="48">
        <v>0</v>
      </c>
      <c r="I181" s="48">
        <v>0</v>
      </c>
      <c r="J181" s="48">
        <v>0</v>
      </c>
      <c r="K181" s="48">
        <v>0</v>
      </c>
      <c r="L181" s="48">
        <v>0</v>
      </c>
      <c r="M181" s="48">
        <v>0</v>
      </c>
      <c r="N181" s="48">
        <v>0</v>
      </c>
      <c r="O181" s="48">
        <v>0</v>
      </c>
      <c r="P181" s="30">
        <v>0</v>
      </c>
    </row>
    <row r="182" spans="1:16" ht="12.75" hidden="1">
      <c r="A182" s="41"/>
      <c r="B182" s="38" t="s">
        <v>71</v>
      </c>
      <c r="C182" s="39"/>
      <c r="D182" s="48">
        <v>0</v>
      </c>
      <c r="E182" s="48">
        <v>0</v>
      </c>
      <c r="F182" s="48">
        <v>0</v>
      </c>
      <c r="G182" s="48">
        <v>0</v>
      </c>
      <c r="H182" s="48">
        <v>0</v>
      </c>
      <c r="I182" s="48">
        <v>0</v>
      </c>
      <c r="J182" s="48">
        <v>0</v>
      </c>
      <c r="K182" s="48">
        <v>0</v>
      </c>
      <c r="L182" s="48">
        <v>0</v>
      </c>
      <c r="M182" s="48">
        <v>0</v>
      </c>
      <c r="N182" s="48">
        <v>0</v>
      </c>
      <c r="O182" s="48">
        <v>0</v>
      </c>
      <c r="P182" s="30">
        <v>0</v>
      </c>
    </row>
    <row r="183" spans="1:16" ht="12.75" hidden="1">
      <c r="A183" s="41"/>
      <c r="B183" s="38" t="s">
        <v>23</v>
      </c>
      <c r="C183" s="39"/>
      <c r="D183" s="48">
        <v>0</v>
      </c>
      <c r="E183" s="48">
        <v>0</v>
      </c>
      <c r="F183" s="48">
        <v>0</v>
      </c>
      <c r="G183" s="48">
        <v>0</v>
      </c>
      <c r="H183" s="48">
        <v>0</v>
      </c>
      <c r="I183" s="48">
        <v>0</v>
      </c>
      <c r="J183" s="48">
        <v>0</v>
      </c>
      <c r="K183" s="48">
        <v>0</v>
      </c>
      <c r="L183" s="48">
        <v>0</v>
      </c>
      <c r="M183" s="48">
        <v>0</v>
      </c>
      <c r="N183" s="48">
        <v>0</v>
      </c>
      <c r="O183" s="48">
        <v>0</v>
      </c>
      <c r="P183" s="30">
        <v>0</v>
      </c>
    </row>
    <row r="184" spans="1:16" ht="12.75">
      <c r="A184" s="41"/>
      <c r="B184" s="38" t="s">
        <v>73</v>
      </c>
      <c r="C184" s="39"/>
      <c r="D184" s="48">
        <v>0</v>
      </c>
      <c r="E184" s="48">
        <v>0</v>
      </c>
      <c r="F184" s="48">
        <v>0</v>
      </c>
      <c r="G184" s="48">
        <v>0</v>
      </c>
      <c r="H184" s="48">
        <v>0</v>
      </c>
      <c r="I184" s="48">
        <v>0</v>
      </c>
      <c r="J184" s="48">
        <v>0</v>
      </c>
      <c r="K184" s="48">
        <v>0</v>
      </c>
      <c r="L184" s="48">
        <v>0</v>
      </c>
      <c r="M184" s="48">
        <v>0</v>
      </c>
      <c r="N184" s="48">
        <v>0</v>
      </c>
      <c r="O184" s="48">
        <v>0</v>
      </c>
      <c r="P184" s="30">
        <v>0</v>
      </c>
    </row>
    <row r="185" spans="1:16" ht="12.75">
      <c r="A185" s="42"/>
      <c r="B185" s="43" t="s">
        <v>137</v>
      </c>
      <c r="C185" s="39"/>
      <c r="D185" s="49">
        <v>0</v>
      </c>
      <c r="E185" s="49">
        <v>0</v>
      </c>
      <c r="F185" s="49">
        <v>0</v>
      </c>
      <c r="G185" s="49">
        <v>0</v>
      </c>
      <c r="H185" s="49">
        <v>0</v>
      </c>
      <c r="I185" s="49">
        <v>0</v>
      </c>
      <c r="J185" s="49">
        <v>0</v>
      </c>
      <c r="K185" s="49">
        <v>0</v>
      </c>
      <c r="L185" s="49">
        <v>0</v>
      </c>
      <c r="M185" s="49">
        <v>0</v>
      </c>
      <c r="N185" s="49">
        <v>0</v>
      </c>
      <c r="O185" s="49">
        <v>0</v>
      </c>
      <c r="P185" s="49"/>
    </row>
    <row r="186" spans="1:16" ht="12.75">
      <c r="A186" s="40" t="s">
        <v>95</v>
      </c>
      <c r="B186" s="38" t="s">
        <v>22</v>
      </c>
      <c r="C186" s="39"/>
      <c r="D186" s="48" t="s">
        <v>117</v>
      </c>
      <c r="E186" s="48" t="s">
        <v>117</v>
      </c>
      <c r="F186" s="48" t="s">
        <v>117</v>
      </c>
      <c r="G186" s="48" t="s">
        <v>117</v>
      </c>
      <c r="H186" s="48" t="s">
        <v>117</v>
      </c>
      <c r="I186" s="48" t="s">
        <v>117</v>
      </c>
      <c r="J186" s="48">
        <v>0</v>
      </c>
      <c r="K186" s="48">
        <v>0</v>
      </c>
      <c r="L186" s="48">
        <v>0</v>
      </c>
      <c r="M186" s="48">
        <v>0</v>
      </c>
      <c r="N186" s="48">
        <v>0</v>
      </c>
      <c r="O186" s="48">
        <v>0</v>
      </c>
      <c r="P186" s="30">
        <v>0</v>
      </c>
    </row>
    <row r="187" spans="1:16" ht="12.75">
      <c r="A187" s="42"/>
      <c r="B187" s="43" t="s">
        <v>138</v>
      </c>
      <c r="C187" s="39"/>
      <c r="D187" s="49"/>
      <c r="E187" s="49"/>
      <c r="F187" s="49"/>
      <c r="G187" s="49"/>
      <c r="H187" s="49"/>
      <c r="I187" s="49"/>
      <c r="J187" s="49">
        <v>0</v>
      </c>
      <c r="K187" s="49">
        <v>0</v>
      </c>
      <c r="L187" s="49">
        <v>0</v>
      </c>
      <c r="M187" s="49">
        <v>0</v>
      </c>
      <c r="N187" s="49">
        <v>0</v>
      </c>
      <c r="O187" s="49">
        <v>0</v>
      </c>
      <c r="P187" s="49"/>
    </row>
    <row r="188" spans="1:16" ht="12.75">
      <c r="A188" s="40" t="s">
        <v>83</v>
      </c>
      <c r="B188" s="38" t="s">
        <v>81</v>
      </c>
      <c r="C188" s="39"/>
      <c r="D188" s="48" t="s">
        <v>117</v>
      </c>
      <c r="E188" s="48" t="s">
        <v>117</v>
      </c>
      <c r="F188" s="48" t="s">
        <v>117</v>
      </c>
      <c r="G188" s="48" t="s">
        <v>117</v>
      </c>
      <c r="H188" s="48" t="s">
        <v>117</v>
      </c>
      <c r="I188" s="48" t="s">
        <v>117</v>
      </c>
      <c r="J188" s="48" t="s">
        <v>117</v>
      </c>
      <c r="K188" s="48" t="s">
        <v>117</v>
      </c>
      <c r="L188" s="48" t="s">
        <v>117</v>
      </c>
      <c r="M188" s="48" t="s">
        <v>117</v>
      </c>
      <c r="N188" s="48">
        <v>0</v>
      </c>
      <c r="O188" s="48">
        <v>0</v>
      </c>
      <c r="P188" s="30">
        <v>0</v>
      </c>
    </row>
    <row r="189" spans="1:16" ht="12.75">
      <c r="A189" s="41"/>
      <c r="B189" s="38" t="s">
        <v>82</v>
      </c>
      <c r="C189" s="39"/>
      <c r="D189" s="48" t="s">
        <v>117</v>
      </c>
      <c r="E189" s="48" t="s">
        <v>117</v>
      </c>
      <c r="F189" s="48" t="s">
        <v>117</v>
      </c>
      <c r="G189" s="48" t="s">
        <v>117</v>
      </c>
      <c r="H189" s="48" t="s">
        <v>117</v>
      </c>
      <c r="I189" s="48" t="s">
        <v>117</v>
      </c>
      <c r="J189" s="48" t="s">
        <v>117</v>
      </c>
      <c r="K189" s="48" t="s">
        <v>117</v>
      </c>
      <c r="L189" s="48" t="s">
        <v>117</v>
      </c>
      <c r="M189" s="48" t="s">
        <v>117</v>
      </c>
      <c r="N189" s="48">
        <v>0</v>
      </c>
      <c r="O189" s="48">
        <v>0</v>
      </c>
      <c r="P189" s="30">
        <v>0</v>
      </c>
    </row>
    <row r="190" spans="1:16" ht="12.75">
      <c r="A190" s="41"/>
      <c r="B190" s="38" t="s">
        <v>84</v>
      </c>
      <c r="C190" s="39"/>
      <c r="D190" s="48">
        <v>0</v>
      </c>
      <c r="E190" s="48">
        <v>0</v>
      </c>
      <c r="F190" s="48">
        <v>0</v>
      </c>
      <c r="G190" s="48">
        <v>0</v>
      </c>
      <c r="H190" s="48">
        <v>0</v>
      </c>
      <c r="I190" s="48">
        <v>0</v>
      </c>
      <c r="J190" s="48">
        <v>0</v>
      </c>
      <c r="K190" s="48">
        <v>0</v>
      </c>
      <c r="L190" s="48">
        <v>0</v>
      </c>
      <c r="M190" s="48">
        <v>0</v>
      </c>
      <c r="N190" s="48">
        <v>0</v>
      </c>
      <c r="O190" s="48">
        <v>0</v>
      </c>
      <c r="P190" s="30">
        <v>0</v>
      </c>
    </row>
    <row r="191" spans="1:16" ht="12.75">
      <c r="A191" s="41"/>
      <c r="B191" s="38" t="s">
        <v>85</v>
      </c>
      <c r="C191" s="39"/>
      <c r="D191" s="48">
        <v>0</v>
      </c>
      <c r="E191" s="48">
        <v>0</v>
      </c>
      <c r="F191" s="48">
        <v>0</v>
      </c>
      <c r="G191" s="48">
        <v>0</v>
      </c>
      <c r="H191" s="48">
        <v>0</v>
      </c>
      <c r="I191" s="48">
        <v>0</v>
      </c>
      <c r="J191" s="48">
        <v>0</v>
      </c>
      <c r="K191" s="48">
        <v>0</v>
      </c>
      <c r="L191" s="48">
        <v>0</v>
      </c>
      <c r="M191" s="48">
        <v>0</v>
      </c>
      <c r="N191" s="48">
        <v>0</v>
      </c>
      <c r="O191" s="48">
        <v>0</v>
      </c>
      <c r="P191" s="30">
        <v>0</v>
      </c>
    </row>
    <row r="192" spans="1:16" ht="12.75">
      <c r="A192" s="41"/>
      <c r="B192" s="38" t="s">
        <v>139</v>
      </c>
      <c r="C192" s="39"/>
      <c r="D192" s="48">
        <v>2</v>
      </c>
      <c r="E192" s="48">
        <v>2</v>
      </c>
      <c r="F192" s="48">
        <v>2</v>
      </c>
      <c r="G192" s="48">
        <v>2</v>
      </c>
      <c r="H192" s="48">
        <v>2</v>
      </c>
      <c r="I192" s="48">
        <v>2</v>
      </c>
      <c r="J192" s="48">
        <v>2</v>
      </c>
      <c r="K192" s="48">
        <v>-14</v>
      </c>
      <c r="L192" s="48">
        <v>0</v>
      </c>
      <c r="M192" s="48">
        <v>0</v>
      </c>
      <c r="N192" s="48">
        <v>0</v>
      </c>
      <c r="O192" s="48">
        <v>0</v>
      </c>
      <c r="P192" s="30">
        <v>0</v>
      </c>
    </row>
    <row r="193" spans="1:16" ht="12.75">
      <c r="A193" s="42"/>
      <c r="B193" s="43" t="s">
        <v>140</v>
      </c>
      <c r="C193" s="39"/>
      <c r="D193" s="49">
        <v>2</v>
      </c>
      <c r="E193" s="49">
        <v>2</v>
      </c>
      <c r="F193" s="49">
        <v>2</v>
      </c>
      <c r="G193" s="49">
        <v>2</v>
      </c>
      <c r="H193" s="49">
        <v>2</v>
      </c>
      <c r="I193" s="49">
        <v>2</v>
      </c>
      <c r="J193" s="49">
        <v>2</v>
      </c>
      <c r="K193" s="49">
        <v>-14</v>
      </c>
      <c r="L193" s="49">
        <v>0</v>
      </c>
      <c r="M193" s="49">
        <v>0</v>
      </c>
      <c r="N193" s="49">
        <v>0</v>
      </c>
      <c r="O193" s="49">
        <v>0</v>
      </c>
      <c r="P193" s="49"/>
    </row>
    <row r="194" spans="1:16" ht="12.75">
      <c r="A194" s="43" t="s">
        <v>141</v>
      </c>
      <c r="B194" s="43"/>
      <c r="C194" s="39"/>
      <c r="D194" s="49">
        <v>131246</v>
      </c>
      <c r="E194" s="49">
        <v>131451</v>
      </c>
      <c r="F194" s="49">
        <v>131438</v>
      </c>
      <c r="G194" s="49">
        <v>131402</v>
      </c>
      <c r="H194" s="49">
        <v>131401</v>
      </c>
      <c r="I194" s="49">
        <v>131485</v>
      </c>
      <c r="J194" s="49">
        <v>131546</v>
      </c>
      <c r="K194" s="49">
        <v>131740</v>
      </c>
      <c r="L194" s="49">
        <v>132151</v>
      </c>
      <c r="M194" s="49">
        <v>132708</v>
      </c>
      <c r="N194" s="49">
        <v>133549</v>
      </c>
      <c r="O194" s="49">
        <v>133931</v>
      </c>
      <c r="P194" s="49"/>
    </row>
    <row r="195" spans="1:16" ht="12.75">
      <c r="A195" s="43" t="s">
        <v>67</v>
      </c>
      <c r="B195" s="43"/>
      <c r="C195" s="39"/>
      <c r="D195" s="30">
        <v>131246</v>
      </c>
      <c r="E195" s="30">
        <v>131451</v>
      </c>
      <c r="F195" s="30">
        <v>131438</v>
      </c>
      <c r="G195" s="30">
        <v>131402</v>
      </c>
      <c r="H195" s="30">
        <v>131401</v>
      </c>
      <c r="I195" s="30">
        <v>131485</v>
      </c>
      <c r="J195" s="30">
        <v>131546</v>
      </c>
      <c r="K195" s="30">
        <v>131740</v>
      </c>
      <c r="L195" s="30">
        <v>132151</v>
      </c>
      <c r="M195" s="30">
        <v>132708</v>
      </c>
      <c r="N195" s="30">
        <v>133549</v>
      </c>
      <c r="O195" s="30">
        <v>133931</v>
      </c>
      <c r="P195" s="30"/>
    </row>
  </sheetData>
  <printOptions horizontalCentered="1" verticalCentered="1"/>
  <pageMargins left="0.25" right="0.25" top="0.28" bottom="0.25" header="0.5" footer="0.5"/>
  <pageSetup fitToHeight="1" fitToWidth="1" horizontalDpi="600" verticalDpi="600" orientation="landscape" scale="75" r:id="rId1"/>
  <rowBreaks count="1" manualBreakCount="1">
    <brk id="50" max="255" man="1"/>
  </rowBreaks>
</worksheet>
</file>

<file path=xl/worksheets/sheet7.xml><?xml version="1.0" encoding="utf-8"?>
<worksheet xmlns="http://schemas.openxmlformats.org/spreadsheetml/2006/main" xmlns:r="http://schemas.openxmlformats.org/officeDocument/2006/relationships">
  <dimension ref="A1:Q78"/>
  <sheetViews>
    <sheetView workbookViewId="0" topLeftCell="C4">
      <selection activeCell="I31" sqref="I31"/>
    </sheetView>
  </sheetViews>
  <sheetFormatPr defaultColWidth="9.140625" defaultRowHeight="12.75"/>
  <cols>
    <col min="1" max="1" width="2.8515625" style="0" customWidth="1"/>
    <col min="2" max="2" width="19.57421875" style="0" customWidth="1"/>
    <col min="3" max="3" width="6.421875" style="0" customWidth="1"/>
    <col min="4" max="4" width="13.57421875" style="0" customWidth="1"/>
    <col min="5" max="5" width="12.8515625" style="0" customWidth="1"/>
    <col min="6" max="6" width="13.140625" style="0" customWidth="1"/>
    <col min="7" max="7" width="11.57421875" style="0" customWidth="1"/>
    <col min="8" max="8" width="12.7109375" style="0" customWidth="1"/>
    <col min="9" max="9" width="11.57421875" style="0" customWidth="1"/>
    <col min="10" max="10" width="11.00390625" style="0" customWidth="1"/>
    <col min="11" max="11" width="11.57421875" style="0" customWidth="1"/>
    <col min="12" max="12" width="11.140625" style="0" customWidth="1"/>
    <col min="13" max="13" width="11.00390625" style="0" customWidth="1"/>
    <col min="14" max="14" width="11.28125" style="0" customWidth="1"/>
    <col min="15" max="15" width="11.421875" style="0" customWidth="1"/>
    <col min="16" max="16" width="11.57421875" style="0" customWidth="1"/>
    <col min="17" max="17" width="12.7109375" style="0" customWidth="1"/>
  </cols>
  <sheetData>
    <row r="1" ht="12.75">
      <c r="A1" s="6" t="s">
        <v>45</v>
      </c>
    </row>
    <row r="2" ht="12.75">
      <c r="A2" s="6" t="s">
        <v>161</v>
      </c>
    </row>
    <row r="3" ht="12.75">
      <c r="A3" s="6" t="s">
        <v>211</v>
      </c>
    </row>
    <row r="4" ht="12.75">
      <c r="A4" s="6"/>
    </row>
    <row r="6" spans="1:17" ht="12.75">
      <c r="A6" s="59" t="s">
        <v>43</v>
      </c>
      <c r="D6" s="68" t="s">
        <v>164</v>
      </c>
      <c r="E6" s="59" t="s">
        <v>14</v>
      </c>
      <c r="F6" s="69" t="s">
        <v>2</v>
      </c>
      <c r="G6" s="69" t="s">
        <v>3</v>
      </c>
      <c r="H6" s="69" t="s">
        <v>4</v>
      </c>
      <c r="I6" s="69" t="s">
        <v>5</v>
      </c>
      <c r="J6" s="69" t="s">
        <v>6</v>
      </c>
      <c r="K6" s="69" t="s">
        <v>7</v>
      </c>
      <c r="L6" s="69" t="s">
        <v>8</v>
      </c>
      <c r="M6" s="69" t="s">
        <v>9</v>
      </c>
      <c r="N6" s="69" t="s">
        <v>10</v>
      </c>
      <c r="O6" s="69" t="s">
        <v>11</v>
      </c>
      <c r="P6" s="69" t="s">
        <v>12</v>
      </c>
      <c r="Q6" s="69" t="s">
        <v>13</v>
      </c>
    </row>
    <row r="7" ht="12.75">
      <c r="A7" s="59" t="s">
        <v>46</v>
      </c>
    </row>
    <row r="8" spans="1:17" ht="12.75">
      <c r="A8" t="s">
        <v>171</v>
      </c>
      <c r="D8" s="11">
        <v>112983336</v>
      </c>
      <c r="E8" s="11">
        <f>SUM(F8:Q8)</f>
        <v>112983336</v>
      </c>
      <c r="F8" s="11">
        <f aca="true" t="shared" si="0" ref="F8:Q8">E39</f>
        <v>18562669</v>
      </c>
      <c r="G8" s="11">
        <f t="shared" si="0"/>
        <v>16709536</v>
      </c>
      <c r="H8" s="11">
        <f t="shared" si="0"/>
        <v>16924558</v>
      </c>
      <c r="I8" s="11">
        <f t="shared" si="0"/>
        <v>11304373</v>
      </c>
      <c r="J8" s="11">
        <f t="shared" si="0"/>
        <v>6552477</v>
      </c>
      <c r="K8" s="11">
        <f t="shared" si="0"/>
        <v>3538290</v>
      </c>
      <c r="L8" s="11">
        <f t="shared" si="0"/>
        <v>2378214</v>
      </c>
      <c r="M8" s="11">
        <f t="shared" si="0"/>
        <v>1985594</v>
      </c>
      <c r="N8" s="11">
        <f t="shared" si="0"/>
        <v>2479717</v>
      </c>
      <c r="O8" s="11">
        <f t="shared" si="0"/>
        <v>4292105</v>
      </c>
      <c r="P8" s="11">
        <f t="shared" si="0"/>
        <v>9891005</v>
      </c>
      <c r="Q8" s="11">
        <f t="shared" si="0"/>
        <v>18364798</v>
      </c>
    </row>
    <row r="9" spans="1:17" ht="12.75">
      <c r="A9" t="s">
        <v>166</v>
      </c>
      <c r="D9" s="11">
        <v>-12246878</v>
      </c>
      <c r="E9" s="11">
        <f>SUM(F9:Q9)</f>
        <v>-72278176</v>
      </c>
      <c r="F9" s="11">
        <f>-E69</f>
        <v>-12246878</v>
      </c>
      <c r="G9" s="11">
        <f aca="true" t="shared" si="1" ref="G9:Q9">-F10</f>
        <v>-9835922</v>
      </c>
      <c r="H9" s="11">
        <f t="shared" si="1"/>
        <v>-10346687</v>
      </c>
      <c r="I9" s="11">
        <f t="shared" si="1"/>
        <v>-7769268</v>
      </c>
      <c r="J9" s="11">
        <f t="shared" si="1"/>
        <v>-5379240</v>
      </c>
      <c r="K9" s="11">
        <f t="shared" si="1"/>
        <v>-3372792</v>
      </c>
      <c r="L9" s="11">
        <f t="shared" si="1"/>
        <v>-1644233</v>
      </c>
      <c r="M9" s="11">
        <f t="shared" si="1"/>
        <v>-1249212</v>
      </c>
      <c r="N9" s="11">
        <f t="shared" si="1"/>
        <v>-1312939</v>
      </c>
      <c r="O9" s="11">
        <f t="shared" si="1"/>
        <v>-2062172</v>
      </c>
      <c r="P9" s="11">
        <f t="shared" si="1"/>
        <v>-6574314</v>
      </c>
      <c r="Q9" s="11">
        <f t="shared" si="1"/>
        <v>-10484519</v>
      </c>
    </row>
    <row r="10" spans="1:17" ht="12.75">
      <c r="A10" t="s">
        <v>167</v>
      </c>
      <c r="D10" s="11">
        <v>12031121</v>
      </c>
      <c r="E10" s="11">
        <f>SUM(F10:Q10)</f>
        <v>72062419</v>
      </c>
      <c r="F10" s="11">
        <f aca="true" t="shared" si="2" ref="F10:Q10">F69</f>
        <v>9835922</v>
      </c>
      <c r="G10" s="11">
        <f t="shared" si="2"/>
        <v>10346687</v>
      </c>
      <c r="H10" s="11">
        <f t="shared" si="2"/>
        <v>7769268</v>
      </c>
      <c r="I10" s="11">
        <f t="shared" si="2"/>
        <v>5379240</v>
      </c>
      <c r="J10" s="11">
        <f t="shared" si="2"/>
        <v>3372792</v>
      </c>
      <c r="K10" s="11">
        <f t="shared" si="2"/>
        <v>1644233</v>
      </c>
      <c r="L10" s="11">
        <f t="shared" si="2"/>
        <v>1249212</v>
      </c>
      <c r="M10" s="11">
        <f t="shared" si="2"/>
        <v>1312939</v>
      </c>
      <c r="N10" s="11">
        <f t="shared" si="2"/>
        <v>2062172</v>
      </c>
      <c r="O10" s="11">
        <f t="shared" si="2"/>
        <v>6574314</v>
      </c>
      <c r="P10" s="11">
        <f t="shared" si="2"/>
        <v>10484519</v>
      </c>
      <c r="Q10" s="11">
        <f t="shared" si="2"/>
        <v>12031121</v>
      </c>
    </row>
    <row r="11" spans="1:17" ht="15">
      <c r="A11" t="s">
        <v>168</v>
      </c>
      <c r="D11" s="66">
        <v>6036026</v>
      </c>
      <c r="E11" s="11">
        <f>SUM(F11:Q11)</f>
        <v>6036026</v>
      </c>
      <c r="F11" s="11">
        <f aca="true" t="shared" si="3" ref="F11:Q11">E53</f>
        <v>4041945</v>
      </c>
      <c r="G11" s="11">
        <f t="shared" si="3"/>
        <v>-475371</v>
      </c>
      <c r="H11" s="11">
        <f t="shared" si="3"/>
        <v>-245515</v>
      </c>
      <c r="I11" s="11">
        <f t="shared" si="3"/>
        <v>433190</v>
      </c>
      <c r="J11" s="11">
        <f t="shared" si="3"/>
        <v>486111</v>
      </c>
      <c r="K11" s="11">
        <f t="shared" si="3"/>
        <v>590436</v>
      </c>
      <c r="L11" s="11">
        <f t="shared" si="3"/>
        <v>0</v>
      </c>
      <c r="M11" s="11">
        <f t="shared" si="3"/>
        <v>0</v>
      </c>
      <c r="N11" s="11">
        <f t="shared" si="3"/>
        <v>0</v>
      </c>
      <c r="O11" s="11">
        <f t="shared" si="3"/>
        <v>26537</v>
      </c>
      <c r="P11" s="11">
        <f t="shared" si="3"/>
        <v>426902</v>
      </c>
      <c r="Q11" s="11">
        <f t="shared" si="3"/>
        <v>751791</v>
      </c>
    </row>
    <row r="12" spans="1:17" ht="12.75">
      <c r="A12" t="s">
        <v>165</v>
      </c>
      <c r="D12" s="11">
        <f aca="true" t="shared" si="4" ref="D12:Q12">SUM(D8:D11)</f>
        <v>118803605</v>
      </c>
      <c r="E12" s="12">
        <f t="shared" si="4"/>
        <v>118803605</v>
      </c>
      <c r="F12" s="12">
        <f t="shared" si="4"/>
        <v>20193658</v>
      </c>
      <c r="G12" s="12">
        <f t="shared" si="4"/>
        <v>16744930</v>
      </c>
      <c r="H12" s="12">
        <f t="shared" si="4"/>
        <v>14101624</v>
      </c>
      <c r="I12" s="12">
        <f t="shared" si="4"/>
        <v>9347535</v>
      </c>
      <c r="J12" s="12">
        <f t="shared" si="4"/>
        <v>5032140</v>
      </c>
      <c r="K12" s="12">
        <f t="shared" si="4"/>
        <v>2400167</v>
      </c>
      <c r="L12" s="12">
        <f t="shared" si="4"/>
        <v>1983193</v>
      </c>
      <c r="M12" s="12">
        <f t="shared" si="4"/>
        <v>2049321</v>
      </c>
      <c r="N12" s="12">
        <f t="shared" si="4"/>
        <v>3228950</v>
      </c>
      <c r="O12" s="12">
        <f t="shared" si="4"/>
        <v>8830784</v>
      </c>
      <c r="P12" s="12">
        <f t="shared" si="4"/>
        <v>14228112</v>
      </c>
      <c r="Q12" s="12">
        <f t="shared" si="4"/>
        <v>20663191</v>
      </c>
    </row>
    <row r="13" spans="4:17" ht="12.75">
      <c r="D13" s="11"/>
      <c r="E13" s="8"/>
      <c r="F13" s="8"/>
      <c r="G13" s="8"/>
      <c r="H13" s="8"/>
      <c r="I13" s="8"/>
      <c r="J13" s="8"/>
      <c r="K13" s="8"/>
      <c r="L13" s="8"/>
      <c r="M13" s="8"/>
      <c r="N13" s="8"/>
      <c r="O13" s="8"/>
      <c r="P13" s="8"/>
      <c r="Q13" s="8"/>
    </row>
    <row r="14" spans="2:17" ht="15">
      <c r="B14" t="s">
        <v>155</v>
      </c>
      <c r="D14" s="11"/>
      <c r="E14" s="63">
        <f>D12-E12</f>
        <v>0</v>
      </c>
      <c r="F14" s="64">
        <f>D9-F9</f>
        <v>0</v>
      </c>
      <c r="G14" s="64">
        <v>0</v>
      </c>
      <c r="H14" s="64">
        <v>0</v>
      </c>
      <c r="I14" s="64">
        <v>0</v>
      </c>
      <c r="J14" s="64">
        <v>0</v>
      </c>
      <c r="K14" s="64">
        <v>0</v>
      </c>
      <c r="L14" s="64">
        <v>0</v>
      </c>
      <c r="M14" s="64">
        <v>0</v>
      </c>
      <c r="N14" s="64">
        <v>0</v>
      </c>
      <c r="O14" s="64">
        <v>0</v>
      </c>
      <c r="P14" s="64">
        <v>0</v>
      </c>
      <c r="Q14" s="64">
        <f>D10-Q10</f>
        <v>0</v>
      </c>
    </row>
    <row r="15" spans="4:17" ht="12.75">
      <c r="D15" s="11"/>
      <c r="E15" s="11"/>
      <c r="F15" s="8"/>
      <c r="G15" s="8"/>
      <c r="H15" s="8"/>
      <c r="I15" s="8"/>
      <c r="J15" s="8"/>
      <c r="K15" s="8"/>
      <c r="L15" s="8"/>
      <c r="M15" s="8"/>
      <c r="N15" s="8"/>
      <c r="O15" s="8"/>
      <c r="P15" s="8"/>
      <c r="Q15" s="8"/>
    </row>
    <row r="16" spans="1:17" ht="12.75">
      <c r="A16" t="s">
        <v>51</v>
      </c>
      <c r="D16" s="11"/>
      <c r="E16" s="11">
        <f>SUM(F16:Q16)</f>
        <v>118803605</v>
      </c>
      <c r="F16" s="8">
        <f aca="true" t="shared" si="5" ref="F16:Q16">F12+F14</f>
        <v>20193658</v>
      </c>
      <c r="G16" s="8">
        <f t="shared" si="5"/>
        <v>16744930</v>
      </c>
      <c r="H16" s="8">
        <f t="shared" si="5"/>
        <v>14101624</v>
      </c>
      <c r="I16" s="8">
        <f t="shared" si="5"/>
        <v>9347535</v>
      </c>
      <c r="J16" s="8">
        <f t="shared" si="5"/>
        <v>5032140</v>
      </c>
      <c r="K16" s="8">
        <f t="shared" si="5"/>
        <v>2400167</v>
      </c>
      <c r="L16" s="8">
        <f t="shared" si="5"/>
        <v>1983193</v>
      </c>
      <c r="M16" s="8">
        <f t="shared" si="5"/>
        <v>2049321</v>
      </c>
      <c r="N16" s="8">
        <f t="shared" si="5"/>
        <v>3228950</v>
      </c>
      <c r="O16" s="8">
        <f t="shared" si="5"/>
        <v>8830784</v>
      </c>
      <c r="P16" s="8">
        <f t="shared" si="5"/>
        <v>14228112</v>
      </c>
      <c r="Q16" s="8">
        <f t="shared" si="5"/>
        <v>20663191</v>
      </c>
    </row>
    <row r="17" spans="4:5" ht="12.75">
      <c r="D17" s="11"/>
      <c r="E17" s="10"/>
    </row>
    <row r="18" spans="1:4" ht="12.75">
      <c r="A18" s="59" t="s">
        <v>52</v>
      </c>
      <c r="D18" s="11"/>
    </row>
    <row r="19" spans="1:17" ht="12.75">
      <c r="A19" t="s">
        <v>173</v>
      </c>
      <c r="D19" s="11">
        <v>1636851</v>
      </c>
      <c r="E19" s="11">
        <f>SUM(F19:Q19)</f>
        <v>1636851</v>
      </c>
      <c r="F19" s="8">
        <f aca="true" t="shared" si="6" ref="F19:Q19">E78</f>
        <v>135510</v>
      </c>
      <c r="G19" s="8">
        <f t="shared" si="6"/>
        <v>135699</v>
      </c>
      <c r="H19" s="8">
        <f t="shared" si="6"/>
        <v>135789</v>
      </c>
      <c r="I19" s="8">
        <f t="shared" si="6"/>
        <v>135775</v>
      </c>
      <c r="J19" s="8">
        <f t="shared" si="6"/>
        <v>135938</v>
      </c>
      <c r="K19" s="8">
        <f t="shared" si="6"/>
        <v>135719</v>
      </c>
      <c r="L19" s="8">
        <f t="shared" si="6"/>
        <v>135822</v>
      </c>
      <c r="M19" s="8">
        <f t="shared" si="6"/>
        <v>136128</v>
      </c>
      <c r="N19" s="8">
        <f t="shared" si="6"/>
        <v>136466</v>
      </c>
      <c r="O19" s="8">
        <f t="shared" si="6"/>
        <v>137302</v>
      </c>
      <c r="P19" s="8">
        <f t="shared" si="6"/>
        <v>138036</v>
      </c>
      <c r="Q19" s="8">
        <f t="shared" si="6"/>
        <v>138667</v>
      </c>
    </row>
    <row r="20" spans="1:17" ht="12.75">
      <c r="A20" t="s">
        <v>53</v>
      </c>
      <c r="D20" s="11"/>
      <c r="E20" s="8">
        <f aca="true" t="shared" si="7" ref="E20:Q20">E16/E19</f>
        <v>72.5805861376509</v>
      </c>
      <c r="F20" s="8">
        <f t="shared" si="7"/>
        <v>149.01968858386834</v>
      </c>
      <c r="G20" s="8">
        <f t="shared" si="7"/>
        <v>123.39759320260282</v>
      </c>
      <c r="H20" s="8">
        <f t="shared" si="7"/>
        <v>103.84953125805478</v>
      </c>
      <c r="I20" s="8">
        <f t="shared" si="7"/>
        <v>68.84577425888418</v>
      </c>
      <c r="J20" s="8">
        <f t="shared" si="7"/>
        <v>37.01790522149803</v>
      </c>
      <c r="K20" s="8">
        <f t="shared" si="7"/>
        <v>17.684826737597536</v>
      </c>
      <c r="L20" s="8">
        <f t="shared" si="7"/>
        <v>14.601412142362799</v>
      </c>
      <c r="M20" s="8">
        <f t="shared" si="7"/>
        <v>15.054367947813823</v>
      </c>
      <c r="N20" s="8">
        <f t="shared" si="7"/>
        <v>23.661204988788416</v>
      </c>
      <c r="O20" s="8">
        <f t="shared" si="7"/>
        <v>64.31649939549315</v>
      </c>
      <c r="P20" s="8">
        <f t="shared" si="7"/>
        <v>103.0753716421803</v>
      </c>
      <c r="Q20" s="8">
        <f t="shared" si="7"/>
        <v>149.01303843019608</v>
      </c>
    </row>
    <row r="21" spans="4:17" ht="12.75">
      <c r="D21" s="11"/>
      <c r="E21" s="11"/>
      <c r="F21" s="8"/>
      <c r="G21" s="8"/>
      <c r="H21" s="8"/>
      <c r="I21" s="8"/>
      <c r="J21" s="8"/>
      <c r="K21" s="8"/>
      <c r="L21" s="8"/>
      <c r="M21" s="8"/>
      <c r="N21" s="8"/>
      <c r="O21" s="8"/>
      <c r="P21" s="8"/>
      <c r="Q21" s="8"/>
    </row>
    <row r="22" spans="1:7" ht="12.75">
      <c r="A22" s="2" t="s">
        <v>212</v>
      </c>
      <c r="E22" s="97">
        <v>1.12076</v>
      </c>
      <c r="F22" s="57"/>
      <c r="G22" s="57"/>
    </row>
    <row r="23" spans="1:7" ht="12.75">
      <c r="A23" s="2" t="s">
        <v>213</v>
      </c>
      <c r="E23" s="98">
        <v>0.956922</v>
      </c>
      <c r="F23" s="57"/>
      <c r="G23" s="57"/>
    </row>
    <row r="24" spans="1:7" ht="12.75">
      <c r="A24" s="2" t="s">
        <v>214</v>
      </c>
      <c r="E24" s="99">
        <f>E22*E23</f>
        <v>1.07247990072</v>
      </c>
      <c r="F24" s="57"/>
      <c r="G24" s="57"/>
    </row>
    <row r="25" spans="1:7" ht="12.75">
      <c r="A25" s="2" t="s">
        <v>215</v>
      </c>
      <c r="E25" s="100">
        <f>-0.855</f>
        <v>-0.855</v>
      </c>
      <c r="F25" s="57"/>
      <c r="G25" s="57"/>
    </row>
    <row r="26" spans="1:7" ht="12.75">
      <c r="A26" s="6" t="s">
        <v>216</v>
      </c>
      <c r="E26" s="101">
        <f>E24+E25</f>
        <v>0.21747990072000012</v>
      </c>
      <c r="F26" s="57"/>
      <c r="G26" s="57"/>
    </row>
    <row r="27" spans="4:17" ht="12.75">
      <c r="D27" s="102"/>
      <c r="E27" s="11"/>
      <c r="F27" s="11"/>
      <c r="G27" s="11"/>
      <c r="H27" s="11"/>
      <c r="I27" s="11"/>
      <c r="J27" s="11"/>
      <c r="K27" s="11"/>
      <c r="L27" s="11"/>
      <c r="M27" s="11"/>
      <c r="N27" s="11"/>
      <c r="O27" s="11"/>
      <c r="P27" s="11"/>
      <c r="Q27" s="11"/>
    </row>
    <row r="30" ht="12.75">
      <c r="A30" s="2" t="s">
        <v>217</v>
      </c>
    </row>
    <row r="31" ht="12.75">
      <c r="A31" s="2" t="s">
        <v>218</v>
      </c>
    </row>
    <row r="32" ht="12.75">
      <c r="A32" s="2" t="s">
        <v>236</v>
      </c>
    </row>
    <row r="33" ht="12.75">
      <c r="A33" s="2" t="s">
        <v>219</v>
      </c>
    </row>
    <row r="34" ht="12.75">
      <c r="A34" s="2" t="s">
        <v>237</v>
      </c>
    </row>
    <row r="36" ht="12.75">
      <c r="A36" s="6" t="s">
        <v>220</v>
      </c>
    </row>
    <row r="37" ht="12.75">
      <c r="A37" s="6"/>
    </row>
    <row r="38" spans="1:17" ht="12.75">
      <c r="A38" s="6"/>
      <c r="B38" s="6" t="s">
        <v>65</v>
      </c>
      <c r="E38" s="62">
        <v>38718</v>
      </c>
      <c r="F38" s="62">
        <v>38749</v>
      </c>
      <c r="G38" s="62">
        <v>38777</v>
      </c>
      <c r="H38" s="62">
        <v>38808</v>
      </c>
      <c r="I38" s="62">
        <v>38838</v>
      </c>
      <c r="J38" s="62">
        <v>38869</v>
      </c>
      <c r="K38" s="62">
        <v>38899</v>
      </c>
      <c r="L38" s="62">
        <v>38930</v>
      </c>
      <c r="M38" s="62">
        <v>38961</v>
      </c>
      <c r="N38" s="62">
        <v>38991</v>
      </c>
      <c r="O38" s="62">
        <v>39022</v>
      </c>
      <c r="P38" s="62">
        <v>39052</v>
      </c>
      <c r="Q38" s="61" t="s">
        <v>67</v>
      </c>
    </row>
    <row r="39" spans="1:17" ht="12.75">
      <c r="A39" s="6"/>
      <c r="B39" t="s">
        <v>30</v>
      </c>
      <c r="E39" s="11">
        <v>18562669</v>
      </c>
      <c r="F39" s="11">
        <v>16709536</v>
      </c>
      <c r="G39" s="11">
        <v>16924558</v>
      </c>
      <c r="H39" s="11">
        <v>11304373</v>
      </c>
      <c r="I39" s="11">
        <v>6552477</v>
      </c>
      <c r="J39" s="11">
        <v>3538290</v>
      </c>
      <c r="K39" s="11">
        <v>2378214</v>
      </c>
      <c r="L39" s="11">
        <v>1985594</v>
      </c>
      <c r="M39" s="11">
        <v>2479717</v>
      </c>
      <c r="N39" s="11">
        <v>4292105</v>
      </c>
      <c r="O39" s="11">
        <v>9891005</v>
      </c>
      <c r="P39" s="11">
        <v>18364798</v>
      </c>
      <c r="Q39" s="11">
        <v>112983336</v>
      </c>
    </row>
    <row r="41" ht="12.75">
      <c r="B41" s="59" t="s">
        <v>66</v>
      </c>
    </row>
    <row r="42" spans="5:17" ht="12.75">
      <c r="E42" s="62">
        <v>38718</v>
      </c>
      <c r="F42" s="62">
        <v>38749</v>
      </c>
      <c r="G42" s="62">
        <v>38777</v>
      </c>
      <c r="H42" s="62">
        <v>38808</v>
      </c>
      <c r="I42" s="62">
        <v>38838</v>
      </c>
      <c r="J42" s="62">
        <v>38869</v>
      </c>
      <c r="K42" s="62">
        <v>38899</v>
      </c>
      <c r="L42" s="62">
        <v>38930</v>
      </c>
      <c r="M42" s="62">
        <v>38961</v>
      </c>
      <c r="N42" s="62">
        <v>38991</v>
      </c>
      <c r="O42" s="62">
        <v>39022</v>
      </c>
      <c r="P42" s="62">
        <v>39052</v>
      </c>
      <c r="Q42" s="61" t="s">
        <v>67</v>
      </c>
    </row>
    <row r="43" spans="2:17" ht="12.75">
      <c r="B43" s="6" t="s">
        <v>68</v>
      </c>
      <c r="E43">
        <v>264</v>
      </c>
      <c r="F43">
        <v>-31</v>
      </c>
      <c r="G43">
        <v>-16</v>
      </c>
      <c r="H43">
        <v>33</v>
      </c>
      <c r="I43">
        <v>37</v>
      </c>
      <c r="J43">
        <v>45</v>
      </c>
      <c r="K43">
        <v>36</v>
      </c>
      <c r="L43">
        <v>12</v>
      </c>
      <c r="M43">
        <v>26</v>
      </c>
      <c r="N43">
        <v>2</v>
      </c>
      <c r="O43">
        <v>32</v>
      </c>
      <c r="P43">
        <v>48</v>
      </c>
      <c r="Q43">
        <f>SUM(E43:P43)</f>
        <v>488</v>
      </c>
    </row>
    <row r="44" spans="2:4" ht="12.75">
      <c r="B44" s="6"/>
      <c r="C44" s="60"/>
      <c r="D44" s="103" t="s">
        <v>221</v>
      </c>
    </row>
    <row r="45" spans="2:16" ht="12.75">
      <c r="B45" t="s">
        <v>27</v>
      </c>
      <c r="D45" s="61" t="s">
        <v>180</v>
      </c>
      <c r="E45" s="104">
        <v>0.101</v>
      </c>
      <c r="F45" s="104">
        <v>0.101</v>
      </c>
      <c r="G45" s="104">
        <v>0.101</v>
      </c>
      <c r="H45" s="104">
        <v>0.09</v>
      </c>
      <c r="I45" s="104">
        <v>0.09</v>
      </c>
      <c r="J45" s="104">
        <v>0.09</v>
      </c>
      <c r="K45" s="104">
        <v>0</v>
      </c>
      <c r="L45" s="104">
        <v>0</v>
      </c>
      <c r="M45" s="104">
        <v>0</v>
      </c>
      <c r="N45" s="104">
        <v>0.09</v>
      </c>
      <c r="O45" s="104">
        <v>0.09</v>
      </c>
      <c r="P45" s="104">
        <v>0.101</v>
      </c>
    </row>
    <row r="46" spans="2:16" ht="12.75">
      <c r="B46" t="s">
        <v>28</v>
      </c>
      <c r="D46" s="61" t="s">
        <v>180</v>
      </c>
      <c r="E46" s="104">
        <v>0.243</v>
      </c>
      <c r="F46" s="104">
        <v>0.243</v>
      </c>
      <c r="G46" s="104">
        <v>0.243</v>
      </c>
      <c r="H46" s="104">
        <v>0.169</v>
      </c>
      <c r="I46" s="104">
        <v>0.169</v>
      </c>
      <c r="J46" s="104">
        <v>0.169</v>
      </c>
      <c r="K46" s="104">
        <v>0</v>
      </c>
      <c r="L46" s="104">
        <v>0</v>
      </c>
      <c r="M46" s="104">
        <v>0</v>
      </c>
      <c r="N46" s="104">
        <v>0.169</v>
      </c>
      <c r="O46" s="104">
        <v>0.169</v>
      </c>
      <c r="P46" s="104">
        <v>0.243</v>
      </c>
    </row>
    <row r="47" spans="2:16" ht="12.75">
      <c r="B47" t="s">
        <v>29</v>
      </c>
      <c r="D47" s="61" t="s">
        <v>180</v>
      </c>
      <c r="E47" s="104">
        <v>0.422</v>
      </c>
      <c r="F47" s="104">
        <v>0.422</v>
      </c>
      <c r="G47" s="104">
        <v>0.422</v>
      </c>
      <c r="H47" s="104">
        <v>0.306</v>
      </c>
      <c r="I47" s="104">
        <v>0.306</v>
      </c>
      <c r="J47" s="104">
        <v>0.306</v>
      </c>
      <c r="K47" s="104">
        <v>0</v>
      </c>
      <c r="L47" s="104">
        <v>0</v>
      </c>
      <c r="M47" s="104">
        <v>0</v>
      </c>
      <c r="N47" s="104">
        <v>0.306</v>
      </c>
      <c r="O47" s="104">
        <v>0.306</v>
      </c>
      <c r="P47" s="104">
        <v>0.422</v>
      </c>
    </row>
    <row r="48" ht="12.75">
      <c r="C48" s="58"/>
    </row>
    <row r="49" spans="2:4" ht="12.75">
      <c r="B49" s="59" t="s">
        <v>150</v>
      </c>
      <c r="C49" s="58"/>
      <c r="D49" s="58"/>
    </row>
    <row r="50" spans="2:17" ht="12.75">
      <c r="B50" t="s">
        <v>27</v>
      </c>
      <c r="E50" s="11">
        <f aca="true" t="shared" si="8" ref="E50:P50">ROUND(E$43*E45*E74,0)</f>
        <v>3310469</v>
      </c>
      <c r="F50" s="11">
        <f t="shared" si="8"/>
        <v>-389202</v>
      </c>
      <c r="G50" s="11">
        <f t="shared" si="8"/>
        <v>-201009</v>
      </c>
      <c r="H50" s="11">
        <f t="shared" si="8"/>
        <v>369474</v>
      </c>
      <c r="I50" s="11">
        <f t="shared" si="8"/>
        <v>414925</v>
      </c>
      <c r="J50" s="11">
        <f t="shared" si="8"/>
        <v>503650</v>
      </c>
      <c r="K50" s="11">
        <f t="shared" si="8"/>
        <v>0</v>
      </c>
      <c r="L50" s="11">
        <f t="shared" si="8"/>
        <v>0</v>
      </c>
      <c r="M50" s="11">
        <f t="shared" si="8"/>
        <v>0</v>
      </c>
      <c r="N50" s="11">
        <f t="shared" si="8"/>
        <v>22656</v>
      </c>
      <c r="O50" s="11">
        <f t="shared" si="8"/>
        <v>364415</v>
      </c>
      <c r="P50" s="11">
        <f t="shared" si="8"/>
        <v>616074</v>
      </c>
      <c r="Q50" s="11">
        <f>SUM(E50:P50)</f>
        <v>5011452</v>
      </c>
    </row>
    <row r="51" spans="2:17" ht="12.75">
      <c r="B51" t="s">
        <v>28</v>
      </c>
      <c r="E51" s="11">
        <f aca="true" t="shared" si="9" ref="E51:P51">ROUND(E$43*E46*E75,0)</f>
        <v>721004</v>
      </c>
      <c r="F51" s="11">
        <f t="shared" si="9"/>
        <v>-84965</v>
      </c>
      <c r="G51" s="11">
        <f t="shared" si="9"/>
        <v>-43892</v>
      </c>
      <c r="H51" s="11">
        <f t="shared" si="9"/>
        <v>62797</v>
      </c>
      <c r="I51" s="11">
        <f t="shared" si="9"/>
        <v>70190</v>
      </c>
      <c r="J51" s="11">
        <f t="shared" si="9"/>
        <v>85533</v>
      </c>
      <c r="K51" s="11">
        <f t="shared" si="9"/>
        <v>0</v>
      </c>
      <c r="L51" s="11">
        <f t="shared" si="9"/>
        <v>0</v>
      </c>
      <c r="M51" s="11">
        <f t="shared" si="9"/>
        <v>0</v>
      </c>
      <c r="N51" s="11">
        <f t="shared" si="9"/>
        <v>3827</v>
      </c>
      <c r="O51" s="11">
        <f t="shared" si="9"/>
        <v>61586</v>
      </c>
      <c r="P51" s="11">
        <f t="shared" si="9"/>
        <v>133833</v>
      </c>
      <c r="Q51" s="11">
        <f>SUM(E51:P51)</f>
        <v>1009913</v>
      </c>
    </row>
    <row r="52" spans="2:17" ht="12.75">
      <c r="B52" t="s">
        <v>29</v>
      </c>
      <c r="E52" s="11">
        <f aca="true" t="shared" si="10" ref="E52:P52">ROUND(E$43*E47*E76,0)</f>
        <v>10472</v>
      </c>
      <c r="F52" s="11">
        <f t="shared" si="10"/>
        <v>-1204</v>
      </c>
      <c r="G52" s="11">
        <f t="shared" si="10"/>
        <v>-614</v>
      </c>
      <c r="H52" s="11">
        <f t="shared" si="10"/>
        <v>919</v>
      </c>
      <c r="I52" s="11">
        <f t="shared" si="10"/>
        <v>996</v>
      </c>
      <c r="J52" s="11">
        <f t="shared" si="10"/>
        <v>1253</v>
      </c>
      <c r="K52" s="11">
        <f t="shared" si="10"/>
        <v>0</v>
      </c>
      <c r="L52" s="11">
        <f t="shared" si="10"/>
        <v>0</v>
      </c>
      <c r="M52" s="11">
        <f t="shared" si="10"/>
        <v>0</v>
      </c>
      <c r="N52" s="11">
        <f t="shared" si="10"/>
        <v>54</v>
      </c>
      <c r="O52" s="11">
        <f t="shared" si="10"/>
        <v>901</v>
      </c>
      <c r="P52" s="11">
        <f t="shared" si="10"/>
        <v>1884</v>
      </c>
      <c r="Q52" s="11">
        <f>SUM(E52:P52)</f>
        <v>14661</v>
      </c>
    </row>
    <row r="53" spans="2:17" ht="12.75">
      <c r="B53" t="s">
        <v>151</v>
      </c>
      <c r="E53" s="21">
        <f aca="true" t="shared" si="11" ref="E53:Q53">SUM(E50:E52)</f>
        <v>4041945</v>
      </c>
      <c r="F53" s="21">
        <f t="shared" si="11"/>
        <v>-475371</v>
      </c>
      <c r="G53" s="21">
        <f t="shared" si="11"/>
        <v>-245515</v>
      </c>
      <c r="H53" s="21">
        <f t="shared" si="11"/>
        <v>433190</v>
      </c>
      <c r="I53" s="21">
        <f t="shared" si="11"/>
        <v>486111</v>
      </c>
      <c r="J53" s="21">
        <f t="shared" si="11"/>
        <v>590436</v>
      </c>
      <c r="K53" s="21">
        <f t="shared" si="11"/>
        <v>0</v>
      </c>
      <c r="L53" s="21">
        <f t="shared" si="11"/>
        <v>0</v>
      </c>
      <c r="M53" s="21">
        <f t="shared" si="11"/>
        <v>0</v>
      </c>
      <c r="N53" s="21">
        <f t="shared" si="11"/>
        <v>26537</v>
      </c>
      <c r="O53" s="21">
        <f t="shared" si="11"/>
        <v>426902</v>
      </c>
      <c r="P53" s="21">
        <f t="shared" si="11"/>
        <v>751791</v>
      </c>
      <c r="Q53" s="21">
        <f t="shared" si="11"/>
        <v>6036026</v>
      </c>
    </row>
    <row r="56" spans="2:5" ht="12.75">
      <c r="B56" s="59" t="s">
        <v>153</v>
      </c>
      <c r="E56" s="22"/>
    </row>
    <row r="57" spans="2:17" ht="12.75">
      <c r="B57" s="14"/>
      <c r="E57" s="70">
        <v>38687</v>
      </c>
      <c r="F57" s="70">
        <v>38718</v>
      </c>
      <c r="G57" s="70">
        <v>38749</v>
      </c>
      <c r="H57" s="70">
        <v>38777</v>
      </c>
      <c r="I57" s="70">
        <v>38808</v>
      </c>
      <c r="J57" s="70">
        <v>38838</v>
      </c>
      <c r="K57" s="70">
        <v>38869</v>
      </c>
      <c r="L57" s="70">
        <v>38899</v>
      </c>
      <c r="M57" s="70">
        <v>38930</v>
      </c>
      <c r="N57" s="70">
        <v>38961</v>
      </c>
      <c r="O57" s="70">
        <v>38991</v>
      </c>
      <c r="P57" s="70">
        <v>39022</v>
      </c>
      <c r="Q57" s="70">
        <v>39052</v>
      </c>
    </row>
    <row r="58" spans="2:17" ht="12.75">
      <c r="B58" t="s">
        <v>25</v>
      </c>
      <c r="E58" s="23">
        <v>721.1</v>
      </c>
      <c r="F58" s="2">
        <v>565.5</v>
      </c>
      <c r="G58" s="2">
        <v>597.1</v>
      </c>
      <c r="H58" s="2">
        <v>462.5</v>
      </c>
      <c r="I58" s="46">
        <v>313.8</v>
      </c>
      <c r="J58" s="46">
        <v>160.8</v>
      </c>
      <c r="K58" s="2">
        <v>58.8</v>
      </c>
      <c r="L58" s="46">
        <v>8</v>
      </c>
      <c r="M58" s="2">
        <v>26.9</v>
      </c>
      <c r="N58" s="46">
        <v>123</v>
      </c>
      <c r="O58" s="2">
        <v>398.6</v>
      </c>
      <c r="P58" s="46">
        <v>631.8</v>
      </c>
      <c r="Q58">
        <v>689.9</v>
      </c>
    </row>
    <row r="59" spans="2:17" ht="12.75">
      <c r="B59" t="s">
        <v>26</v>
      </c>
      <c r="E59" s="24">
        <v>0.6361</v>
      </c>
      <c r="F59" s="45">
        <v>0.6083</v>
      </c>
      <c r="G59" s="45">
        <v>0.6148</v>
      </c>
      <c r="H59" s="45">
        <v>0.6054</v>
      </c>
      <c r="I59" s="45">
        <v>0.6378</v>
      </c>
      <c r="J59" s="45">
        <v>0.6331</v>
      </c>
      <c r="K59" s="45">
        <v>0.6299</v>
      </c>
      <c r="L59" s="45">
        <v>0.624</v>
      </c>
      <c r="M59" s="45">
        <v>0.6544</v>
      </c>
      <c r="N59" s="45">
        <v>0.6235</v>
      </c>
      <c r="O59" s="45">
        <v>0.6455</v>
      </c>
      <c r="P59" s="45">
        <v>0.6804</v>
      </c>
      <c r="Q59" s="25">
        <v>0.6223</v>
      </c>
    </row>
    <row r="60" spans="2:17" ht="12.75">
      <c r="B60" s="6"/>
      <c r="C60" s="60" t="s">
        <v>222</v>
      </c>
      <c r="D60" s="103" t="s">
        <v>221</v>
      </c>
      <c r="E60" s="24"/>
      <c r="F60" s="45"/>
      <c r="G60" s="45"/>
      <c r="H60" s="45"/>
      <c r="I60" s="45"/>
      <c r="J60" s="45"/>
      <c r="K60" s="45"/>
      <c r="L60" s="45"/>
      <c r="M60" s="45"/>
      <c r="N60" s="45"/>
      <c r="O60" s="45"/>
      <c r="P60" s="45"/>
      <c r="Q60" s="25"/>
    </row>
    <row r="61" spans="2:17" ht="12.75">
      <c r="B61" t="s">
        <v>27</v>
      </c>
      <c r="C61" s="90">
        <v>15</v>
      </c>
      <c r="D61" s="61" t="s">
        <v>180</v>
      </c>
      <c r="E61" s="105">
        <v>0.1005</v>
      </c>
      <c r="F61" s="105">
        <v>0.1005</v>
      </c>
      <c r="G61" s="105">
        <v>0.1005</v>
      </c>
      <c r="H61" s="105">
        <f>(G61+I61)/2</f>
        <v>0.09505</v>
      </c>
      <c r="I61" s="105">
        <v>0.0896</v>
      </c>
      <c r="J61" s="105">
        <v>0.0896</v>
      </c>
      <c r="K61" s="105">
        <f>(J61+L61)/2</f>
        <v>0.0448</v>
      </c>
      <c r="L61" s="105">
        <v>0</v>
      </c>
      <c r="M61" s="105">
        <v>0</v>
      </c>
      <c r="N61" s="105">
        <f>(M61+O61)/2</f>
        <v>0.0448</v>
      </c>
      <c r="O61" s="105">
        <v>0.0896</v>
      </c>
      <c r="P61" s="105">
        <f>(O61+Q61)/2</f>
        <v>0.09505</v>
      </c>
      <c r="Q61" s="105">
        <v>0.1005</v>
      </c>
    </row>
    <row r="62" spans="2:17" ht="12.75">
      <c r="B62" t="s">
        <v>28</v>
      </c>
      <c r="C62" s="90">
        <v>12</v>
      </c>
      <c r="D62" s="61" t="s">
        <v>180</v>
      </c>
      <c r="E62" s="105">
        <v>0.2427</v>
      </c>
      <c r="F62" s="105">
        <v>0.2427</v>
      </c>
      <c r="G62" s="105">
        <v>0.2427</v>
      </c>
      <c r="H62" s="105">
        <f>(G62+I62)/2</f>
        <v>0.20575</v>
      </c>
      <c r="I62" s="105">
        <v>0.1688</v>
      </c>
      <c r="J62" s="105">
        <v>0.1688</v>
      </c>
      <c r="K62" s="105">
        <f>(J62+L62)/2</f>
        <v>0.0844</v>
      </c>
      <c r="L62" s="105">
        <v>0</v>
      </c>
      <c r="M62" s="105">
        <v>0</v>
      </c>
      <c r="N62" s="105">
        <f>(M62+O62)/2</f>
        <v>0.0844</v>
      </c>
      <c r="O62" s="105">
        <v>0.1688</v>
      </c>
      <c r="P62" s="105">
        <f>(O62+Q62)/2</f>
        <v>0.20575</v>
      </c>
      <c r="Q62" s="105">
        <v>0.2427</v>
      </c>
    </row>
    <row r="63" spans="2:17" ht="12.75">
      <c r="B63" t="s">
        <v>29</v>
      </c>
      <c r="C63" s="90">
        <v>0</v>
      </c>
      <c r="D63" s="61" t="s">
        <v>180</v>
      </c>
      <c r="E63" s="105">
        <v>0.4222</v>
      </c>
      <c r="F63" s="105">
        <v>0.4222</v>
      </c>
      <c r="G63" s="105">
        <v>0.4222</v>
      </c>
      <c r="H63" s="105">
        <f>(G63+I63)/2</f>
        <v>0.36385</v>
      </c>
      <c r="I63" s="105">
        <v>0.3055</v>
      </c>
      <c r="J63" s="105">
        <v>0.3055</v>
      </c>
      <c r="K63" s="105">
        <f>(J63+L63)/2</f>
        <v>0.15275</v>
      </c>
      <c r="L63" s="105">
        <v>0</v>
      </c>
      <c r="M63" s="105">
        <v>0</v>
      </c>
      <c r="N63" s="105">
        <f>(M63+O63)/2</f>
        <v>0.15275</v>
      </c>
      <c r="O63" s="105">
        <v>0.3055</v>
      </c>
      <c r="P63" s="105">
        <f>(O63+Q63)/2</f>
        <v>0.36385</v>
      </c>
      <c r="Q63" s="105">
        <v>0.4222</v>
      </c>
    </row>
    <row r="64" spans="4:17" ht="12.75">
      <c r="D64" s="58"/>
      <c r="E64" s="24"/>
      <c r="F64" s="45"/>
      <c r="G64" s="45"/>
      <c r="H64" s="45"/>
      <c r="I64" s="45"/>
      <c r="J64" s="45"/>
      <c r="K64" s="45"/>
      <c r="L64" s="45"/>
      <c r="M64" s="45"/>
      <c r="N64" s="45"/>
      <c r="O64" s="45"/>
      <c r="P64" s="45"/>
      <c r="Q64" s="25"/>
    </row>
    <row r="65" spans="2:17" ht="12.75">
      <c r="B65" s="59" t="s">
        <v>150</v>
      </c>
      <c r="C65" s="60"/>
      <c r="D65" s="61"/>
      <c r="E65" s="24"/>
      <c r="F65" s="45"/>
      <c r="G65" s="45"/>
      <c r="H65" s="45"/>
      <c r="I65" s="45"/>
      <c r="J65" s="45"/>
      <c r="K65" s="45"/>
      <c r="L65" s="45"/>
      <c r="M65" s="45"/>
      <c r="N65" s="45"/>
      <c r="O65" s="45"/>
      <c r="P65" s="45"/>
      <c r="Q65" s="25"/>
    </row>
    <row r="66" spans="2:17" ht="12.75">
      <c r="B66" t="s">
        <v>27</v>
      </c>
      <c r="E66" s="11">
        <f aca="true" t="shared" si="12" ref="E66:Q66">ROUND((E$58*E61)*D74,0)+ROUND(($C61*E$59)*D74,0)</f>
        <v>10158095</v>
      </c>
      <c r="F66" s="11">
        <f t="shared" si="12"/>
        <v>8188922</v>
      </c>
      <c r="G66" s="11">
        <f t="shared" si="12"/>
        <v>8605773</v>
      </c>
      <c r="H66" s="11">
        <f t="shared" si="12"/>
        <v>6597688</v>
      </c>
      <c r="I66" s="11">
        <f t="shared" si="12"/>
        <v>4687900</v>
      </c>
      <c r="J66" s="11">
        <f t="shared" si="12"/>
        <v>2978509</v>
      </c>
      <c r="K66" s="11">
        <f t="shared" si="12"/>
        <v>1502586</v>
      </c>
      <c r="L66" s="11">
        <f t="shared" si="12"/>
        <v>1165152</v>
      </c>
      <c r="M66" s="11">
        <f t="shared" si="12"/>
        <v>1224202</v>
      </c>
      <c r="N66" s="11">
        <f t="shared" si="12"/>
        <v>1858769</v>
      </c>
      <c r="O66" s="11">
        <f t="shared" si="12"/>
        <v>5714037</v>
      </c>
      <c r="P66" s="11">
        <f t="shared" si="12"/>
        <v>8890030</v>
      </c>
      <c r="Q66" s="11">
        <f t="shared" si="12"/>
        <v>9997157</v>
      </c>
    </row>
    <row r="67" spans="2:17" ht="12.75">
      <c r="B67" t="s">
        <v>28</v>
      </c>
      <c r="E67" s="11">
        <f aca="true" t="shared" si="13" ref="E67:Q67">ROUND((E$58*E62)*D75,0)+ROUND(($C62*E$59)*D75,0)</f>
        <v>2060774</v>
      </c>
      <c r="F67" s="11">
        <f t="shared" si="13"/>
        <v>1624557</v>
      </c>
      <c r="G67" s="11">
        <f t="shared" si="13"/>
        <v>1717721</v>
      </c>
      <c r="H67" s="11">
        <f t="shared" si="13"/>
        <v>1156266</v>
      </c>
      <c r="I67" s="11">
        <f t="shared" si="13"/>
        <v>682616</v>
      </c>
      <c r="J67" s="11">
        <f t="shared" si="13"/>
        <v>389960</v>
      </c>
      <c r="K67" s="11">
        <f t="shared" si="13"/>
        <v>140830</v>
      </c>
      <c r="L67" s="11">
        <f t="shared" si="13"/>
        <v>84060</v>
      </c>
      <c r="M67" s="11">
        <f t="shared" si="13"/>
        <v>88737</v>
      </c>
      <c r="N67" s="11">
        <f t="shared" si="13"/>
        <v>201693</v>
      </c>
      <c r="O67" s="11">
        <f t="shared" si="13"/>
        <v>849561</v>
      </c>
      <c r="P67" s="11">
        <f t="shared" si="13"/>
        <v>1573340</v>
      </c>
      <c r="Q67" s="11">
        <f t="shared" si="13"/>
        <v>2006875</v>
      </c>
    </row>
    <row r="68" spans="2:17" ht="12.75">
      <c r="B68" t="s">
        <v>29</v>
      </c>
      <c r="E68" s="11">
        <f aca="true" t="shared" si="14" ref="E68:Q68">ROUND((E$58*E63)*D76,0)+ROUND(($C63*E$59)*D76,0)</f>
        <v>28009</v>
      </c>
      <c r="F68" s="11">
        <f t="shared" si="14"/>
        <v>22443</v>
      </c>
      <c r="G68" s="11">
        <f t="shared" si="14"/>
        <v>23193</v>
      </c>
      <c r="H68" s="11">
        <f t="shared" si="14"/>
        <v>15314</v>
      </c>
      <c r="I68" s="11">
        <f t="shared" si="14"/>
        <v>8724</v>
      </c>
      <c r="J68" s="11">
        <f t="shared" si="14"/>
        <v>4323</v>
      </c>
      <c r="K68" s="11">
        <f t="shared" si="14"/>
        <v>817</v>
      </c>
      <c r="L68" s="11">
        <f t="shared" si="14"/>
        <v>0</v>
      </c>
      <c r="M68" s="11">
        <f t="shared" si="14"/>
        <v>0</v>
      </c>
      <c r="N68" s="11">
        <f t="shared" si="14"/>
        <v>1710</v>
      </c>
      <c r="O68" s="11">
        <f t="shared" si="14"/>
        <v>10716</v>
      </c>
      <c r="P68" s="11">
        <f t="shared" si="14"/>
        <v>21149</v>
      </c>
      <c r="Q68" s="11">
        <f t="shared" si="14"/>
        <v>27089</v>
      </c>
    </row>
    <row r="69" spans="2:17" ht="12.75">
      <c r="B69" t="s">
        <v>152</v>
      </c>
      <c r="E69" s="21">
        <f aca="true" t="shared" si="15" ref="E69:Q69">SUM(E66:E68)</f>
        <v>12246878</v>
      </c>
      <c r="F69" s="21">
        <f t="shared" si="15"/>
        <v>9835922</v>
      </c>
      <c r="G69" s="21">
        <f t="shared" si="15"/>
        <v>10346687</v>
      </c>
      <c r="H69" s="21">
        <f t="shared" si="15"/>
        <v>7769268</v>
      </c>
      <c r="I69" s="21">
        <f t="shared" si="15"/>
        <v>5379240</v>
      </c>
      <c r="J69" s="21">
        <f t="shared" si="15"/>
        <v>3372792</v>
      </c>
      <c r="K69" s="21">
        <f t="shared" si="15"/>
        <v>1644233</v>
      </c>
      <c r="L69" s="21">
        <f t="shared" si="15"/>
        <v>1249212</v>
      </c>
      <c r="M69" s="21">
        <f t="shared" si="15"/>
        <v>1312939</v>
      </c>
      <c r="N69" s="21">
        <f t="shared" si="15"/>
        <v>2062172</v>
      </c>
      <c r="O69" s="21">
        <f t="shared" si="15"/>
        <v>6574314</v>
      </c>
      <c r="P69" s="21">
        <f t="shared" si="15"/>
        <v>10484519</v>
      </c>
      <c r="Q69" s="21">
        <f t="shared" si="15"/>
        <v>12031121</v>
      </c>
    </row>
    <row r="72" ht="12.75">
      <c r="B72" s="6" t="s">
        <v>223</v>
      </c>
    </row>
    <row r="73" spans="2:17" ht="12.75">
      <c r="B73" s="6"/>
      <c r="C73" t="s">
        <v>224</v>
      </c>
      <c r="D73" s="70">
        <v>38687</v>
      </c>
      <c r="E73" s="70">
        <v>38718</v>
      </c>
      <c r="F73" s="70">
        <v>38749</v>
      </c>
      <c r="G73" s="70">
        <v>38777</v>
      </c>
      <c r="H73" s="70">
        <v>38808</v>
      </c>
      <c r="I73" s="70">
        <v>38838</v>
      </c>
      <c r="J73" s="70">
        <v>38869</v>
      </c>
      <c r="K73" s="70">
        <v>38899</v>
      </c>
      <c r="L73" s="70">
        <v>38930</v>
      </c>
      <c r="M73" s="70">
        <v>38961</v>
      </c>
      <c r="N73" s="70">
        <v>38991</v>
      </c>
      <c r="O73" s="70">
        <v>39022</v>
      </c>
      <c r="P73" s="70">
        <v>39052</v>
      </c>
      <c r="Q73" s="106" t="s">
        <v>225</v>
      </c>
    </row>
    <row r="74" spans="2:17" ht="12.75">
      <c r="B74" t="s">
        <v>226</v>
      </c>
      <c r="C74" s="107" t="s">
        <v>21</v>
      </c>
      <c r="D74" s="11">
        <v>123861</v>
      </c>
      <c r="E74" s="11">
        <v>124155</v>
      </c>
      <c r="F74" s="11">
        <v>124306</v>
      </c>
      <c r="G74" s="11">
        <v>124387</v>
      </c>
      <c r="H74" s="11">
        <v>124402</v>
      </c>
      <c r="I74" s="11">
        <v>124602</v>
      </c>
      <c r="J74" s="11">
        <v>124358</v>
      </c>
      <c r="K74" s="11">
        <v>124482</v>
      </c>
      <c r="L74" s="11">
        <v>124715</v>
      </c>
      <c r="M74" s="11">
        <v>125061</v>
      </c>
      <c r="N74" s="11">
        <v>125868</v>
      </c>
      <c r="O74" s="11">
        <v>126533</v>
      </c>
      <c r="P74" s="11">
        <v>127078</v>
      </c>
      <c r="Q74" s="11">
        <f>SUM(E74:P74)</f>
        <v>1499947</v>
      </c>
    </row>
    <row r="75" spans="2:17" ht="12.75">
      <c r="B75" t="s">
        <v>227</v>
      </c>
      <c r="C75" s="107" t="s">
        <v>22</v>
      </c>
      <c r="D75" s="11">
        <v>11283</v>
      </c>
      <c r="E75" s="11">
        <v>11239</v>
      </c>
      <c r="F75" s="11">
        <v>11279</v>
      </c>
      <c r="G75" s="11">
        <v>11289</v>
      </c>
      <c r="H75" s="11">
        <v>11260</v>
      </c>
      <c r="I75" s="11">
        <v>11225</v>
      </c>
      <c r="J75" s="11">
        <v>11247</v>
      </c>
      <c r="K75" s="11">
        <v>11226</v>
      </c>
      <c r="L75" s="11">
        <v>11300</v>
      </c>
      <c r="M75" s="11">
        <v>11291</v>
      </c>
      <c r="N75" s="11">
        <v>11323</v>
      </c>
      <c r="O75" s="11">
        <v>11388</v>
      </c>
      <c r="P75" s="11">
        <v>11474</v>
      </c>
      <c r="Q75" s="11">
        <f>SUM(E75:P75)</f>
        <v>135541</v>
      </c>
    </row>
    <row r="76" spans="2:17" ht="12.75">
      <c r="B76" t="s">
        <v>228</v>
      </c>
      <c r="C76" s="107" t="s">
        <v>70</v>
      </c>
      <c r="D76" s="11">
        <v>92</v>
      </c>
      <c r="E76" s="11">
        <v>94</v>
      </c>
      <c r="F76" s="11">
        <v>92</v>
      </c>
      <c r="G76" s="11">
        <v>91</v>
      </c>
      <c r="H76" s="11">
        <v>91</v>
      </c>
      <c r="I76" s="11">
        <v>88</v>
      </c>
      <c r="J76" s="11">
        <v>91</v>
      </c>
      <c r="K76" s="11">
        <v>91</v>
      </c>
      <c r="L76" s="11">
        <v>90</v>
      </c>
      <c r="M76" s="11">
        <v>91</v>
      </c>
      <c r="N76" s="11">
        <v>88</v>
      </c>
      <c r="O76" s="11">
        <v>92</v>
      </c>
      <c r="P76" s="11">
        <v>93</v>
      </c>
      <c r="Q76" s="11">
        <f>SUM(E76:P76)</f>
        <v>1092</v>
      </c>
    </row>
    <row r="77" spans="2:17" ht="12.75">
      <c r="B77" t="s">
        <v>229</v>
      </c>
      <c r="C77" s="107" t="s">
        <v>71</v>
      </c>
      <c r="D77" s="11"/>
      <c r="E77" s="11">
        <v>22</v>
      </c>
      <c r="F77" s="11">
        <v>22</v>
      </c>
      <c r="G77" s="11">
        <v>22</v>
      </c>
      <c r="H77" s="11">
        <v>22</v>
      </c>
      <c r="I77" s="11">
        <v>23</v>
      </c>
      <c r="J77" s="11">
        <v>23</v>
      </c>
      <c r="K77" s="11">
        <v>23</v>
      </c>
      <c r="L77" s="11">
        <v>23</v>
      </c>
      <c r="M77" s="11">
        <v>23</v>
      </c>
      <c r="N77" s="11">
        <v>23</v>
      </c>
      <c r="O77" s="11">
        <v>23</v>
      </c>
      <c r="P77" s="11">
        <v>22</v>
      </c>
      <c r="Q77" s="11">
        <f>SUM(E77:P77)</f>
        <v>271</v>
      </c>
    </row>
    <row r="78" spans="2:17" ht="12.75">
      <c r="B78" t="s">
        <v>152</v>
      </c>
      <c r="E78" s="12">
        <f aca="true" t="shared" si="16" ref="E78:Q78">SUM(E74:E77)</f>
        <v>135510</v>
      </c>
      <c r="F78" s="12">
        <f t="shared" si="16"/>
        <v>135699</v>
      </c>
      <c r="G78" s="12">
        <f t="shared" si="16"/>
        <v>135789</v>
      </c>
      <c r="H78" s="12">
        <f t="shared" si="16"/>
        <v>135775</v>
      </c>
      <c r="I78" s="12">
        <f t="shared" si="16"/>
        <v>135938</v>
      </c>
      <c r="J78" s="12">
        <f t="shared" si="16"/>
        <v>135719</v>
      </c>
      <c r="K78" s="12">
        <f t="shared" si="16"/>
        <v>135822</v>
      </c>
      <c r="L78" s="12">
        <f t="shared" si="16"/>
        <v>136128</v>
      </c>
      <c r="M78" s="12">
        <f t="shared" si="16"/>
        <v>136466</v>
      </c>
      <c r="N78" s="12">
        <f t="shared" si="16"/>
        <v>137302</v>
      </c>
      <c r="O78" s="12">
        <f t="shared" si="16"/>
        <v>138036</v>
      </c>
      <c r="P78" s="12">
        <f t="shared" si="16"/>
        <v>138667</v>
      </c>
      <c r="Q78" s="12">
        <f t="shared" si="16"/>
        <v>1636851</v>
      </c>
    </row>
  </sheetData>
  <printOptions horizontalCentered="1" verticalCentered="1"/>
  <pageMargins left="0.25" right="0.25" top="0.25" bottom="0.25" header="0.5" footer="0.5"/>
  <pageSetup horizontalDpi="600" verticalDpi="600" orientation="landscape" scale="69" r:id="rId1"/>
  <rowBreaks count="1" manualBreakCount="1">
    <brk id="35" max="255" man="1"/>
  </rowBreaks>
</worksheet>
</file>

<file path=xl/worksheets/sheet8.xml><?xml version="1.0" encoding="utf-8"?>
<worksheet xmlns="http://schemas.openxmlformats.org/spreadsheetml/2006/main" xmlns:r="http://schemas.openxmlformats.org/officeDocument/2006/relationships">
  <sheetPr>
    <tabColor indexed="35"/>
  </sheetPr>
  <dimension ref="A1:Q81"/>
  <sheetViews>
    <sheetView workbookViewId="0" topLeftCell="A1">
      <selection activeCell="D45" sqref="D45"/>
    </sheetView>
  </sheetViews>
  <sheetFormatPr defaultColWidth="9.140625" defaultRowHeight="12.75"/>
  <cols>
    <col min="1" max="1" width="2.8515625" style="0" customWidth="1"/>
    <col min="2" max="2" width="19.57421875" style="0" customWidth="1"/>
    <col min="3" max="3" width="6.421875" style="0" customWidth="1"/>
    <col min="4" max="4" width="13.57421875" style="0" customWidth="1"/>
    <col min="5" max="5" width="12.8515625" style="0" customWidth="1"/>
    <col min="6" max="6" width="13.140625" style="0" customWidth="1"/>
    <col min="7" max="7" width="12.57421875" style="0" customWidth="1"/>
    <col min="8" max="8" width="12.7109375" style="0" customWidth="1"/>
    <col min="9" max="9" width="11.57421875" style="0" customWidth="1"/>
    <col min="10" max="10" width="11.421875" style="0" customWidth="1"/>
    <col min="11" max="11" width="11.57421875" style="0" customWidth="1"/>
    <col min="12" max="13" width="11.421875" style="0" customWidth="1"/>
    <col min="14" max="14" width="11.28125" style="0" customWidth="1"/>
    <col min="15" max="15" width="11.421875" style="0" customWidth="1"/>
    <col min="16" max="16" width="11.57421875" style="0" customWidth="1"/>
    <col min="17" max="17" width="12.7109375" style="0" customWidth="1"/>
    <col min="18" max="18" width="14.00390625" style="0" bestFit="1" customWidth="1"/>
    <col min="19" max="19" width="12.8515625" style="0" bestFit="1" customWidth="1"/>
    <col min="20" max="20" width="14.00390625" style="0" bestFit="1" customWidth="1"/>
  </cols>
  <sheetData>
    <row r="1" ht="12.75">
      <c r="A1" s="6" t="s">
        <v>45</v>
      </c>
    </row>
    <row r="2" ht="12.75">
      <c r="A2" s="6" t="s">
        <v>161</v>
      </c>
    </row>
    <row r="3" ht="12.75">
      <c r="A3" s="6" t="s">
        <v>241</v>
      </c>
    </row>
    <row r="4" ht="12.75">
      <c r="A4" s="6"/>
    </row>
    <row r="6" spans="1:17" ht="12.75">
      <c r="A6" s="59" t="s">
        <v>43</v>
      </c>
      <c r="D6" s="68" t="s">
        <v>164</v>
      </c>
      <c r="E6" s="59" t="s">
        <v>14</v>
      </c>
      <c r="F6" s="69" t="s">
        <v>2</v>
      </c>
      <c r="G6" s="69" t="s">
        <v>3</v>
      </c>
      <c r="H6" s="69" t="s">
        <v>4</v>
      </c>
      <c r="I6" s="69" t="s">
        <v>5</v>
      </c>
      <c r="J6" s="69" t="s">
        <v>6</v>
      </c>
      <c r="K6" s="69" t="s">
        <v>7</v>
      </c>
      <c r="L6" s="69" t="s">
        <v>8</v>
      </c>
      <c r="M6" s="69" t="s">
        <v>9</v>
      </c>
      <c r="N6" s="69" t="s">
        <v>10</v>
      </c>
      <c r="O6" s="69" t="s">
        <v>11</v>
      </c>
      <c r="P6" s="69" t="s">
        <v>12</v>
      </c>
      <c r="Q6" s="69" t="s">
        <v>13</v>
      </c>
    </row>
    <row r="7" ht="12.75">
      <c r="A7" s="59" t="s">
        <v>46</v>
      </c>
    </row>
    <row r="8" spans="1:17" ht="12.75">
      <c r="A8" t="s">
        <v>171</v>
      </c>
      <c r="D8" s="11">
        <v>115583967</v>
      </c>
      <c r="E8" s="11">
        <f>SUM(F8:Q8)</f>
        <v>115583967</v>
      </c>
      <c r="F8" s="11">
        <f aca="true" t="shared" si="0" ref="F8:Q8">E40</f>
        <v>21292599</v>
      </c>
      <c r="G8" s="11">
        <f t="shared" si="0"/>
        <v>21234566</v>
      </c>
      <c r="H8" s="11">
        <f t="shared" si="0"/>
        <v>14472322</v>
      </c>
      <c r="I8" s="11">
        <f t="shared" si="0"/>
        <v>9724124</v>
      </c>
      <c r="J8" s="11">
        <f t="shared" si="0"/>
        <v>6113562</v>
      </c>
      <c r="K8" s="11">
        <f t="shared" si="0"/>
        <v>3664833</v>
      </c>
      <c r="L8" s="11">
        <f t="shared" si="0"/>
        <v>2462636</v>
      </c>
      <c r="M8" s="11">
        <f t="shared" si="0"/>
        <v>2010203</v>
      </c>
      <c r="N8" s="11">
        <f t="shared" si="0"/>
        <v>2332936</v>
      </c>
      <c r="O8" s="11">
        <f t="shared" si="0"/>
        <v>4484817</v>
      </c>
      <c r="P8" s="11">
        <f t="shared" si="0"/>
        <v>9398517</v>
      </c>
      <c r="Q8" s="11">
        <f t="shared" si="0"/>
        <v>18392852</v>
      </c>
    </row>
    <row r="9" spans="1:17" ht="12.75">
      <c r="A9" t="s">
        <v>166</v>
      </c>
      <c r="D9" s="11">
        <v>-12030752</v>
      </c>
      <c r="E9" s="11">
        <f>SUM(F9:Q9)</f>
        <v>-73860142</v>
      </c>
      <c r="F9" s="11">
        <f>-E72</f>
        <v>-12031121</v>
      </c>
      <c r="G9" s="11">
        <f aca="true" t="shared" si="1" ref="G9:Q9">-F10</f>
        <v>-13080128</v>
      </c>
      <c r="H9" s="11">
        <f t="shared" si="1"/>
        <v>-9183384</v>
      </c>
      <c r="I9" s="11">
        <f t="shared" si="1"/>
        <v>-6818622</v>
      </c>
      <c r="J9" s="11">
        <f t="shared" si="1"/>
        <v>-5528289</v>
      </c>
      <c r="K9" s="11">
        <f t="shared" si="1"/>
        <v>-3344977</v>
      </c>
      <c r="L9" s="11">
        <f t="shared" si="1"/>
        <v>-1756030</v>
      </c>
      <c r="M9" s="11">
        <f t="shared" si="1"/>
        <v>-1252074</v>
      </c>
      <c r="N9" s="11">
        <f t="shared" si="1"/>
        <v>-1306999</v>
      </c>
      <c r="O9" s="11">
        <f t="shared" si="1"/>
        <v>-2341020</v>
      </c>
      <c r="P9" s="11">
        <f t="shared" si="1"/>
        <v>-6393005</v>
      </c>
      <c r="Q9" s="11">
        <f t="shared" si="1"/>
        <v>-10824493</v>
      </c>
    </row>
    <row r="10" spans="1:17" ht="12.75">
      <c r="A10" t="s">
        <v>167</v>
      </c>
      <c r="D10" s="11">
        <v>12425609</v>
      </c>
      <c r="E10" s="11">
        <f>SUM(F10:Q10)</f>
        <v>74254377</v>
      </c>
      <c r="F10" s="11">
        <f aca="true" t="shared" si="2" ref="F10:Q10">F72</f>
        <v>13080128</v>
      </c>
      <c r="G10" s="11">
        <f t="shared" si="2"/>
        <v>9183384</v>
      </c>
      <c r="H10" s="11">
        <f t="shared" si="2"/>
        <v>6818622</v>
      </c>
      <c r="I10" s="11">
        <f t="shared" si="2"/>
        <v>5528289</v>
      </c>
      <c r="J10" s="11">
        <f t="shared" si="2"/>
        <v>3344977</v>
      </c>
      <c r="K10" s="11">
        <f t="shared" si="2"/>
        <v>1756030</v>
      </c>
      <c r="L10" s="11">
        <f t="shared" si="2"/>
        <v>1252074</v>
      </c>
      <c r="M10" s="11">
        <f t="shared" si="2"/>
        <v>1306999</v>
      </c>
      <c r="N10" s="11">
        <f t="shared" si="2"/>
        <v>2341020</v>
      </c>
      <c r="O10" s="11">
        <f t="shared" si="2"/>
        <v>6393005</v>
      </c>
      <c r="P10" s="11">
        <f t="shared" si="2"/>
        <v>10824493</v>
      </c>
      <c r="Q10" s="11">
        <f t="shared" si="2"/>
        <v>12425356</v>
      </c>
    </row>
    <row r="11" spans="1:17" ht="15">
      <c r="A11" t="s">
        <v>168</v>
      </c>
      <c r="D11" s="66">
        <v>612353</v>
      </c>
      <c r="E11" s="11">
        <f>SUM(F11:Q11)</f>
        <v>612353</v>
      </c>
      <c r="F11" s="11">
        <f aca="true" t="shared" si="3" ref="F11:Q11">E56</f>
        <v>-2152492</v>
      </c>
      <c r="G11" s="11">
        <f t="shared" si="3"/>
        <v>751774</v>
      </c>
      <c r="H11" s="11">
        <f t="shared" si="3"/>
        <v>1312963</v>
      </c>
      <c r="I11" s="11">
        <f t="shared" si="3"/>
        <v>-642747</v>
      </c>
      <c r="J11" s="11">
        <f t="shared" si="3"/>
        <v>722661</v>
      </c>
      <c r="K11" s="11">
        <f t="shared" si="3"/>
        <v>40108</v>
      </c>
      <c r="L11" s="11">
        <f t="shared" si="3"/>
        <v>0</v>
      </c>
      <c r="M11" s="11">
        <f t="shared" si="3"/>
        <v>0</v>
      </c>
      <c r="N11" s="11">
        <f t="shared" si="3"/>
        <v>0</v>
      </c>
      <c r="O11" s="11">
        <f t="shared" si="3"/>
        <v>-134804</v>
      </c>
      <c r="P11" s="11">
        <f t="shared" si="3"/>
        <v>0</v>
      </c>
      <c r="Q11" s="11">
        <f t="shared" si="3"/>
        <v>714890</v>
      </c>
    </row>
    <row r="12" spans="1:17" ht="12.75">
      <c r="A12" t="s">
        <v>165</v>
      </c>
      <c r="D12" s="11">
        <f aca="true" t="shared" si="4" ref="D12:Q12">SUM(D8:D11)</f>
        <v>116591177</v>
      </c>
      <c r="E12" s="12">
        <f t="shared" si="4"/>
        <v>116590555</v>
      </c>
      <c r="F12" s="12">
        <f t="shared" si="4"/>
        <v>20189114</v>
      </c>
      <c r="G12" s="12">
        <f t="shared" si="4"/>
        <v>18089596</v>
      </c>
      <c r="H12" s="12">
        <f t="shared" si="4"/>
        <v>13420523</v>
      </c>
      <c r="I12" s="12">
        <f t="shared" si="4"/>
        <v>7791044</v>
      </c>
      <c r="J12" s="12">
        <f t="shared" si="4"/>
        <v>4652911</v>
      </c>
      <c r="K12" s="12">
        <f t="shared" si="4"/>
        <v>2115994</v>
      </c>
      <c r="L12" s="12">
        <f t="shared" si="4"/>
        <v>1958680</v>
      </c>
      <c r="M12" s="12">
        <f t="shared" si="4"/>
        <v>2065128</v>
      </c>
      <c r="N12" s="12">
        <f t="shared" si="4"/>
        <v>3366957</v>
      </c>
      <c r="O12" s="12">
        <f t="shared" si="4"/>
        <v>8401998</v>
      </c>
      <c r="P12" s="12">
        <f t="shared" si="4"/>
        <v>13830005</v>
      </c>
      <c r="Q12" s="12">
        <f t="shared" si="4"/>
        <v>20708605</v>
      </c>
    </row>
    <row r="13" spans="4:17" ht="12.75">
      <c r="D13" s="11"/>
      <c r="E13" s="8"/>
      <c r="F13" s="8"/>
      <c r="G13" s="8"/>
      <c r="H13" s="8"/>
      <c r="I13" s="8"/>
      <c r="J13" s="8"/>
      <c r="K13" s="8"/>
      <c r="L13" s="8"/>
      <c r="M13" s="8"/>
      <c r="N13" s="8"/>
      <c r="O13" s="8"/>
      <c r="P13" s="8"/>
      <c r="Q13" s="8"/>
    </row>
    <row r="14" spans="2:17" ht="15">
      <c r="B14" t="s">
        <v>155</v>
      </c>
      <c r="D14" s="11"/>
      <c r="E14" s="63">
        <f>D12-E12</f>
        <v>622</v>
      </c>
      <c r="F14" s="64">
        <f>D9-F9</f>
        <v>369</v>
      </c>
      <c r="G14" s="64">
        <v>0</v>
      </c>
      <c r="H14" s="64">
        <v>0</v>
      </c>
      <c r="I14" s="64">
        <v>0</v>
      </c>
      <c r="J14" s="64">
        <v>0</v>
      </c>
      <c r="K14" s="64">
        <v>0</v>
      </c>
      <c r="L14" s="64">
        <v>0</v>
      </c>
      <c r="M14" s="64">
        <v>0</v>
      </c>
      <c r="N14" s="64">
        <v>0</v>
      </c>
      <c r="O14" s="64">
        <v>0</v>
      </c>
      <c r="P14" s="64">
        <v>0</v>
      </c>
      <c r="Q14" s="64">
        <f>D10-Q10</f>
        <v>253</v>
      </c>
    </row>
    <row r="15" spans="4:17" ht="12.75">
      <c r="D15" s="11"/>
      <c r="E15" s="11"/>
      <c r="F15" s="8"/>
      <c r="G15" s="8"/>
      <c r="H15" s="8"/>
      <c r="I15" s="8"/>
      <c r="J15" s="8"/>
      <c r="K15" s="8"/>
      <c r="L15" s="8"/>
      <c r="M15" s="8"/>
      <c r="N15" s="8"/>
      <c r="O15" s="8"/>
      <c r="P15" s="8"/>
      <c r="Q15" s="8"/>
    </row>
    <row r="16" spans="1:17" ht="12.75">
      <c r="A16" t="s">
        <v>51</v>
      </c>
      <c r="D16" s="11"/>
      <c r="E16" s="11">
        <f>SUM(F16:Q16)</f>
        <v>116591177</v>
      </c>
      <c r="F16" s="8">
        <f aca="true" t="shared" si="5" ref="F16:Q16">F12+F14</f>
        <v>20189483</v>
      </c>
      <c r="G16" s="8">
        <f t="shared" si="5"/>
        <v>18089596</v>
      </c>
      <c r="H16" s="8">
        <f t="shared" si="5"/>
        <v>13420523</v>
      </c>
      <c r="I16" s="8">
        <f t="shared" si="5"/>
        <v>7791044</v>
      </c>
      <c r="J16" s="8">
        <f t="shared" si="5"/>
        <v>4652911</v>
      </c>
      <c r="K16" s="8">
        <f t="shared" si="5"/>
        <v>2115994</v>
      </c>
      <c r="L16" s="8">
        <f t="shared" si="5"/>
        <v>1958680</v>
      </c>
      <c r="M16" s="8">
        <f t="shared" si="5"/>
        <v>2065128</v>
      </c>
      <c r="N16" s="8">
        <f t="shared" si="5"/>
        <v>3366957</v>
      </c>
      <c r="O16" s="8">
        <f t="shared" si="5"/>
        <v>8401998</v>
      </c>
      <c r="P16" s="8">
        <f t="shared" si="5"/>
        <v>13830005</v>
      </c>
      <c r="Q16" s="8">
        <f t="shared" si="5"/>
        <v>20708858</v>
      </c>
    </row>
    <row r="17" spans="4:5" ht="12.75">
      <c r="D17" s="11"/>
      <c r="E17" s="10"/>
    </row>
    <row r="18" spans="1:4" ht="12.75">
      <c r="A18" s="59" t="s">
        <v>52</v>
      </c>
      <c r="D18" s="11"/>
    </row>
    <row r="19" spans="1:17" ht="12.75">
      <c r="A19" t="s">
        <v>173</v>
      </c>
      <c r="D19" s="11">
        <v>1673784</v>
      </c>
      <c r="E19" s="11">
        <f>SUM(F19:Q19)</f>
        <v>1673784</v>
      </c>
      <c r="F19" s="8">
        <f aca="true" t="shared" si="6" ref="F19:Q19">E81</f>
        <v>138804</v>
      </c>
      <c r="G19" s="8">
        <f t="shared" si="6"/>
        <v>139210</v>
      </c>
      <c r="H19" s="8">
        <f t="shared" si="6"/>
        <v>139055</v>
      </c>
      <c r="I19" s="8">
        <f t="shared" si="6"/>
        <v>139113</v>
      </c>
      <c r="J19" s="8">
        <f t="shared" si="6"/>
        <v>139012</v>
      </c>
      <c r="K19" s="8">
        <f t="shared" si="6"/>
        <v>138838</v>
      </c>
      <c r="L19" s="8">
        <f t="shared" si="6"/>
        <v>138877</v>
      </c>
      <c r="M19" s="8">
        <f t="shared" si="6"/>
        <v>139096</v>
      </c>
      <c r="N19" s="8">
        <f t="shared" si="6"/>
        <v>139568</v>
      </c>
      <c r="O19" s="8">
        <f t="shared" si="6"/>
        <v>140039</v>
      </c>
      <c r="P19" s="8">
        <f t="shared" si="6"/>
        <v>140930</v>
      </c>
      <c r="Q19" s="8">
        <f t="shared" si="6"/>
        <v>141242</v>
      </c>
    </row>
    <row r="20" spans="1:17" ht="12.75">
      <c r="A20" t="s">
        <v>53</v>
      </c>
      <c r="D20" s="11"/>
      <c r="E20" s="8">
        <f aca="true" t="shared" si="7" ref="E20:Q20">E16/E19</f>
        <v>69.6572419141299</v>
      </c>
      <c r="F20" s="8">
        <f t="shared" si="7"/>
        <v>145.45317858274979</v>
      </c>
      <c r="G20" s="8">
        <f t="shared" si="7"/>
        <v>129.9446591480497</v>
      </c>
      <c r="H20" s="8">
        <f t="shared" si="7"/>
        <v>96.51233684513322</v>
      </c>
      <c r="I20" s="8">
        <f t="shared" si="7"/>
        <v>56.005146894970274</v>
      </c>
      <c r="J20" s="8">
        <f t="shared" si="7"/>
        <v>33.47129024832389</v>
      </c>
      <c r="K20" s="8">
        <f t="shared" si="7"/>
        <v>15.24074100750515</v>
      </c>
      <c r="L20" s="8">
        <f t="shared" si="7"/>
        <v>14.10370327700051</v>
      </c>
      <c r="M20" s="8">
        <f t="shared" si="7"/>
        <v>14.846782078564445</v>
      </c>
      <c r="N20" s="8">
        <f t="shared" si="7"/>
        <v>24.124133039092055</v>
      </c>
      <c r="O20" s="8">
        <f t="shared" si="7"/>
        <v>59.99755782317783</v>
      </c>
      <c r="P20" s="8">
        <f t="shared" si="7"/>
        <v>98.13386078194848</v>
      </c>
      <c r="Q20" s="8">
        <f t="shared" si="7"/>
        <v>146.6196881947296</v>
      </c>
    </row>
    <row r="21" spans="4:17" ht="12.75">
      <c r="D21" s="11"/>
      <c r="E21" s="11"/>
      <c r="F21" s="8"/>
      <c r="G21" s="8"/>
      <c r="H21" s="8"/>
      <c r="I21" s="8"/>
      <c r="J21" s="8"/>
      <c r="K21" s="8"/>
      <c r="L21" s="8"/>
      <c r="M21" s="8"/>
      <c r="N21" s="8"/>
      <c r="O21" s="8"/>
      <c r="P21" s="8"/>
      <c r="Q21" s="8"/>
    </row>
    <row r="22" spans="1:7" ht="12.75">
      <c r="A22" s="2" t="s">
        <v>212</v>
      </c>
      <c r="E22" s="97">
        <v>1.13793</v>
      </c>
      <c r="F22" s="57"/>
      <c r="G22" s="57"/>
    </row>
    <row r="23" spans="1:7" ht="12.75">
      <c r="A23" s="2" t="s">
        <v>213</v>
      </c>
      <c r="E23" s="98">
        <v>0.956981</v>
      </c>
      <c r="F23" s="57"/>
      <c r="G23" s="57"/>
    </row>
    <row r="24" spans="1:7" ht="12.75">
      <c r="A24" s="2" t="s">
        <v>214</v>
      </c>
      <c r="E24" s="99">
        <f>E22*E23</f>
        <v>1.08897738933</v>
      </c>
      <c r="F24" s="57"/>
      <c r="G24" s="57"/>
    </row>
    <row r="25" spans="1:7" ht="12.75">
      <c r="A25" s="2" t="s">
        <v>215</v>
      </c>
      <c r="E25" s="100">
        <f>-0.84697</f>
        <v>-0.84697</v>
      </c>
      <c r="F25" s="57"/>
      <c r="G25" s="57"/>
    </row>
    <row r="26" spans="1:7" ht="12.75">
      <c r="A26" s="6" t="s">
        <v>216</v>
      </c>
      <c r="E26" s="101">
        <f>E24+E25</f>
        <v>0.2420073893300001</v>
      </c>
      <c r="F26" s="57"/>
      <c r="G26" s="57"/>
    </row>
    <row r="27" spans="4:17" ht="12.75">
      <c r="D27" s="102"/>
      <c r="E27" s="11"/>
      <c r="F27" s="11"/>
      <c r="G27" s="11"/>
      <c r="H27" s="11"/>
      <c r="I27" s="11"/>
      <c r="J27" s="11"/>
      <c r="K27" s="11"/>
      <c r="L27" s="11"/>
      <c r="M27" s="11"/>
      <c r="N27" s="11"/>
      <c r="O27" s="11"/>
      <c r="P27" s="11"/>
      <c r="Q27" s="11"/>
    </row>
    <row r="30" ht="12.75">
      <c r="A30" s="2" t="s">
        <v>242</v>
      </c>
    </row>
    <row r="31" ht="12.75">
      <c r="A31" s="2" t="s">
        <v>243</v>
      </c>
    </row>
    <row r="32" ht="12.75">
      <c r="A32" s="2" t="s">
        <v>244</v>
      </c>
    </row>
    <row r="33" ht="12.75">
      <c r="A33" s="2" t="s">
        <v>219</v>
      </c>
    </row>
    <row r="34" ht="12.75">
      <c r="A34" s="2" t="s">
        <v>245</v>
      </c>
    </row>
    <row r="35" ht="12.75">
      <c r="A35" s="2" t="s">
        <v>246</v>
      </c>
    </row>
    <row r="37" ht="12.75">
      <c r="A37" s="6" t="s">
        <v>247</v>
      </c>
    </row>
    <row r="38" ht="12.75">
      <c r="A38" s="6"/>
    </row>
    <row r="39" spans="1:17" ht="12.75">
      <c r="A39" s="6"/>
      <c r="B39" s="6" t="s">
        <v>65</v>
      </c>
      <c r="E39" s="62">
        <v>39083</v>
      </c>
      <c r="F39" s="62">
        <v>39114</v>
      </c>
      <c r="G39" s="62">
        <v>39142</v>
      </c>
      <c r="H39" s="62">
        <v>39173</v>
      </c>
      <c r="I39" s="62">
        <v>39203</v>
      </c>
      <c r="J39" s="62">
        <v>39234</v>
      </c>
      <c r="K39" s="62">
        <v>39264</v>
      </c>
      <c r="L39" s="62">
        <v>39295</v>
      </c>
      <c r="M39" s="62">
        <v>39326</v>
      </c>
      <c r="N39" s="62">
        <v>39356</v>
      </c>
      <c r="O39" s="62">
        <v>39387</v>
      </c>
      <c r="P39" s="62">
        <v>39417</v>
      </c>
      <c r="Q39" s="61" t="s">
        <v>67</v>
      </c>
    </row>
    <row r="40" spans="1:17" ht="12.75">
      <c r="A40" s="6"/>
      <c r="B40" t="s">
        <v>30</v>
      </c>
      <c r="E40" s="11">
        <v>21292599</v>
      </c>
      <c r="F40" s="11">
        <v>21234566</v>
      </c>
      <c r="G40" s="11">
        <v>14472322</v>
      </c>
      <c r="H40" s="11">
        <v>9724124</v>
      </c>
      <c r="I40" s="11">
        <v>6113562</v>
      </c>
      <c r="J40" s="11">
        <v>3664833</v>
      </c>
      <c r="K40" s="11">
        <v>2462636</v>
      </c>
      <c r="L40" s="11">
        <v>2010203</v>
      </c>
      <c r="M40" s="11">
        <v>2332936</v>
      </c>
      <c r="N40" s="11">
        <v>4484817</v>
      </c>
      <c r="O40" s="11">
        <v>9398517</v>
      </c>
      <c r="P40" s="11">
        <v>18392852</v>
      </c>
      <c r="Q40" s="11">
        <v>112983336</v>
      </c>
    </row>
    <row r="42" ht="12.75">
      <c r="B42" s="59" t="s">
        <v>66</v>
      </c>
    </row>
    <row r="43" spans="5:17" ht="12.75">
      <c r="E43" s="62">
        <v>39083</v>
      </c>
      <c r="F43" s="62">
        <v>39114</v>
      </c>
      <c r="G43" s="62">
        <v>39142</v>
      </c>
      <c r="H43" s="62">
        <v>39173</v>
      </c>
      <c r="I43" s="62">
        <v>39203</v>
      </c>
      <c r="J43" s="62">
        <v>39234</v>
      </c>
      <c r="K43" s="62">
        <v>39264</v>
      </c>
      <c r="L43" s="62">
        <v>39295</v>
      </c>
      <c r="M43" s="62">
        <v>39326</v>
      </c>
      <c r="N43" s="62">
        <v>39356</v>
      </c>
      <c r="O43" s="62">
        <v>39387</v>
      </c>
      <c r="P43" s="62">
        <v>39417</v>
      </c>
      <c r="Q43" s="61" t="s">
        <v>67</v>
      </c>
    </row>
    <row r="44" spans="2:17" ht="12.75">
      <c r="B44" s="149" t="s">
        <v>271</v>
      </c>
      <c r="E44">
        <v>1105</v>
      </c>
      <c r="F44">
        <v>912</v>
      </c>
      <c r="G44">
        <v>768</v>
      </c>
      <c r="H44">
        <v>536</v>
      </c>
      <c r="I44">
        <v>324</v>
      </c>
      <c r="J44">
        <v>139</v>
      </c>
      <c r="K44">
        <v>37</v>
      </c>
      <c r="L44">
        <v>34</v>
      </c>
      <c r="M44">
        <v>189</v>
      </c>
      <c r="N44">
        <v>543</v>
      </c>
      <c r="O44">
        <v>894</v>
      </c>
      <c r="P44">
        <v>1171</v>
      </c>
      <c r="Q44">
        <f>SUM(E44:P44)</f>
        <v>6652</v>
      </c>
    </row>
    <row r="45" spans="2:17" ht="12.75">
      <c r="B45" t="s">
        <v>270</v>
      </c>
      <c r="E45">
        <v>1243</v>
      </c>
      <c r="F45">
        <v>864</v>
      </c>
      <c r="G45">
        <v>684</v>
      </c>
      <c r="H45">
        <v>584</v>
      </c>
      <c r="I45">
        <v>270</v>
      </c>
      <c r="J45">
        <v>136</v>
      </c>
      <c r="K45">
        <v>0</v>
      </c>
      <c r="L45">
        <v>27</v>
      </c>
      <c r="M45">
        <v>194</v>
      </c>
      <c r="N45">
        <v>553</v>
      </c>
      <c r="O45">
        <v>894</v>
      </c>
      <c r="P45">
        <v>1126</v>
      </c>
      <c r="Q45">
        <f>SUM(E45:P45)</f>
        <v>6575</v>
      </c>
    </row>
    <row r="46" spans="2:17" ht="12.75">
      <c r="B46" s="6" t="s">
        <v>248</v>
      </c>
      <c r="E46" s="148">
        <v>-138</v>
      </c>
      <c r="F46" s="148">
        <v>48</v>
      </c>
      <c r="G46" s="148">
        <v>84</v>
      </c>
      <c r="H46" s="148">
        <v>-48</v>
      </c>
      <c r="I46" s="148">
        <v>54</v>
      </c>
      <c r="J46" s="148">
        <v>3</v>
      </c>
      <c r="K46" s="148">
        <v>37</v>
      </c>
      <c r="L46" s="148">
        <v>7</v>
      </c>
      <c r="M46" s="148">
        <v>-5</v>
      </c>
      <c r="N46" s="148">
        <v>-10</v>
      </c>
      <c r="O46" s="148">
        <v>0</v>
      </c>
      <c r="P46" s="148">
        <v>45</v>
      </c>
      <c r="Q46" s="148">
        <f>SUM(E46:P46)</f>
        <v>77</v>
      </c>
    </row>
    <row r="47" spans="2:4" ht="12.75">
      <c r="B47" s="6"/>
      <c r="C47" s="60"/>
      <c r="D47" s="103" t="s">
        <v>221</v>
      </c>
    </row>
    <row r="48" spans="2:16" ht="12.75">
      <c r="B48" t="s">
        <v>27</v>
      </c>
      <c r="D48" s="61" t="s">
        <v>249</v>
      </c>
      <c r="E48" s="105">
        <v>0.1005</v>
      </c>
      <c r="F48" s="105">
        <v>0.1005</v>
      </c>
      <c r="G48" s="105">
        <v>0.1005</v>
      </c>
      <c r="H48" s="105">
        <v>0.0896</v>
      </c>
      <c r="I48" s="105">
        <v>0.0896</v>
      </c>
      <c r="J48" s="105">
        <v>0.0896</v>
      </c>
      <c r="K48" s="105">
        <v>0</v>
      </c>
      <c r="L48" s="105">
        <v>0</v>
      </c>
      <c r="M48" s="105">
        <v>0</v>
      </c>
      <c r="N48" s="105">
        <v>0.0896</v>
      </c>
      <c r="O48" s="105">
        <v>0.0896</v>
      </c>
      <c r="P48" s="105">
        <v>0.1005</v>
      </c>
    </row>
    <row r="49" spans="2:16" ht="12.75">
      <c r="B49" t="s">
        <v>28</v>
      </c>
      <c r="D49" s="61" t="s">
        <v>249</v>
      </c>
      <c r="E49" s="105">
        <v>0.2427</v>
      </c>
      <c r="F49" s="105">
        <v>0.2427</v>
      </c>
      <c r="G49" s="105">
        <v>0.2427</v>
      </c>
      <c r="H49" s="105">
        <v>0.1688</v>
      </c>
      <c r="I49" s="105">
        <v>0.1688</v>
      </c>
      <c r="J49" s="105">
        <v>0.1688</v>
      </c>
      <c r="K49" s="105">
        <v>0</v>
      </c>
      <c r="L49" s="105">
        <v>0</v>
      </c>
      <c r="M49" s="105">
        <v>0</v>
      </c>
      <c r="N49" s="105">
        <v>0.1688</v>
      </c>
      <c r="O49" s="105">
        <v>0.1688</v>
      </c>
      <c r="P49" s="105">
        <v>0.2427</v>
      </c>
    </row>
    <row r="50" spans="2:16" ht="12.75">
      <c r="B50" t="s">
        <v>29</v>
      </c>
      <c r="D50" s="61" t="s">
        <v>249</v>
      </c>
      <c r="E50" s="105">
        <v>0.4222</v>
      </c>
      <c r="F50" s="105">
        <v>0.4222</v>
      </c>
      <c r="G50" s="105">
        <v>0.4222</v>
      </c>
      <c r="H50" s="105">
        <v>0.3055</v>
      </c>
      <c r="I50" s="105">
        <v>0.3055</v>
      </c>
      <c r="J50" s="105">
        <v>0.3055</v>
      </c>
      <c r="K50" s="105">
        <v>0</v>
      </c>
      <c r="L50" s="105">
        <v>0</v>
      </c>
      <c r="M50" s="105">
        <v>0</v>
      </c>
      <c r="N50" s="105">
        <v>0.3055</v>
      </c>
      <c r="O50" s="105">
        <v>0.3055</v>
      </c>
      <c r="P50" s="105">
        <v>0.4222</v>
      </c>
    </row>
    <row r="51" ht="12.75">
      <c r="C51" s="58"/>
    </row>
    <row r="52" spans="2:4" ht="12.75">
      <c r="B52" s="59" t="s">
        <v>150</v>
      </c>
      <c r="C52" s="58"/>
      <c r="D52" s="58"/>
    </row>
    <row r="53" spans="2:17" ht="12.75">
      <c r="B53" t="s">
        <v>27</v>
      </c>
      <c r="E53" s="11">
        <f aca="true" t="shared" si="8" ref="E53:P53">ROUND(E$46*E48*E77,0)</f>
        <v>-1765330</v>
      </c>
      <c r="F53" s="11">
        <f t="shared" si="8"/>
        <v>615258</v>
      </c>
      <c r="G53" s="11">
        <f t="shared" si="8"/>
        <v>1076271</v>
      </c>
      <c r="H53" s="11">
        <f t="shared" si="8"/>
        <v>-548472</v>
      </c>
      <c r="I53" s="11">
        <f t="shared" si="8"/>
        <v>616485</v>
      </c>
      <c r="J53" s="11">
        <f t="shared" si="8"/>
        <v>34195</v>
      </c>
      <c r="K53" s="11">
        <f t="shared" si="8"/>
        <v>0</v>
      </c>
      <c r="L53" s="11">
        <f t="shared" si="8"/>
        <v>0</v>
      </c>
      <c r="M53" s="11">
        <f t="shared" si="8"/>
        <v>0</v>
      </c>
      <c r="N53" s="11">
        <f t="shared" si="8"/>
        <v>-115020</v>
      </c>
      <c r="O53" s="11">
        <f t="shared" si="8"/>
        <v>0</v>
      </c>
      <c r="P53" s="11">
        <f t="shared" si="8"/>
        <v>585320</v>
      </c>
      <c r="Q53" s="11">
        <f>SUM(E53:P53)</f>
        <v>498707</v>
      </c>
    </row>
    <row r="54" spans="2:17" ht="12.75">
      <c r="B54" t="s">
        <v>28</v>
      </c>
      <c r="E54" s="11">
        <f aca="true" t="shared" si="9" ref="E54:P54">ROUND(E$46*E49*E78,0)</f>
        <v>-382151</v>
      </c>
      <c r="F54" s="11">
        <f t="shared" si="9"/>
        <v>134530</v>
      </c>
      <c r="G54" s="11">
        <f t="shared" si="9"/>
        <v>233429</v>
      </c>
      <c r="H54" s="11">
        <f t="shared" si="9"/>
        <v>-92926</v>
      </c>
      <c r="I54" s="11">
        <f t="shared" si="9"/>
        <v>104642</v>
      </c>
      <c r="J54" s="11">
        <f t="shared" si="9"/>
        <v>5826</v>
      </c>
      <c r="K54" s="11">
        <f t="shared" si="9"/>
        <v>0</v>
      </c>
      <c r="L54" s="11">
        <f t="shared" si="9"/>
        <v>0</v>
      </c>
      <c r="M54" s="11">
        <f t="shared" si="9"/>
        <v>0</v>
      </c>
      <c r="N54" s="11">
        <f t="shared" si="9"/>
        <v>-19500</v>
      </c>
      <c r="O54" s="11">
        <f t="shared" si="9"/>
        <v>0</v>
      </c>
      <c r="P54" s="11">
        <f t="shared" si="9"/>
        <v>127803</v>
      </c>
      <c r="Q54" s="11">
        <f>SUM(E54:P54)</f>
        <v>111653</v>
      </c>
    </row>
    <row r="55" spans="2:17" ht="12.75">
      <c r="B55" t="s">
        <v>29</v>
      </c>
      <c r="E55" s="11">
        <f aca="true" t="shared" si="10" ref="E55:P55">ROUND(E$46*E50*E79,0)</f>
        <v>-5011</v>
      </c>
      <c r="F55" s="11">
        <f t="shared" si="10"/>
        <v>1986</v>
      </c>
      <c r="G55" s="11">
        <f t="shared" si="10"/>
        <v>3263</v>
      </c>
      <c r="H55" s="11">
        <f t="shared" si="10"/>
        <v>-1349</v>
      </c>
      <c r="I55" s="11">
        <f t="shared" si="10"/>
        <v>1534</v>
      </c>
      <c r="J55" s="11">
        <f t="shared" si="10"/>
        <v>87</v>
      </c>
      <c r="K55" s="11">
        <f t="shared" si="10"/>
        <v>0</v>
      </c>
      <c r="L55" s="11">
        <f t="shared" si="10"/>
        <v>0</v>
      </c>
      <c r="M55" s="11">
        <f t="shared" si="10"/>
        <v>0</v>
      </c>
      <c r="N55" s="11">
        <f t="shared" si="10"/>
        <v>-284</v>
      </c>
      <c r="O55" s="11">
        <f t="shared" si="10"/>
        <v>0</v>
      </c>
      <c r="P55" s="11">
        <f t="shared" si="10"/>
        <v>1767</v>
      </c>
      <c r="Q55" s="11">
        <f>SUM(E55:P55)</f>
        <v>1993</v>
      </c>
    </row>
    <row r="56" spans="2:17" ht="12.75">
      <c r="B56" t="s">
        <v>151</v>
      </c>
      <c r="E56" s="21">
        <f aca="true" t="shared" si="11" ref="E56:Q56">SUM(E53:E55)</f>
        <v>-2152492</v>
      </c>
      <c r="F56" s="21">
        <f t="shared" si="11"/>
        <v>751774</v>
      </c>
      <c r="G56" s="21">
        <f t="shared" si="11"/>
        <v>1312963</v>
      </c>
      <c r="H56" s="21">
        <f t="shared" si="11"/>
        <v>-642747</v>
      </c>
      <c r="I56" s="21">
        <f t="shared" si="11"/>
        <v>722661</v>
      </c>
      <c r="J56" s="21">
        <f t="shared" si="11"/>
        <v>40108</v>
      </c>
      <c r="K56" s="21">
        <f t="shared" si="11"/>
        <v>0</v>
      </c>
      <c r="L56" s="21">
        <f t="shared" si="11"/>
        <v>0</v>
      </c>
      <c r="M56" s="21">
        <f t="shared" si="11"/>
        <v>0</v>
      </c>
      <c r="N56" s="21">
        <f t="shared" si="11"/>
        <v>-134804</v>
      </c>
      <c r="O56" s="21">
        <f t="shared" si="11"/>
        <v>0</v>
      </c>
      <c r="P56" s="21">
        <f t="shared" si="11"/>
        <v>714890</v>
      </c>
      <c r="Q56" s="21">
        <f t="shared" si="11"/>
        <v>612353</v>
      </c>
    </row>
    <row r="59" spans="2:5" ht="12.75">
      <c r="B59" s="59" t="s">
        <v>153</v>
      </c>
      <c r="E59" s="22"/>
    </row>
    <row r="60" spans="2:17" ht="12.75">
      <c r="B60" s="14"/>
      <c r="E60" s="70">
        <v>39052</v>
      </c>
      <c r="F60" s="70">
        <v>39083</v>
      </c>
      <c r="G60" s="70">
        <v>39114</v>
      </c>
      <c r="H60" s="70">
        <v>39142</v>
      </c>
      <c r="I60" s="70">
        <v>39173</v>
      </c>
      <c r="J60" s="70">
        <v>39203</v>
      </c>
      <c r="K60" s="70">
        <v>39234</v>
      </c>
      <c r="L60" s="70">
        <v>39264</v>
      </c>
      <c r="M60" s="70">
        <v>39295</v>
      </c>
      <c r="N60" s="70">
        <v>39326</v>
      </c>
      <c r="O60" s="70">
        <v>39356</v>
      </c>
      <c r="P60" s="70">
        <v>39387</v>
      </c>
      <c r="Q60" s="70">
        <v>39417</v>
      </c>
    </row>
    <row r="61" spans="2:17" ht="12.75">
      <c r="B61" t="s">
        <v>250</v>
      </c>
      <c r="E61">
        <v>689.9</v>
      </c>
      <c r="F61" s="2">
        <v>760.6</v>
      </c>
      <c r="G61" s="2">
        <v>508</v>
      </c>
      <c r="H61" s="2">
        <v>386.3</v>
      </c>
      <c r="I61" s="46">
        <v>317.6</v>
      </c>
      <c r="J61" s="46">
        <v>154.9</v>
      </c>
      <c r="K61" s="2">
        <v>75.2</v>
      </c>
      <c r="L61" s="46">
        <v>0.4</v>
      </c>
      <c r="M61" s="2">
        <v>21.1</v>
      </c>
      <c r="N61" s="46">
        <v>161.9</v>
      </c>
      <c r="O61" s="2">
        <v>377.3</v>
      </c>
      <c r="P61" s="46">
        <v>642.8</v>
      </c>
      <c r="Q61">
        <v>702.2</v>
      </c>
    </row>
    <row r="62" spans="2:17" ht="12.75">
      <c r="B62" t="s">
        <v>251</v>
      </c>
      <c r="E62" s="25">
        <v>0.6223</v>
      </c>
      <c r="F62" s="45">
        <v>0.5945</v>
      </c>
      <c r="G62" s="45">
        <v>0.5981</v>
      </c>
      <c r="H62" s="45">
        <v>0.5925</v>
      </c>
      <c r="I62" s="45">
        <v>0.622</v>
      </c>
      <c r="J62" s="45">
        <v>0.6208</v>
      </c>
      <c r="K62" s="45">
        <v>0.6125</v>
      </c>
      <c r="L62" s="45">
        <v>0.6117</v>
      </c>
      <c r="M62" s="45">
        <v>0.6375</v>
      </c>
      <c r="N62" s="45">
        <v>0.6092</v>
      </c>
      <c r="O62" s="45">
        <v>0.6331</v>
      </c>
      <c r="P62" s="45">
        <v>0.6615</v>
      </c>
      <c r="Q62" s="25">
        <v>0.61</v>
      </c>
    </row>
    <row r="63" spans="2:17" ht="12.75">
      <c r="B63" s="6"/>
      <c r="C63" s="60" t="s">
        <v>252</v>
      </c>
      <c r="D63" s="103" t="s">
        <v>221</v>
      </c>
      <c r="E63" s="24"/>
      <c r="F63" s="45"/>
      <c r="G63" s="45"/>
      <c r="H63" s="45"/>
      <c r="I63" s="45"/>
      <c r="J63" s="45"/>
      <c r="K63" s="45"/>
      <c r="L63" s="45"/>
      <c r="M63" s="45"/>
      <c r="N63" s="45"/>
      <c r="O63" s="45"/>
      <c r="P63" s="45"/>
      <c r="Q63" s="25"/>
    </row>
    <row r="64" spans="2:17" ht="12.75">
      <c r="B64" t="s">
        <v>27</v>
      </c>
      <c r="C64" s="90">
        <v>15</v>
      </c>
      <c r="D64" s="61" t="s">
        <v>249</v>
      </c>
      <c r="E64" s="105">
        <v>0.1005</v>
      </c>
      <c r="F64" s="105">
        <v>0.1005</v>
      </c>
      <c r="G64" s="105">
        <v>0.1005</v>
      </c>
      <c r="H64" s="105">
        <f>(G64+I64)/2</f>
        <v>0.09505</v>
      </c>
      <c r="I64" s="105">
        <v>0.0896</v>
      </c>
      <c r="J64" s="105">
        <v>0.0896</v>
      </c>
      <c r="K64" s="105">
        <f>(J64+L64)/2</f>
        <v>0.0448</v>
      </c>
      <c r="L64" s="105">
        <v>0</v>
      </c>
      <c r="M64" s="105">
        <v>0</v>
      </c>
      <c r="N64" s="105">
        <f>(M64+O64)/2</f>
        <v>0.0448</v>
      </c>
      <c r="O64" s="105">
        <v>0.0896</v>
      </c>
      <c r="P64" s="105">
        <f>(O64+Q64)/2</f>
        <v>0.09505</v>
      </c>
      <c r="Q64" s="105">
        <v>0.1005</v>
      </c>
    </row>
    <row r="65" spans="2:17" ht="12.75">
      <c r="B65" t="s">
        <v>28</v>
      </c>
      <c r="C65" s="90">
        <v>12</v>
      </c>
      <c r="D65" s="61" t="s">
        <v>249</v>
      </c>
      <c r="E65" s="105">
        <v>0.2427</v>
      </c>
      <c r="F65" s="105">
        <v>0.2427</v>
      </c>
      <c r="G65" s="105">
        <v>0.2427</v>
      </c>
      <c r="H65" s="105">
        <f>(G65+I65)/2</f>
        <v>0.20575</v>
      </c>
      <c r="I65" s="105">
        <v>0.1688</v>
      </c>
      <c r="J65" s="105">
        <v>0.1688</v>
      </c>
      <c r="K65" s="105">
        <f>(J65+L65)/2</f>
        <v>0.0844</v>
      </c>
      <c r="L65" s="105">
        <v>0</v>
      </c>
      <c r="M65" s="105">
        <v>0</v>
      </c>
      <c r="N65" s="105">
        <f>(M65+O65)/2</f>
        <v>0.0844</v>
      </c>
      <c r="O65" s="105">
        <v>0.1688</v>
      </c>
      <c r="P65" s="105">
        <f>(O65+Q65)/2</f>
        <v>0.20575</v>
      </c>
      <c r="Q65" s="105">
        <v>0.2427</v>
      </c>
    </row>
    <row r="66" spans="2:17" ht="12.75">
      <c r="B66" t="s">
        <v>29</v>
      </c>
      <c r="C66" s="90">
        <v>0</v>
      </c>
      <c r="D66" s="61" t="s">
        <v>249</v>
      </c>
      <c r="E66" s="105">
        <v>0.4222</v>
      </c>
      <c r="F66" s="105">
        <v>0.4222</v>
      </c>
      <c r="G66" s="105">
        <v>0.4222</v>
      </c>
      <c r="H66" s="105">
        <f>(G66+I66)/2</f>
        <v>0.36385</v>
      </c>
      <c r="I66" s="105">
        <v>0.3055</v>
      </c>
      <c r="J66" s="105">
        <v>0.3055</v>
      </c>
      <c r="K66" s="105">
        <f>(J66+L66)/2</f>
        <v>0.15275</v>
      </c>
      <c r="L66" s="105">
        <v>0</v>
      </c>
      <c r="M66" s="105">
        <v>0</v>
      </c>
      <c r="N66" s="105">
        <f>(M66+O66)/2</f>
        <v>0.15275</v>
      </c>
      <c r="O66" s="105">
        <v>0.3055</v>
      </c>
      <c r="P66" s="105">
        <f>(O66+Q66)/2</f>
        <v>0.36385</v>
      </c>
      <c r="Q66" s="105">
        <v>0.4222</v>
      </c>
    </row>
    <row r="67" spans="4:17" ht="12.75">
      <c r="D67" s="58"/>
      <c r="E67" s="24"/>
      <c r="F67" s="45"/>
      <c r="G67" s="45"/>
      <c r="H67" s="45"/>
      <c r="I67" s="45"/>
      <c r="J67" s="45"/>
      <c r="K67" s="45"/>
      <c r="L67" s="45"/>
      <c r="M67" s="45"/>
      <c r="N67" s="45"/>
      <c r="O67" s="45"/>
      <c r="P67" s="45"/>
      <c r="Q67" s="25"/>
    </row>
    <row r="68" spans="2:17" ht="12.75">
      <c r="B68" s="59" t="s">
        <v>150</v>
      </c>
      <c r="C68" s="60"/>
      <c r="D68" s="61"/>
      <c r="E68" s="24"/>
      <c r="F68" s="45"/>
      <c r="G68" s="45"/>
      <c r="H68" s="45"/>
      <c r="I68" s="45"/>
      <c r="J68" s="45"/>
      <c r="K68" s="45"/>
      <c r="L68" s="45"/>
      <c r="M68" s="45"/>
      <c r="N68" s="45"/>
      <c r="O68" s="45"/>
      <c r="P68" s="45"/>
      <c r="Q68" s="25"/>
    </row>
    <row r="69" spans="2:17" ht="12.75">
      <c r="B69" t="s">
        <v>27</v>
      </c>
      <c r="E69" s="11">
        <f aca="true" t="shared" si="12" ref="E69:Q69">ROUND((E$61*E64)*D77,0)+ROUND(($C64*E$62)*D77,0)</f>
        <v>9997157</v>
      </c>
      <c r="F69" s="11">
        <f t="shared" si="12"/>
        <v>10864853</v>
      </c>
      <c r="G69" s="11">
        <f t="shared" si="12"/>
        <v>7655712</v>
      </c>
      <c r="H69" s="11">
        <f t="shared" si="12"/>
        <v>5814221</v>
      </c>
      <c r="I69" s="11">
        <f t="shared" si="12"/>
        <v>4818895</v>
      </c>
      <c r="J69" s="11">
        <f t="shared" si="12"/>
        <v>2954886</v>
      </c>
      <c r="K69" s="11">
        <f t="shared" si="12"/>
        <v>1597370</v>
      </c>
      <c r="L69" s="11">
        <f t="shared" si="12"/>
        <v>1167637</v>
      </c>
      <c r="M69" s="11">
        <f t="shared" si="12"/>
        <v>1219047</v>
      </c>
      <c r="N69" s="11">
        <f t="shared" si="12"/>
        <v>2096392</v>
      </c>
      <c r="O69" s="11">
        <f t="shared" si="12"/>
        <v>5558795</v>
      </c>
      <c r="P69" s="11">
        <f t="shared" si="12"/>
        <v>9177145</v>
      </c>
      <c r="Q69" s="11">
        <f t="shared" si="12"/>
        <v>10317824</v>
      </c>
    </row>
    <row r="70" spans="2:17" ht="12.75">
      <c r="B70" t="s">
        <v>28</v>
      </c>
      <c r="E70" s="11">
        <f aca="true" t="shared" si="13" ref="E70:Q70">ROUND((E$61*E65)*D78,0)+ROUND(($C65*E$62)*D78,0)</f>
        <v>2006875</v>
      </c>
      <c r="F70" s="11">
        <f t="shared" si="13"/>
        <v>2187658</v>
      </c>
      <c r="G70" s="11">
        <f t="shared" si="13"/>
        <v>1506653</v>
      </c>
      <c r="H70" s="11">
        <f t="shared" si="13"/>
        <v>991470</v>
      </c>
      <c r="I70" s="11">
        <f t="shared" si="13"/>
        <v>700468</v>
      </c>
      <c r="J70" s="11">
        <f t="shared" si="13"/>
        <v>385690</v>
      </c>
      <c r="K70" s="11">
        <f t="shared" si="13"/>
        <v>157569</v>
      </c>
      <c r="L70" s="11">
        <f t="shared" si="13"/>
        <v>84437</v>
      </c>
      <c r="M70" s="11">
        <f t="shared" si="13"/>
        <v>87952</v>
      </c>
      <c r="N70" s="11">
        <f t="shared" si="13"/>
        <v>242279</v>
      </c>
      <c r="O70" s="11">
        <f t="shared" si="13"/>
        <v>823490</v>
      </c>
      <c r="P70" s="11">
        <f t="shared" si="13"/>
        <v>1625831</v>
      </c>
      <c r="Q70" s="11">
        <f t="shared" si="13"/>
        <v>2079960</v>
      </c>
    </row>
    <row r="71" spans="2:17" ht="12.75">
      <c r="B71" t="s">
        <v>29</v>
      </c>
      <c r="E71" s="11">
        <f aca="true" t="shared" si="14" ref="E71:Q71">ROUND((E$61*E66)*D79,0)+ROUND(($C66*E$62)*D79,0)</f>
        <v>27089</v>
      </c>
      <c r="F71" s="11">
        <f t="shared" si="14"/>
        <v>27617</v>
      </c>
      <c r="G71" s="11">
        <f t="shared" si="14"/>
        <v>21019</v>
      </c>
      <c r="H71" s="11">
        <f t="shared" si="14"/>
        <v>12931</v>
      </c>
      <c r="I71" s="11">
        <f t="shared" si="14"/>
        <v>8926</v>
      </c>
      <c r="J71" s="11">
        <f t="shared" si="14"/>
        <v>4401</v>
      </c>
      <c r="K71" s="11">
        <f t="shared" si="14"/>
        <v>1091</v>
      </c>
      <c r="L71" s="11">
        <f t="shared" si="14"/>
        <v>0</v>
      </c>
      <c r="M71" s="11">
        <f t="shared" si="14"/>
        <v>0</v>
      </c>
      <c r="N71" s="11">
        <f t="shared" si="14"/>
        <v>2349</v>
      </c>
      <c r="O71" s="11">
        <f t="shared" si="14"/>
        <v>10720</v>
      </c>
      <c r="P71" s="11">
        <f t="shared" si="14"/>
        <v>21517</v>
      </c>
      <c r="Q71" s="11">
        <f t="shared" si="14"/>
        <v>27572</v>
      </c>
    </row>
    <row r="72" spans="2:17" ht="12.75">
      <c r="B72" t="s">
        <v>152</v>
      </c>
      <c r="E72" s="21">
        <f aca="true" t="shared" si="15" ref="E72:Q72">SUM(E69:E71)</f>
        <v>12031121</v>
      </c>
      <c r="F72" s="21">
        <f t="shared" si="15"/>
        <v>13080128</v>
      </c>
      <c r="G72" s="21">
        <f t="shared" si="15"/>
        <v>9183384</v>
      </c>
      <c r="H72" s="21">
        <f t="shared" si="15"/>
        <v>6818622</v>
      </c>
      <c r="I72" s="21">
        <f t="shared" si="15"/>
        <v>5528289</v>
      </c>
      <c r="J72" s="21">
        <f t="shared" si="15"/>
        <v>3344977</v>
      </c>
      <c r="K72" s="21">
        <f t="shared" si="15"/>
        <v>1756030</v>
      </c>
      <c r="L72" s="21">
        <f t="shared" si="15"/>
        <v>1252074</v>
      </c>
      <c r="M72" s="21">
        <f t="shared" si="15"/>
        <v>1306999</v>
      </c>
      <c r="N72" s="21">
        <f t="shared" si="15"/>
        <v>2341020</v>
      </c>
      <c r="O72" s="21">
        <f t="shared" si="15"/>
        <v>6393005</v>
      </c>
      <c r="P72" s="21">
        <f t="shared" si="15"/>
        <v>10824493</v>
      </c>
      <c r="Q72" s="21">
        <f t="shared" si="15"/>
        <v>12425356</v>
      </c>
    </row>
    <row r="75" ht="12.75">
      <c r="B75" s="6" t="s">
        <v>223</v>
      </c>
    </row>
    <row r="76" spans="2:17" ht="12.75">
      <c r="B76" s="6"/>
      <c r="C76" t="s">
        <v>224</v>
      </c>
      <c r="D76" s="70">
        <v>39052</v>
      </c>
      <c r="E76" s="70">
        <v>39083</v>
      </c>
      <c r="F76" s="70">
        <v>39114</v>
      </c>
      <c r="G76" s="70">
        <v>39142</v>
      </c>
      <c r="H76" s="70">
        <v>39173</v>
      </c>
      <c r="I76" s="70">
        <v>39203</v>
      </c>
      <c r="J76" s="70">
        <v>39234</v>
      </c>
      <c r="K76" s="70">
        <v>39264</v>
      </c>
      <c r="L76" s="70">
        <v>39295</v>
      </c>
      <c r="M76" s="70">
        <v>39326</v>
      </c>
      <c r="N76" s="70">
        <v>39356</v>
      </c>
      <c r="O76" s="70">
        <v>39387</v>
      </c>
      <c r="P76" s="70">
        <v>39417</v>
      </c>
      <c r="Q76" s="106" t="s">
        <v>253</v>
      </c>
    </row>
    <row r="77" spans="2:17" ht="12.75">
      <c r="B77" t="s">
        <v>226</v>
      </c>
      <c r="C77" s="107" t="s">
        <v>21</v>
      </c>
      <c r="D77" s="11">
        <v>127078</v>
      </c>
      <c r="E77" s="11">
        <v>127286</v>
      </c>
      <c r="F77" s="11">
        <v>127541</v>
      </c>
      <c r="G77" s="11">
        <v>127490</v>
      </c>
      <c r="H77" s="11">
        <v>127528</v>
      </c>
      <c r="I77" s="11">
        <v>127415</v>
      </c>
      <c r="J77" s="11">
        <v>127215</v>
      </c>
      <c r="K77" s="11">
        <v>127256</v>
      </c>
      <c r="L77" s="11">
        <v>127482</v>
      </c>
      <c r="M77" s="11">
        <v>127898</v>
      </c>
      <c r="N77" s="11">
        <v>128371</v>
      </c>
      <c r="O77" s="11">
        <v>129218</v>
      </c>
      <c r="P77" s="11">
        <v>129424</v>
      </c>
      <c r="Q77" s="11">
        <f>SUM(E77:P77)</f>
        <v>1534124</v>
      </c>
    </row>
    <row r="78" spans="2:17" ht="12.75">
      <c r="B78" t="s">
        <v>227</v>
      </c>
      <c r="C78" s="107" t="s">
        <v>22</v>
      </c>
      <c r="D78" s="11">
        <v>11474</v>
      </c>
      <c r="E78" s="11">
        <v>11410</v>
      </c>
      <c r="F78" s="11">
        <v>11548</v>
      </c>
      <c r="G78" s="11">
        <v>11450</v>
      </c>
      <c r="H78" s="11">
        <v>11469</v>
      </c>
      <c r="I78" s="11">
        <v>11480</v>
      </c>
      <c r="J78" s="11">
        <v>11504</v>
      </c>
      <c r="K78" s="11">
        <v>11503</v>
      </c>
      <c r="L78" s="11">
        <v>11497</v>
      </c>
      <c r="M78" s="11">
        <v>11551</v>
      </c>
      <c r="N78" s="11">
        <v>11552</v>
      </c>
      <c r="O78" s="11">
        <v>11597</v>
      </c>
      <c r="P78" s="11">
        <v>11702</v>
      </c>
      <c r="Q78" s="11">
        <f>SUM(E78:P78)</f>
        <v>138263</v>
      </c>
    </row>
    <row r="79" spans="2:17" ht="12.75">
      <c r="B79" t="s">
        <v>228</v>
      </c>
      <c r="C79" s="107" t="s">
        <v>70</v>
      </c>
      <c r="D79" s="11">
        <v>93</v>
      </c>
      <c r="E79" s="11">
        <v>86</v>
      </c>
      <c r="F79" s="11">
        <v>98</v>
      </c>
      <c r="G79" s="11">
        <v>92</v>
      </c>
      <c r="H79" s="11">
        <v>92</v>
      </c>
      <c r="I79" s="11">
        <v>93</v>
      </c>
      <c r="J79" s="11">
        <v>95</v>
      </c>
      <c r="K79" s="11">
        <v>94</v>
      </c>
      <c r="L79" s="11">
        <v>93</v>
      </c>
      <c r="M79" s="11">
        <v>95</v>
      </c>
      <c r="N79" s="11">
        <v>93</v>
      </c>
      <c r="O79" s="11">
        <v>92</v>
      </c>
      <c r="P79" s="11">
        <v>93</v>
      </c>
      <c r="Q79" s="11">
        <f>SUM(E79:P79)</f>
        <v>1116</v>
      </c>
    </row>
    <row r="80" spans="2:17" ht="12.75">
      <c r="B80" t="s">
        <v>229</v>
      </c>
      <c r="C80" s="107" t="s">
        <v>71</v>
      </c>
      <c r="D80" s="11">
        <v>22</v>
      </c>
      <c r="E80" s="11">
        <v>22</v>
      </c>
      <c r="F80" s="11">
        <v>23</v>
      </c>
      <c r="G80" s="11">
        <v>23</v>
      </c>
      <c r="H80" s="11">
        <v>24</v>
      </c>
      <c r="I80" s="11">
        <v>24</v>
      </c>
      <c r="J80" s="11">
        <v>24</v>
      </c>
      <c r="K80" s="11">
        <v>24</v>
      </c>
      <c r="L80" s="11">
        <v>24</v>
      </c>
      <c r="M80" s="11">
        <v>24</v>
      </c>
      <c r="N80" s="11">
        <v>23</v>
      </c>
      <c r="O80" s="11">
        <v>23</v>
      </c>
      <c r="P80" s="11">
        <v>23</v>
      </c>
      <c r="Q80" s="11">
        <f>SUM(E80:P80)</f>
        <v>281</v>
      </c>
    </row>
    <row r="81" spans="2:17" ht="12.75">
      <c r="B81" t="s">
        <v>152</v>
      </c>
      <c r="D81" s="12">
        <f aca="true" t="shared" si="16" ref="D81:Q81">SUM(D77:D80)</f>
        <v>138667</v>
      </c>
      <c r="E81" s="12">
        <f t="shared" si="16"/>
        <v>138804</v>
      </c>
      <c r="F81" s="12">
        <f t="shared" si="16"/>
        <v>139210</v>
      </c>
      <c r="G81" s="12">
        <f t="shared" si="16"/>
        <v>139055</v>
      </c>
      <c r="H81" s="12">
        <f t="shared" si="16"/>
        <v>139113</v>
      </c>
      <c r="I81" s="12">
        <f t="shared" si="16"/>
        <v>139012</v>
      </c>
      <c r="J81" s="12">
        <f t="shared" si="16"/>
        <v>138838</v>
      </c>
      <c r="K81" s="12">
        <f t="shared" si="16"/>
        <v>138877</v>
      </c>
      <c r="L81" s="12">
        <f t="shared" si="16"/>
        <v>139096</v>
      </c>
      <c r="M81" s="12">
        <f t="shared" si="16"/>
        <v>139568</v>
      </c>
      <c r="N81" s="12">
        <f t="shared" si="16"/>
        <v>140039</v>
      </c>
      <c r="O81" s="12">
        <f t="shared" si="16"/>
        <v>140930</v>
      </c>
      <c r="P81" s="12">
        <f t="shared" si="16"/>
        <v>141242</v>
      </c>
      <c r="Q81" s="12">
        <f t="shared" si="16"/>
        <v>1673784</v>
      </c>
    </row>
  </sheetData>
  <printOptions horizontalCentered="1" verticalCentered="1"/>
  <pageMargins left="0.25" right="0.25" top="0.25" bottom="0.25" header="0.5" footer="0.5"/>
  <pageSetup horizontalDpi="600" verticalDpi="600" orientation="landscape" scale="65" r:id="rId3"/>
  <rowBreaks count="1" manualBreakCount="1">
    <brk id="3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Patrick Ehrbar</cp:lastModifiedBy>
  <cp:lastPrinted>2009-04-29T18:07:01Z</cp:lastPrinted>
  <dcterms:created xsi:type="dcterms:W3CDTF">1996-10-14T23:33:28Z</dcterms:created>
  <dcterms:modified xsi:type="dcterms:W3CDTF">2009-04-29T18:10:27Z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Document</vt:lpwstr>
  </property>
  <property fmtid="{D5CDD505-2E9C-101B-9397-08002B2CF9AE}" pid="4" name="IsHighlyConfidenti">
    <vt:lpwstr>0</vt:lpwstr>
  </property>
  <property fmtid="{D5CDD505-2E9C-101B-9397-08002B2CF9AE}" pid="5" name="DocketNumb">
    <vt:lpwstr>060518</vt:lpwstr>
  </property>
  <property fmtid="{D5CDD505-2E9C-101B-9397-08002B2CF9AE}" pid="6" name="IsConfidenti">
    <vt:lpwstr>0</vt:lpwstr>
  </property>
  <property fmtid="{D5CDD505-2E9C-101B-9397-08002B2CF9AE}" pid="7" name="Dat">
    <vt:lpwstr>2009-05-01T00:00:00Z</vt:lpwstr>
  </property>
  <property fmtid="{D5CDD505-2E9C-101B-9397-08002B2CF9AE}" pid="8" name="CaseTy">
    <vt:lpwstr>Petition</vt:lpwstr>
  </property>
  <property fmtid="{D5CDD505-2E9C-101B-9397-08002B2CF9AE}" pid="9" name="OpenedDa">
    <vt:lpwstr>2006-04-05T00:00:00Z</vt:lpwstr>
  </property>
  <property fmtid="{D5CDD505-2E9C-101B-9397-08002B2CF9AE}" pid="10" name="Pref">
    <vt:lpwstr>UG</vt:lpwstr>
  </property>
  <property fmtid="{D5CDD505-2E9C-101B-9397-08002B2CF9AE}" pid="11" name="CaseCompanyNam">
    <vt:lpwstr>Avista Corporation</vt:lpwstr>
  </property>
  <property fmtid="{D5CDD505-2E9C-101B-9397-08002B2CF9AE}" pid="12" name="IndustryCo">
    <vt:lpwstr>150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