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2900" windowHeight="7785" activeTab="0"/>
  </bookViews>
  <sheets>
    <sheet name="FORM1" sheetId="1" r:id="rId1"/>
    <sheet name="Tab 2 accounts" sheetId="2" r:id="rId2"/>
    <sheet name="Sheet2" sheetId="3" r:id="rId3"/>
    <sheet name="Sheet3" sheetId="4" r:id="rId4"/>
  </sheets>
  <definedNames>
    <definedName name="_xlnm.Print_Area" localSheetId="0">'FORM1'!$P$4:$Z$179</definedName>
    <definedName name="_xlnm.Print_Area" localSheetId="1">'Tab 2 accounts'!$A$1:$J$86</definedName>
    <definedName name="_xlnm.Print_Titles" localSheetId="0">'FORM1'!$A:$B,'FORM1'!$1:$3</definedName>
  </definedNames>
  <calcPr fullCalcOnLoad="1"/>
</workbook>
</file>

<file path=xl/comments1.xml><?xml version="1.0" encoding="utf-8"?>
<comments xmlns="http://schemas.openxmlformats.org/spreadsheetml/2006/main">
  <authors>
    <author>P14726</author>
  </authors>
  <commentList>
    <comment ref="O2" authorId="0">
      <text>
        <r>
          <rPr>
            <b/>
            <sz val="8"/>
            <rFont val="Tahoma"/>
            <family val="2"/>
          </rPr>
          <t>P14726:</t>
        </r>
        <r>
          <rPr>
            <sz val="8"/>
            <rFont val="Tahoma"/>
            <family val="2"/>
          </rPr>
          <t xml:space="preserve">
Ties to Form 1 filed wih FERC on April 14, 2010.</t>
        </r>
      </text>
    </comment>
  </commentList>
</comments>
</file>

<file path=xl/sharedStrings.xml><?xml version="1.0" encoding="utf-8"?>
<sst xmlns="http://schemas.openxmlformats.org/spreadsheetml/2006/main" count="367" uniqueCount="261">
  <si>
    <t xml:space="preserve">                    UTILITY PLANT</t>
  </si>
  <si>
    <t/>
  </si>
  <si>
    <t>Utility Plant (101-106, 114)</t>
  </si>
  <si>
    <t>Construction Work in Progress (107)</t>
  </si>
  <si>
    <t>TOTAL Utility Plant</t>
  </si>
  <si>
    <t>(Less) Accum. Prov. For Depr. Amort. Depl. (108, 111, 115)</t>
  </si>
  <si>
    <t>Net Utility Plant</t>
  </si>
  <si>
    <t>Nuclear Fuel in Process of Ref, Conv, Enrich, &amp; Fab. (120.1)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</si>
  <si>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</si>
  <si>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</si>
  <si>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</si>
  <si>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</si>
  <si>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 For Amort of Nucl Fuel Assemblies (120.5)</t>
  </si>
  <si>
    <t>Net Nuclear Fuel</t>
  </si>
  <si>
    <t xml:space="preserve">                    OTHER PROPERTY AND INVESTMENTS</t>
  </si>
  <si>
    <t>Nonutility Property (121)</t>
  </si>
  <si>
    <t>(Less) Accum. Prov. For Depr. And Amort. (122)</t>
  </si>
  <si>
    <t>Investments in Associated Companies (123)</t>
  </si>
  <si>
    <t>Investments in Subsidiary Companies (123.1)</t>
  </si>
  <si>
    <t>Noncurrent Portion of Allowances</t>
  </si>
  <si>
    <t>Other Investments (124)</t>
  </si>
  <si>
    <t>Sinking Funds (125)</t>
  </si>
  <si>
    <t>Depreciation Funds (126)</t>
  </si>
  <si>
    <t>Amortization Fund - Federal (127)</t>
  </si>
  <si>
    <t>Other Special Funds (128)</t>
  </si>
  <si>
    <t>Special Funds Non-major (129)</t>
  </si>
  <si>
    <t>Long-Term Portion of Derivative Assets (175)</t>
  </si>
  <si>
    <t>Long-Term Portion of Derivative Assets - Hedges (176)</t>
  </si>
  <si>
    <t>TOTAL Other Property and Investments</t>
  </si>
  <si>
    <t xml:space="preserve">                    CURRENT AND ACCRUED ASSETS</t>
  </si>
  <si>
    <t>Cash (131)</t>
  </si>
  <si>
    <t>Special Deposits (132-134)</t>
  </si>
  <si>
    <t>Working Fund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</si>
  <si>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</si>
  <si>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</si>
  <si>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</si>
  <si>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</si>
  <si>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Accts. Cr (144)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</si>
  <si>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</si>
  <si>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</si>
  <si>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</si>
  <si>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</si>
  <si>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</si>
  <si>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</si>
  <si>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</si>
  <si>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 and Supplies (156)</t>
  </si>
  <si>
    <t>Nuclear Materials Held for Sale (157)</t>
  </si>
  <si>
    <t>Allowances (158.1 &amp; 158.2)</t>
  </si>
  <si>
    <t>(Less) Noncurrent Portion of Allowances</t>
  </si>
  <si>
    <t>Stores Expenses Undistributed (163)</t>
  </si>
  <si>
    <t>Gas Stored Underground - Current (164.1)</t>
  </si>
  <si>
    <t>LNG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</si>
  <si>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</si>
  <si>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</si>
  <si>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</si>
  <si>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</si>
  <si>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</si>
  <si>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</si>
  <si>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</si>
  <si>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 Instrument Assets (175)</t>
  </si>
  <si>
    <t>Derivative Instrument Assets - Hedges (176)</t>
  </si>
  <si>
    <t>(Less) Long-Term Portion of Deriv Instrmt Assets Hedge (176)</t>
  </si>
  <si>
    <t>TOTAL Current and Accrued Assets</t>
  </si>
  <si>
    <t xml:space="preserve">                    DEFERRED DEBITS</t>
  </si>
  <si>
    <t>Unamortized Debt Expenses (181)</t>
  </si>
  <si>
    <t>Extraordinary Property Losses (182.1)</t>
  </si>
  <si>
    <t>Unrecovered Plant and Regulatory Study Costs (182.2)</t>
  </si>
  <si>
    <t>Other Regulatory Assets (182.3)</t>
  </si>
  <si>
    <t>Preliminary Survey and Investigation Charges (183)</t>
  </si>
  <si>
    <t>Preliminary Natrl Gas Survey &amp; Investigation Charges (183.1)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</si>
  <si>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</si>
  <si>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</si>
  <si>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</si>
  <si>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</si>
  <si>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Differed Loss from Disposition of Utility Plant (187)</t>
  </si>
  <si>
    <t>Research, Develpmt, and Demonstration Expenditures (188)</t>
  </si>
  <si>
    <t>Unamortized Loss on Reacquired Debt (189)</t>
  </si>
  <si>
    <t>Accumulated Deferred Income Taxes (190)</t>
  </si>
  <si>
    <t>Unrecovered Purchase Gas Costs (191)</t>
  </si>
  <si>
    <t>TOTAL Deferred Debits</t>
  </si>
  <si>
    <t xml:space="preserve">     TOTAL ASSETS</t>
  </si>
  <si>
    <t xml:space="preserve">                     PROPRIETARY CAPITAL</t>
  </si>
  <si>
    <t>Common Stock Issued (201)</t>
  </si>
  <si>
    <t>Preferred Stock Issue (204)</t>
  </si>
  <si>
    <t>Capital Stock Subscribed (202, 205)</t>
  </si>
  <si>
    <t>Stock Liability for Conversion (203, 206)</t>
  </si>
  <si>
    <t>Premium on Capital Stock (207)</t>
  </si>
  <si>
    <t>Other Paid-In Capital (208-211)</t>
  </si>
  <si>
    <t>Installments Received on Capital Stock (212)</t>
  </si>
  <si>
    <t>(Less) Discount on Capital Stock (213)</t>
  </si>
  <si>
    <t>(Less) Capital Stock Expense (214)</t>
  </si>
  <si>
    <t xml:space="preserve">    part 1 retained earnings (215, 215.1, 216)</t>
  </si>
  <si>
    <t xml:space="preserve">    part 2 retained earnings (4181100)</t>
  </si>
  <si>
    <t xml:space="preserve">    part 3 retained earnings - place holder for EACS</t>
  </si>
  <si>
    <t>Retained Earnings (215, 215.1, 216)</t>
  </si>
  <si>
    <t>Unappropriated Undistributed Subsidiary Earnings (216.1)</t>
  </si>
  <si>
    <t>(Less) Reacquired Capital Stock (217)</t>
  </si>
  <si>
    <t>Accumulated Other Comprehensive Income (219)</t>
  </si>
  <si>
    <t>TOTAL Proprietary Capital</t>
  </si>
  <si>
    <t xml:space="preserve">                     LONG-TERM DEBT</t>
  </si>
  <si>
    <t>Bonds (221)</t>
  </si>
  <si>
    <t>(Less) Reacquired Bonds (222)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</si>
  <si>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</si>
  <si>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</si>
  <si>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</si>
  <si>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</si>
  <si>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TOTAL Long-Term Debt</t>
  </si>
  <si>
    <t xml:space="preserve">                     OTHER NONCURRENT LIABILITIES</t>
  </si>
  <si>
    <t>Obligations Under Capital Leases - Noncurrent (227)</t>
  </si>
  <si>
    <t>Accumulated Provision of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</si>
  <si>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</si>
  <si>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</si>
  <si>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</si>
  <si>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</si>
  <si>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Long-Term Portion of Derivative Instrument Liabilities</t>
  </si>
  <si>
    <t>Long-Term Portion of Derivative Instrument Liab. - Hedges</t>
  </si>
  <si>
    <t>Asset Retirement Obligations (230)</t>
  </si>
  <si>
    <t>TOTAL OTHER Noncurrent Liabilities</t>
  </si>
  <si>
    <t xml:space="preserve">                     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</si>
  <si>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</si>
  <si>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</si>
  <si>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</si>
  <si>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</si>
  <si>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</si>
  <si>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</si>
  <si>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</si>
  <si>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</si>
  <si>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</si>
  <si>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</si>
  <si>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Taxes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</si>
  <si>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</si>
  <si>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</si>
  <si>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</si>
  <si>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 Instrument Liab</t>
  </si>
  <si>
    <t>Derivative Instrument Liabilities -  Hedges (245)</t>
  </si>
  <si>
    <t>(Less) Long-term Portion of Deriv Instrument Liab - Hedges</t>
  </si>
  <si>
    <t>TOTAL Current &amp; Accrued Liabilities</t>
  </si>
  <si>
    <t xml:space="preserve">                     DEFERRED CREDITS</t>
  </si>
  <si>
    <t>Customer Advances for Construction (252)</t>
  </si>
  <si>
    <t>Accumulated Deferred Investment Tax Credits (255)</t>
  </si>
  <si>
    <t>Deferred Gains from Disposition of Utility Plant (256)</t>
  </si>
  <si>
    <t>Other Deferred Credits (253)</t>
  </si>
  <si>
    <t>Other Regulatory Liabilities (254)</t>
  </si>
  <si>
    <t>Unamortized Gain on Reacquired Debt (257)</t>
  </si>
  <si>
    <t>Accumulated Deferred Income Taxes - Accel. Amort. (281)</t>
  </si>
  <si>
    <t>Accumulated Deferred Income Taxes - Other Property (282)</t>
  </si>
  <si>
    <t>Accumulated Deferred Income Taxes - Other (283)</t>
  </si>
  <si>
    <t>TOTAL Deferred Credits</t>
  </si>
  <si>
    <t>TOTAL Liab &amp; Other Credits</t>
  </si>
  <si>
    <t>Title of Account</t>
  </si>
  <si>
    <t>AMA</t>
  </si>
  <si>
    <t>12-mo avg</t>
  </si>
  <si>
    <t>12 mo +higher</t>
  </si>
  <si>
    <t>12 mo (lower)</t>
  </si>
  <si>
    <t>Current Asset</t>
  </si>
  <si>
    <t>Current Liability</t>
  </si>
  <si>
    <t>Non-util</t>
  </si>
  <si>
    <t>Gas Stored Underground - Noncurrent (117) [Acct 116 =0]</t>
  </si>
  <si>
    <t>total asset ck&gt;&gt;</t>
  </si>
  <si>
    <t>Allocation of Investments</t>
  </si>
  <si>
    <t xml:space="preserve">Investment total </t>
  </si>
  <si>
    <t>Electric plant in service</t>
  </si>
  <si>
    <t>p. 2.32</t>
  </si>
  <si>
    <t>p. 2.33</t>
  </si>
  <si>
    <t>Future Use</t>
  </si>
  <si>
    <t>Accts</t>
  </si>
  <si>
    <t>Plant Acquisition</t>
  </si>
  <si>
    <t>WASH</t>
  </si>
  <si>
    <t>Other states</t>
  </si>
  <si>
    <t>Tab 2</t>
  </si>
  <si>
    <t>B tabs</t>
  </si>
  <si>
    <t>B8</t>
  </si>
  <si>
    <t>Capital lease</t>
  </si>
  <si>
    <t>☺</t>
  </si>
  <si>
    <t>p. 2.40</t>
  </si>
  <si>
    <t>Accum. Depr.</t>
  </si>
  <si>
    <t>p. 2.41</t>
  </si>
  <si>
    <t>form 1</t>
  </si>
  <si>
    <t>p.2.33</t>
  </si>
  <si>
    <t>Accum. Prov. Asset Acq. Adj.</t>
  </si>
  <si>
    <t>Other Investments</t>
  </si>
  <si>
    <t>Weatherization</t>
  </si>
  <si>
    <t>Misc. Reg. Assets</t>
  </si>
  <si>
    <t>p. 2.35</t>
  </si>
  <si>
    <t>misc. Def. Debits</t>
  </si>
  <si>
    <t>Nuclear-trojan</t>
  </si>
  <si>
    <t>p. 2.36</t>
  </si>
  <si>
    <t>unrecovered plant</t>
  </si>
  <si>
    <t>B16, p2</t>
  </si>
  <si>
    <t>powerdale</t>
  </si>
  <si>
    <t>Trail Mtn</t>
  </si>
  <si>
    <t>Reg assets</t>
  </si>
  <si>
    <t>B16</t>
  </si>
  <si>
    <t>other deferred credits</t>
  </si>
  <si>
    <t>B13p5</t>
  </si>
  <si>
    <t>B14p3</t>
  </si>
  <si>
    <t>B15p4</t>
  </si>
  <si>
    <t>see p 2.35 sum</t>
  </si>
  <si>
    <t>other reg liab.</t>
  </si>
  <si>
    <t>B15p5</t>
  </si>
  <si>
    <t>ARO</t>
  </si>
  <si>
    <t>Form 1</t>
  </si>
  <si>
    <t>B14p1</t>
  </si>
  <si>
    <t>Accum. Def. Inc.Tax</t>
  </si>
  <si>
    <t>Other States</t>
  </si>
  <si>
    <t>p2.37, B19</t>
  </si>
  <si>
    <t>Total per RBD-3</t>
  </si>
  <si>
    <t>p. 2.36, B15</t>
  </si>
  <si>
    <t>AccumPen&amp;Ben Obligation</t>
  </si>
  <si>
    <t>AccumOther Operating</t>
  </si>
  <si>
    <t>B15</t>
  </si>
  <si>
    <t>Accum. Invest Tax Credit</t>
  </si>
  <si>
    <t>p. 2.37</t>
  </si>
  <si>
    <t>ADIT - Other Prop</t>
  </si>
  <si>
    <t>ADIT-Other</t>
  </si>
  <si>
    <t>p. 2.37, B19</t>
  </si>
  <si>
    <t>Total investment</t>
  </si>
  <si>
    <t>capital allocated</t>
  </si>
  <si>
    <t>Allocated ISWC</t>
  </si>
  <si>
    <t>ratio of WA tototal</t>
  </si>
  <si>
    <t>Accum. Inj. &amp; Damages</t>
  </si>
  <si>
    <t>Investments</t>
  </si>
  <si>
    <t>Invested Capital</t>
  </si>
  <si>
    <t>allocation if in investments</t>
  </si>
  <si>
    <t>Washington</t>
  </si>
  <si>
    <t>Non-utility</t>
  </si>
  <si>
    <t>Total Liability + Owners Equity check &gt;&gt;</t>
  </si>
  <si>
    <t>Assets less Liabilities and Owners Equity check</t>
  </si>
  <si>
    <t>Investments Allocated</t>
  </si>
  <si>
    <t>Total Current Assets and Current Liabilities-Adjusted</t>
  </si>
  <si>
    <t>Total Investments and Invested Capital-Adjusted</t>
  </si>
  <si>
    <t>Investor-Supplied Working Capital</t>
  </si>
  <si>
    <t xml:space="preserve">Allocation Percentages </t>
  </si>
  <si>
    <t>Allocated Investor-supplied Working Capital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</si>
  <si>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</si>
  <si>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</si>
  <si>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</si>
  <si>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</si>
  <si>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</si>
  <si>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</si>
  <si>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</si>
  <si>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</si>
  <si>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</si>
  <si>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</si>
  <si>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</si>
  <si>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</si>
  <si>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</si>
  <si>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</si>
  <si>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</si>
  <si>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</si>
  <si>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</si>
  <si>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</si>
  <si>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</si>
  <si>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</si>
  <si>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</si>
  <si>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</si>
  <si>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</si>
  <si>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</si>
  <si>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check figures</t>
  </si>
  <si>
    <t>ISWC</t>
  </si>
  <si>
    <t>NON-Utility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</si>
</sst>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#,##0.0000000"/>
    <numFmt numFmtId="166" formatCode="_(* #,##0.0_);_(* \(#,##0.0\);_(* &quot;-&quot;??_);_(@_)"/>
    <numFmt numFmtId="167" formatCode="_(* #,##0_);_(* \(#,##0\);_(* &quot;-&quot;??_);_(@_)"/>
    <numFmt numFmtId="168" formatCode="&quot;$&quot;#,##0.0;\(&quot;$&quot;#,##0.0\)"/>
    <numFmt numFmtId="169" formatCode="&quot;$&quot;#,##0;\(&quot;$&quot;#,##0\)"/>
    <numFmt numFmtId="170" formatCode="[$-409]dddd\,\ mmmm\ dd\,\ yyyy"/>
    <numFmt numFmtId="171" formatCode="[$-409]mmm\-yy;@"/>
    <numFmt numFmtId="172" formatCode="dd\-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7" fontId="0" fillId="0" borderId="0" xfId="42" applyNumberFormat="1" applyFont="1" applyAlignment="1">
      <alignment/>
    </xf>
    <xf numFmtId="189" fontId="0" fillId="0" borderId="0" xfId="44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55" applyFont="1" applyFill="1" applyBorder="1" applyAlignment="1">
      <alignment horizontal="center"/>
      <protection/>
    </xf>
    <xf numFmtId="171" fontId="6" fillId="0" borderId="10" xfId="42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/>
      <protection/>
    </xf>
    <xf numFmtId="0" fontId="6" fillId="33" borderId="10" xfId="55" applyFont="1" applyFill="1" applyBorder="1" applyAlignment="1">
      <alignment horizontal="center"/>
      <protection/>
    </xf>
    <xf numFmtId="167" fontId="5" fillId="0" borderId="0" xfId="42" applyNumberFormat="1" applyFont="1" applyAlignment="1">
      <alignment/>
    </xf>
    <xf numFmtId="167" fontId="6" fillId="0" borderId="11" xfId="42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10" fontId="5" fillId="0" borderId="0" xfId="58" applyNumberFormat="1" applyFont="1" applyAlignment="1">
      <alignment/>
    </xf>
    <xf numFmtId="167" fontId="5" fillId="0" borderId="12" xfId="0" applyNumberFormat="1" applyFont="1" applyBorder="1" applyAlignment="1">
      <alignment/>
    </xf>
    <xf numFmtId="9" fontId="5" fillId="0" borderId="0" xfId="58" applyFont="1" applyAlignment="1">
      <alignment/>
    </xf>
    <xf numFmtId="167" fontId="6" fillId="0" borderId="0" xfId="42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7" fontId="5" fillId="0" borderId="0" xfId="42" applyNumberFormat="1" applyFont="1" applyFill="1" applyAlignment="1">
      <alignment/>
    </xf>
    <xf numFmtId="167" fontId="44" fillId="0" borderId="0" xfId="0" applyNumberFormat="1" applyFont="1" applyFill="1" applyAlignment="1">
      <alignment/>
    </xf>
    <xf numFmtId="167" fontId="5" fillId="0" borderId="12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167" fontId="5" fillId="0" borderId="0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0" fontId="7" fillId="0" borderId="11" xfId="55" applyFont="1" applyFill="1" applyBorder="1" applyAlignment="1">
      <alignment/>
      <protection/>
    </xf>
    <xf numFmtId="167" fontId="7" fillId="0" borderId="11" xfId="42" applyNumberFormat="1" applyFont="1" applyFill="1" applyBorder="1" applyAlignment="1">
      <alignment horizontal="right"/>
    </xf>
    <xf numFmtId="167" fontId="8" fillId="0" borderId="0" xfId="0" applyNumberFormat="1" applyFont="1" applyFill="1" applyAlignment="1">
      <alignment/>
    </xf>
    <xf numFmtId="10" fontId="5" fillId="0" borderId="0" xfId="58" applyNumberFormat="1" applyFont="1" applyFill="1" applyAlignment="1">
      <alignment/>
    </xf>
    <xf numFmtId="167" fontId="8" fillId="0" borderId="13" xfId="0" applyNumberFormat="1" applyFont="1" applyFill="1" applyBorder="1" applyAlignment="1">
      <alignment/>
    </xf>
    <xf numFmtId="167" fontId="8" fillId="0" borderId="13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167" fontId="8" fillId="0" borderId="14" xfId="0" applyNumberFormat="1" applyFont="1" applyFill="1" applyBorder="1" applyAlignment="1">
      <alignment/>
    </xf>
    <xf numFmtId="167" fontId="8" fillId="0" borderId="0" xfId="0" applyNumberFormat="1" applyFont="1" applyAlignment="1">
      <alignment/>
    </xf>
    <xf numFmtId="167" fontId="5" fillId="0" borderId="12" xfId="42" applyNumberFormat="1" applyFont="1" applyBorder="1" applyAlignment="1">
      <alignment/>
    </xf>
    <xf numFmtId="167" fontId="5" fillId="0" borderId="0" xfId="42" applyNumberFormat="1" applyFont="1" applyBorder="1" applyAlignment="1">
      <alignment/>
    </xf>
    <xf numFmtId="167" fontId="8" fillId="0" borderId="15" xfId="0" applyNumberFormat="1" applyFont="1" applyFill="1" applyBorder="1" applyAlignment="1">
      <alignment/>
    </xf>
    <xf numFmtId="167" fontId="8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1" xfId="55" applyFont="1" applyFill="1" applyBorder="1" applyAlignment="1">
      <alignment horizontal="right"/>
      <protection/>
    </xf>
    <xf numFmtId="179" fontId="5" fillId="0" borderId="0" xfId="58" applyNumberFormat="1" applyFont="1" applyAlignment="1">
      <alignment/>
    </xf>
    <xf numFmtId="167" fontId="44" fillId="0" borderId="0" xfId="0" applyNumberFormat="1" applyFont="1" applyAlignment="1">
      <alignment/>
    </xf>
    <xf numFmtId="0" fontId="8" fillId="0" borderId="0" xfId="0" applyFont="1" applyAlignment="1">
      <alignment/>
    </xf>
    <xf numFmtId="167" fontId="8" fillId="0" borderId="0" xfId="42" applyNumberFormat="1" applyFont="1" applyAlignment="1">
      <alignment/>
    </xf>
    <xf numFmtId="10" fontId="5" fillId="0" borderId="0" xfId="0" applyNumberFormat="1" applyFont="1" applyFill="1" applyAlignment="1">
      <alignment/>
    </xf>
    <xf numFmtId="167" fontId="5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42" applyNumberFormat="1" applyFont="1" applyFill="1" applyAlignment="1">
      <alignment/>
    </xf>
    <xf numFmtId="0" fontId="0" fillId="0" borderId="11" xfId="55" applyFont="1" applyFill="1" applyBorder="1" applyAlignment="1">
      <alignment/>
      <protection/>
    </xf>
    <xf numFmtId="167" fontId="0" fillId="0" borderId="0" xfId="0" applyNumberFormat="1" applyFont="1" applyFill="1" applyAlignment="1">
      <alignment/>
    </xf>
    <xf numFmtId="179" fontId="0" fillId="0" borderId="0" xfId="58" applyNumberFormat="1" applyFont="1" applyFill="1" applyAlignment="1">
      <alignment/>
    </xf>
    <xf numFmtId="167" fontId="0" fillId="0" borderId="12" xfId="42" applyNumberFormat="1" applyFont="1" applyFill="1" applyBorder="1" applyAlignment="1">
      <alignment/>
    </xf>
    <xf numFmtId="9" fontId="0" fillId="0" borderId="0" xfId="58" applyFont="1" applyFill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8"/>
  <sheetViews>
    <sheetView tabSelected="1" zoomScale="81" zoomScaleNormal="81" zoomScalePageLayoutView="0" workbookViewId="0" topLeftCell="A1">
      <pane xSplit="2" ySplit="2" topLeftCell="U42" activePane="bottomRight" state="frozen"/>
      <selection pane="topLeft" activeCell="X76" sqref="X76"/>
      <selection pane="topRight" activeCell="X76" sqref="X76"/>
      <selection pane="bottomLeft" activeCell="X76" sqref="X76"/>
      <selection pane="bottomRight" activeCell="X76" sqref="X76"/>
    </sheetView>
  </sheetViews>
  <sheetFormatPr defaultColWidth="9.140625" defaultRowHeight="12.75"/>
  <cols>
    <col min="1" max="1" width="5.28125" style="3" bestFit="1" customWidth="1"/>
    <col min="2" max="2" width="62.00390625" style="3" bestFit="1" customWidth="1"/>
    <col min="3" max="15" width="16.421875" style="3" customWidth="1"/>
    <col min="16" max="16" width="18.57421875" style="3" bestFit="1" customWidth="1"/>
    <col min="17" max="17" width="20.140625" style="3" hidden="1" customWidth="1"/>
    <col min="18" max="18" width="11.28125" style="3" hidden="1" customWidth="1"/>
    <col min="19" max="19" width="3.57421875" style="3" customWidth="1"/>
    <col min="20" max="20" width="16.7109375" style="3" customWidth="1"/>
    <col min="21" max="21" width="16.7109375" style="3" bestFit="1" customWidth="1"/>
    <col min="22" max="22" width="18.00390625" style="3" customWidth="1"/>
    <col min="23" max="23" width="17.7109375" style="3" customWidth="1"/>
    <col min="24" max="24" width="15.7109375" style="3" customWidth="1"/>
    <col min="25" max="25" width="18.00390625" style="3" customWidth="1"/>
    <col min="26" max="26" width="16.8515625" style="3" customWidth="1"/>
    <col min="27" max="27" width="16.421875" style="3" customWidth="1"/>
    <col min="28" max="28" width="11.140625" style="3" bestFit="1" customWidth="1"/>
    <col min="29" max="29" width="13.140625" style="3" bestFit="1" customWidth="1"/>
    <col min="30" max="16384" width="9.140625" style="3" customWidth="1"/>
  </cols>
  <sheetData>
    <row r="1" spans="2:27" ht="15.75">
      <c r="B1" s="4" t="s">
        <v>235</v>
      </c>
      <c r="C1" s="4" t="s">
        <v>236</v>
      </c>
      <c r="D1" s="4" t="s">
        <v>237</v>
      </c>
      <c r="E1" s="4" t="s">
        <v>238</v>
      </c>
      <c r="F1" s="4" t="s">
        <v>239</v>
      </c>
      <c r="G1" s="4" t="s">
        <v>240</v>
      </c>
      <c r="H1" s="4" t="s">
        <v>241</v>
      </c>
      <c r="I1" s="4" t="s">
        <v>242</v>
      </c>
      <c r="J1" s="4" t="s">
        <v>243</v>
      </c>
      <c r="K1" s="4" t="s">
        <v>244</v>
      </c>
      <c r="L1" s="4" t="s">
        <v>245</v>
      </c>
      <c r="M1" s="4" t="s">
        <v>246</v>
      </c>
      <c r="N1" s="4" t="s">
        <v>247</v>
      </c>
      <c r="O1" s="4" t="s">
        <v>248</v>
      </c>
      <c r="P1" s="4" t="s">
        <v>249</v>
      </c>
      <c r="Q1" s="4"/>
      <c r="R1" s="4"/>
      <c r="T1" s="4" t="s">
        <v>250</v>
      </c>
      <c r="U1" s="4" t="s">
        <v>251</v>
      </c>
      <c r="V1" s="4" t="s">
        <v>252</v>
      </c>
      <c r="W1" s="4" t="s">
        <v>253</v>
      </c>
      <c r="X1" s="4" t="s">
        <v>254</v>
      </c>
      <c r="Y1" s="4" t="s">
        <v>255</v>
      </c>
      <c r="Z1" s="4" t="s">
        <v>256</v>
      </c>
      <c r="AA1" s="4" t="s">
        <v>257</v>
      </c>
    </row>
    <row r="2" spans="1:27" ht="15.75">
      <c r="A2" s="4" t="s">
        <v>234</v>
      </c>
      <c r="B2" s="5" t="s">
        <v>149</v>
      </c>
      <c r="C2" s="6">
        <v>39783</v>
      </c>
      <c r="D2" s="6">
        <v>39814</v>
      </c>
      <c r="E2" s="6">
        <v>39845</v>
      </c>
      <c r="F2" s="6">
        <v>39873</v>
      </c>
      <c r="G2" s="6">
        <v>39904</v>
      </c>
      <c r="H2" s="6">
        <v>39934</v>
      </c>
      <c r="I2" s="6">
        <v>39965</v>
      </c>
      <c r="J2" s="6">
        <v>39995</v>
      </c>
      <c r="K2" s="6">
        <v>40026</v>
      </c>
      <c r="L2" s="6">
        <v>40057</v>
      </c>
      <c r="M2" s="6">
        <v>40087</v>
      </c>
      <c r="N2" s="6">
        <v>40118</v>
      </c>
      <c r="O2" s="6">
        <v>40148</v>
      </c>
      <c r="P2" s="4" t="s">
        <v>150</v>
      </c>
      <c r="Q2" s="7" t="s">
        <v>151</v>
      </c>
      <c r="R2" s="7" t="s">
        <v>152</v>
      </c>
      <c r="T2" s="4" t="s">
        <v>154</v>
      </c>
      <c r="U2" s="4" t="s">
        <v>155</v>
      </c>
      <c r="V2" s="4" t="s">
        <v>221</v>
      </c>
      <c r="W2" s="4" t="s">
        <v>222</v>
      </c>
      <c r="X2" s="57" t="s">
        <v>228</v>
      </c>
      <c r="Y2" s="57"/>
      <c r="Z2" s="57"/>
      <c r="AA2" s="8" t="s">
        <v>258</v>
      </c>
    </row>
    <row r="3" spans="2:26" ht="15.75"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X3" s="4" t="s">
        <v>224</v>
      </c>
      <c r="Y3" s="4" t="s">
        <v>204</v>
      </c>
      <c r="Z3" s="4" t="s">
        <v>225</v>
      </c>
    </row>
    <row r="4" spans="1:28" s="7" customFormat="1" ht="15.75">
      <c r="A4" s="7">
        <v>1</v>
      </c>
      <c r="B4" s="10" t="s">
        <v>0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  <c r="O4" s="11" t="s">
        <v>1</v>
      </c>
      <c r="R4" s="7" t="s">
        <v>153</v>
      </c>
      <c r="X4" s="12"/>
      <c r="Y4" s="12"/>
      <c r="Z4" s="12"/>
      <c r="AA4" s="12"/>
      <c r="AB4" s="12"/>
    </row>
    <row r="5" spans="1:28" s="7" customFormat="1" ht="15.75">
      <c r="A5" s="7">
        <f>+A4+1</f>
        <v>2</v>
      </c>
      <c r="B5" s="10" t="s">
        <v>2</v>
      </c>
      <c r="C5" s="13">
        <v>18462953925.46</v>
      </c>
      <c r="D5" s="13">
        <v>18786341477.36</v>
      </c>
      <c r="E5" s="13">
        <v>18834918849.64</v>
      </c>
      <c r="F5" s="13">
        <v>18851570721.47</v>
      </c>
      <c r="G5" s="13">
        <v>18918194846.66</v>
      </c>
      <c r="H5" s="13">
        <v>19064948169.39</v>
      </c>
      <c r="I5" s="13">
        <v>19188097906.52</v>
      </c>
      <c r="J5" s="13">
        <v>19265120286.92</v>
      </c>
      <c r="K5" s="13">
        <v>19293835946.96</v>
      </c>
      <c r="L5" s="13">
        <v>19621760845.54</v>
      </c>
      <c r="M5" s="13">
        <v>19654245052.25</v>
      </c>
      <c r="N5" s="13">
        <v>19722568096.41</v>
      </c>
      <c r="O5" s="13">
        <v>19881830192.27</v>
      </c>
      <c r="P5" s="14">
        <f>(C5+2*SUM(D5:N5)+O5)/24</f>
        <v>19197832854.83209</v>
      </c>
      <c r="Q5" s="14">
        <f>AVERAGE(D5:O5)</f>
        <v>19256952699.2825</v>
      </c>
      <c r="R5" s="15">
        <f>+Q5/P5-1</f>
        <v>0.003079506155588385</v>
      </c>
      <c r="V5" s="14">
        <f>+P5</f>
        <v>19197832854.83209</v>
      </c>
      <c r="X5" s="12">
        <f>+'Tab 2 accounts'!F11</f>
        <v>1398781151</v>
      </c>
      <c r="Y5" s="12">
        <f>+'Tab 2 accounts'!G11</f>
        <v>17653526041</v>
      </c>
      <c r="Z5" s="12">
        <f>+'Tab 2 accounts'!H5</f>
        <v>145525662.83208847</v>
      </c>
      <c r="AA5" s="12">
        <f>+Z5+X5+Y5</f>
        <v>19197832854.83209</v>
      </c>
      <c r="AB5" s="12"/>
    </row>
    <row r="6" spans="1:28" s="7" customFormat="1" ht="15.75">
      <c r="A6" s="7">
        <f aca="true" t="shared" si="0" ref="A6:A69">+A5+1</f>
        <v>3</v>
      </c>
      <c r="B6" s="10" t="s">
        <v>3</v>
      </c>
      <c r="C6" s="13">
        <v>1208785535.57</v>
      </c>
      <c r="D6" s="13">
        <v>998812757.77</v>
      </c>
      <c r="E6" s="13">
        <v>1103232317.19</v>
      </c>
      <c r="F6" s="13">
        <v>1205453077.54</v>
      </c>
      <c r="G6" s="13">
        <v>1318784441.21</v>
      </c>
      <c r="H6" s="13">
        <v>1424174660.53</v>
      </c>
      <c r="I6" s="13">
        <v>1484557048.45</v>
      </c>
      <c r="J6" s="13">
        <v>1586480306.06</v>
      </c>
      <c r="K6" s="13">
        <v>1731888783.73</v>
      </c>
      <c r="L6" s="13">
        <v>1590374104.09</v>
      </c>
      <c r="M6" s="13">
        <v>1709055013.34</v>
      </c>
      <c r="N6" s="13">
        <v>1792384222.56</v>
      </c>
      <c r="O6" s="13">
        <v>1799367394.26</v>
      </c>
      <c r="P6" s="14">
        <f aca="true" t="shared" si="1" ref="P6:P69">(C6+2*SUM(D6:N6)+O6)/24</f>
        <v>1454106099.7820833</v>
      </c>
      <c r="Q6" s="14">
        <f aca="true" t="shared" si="2" ref="Q6:Q70">AVERAGE(D6:O6)</f>
        <v>1478713677.2275</v>
      </c>
      <c r="R6" s="15">
        <f>+Q6/P6-1</f>
        <v>0.016922821140152422</v>
      </c>
      <c r="V6" s="14">
        <f>+P6</f>
        <v>1454106099.7820833</v>
      </c>
      <c r="X6" s="12"/>
      <c r="Y6" s="12"/>
      <c r="Z6" s="12">
        <f>+V6</f>
        <v>1454106099.7820833</v>
      </c>
      <c r="AA6" s="12">
        <f>+Z6+X6+Y6</f>
        <v>1454106099.7820833</v>
      </c>
      <c r="AB6" s="12"/>
    </row>
    <row r="7" spans="1:28" s="7" customFormat="1" ht="15.75">
      <c r="A7" s="7">
        <f t="shared" si="0"/>
        <v>4</v>
      </c>
      <c r="B7" s="10" t="s">
        <v>4</v>
      </c>
      <c r="C7" s="13">
        <v>19671739461.03</v>
      </c>
      <c r="D7" s="13">
        <v>19785154235.13</v>
      </c>
      <c r="E7" s="13">
        <v>19938151166.829998</v>
      </c>
      <c r="F7" s="13">
        <v>20057023799.010002</v>
      </c>
      <c r="G7" s="13">
        <v>20236979287.87</v>
      </c>
      <c r="H7" s="13">
        <v>20489122829.92</v>
      </c>
      <c r="I7" s="13">
        <v>20672654954.97</v>
      </c>
      <c r="J7" s="13">
        <v>20851600592.98</v>
      </c>
      <c r="K7" s="13">
        <v>21025724730.69</v>
      </c>
      <c r="L7" s="13">
        <v>21212134949.63</v>
      </c>
      <c r="M7" s="13">
        <v>21363300065.59</v>
      </c>
      <c r="N7" s="13">
        <v>21514952318.97</v>
      </c>
      <c r="O7" s="13">
        <v>21681197586.53</v>
      </c>
      <c r="P7" s="14">
        <f t="shared" si="1"/>
        <v>20651938954.614166</v>
      </c>
      <c r="Q7" s="14">
        <f t="shared" si="2"/>
        <v>20735666376.51</v>
      </c>
      <c r="R7" s="15">
        <f>+Q7/P7-1</f>
        <v>0.004054216026874613</v>
      </c>
      <c r="X7" s="12"/>
      <c r="Y7" s="12"/>
      <c r="Z7" s="12"/>
      <c r="AA7" s="12"/>
      <c r="AB7" s="12"/>
    </row>
    <row r="8" spans="1:28" s="7" customFormat="1" ht="15.75">
      <c r="A8" s="7">
        <f t="shared" si="0"/>
        <v>5</v>
      </c>
      <c r="B8" s="10" t="s">
        <v>5</v>
      </c>
      <c r="C8" s="13">
        <v>6848927351.38</v>
      </c>
      <c r="D8" s="13">
        <v>6883423428.62</v>
      </c>
      <c r="E8" s="13">
        <v>6917821150.85</v>
      </c>
      <c r="F8" s="13">
        <v>6921132988.42</v>
      </c>
      <c r="G8" s="13">
        <v>6955417901.5</v>
      </c>
      <c r="H8" s="13">
        <v>7035499223.46</v>
      </c>
      <c r="I8" s="13">
        <v>7049608693.69</v>
      </c>
      <c r="J8" s="13">
        <v>7079529385.58</v>
      </c>
      <c r="K8" s="13">
        <v>7105320876.9</v>
      </c>
      <c r="L8" s="13">
        <v>7131489433.26</v>
      </c>
      <c r="M8" s="13">
        <v>7152724498.15</v>
      </c>
      <c r="N8" s="13">
        <v>7187530245.56</v>
      </c>
      <c r="O8" s="13">
        <v>7199824404.39</v>
      </c>
      <c r="P8" s="14">
        <f t="shared" si="1"/>
        <v>7036989475.322918</v>
      </c>
      <c r="Q8" s="14">
        <f t="shared" si="2"/>
        <v>7051610185.865001</v>
      </c>
      <c r="R8" s="15">
        <f>+Q8/P8-1</f>
        <v>0.0020776939617934698</v>
      </c>
      <c r="V8" s="14">
        <f>-P8</f>
        <v>-7036989475.322918</v>
      </c>
      <c r="X8" s="12">
        <f>+'Tab 2 accounts'!F26</f>
        <v>-537798929</v>
      </c>
      <c r="Y8" s="12">
        <f>+'Tab 2 accounts'!G26</f>
        <v>-6465837397</v>
      </c>
      <c r="Z8" s="12">
        <f>+'Tab 2 accounts'!H22</f>
        <v>-33353149.32291794</v>
      </c>
      <c r="AA8" s="12">
        <f>+Z8+X8+Y8</f>
        <v>-7036989475.322918</v>
      </c>
      <c r="AB8" s="12"/>
    </row>
    <row r="9" spans="1:28" s="7" customFormat="1" ht="15.75">
      <c r="A9" s="7">
        <f t="shared" si="0"/>
        <v>6</v>
      </c>
      <c r="B9" s="10" t="s">
        <v>6</v>
      </c>
      <c r="C9" s="13">
        <v>12822812109.65</v>
      </c>
      <c r="D9" s="13">
        <v>12901730806.51</v>
      </c>
      <c r="E9" s="13">
        <v>13020330015.98</v>
      </c>
      <c r="F9" s="13">
        <v>13135890810.59</v>
      </c>
      <c r="G9" s="13">
        <v>13281561386.369999</v>
      </c>
      <c r="H9" s="13">
        <v>13453623606.459997</v>
      </c>
      <c r="I9" s="13">
        <v>13623046261.28</v>
      </c>
      <c r="J9" s="13">
        <v>13772071207.399998</v>
      </c>
      <c r="K9" s="13">
        <v>13920403853.789997</v>
      </c>
      <c r="L9" s="13">
        <v>14080645516.369999</v>
      </c>
      <c r="M9" s="13">
        <v>14210575567.439999</v>
      </c>
      <c r="N9" s="13">
        <v>14327422073.410002</v>
      </c>
      <c r="O9" s="13">
        <v>14481373182.139997</v>
      </c>
      <c r="P9" s="14">
        <f t="shared" si="1"/>
        <v>13614949479.29125</v>
      </c>
      <c r="Q9" s="14">
        <f t="shared" si="2"/>
        <v>13684056190.644997</v>
      </c>
      <c r="R9" s="15">
        <f aca="true" t="shared" si="3" ref="R9:R75">+Q9/P9-1</f>
        <v>0.0050757963853527155</v>
      </c>
      <c r="X9" s="12"/>
      <c r="Y9" s="12"/>
      <c r="Z9" s="12"/>
      <c r="AA9" s="12"/>
      <c r="AB9" s="12"/>
    </row>
    <row r="10" spans="1:28" s="7" customFormat="1" ht="15.75">
      <c r="A10" s="7">
        <f t="shared" si="0"/>
        <v>7</v>
      </c>
      <c r="B10" s="10" t="s">
        <v>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4">
        <f t="shared" si="1"/>
        <v>0</v>
      </c>
      <c r="Q10" s="14">
        <f t="shared" si="2"/>
        <v>0</v>
      </c>
      <c r="R10" s="15"/>
      <c r="X10" s="12"/>
      <c r="Y10" s="12"/>
      <c r="Z10" s="12"/>
      <c r="AA10" s="12"/>
      <c r="AB10" s="12"/>
    </row>
    <row r="11" spans="1:28" s="7" customFormat="1" ht="15.75">
      <c r="A11" s="7">
        <f t="shared" si="0"/>
        <v>8</v>
      </c>
      <c r="B11" s="10" t="s">
        <v>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4">
        <f t="shared" si="1"/>
        <v>0</v>
      </c>
      <c r="Q11" s="14">
        <f t="shared" si="2"/>
        <v>0</v>
      </c>
      <c r="R11" s="15"/>
      <c r="X11" s="12"/>
      <c r="Y11" s="12"/>
      <c r="Z11" s="12"/>
      <c r="AA11" s="12"/>
      <c r="AB11" s="12"/>
    </row>
    <row r="12" spans="1:28" s="7" customFormat="1" ht="15.75">
      <c r="A12" s="7">
        <f t="shared" si="0"/>
        <v>9</v>
      </c>
      <c r="B12" s="10" t="s">
        <v>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4">
        <f t="shared" si="1"/>
        <v>0</v>
      </c>
      <c r="Q12" s="14">
        <f t="shared" si="2"/>
        <v>0</v>
      </c>
      <c r="R12" s="15"/>
      <c r="X12" s="12"/>
      <c r="Y12" s="12"/>
      <c r="Z12" s="12"/>
      <c r="AA12" s="12"/>
      <c r="AB12" s="12"/>
    </row>
    <row r="13" spans="1:28" s="7" customFormat="1" ht="15.75">
      <c r="A13" s="7">
        <f t="shared" si="0"/>
        <v>10</v>
      </c>
      <c r="B13" s="10" t="s">
        <v>10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4">
        <f t="shared" si="2"/>
        <v>0</v>
      </c>
      <c r="R13" s="15"/>
      <c r="X13" s="12"/>
      <c r="Y13" s="12"/>
      <c r="Z13" s="12"/>
      <c r="AA13" s="12"/>
      <c r="AB13" s="12"/>
    </row>
    <row r="14" spans="1:28" s="7" customFormat="1" ht="15.75">
      <c r="A14" s="7">
        <f t="shared" si="0"/>
        <v>11</v>
      </c>
      <c r="B14" s="10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1"/>
        <v>0</v>
      </c>
      <c r="Q14" s="14">
        <f t="shared" si="2"/>
        <v>0</v>
      </c>
      <c r="R14" s="15"/>
      <c r="X14" s="12"/>
      <c r="Y14" s="12"/>
      <c r="Z14" s="12"/>
      <c r="AA14" s="12"/>
      <c r="AB14" s="12"/>
    </row>
    <row r="15" spans="1:28" s="7" customFormat="1" ht="15.75">
      <c r="A15" s="7">
        <f t="shared" si="0"/>
        <v>12</v>
      </c>
      <c r="B15" s="10" t="s">
        <v>12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si="1"/>
        <v>0</v>
      </c>
      <c r="Q15" s="14">
        <f t="shared" si="2"/>
        <v>0</v>
      </c>
      <c r="R15" s="15"/>
      <c r="X15" s="12"/>
      <c r="Y15" s="12"/>
      <c r="Z15" s="12"/>
      <c r="AA15" s="12"/>
      <c r="AB15" s="12"/>
    </row>
    <row r="16" spans="1:28" s="7" customFormat="1" ht="15.75">
      <c r="A16" s="7">
        <f t="shared" si="0"/>
        <v>13</v>
      </c>
      <c r="B16" s="10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4">
        <f t="shared" si="1"/>
        <v>0</v>
      </c>
      <c r="Q16" s="14">
        <f t="shared" si="2"/>
        <v>0</v>
      </c>
      <c r="R16" s="15"/>
      <c r="X16" s="12"/>
      <c r="Y16" s="12"/>
      <c r="Z16" s="12"/>
      <c r="AA16" s="12"/>
      <c r="AB16" s="12"/>
    </row>
    <row r="17" spans="1:28" s="7" customFormat="1" ht="15.75">
      <c r="A17" s="7">
        <f t="shared" si="0"/>
        <v>14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f t="shared" si="1"/>
        <v>0</v>
      </c>
      <c r="Q17" s="14">
        <f t="shared" si="2"/>
        <v>0</v>
      </c>
      <c r="R17" s="15"/>
      <c r="X17" s="12"/>
      <c r="Y17" s="12"/>
      <c r="Z17" s="12"/>
      <c r="AA17" s="12"/>
      <c r="AB17" s="12"/>
    </row>
    <row r="18" spans="1:28" s="7" customFormat="1" ht="15.75">
      <c r="A18" s="7">
        <f t="shared" si="0"/>
        <v>15</v>
      </c>
      <c r="B18" s="10" t="s">
        <v>6</v>
      </c>
      <c r="C18" s="13">
        <v>12822812109.65</v>
      </c>
      <c r="D18" s="13">
        <v>12901730806.51</v>
      </c>
      <c r="E18" s="13">
        <v>13020330015.98</v>
      </c>
      <c r="F18" s="13">
        <v>13135890810.59</v>
      </c>
      <c r="G18" s="13">
        <v>13281561386.369999</v>
      </c>
      <c r="H18" s="13">
        <v>13453623606.459997</v>
      </c>
      <c r="I18" s="13">
        <v>13623046261.28</v>
      </c>
      <c r="J18" s="13">
        <v>13772071207.399998</v>
      </c>
      <c r="K18" s="13">
        <v>13920403853.789997</v>
      </c>
      <c r="L18" s="13">
        <v>14080645516.369999</v>
      </c>
      <c r="M18" s="13">
        <v>14210575567.439999</v>
      </c>
      <c r="N18" s="13">
        <v>14327422073.410002</v>
      </c>
      <c r="O18" s="13">
        <v>14481373182.139997</v>
      </c>
      <c r="P18" s="14">
        <f t="shared" si="1"/>
        <v>13614949479.29125</v>
      </c>
      <c r="Q18" s="14">
        <f t="shared" si="2"/>
        <v>13684056190.644997</v>
      </c>
      <c r="R18" s="15">
        <f t="shared" si="3"/>
        <v>0.0050757963853527155</v>
      </c>
      <c r="V18" s="16">
        <f>SUBTOTAL(9,V5:V8)</f>
        <v>13614949479.291252</v>
      </c>
      <c r="W18" s="16">
        <f>SUBTOTAL(9,W5:W8)</f>
        <v>0</v>
      </c>
      <c r="X18" s="16">
        <f>SUBTOTAL(9,X5:X8)</f>
        <v>860982222</v>
      </c>
      <c r="Y18" s="16">
        <f>SUBTOTAL(9,Y5:Y8)</f>
        <v>11187688644</v>
      </c>
      <c r="Z18" s="16">
        <f>SUBTOTAL(9,Z5:Z8)</f>
        <v>1566278613.2912538</v>
      </c>
      <c r="AA18" s="12">
        <f>+Z18+Y18+X18</f>
        <v>13614949479.291254</v>
      </c>
      <c r="AB18" s="12"/>
    </row>
    <row r="19" spans="1:28" s="7" customFormat="1" ht="15.75">
      <c r="A19" s="7">
        <f t="shared" si="0"/>
        <v>16</v>
      </c>
      <c r="B19" s="10" t="s">
        <v>157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1"/>
        <v>0</v>
      </c>
      <c r="Q19" s="14">
        <f t="shared" si="2"/>
        <v>0</v>
      </c>
      <c r="R19" s="15"/>
      <c r="X19" s="17"/>
      <c r="Y19" s="17"/>
      <c r="Z19" s="17"/>
      <c r="AA19" s="12"/>
      <c r="AB19" s="12"/>
    </row>
    <row r="20" spans="1:28" s="7" customFormat="1" ht="15.75">
      <c r="A20" s="7">
        <f t="shared" si="0"/>
        <v>17</v>
      </c>
      <c r="B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4"/>
      <c r="Q20" s="14"/>
      <c r="R20" s="15"/>
      <c r="X20" s="17"/>
      <c r="Y20" s="17"/>
      <c r="Z20" s="17"/>
      <c r="AA20" s="12"/>
      <c r="AB20" s="12"/>
    </row>
    <row r="21" spans="1:28" s="7" customFormat="1" ht="15.75">
      <c r="A21" s="7">
        <f t="shared" si="0"/>
        <v>18</v>
      </c>
      <c r="B21" s="10" t="s">
        <v>14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"/>
      <c r="Q21" s="14"/>
      <c r="R21" s="15"/>
      <c r="X21" s="12"/>
      <c r="Y21" s="12"/>
      <c r="Z21" s="12"/>
      <c r="AA21" s="12"/>
      <c r="AB21" s="12"/>
    </row>
    <row r="22" spans="1:28" s="7" customFormat="1" ht="15.75">
      <c r="A22" s="7">
        <f t="shared" si="0"/>
        <v>19</v>
      </c>
      <c r="B22" s="10" t="s">
        <v>15</v>
      </c>
      <c r="C22" s="13">
        <v>9497834.33</v>
      </c>
      <c r="D22" s="13">
        <v>9475485.3</v>
      </c>
      <c r="E22" s="13">
        <v>9736935.98</v>
      </c>
      <c r="F22" s="13">
        <v>9651518.16</v>
      </c>
      <c r="G22" s="13">
        <v>9669508.19</v>
      </c>
      <c r="H22" s="13">
        <v>9669508.19</v>
      </c>
      <c r="I22" s="13">
        <v>9670968.26</v>
      </c>
      <c r="J22" s="13">
        <v>9678151.12</v>
      </c>
      <c r="K22" s="13">
        <v>9804451.48</v>
      </c>
      <c r="L22" s="13">
        <v>9804451.48</v>
      </c>
      <c r="M22" s="13">
        <v>9751059.2</v>
      </c>
      <c r="N22" s="13">
        <v>9751059.2</v>
      </c>
      <c r="O22" s="13">
        <v>11538313.5</v>
      </c>
      <c r="P22" s="14">
        <f t="shared" si="1"/>
        <v>9765097.539583335</v>
      </c>
      <c r="Q22" s="14">
        <f t="shared" si="2"/>
        <v>9850117.505</v>
      </c>
      <c r="R22" s="15">
        <f t="shared" si="3"/>
        <v>0.008706514714474922</v>
      </c>
      <c r="V22" s="19">
        <f>+P22</f>
        <v>9765097.539583335</v>
      </c>
      <c r="W22" s="20"/>
      <c r="X22" s="21"/>
      <c r="Y22" s="21"/>
      <c r="Z22" s="21">
        <f>+V22</f>
        <v>9765097.539583335</v>
      </c>
      <c r="AA22" s="12">
        <f aca="true" t="shared" si="4" ref="AA22:AA34">+Z22+X22+Y22</f>
        <v>9765097.539583335</v>
      </c>
      <c r="AB22" s="12"/>
    </row>
    <row r="23" spans="1:28" s="7" customFormat="1" ht="15.75">
      <c r="A23" s="7">
        <f t="shared" si="0"/>
        <v>20</v>
      </c>
      <c r="B23" s="10" t="s">
        <v>16</v>
      </c>
      <c r="C23" s="13">
        <v>1455832.73</v>
      </c>
      <c r="D23" s="13">
        <v>1462125.59</v>
      </c>
      <c r="E23" s="13">
        <v>1468037.85</v>
      </c>
      <c r="F23" s="13">
        <v>1391223.17</v>
      </c>
      <c r="G23" s="13">
        <v>1394639.27</v>
      </c>
      <c r="H23" s="13">
        <v>1397948.32</v>
      </c>
      <c r="I23" s="13">
        <v>1401257.69</v>
      </c>
      <c r="J23" s="13">
        <v>1404566.57</v>
      </c>
      <c r="K23" s="13">
        <v>1407875.56</v>
      </c>
      <c r="L23" s="13">
        <v>1411184.77</v>
      </c>
      <c r="M23" s="13">
        <v>1414491.52</v>
      </c>
      <c r="N23" s="13">
        <v>1417797.91</v>
      </c>
      <c r="O23" s="13">
        <v>1421417.71</v>
      </c>
      <c r="P23" s="14">
        <f>-(C23+2*SUM(D23:N23)+O23)/24</f>
        <v>-1417481.12</v>
      </c>
      <c r="Q23" s="14">
        <f t="shared" si="2"/>
        <v>1416047.1608333334</v>
      </c>
      <c r="R23" s="15">
        <f t="shared" si="3"/>
        <v>-1.9989883751208857</v>
      </c>
      <c r="V23" s="19">
        <f>P23</f>
        <v>-1417481.12</v>
      </c>
      <c r="W23" s="20"/>
      <c r="X23" s="21"/>
      <c r="Y23" s="21"/>
      <c r="Z23" s="21">
        <f aca="true" t="shared" si="5" ref="Z23:Z34">+V23</f>
        <v>-1417481.12</v>
      </c>
      <c r="AA23" s="12">
        <f t="shared" si="4"/>
        <v>-1417481.12</v>
      </c>
      <c r="AB23" s="12"/>
    </row>
    <row r="24" spans="1:28" s="7" customFormat="1" ht="15.75">
      <c r="A24" s="7">
        <f t="shared" si="0"/>
        <v>21</v>
      </c>
      <c r="B24" s="10" t="s">
        <v>17</v>
      </c>
      <c r="C24" s="13">
        <v>9031957.64</v>
      </c>
      <c r="D24" s="13">
        <v>9464774.41</v>
      </c>
      <c r="E24" s="13">
        <v>9863526.27</v>
      </c>
      <c r="F24" s="13">
        <v>10421166.99</v>
      </c>
      <c r="G24" s="13">
        <v>10409148.56</v>
      </c>
      <c r="H24" s="13">
        <v>10343979.65</v>
      </c>
      <c r="I24" s="13">
        <v>10928243.23</v>
      </c>
      <c r="J24" s="13">
        <v>11072236.87</v>
      </c>
      <c r="K24" s="13">
        <v>10913511.95</v>
      </c>
      <c r="L24" s="13">
        <v>10722236.35</v>
      </c>
      <c r="M24" s="13">
        <v>10844198.82</v>
      </c>
      <c r="N24" s="13">
        <v>10825221.43</v>
      </c>
      <c r="O24" s="13">
        <v>11220812.96</v>
      </c>
      <c r="P24" s="14">
        <f t="shared" si="1"/>
        <v>10494552.485833334</v>
      </c>
      <c r="Q24" s="14">
        <f t="shared" si="2"/>
        <v>10585754.790833334</v>
      </c>
      <c r="R24" s="15">
        <f t="shared" si="3"/>
        <v>0.008690442505586926</v>
      </c>
      <c r="V24" s="19">
        <f aca="true" t="shared" si="6" ref="V24:V34">+P24</f>
        <v>10494552.485833334</v>
      </c>
      <c r="W24" s="20"/>
      <c r="X24" s="21"/>
      <c r="Y24" s="21"/>
      <c r="Z24" s="21">
        <f t="shared" si="5"/>
        <v>10494552.485833334</v>
      </c>
      <c r="AA24" s="12">
        <f t="shared" si="4"/>
        <v>10494552.485833334</v>
      </c>
      <c r="AB24" s="12"/>
    </row>
    <row r="25" spans="1:28" s="7" customFormat="1" ht="15.75">
      <c r="A25" s="7">
        <f t="shared" si="0"/>
        <v>22</v>
      </c>
      <c r="B25" s="10" t="s">
        <v>18</v>
      </c>
      <c r="C25" s="13">
        <v>171510194.71</v>
      </c>
      <c r="D25" s="13">
        <v>173089029.24</v>
      </c>
      <c r="E25" s="13">
        <v>173635668.65</v>
      </c>
      <c r="F25" s="13">
        <v>175732486.16</v>
      </c>
      <c r="G25" s="13">
        <v>174868550.46</v>
      </c>
      <c r="H25" s="13">
        <v>173728381.06</v>
      </c>
      <c r="I25" s="13">
        <v>174251212.66</v>
      </c>
      <c r="J25" s="13">
        <v>178067782.67</v>
      </c>
      <c r="K25" s="13">
        <v>180037120.94</v>
      </c>
      <c r="L25" s="13">
        <v>183520817.46</v>
      </c>
      <c r="M25" s="13">
        <v>183770644.09</v>
      </c>
      <c r="N25" s="13">
        <v>184248955.95</v>
      </c>
      <c r="O25" s="13">
        <v>184718167.03</v>
      </c>
      <c r="P25" s="14">
        <f t="shared" si="1"/>
        <v>177755402.5175</v>
      </c>
      <c r="Q25" s="14">
        <f t="shared" si="2"/>
        <v>178305734.6975</v>
      </c>
      <c r="R25" s="15">
        <f t="shared" si="3"/>
        <v>0.0030960081786870486</v>
      </c>
      <c r="T25" s="12">
        <v>18914097</v>
      </c>
      <c r="V25" s="19">
        <f>+P25-T25</f>
        <v>158841305.5175</v>
      </c>
      <c r="W25" s="20"/>
      <c r="X25" s="21">
        <v>30678372</v>
      </c>
      <c r="Y25" s="21">
        <v>112964068</v>
      </c>
      <c r="Z25" s="21">
        <f>+V25-X25-Y25</f>
        <v>15198865.517500013</v>
      </c>
      <c r="AA25" s="12">
        <f t="shared" si="4"/>
        <v>158841305.5175</v>
      </c>
      <c r="AB25" s="12"/>
    </row>
    <row r="26" spans="1:28" s="7" customFormat="1" ht="15.75">
      <c r="A26" s="7">
        <f t="shared" si="0"/>
        <v>23</v>
      </c>
      <c r="B26" s="10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4">
        <f t="shared" si="1"/>
        <v>0</v>
      </c>
      <c r="Q26" s="14">
        <f t="shared" si="2"/>
        <v>0</v>
      </c>
      <c r="R26" s="15"/>
      <c r="V26" s="19">
        <f t="shared" si="6"/>
        <v>0</v>
      </c>
      <c r="W26" s="20"/>
      <c r="X26" s="21"/>
      <c r="Y26" s="21"/>
      <c r="Z26" s="21">
        <f t="shared" si="5"/>
        <v>0</v>
      </c>
      <c r="AA26" s="12">
        <f t="shared" si="4"/>
        <v>0</v>
      </c>
      <c r="AB26" s="12"/>
    </row>
    <row r="27" spans="1:28" s="7" customFormat="1" ht="15.75">
      <c r="A27" s="7">
        <f t="shared" si="0"/>
        <v>24</v>
      </c>
      <c r="B27" s="10" t="s">
        <v>20</v>
      </c>
      <c r="C27" s="13">
        <v>85601342.65</v>
      </c>
      <c r="D27" s="13">
        <v>83661203.4</v>
      </c>
      <c r="E27" s="13">
        <v>82994626.58</v>
      </c>
      <c r="F27" s="13">
        <v>83430845.94</v>
      </c>
      <c r="G27" s="13">
        <v>83973024.65</v>
      </c>
      <c r="H27" s="13">
        <v>84376616.26</v>
      </c>
      <c r="I27" s="13">
        <v>82869290.89</v>
      </c>
      <c r="J27" s="13">
        <v>72585133.47</v>
      </c>
      <c r="K27" s="13">
        <v>72967036.84</v>
      </c>
      <c r="L27" s="13">
        <v>82652122.78</v>
      </c>
      <c r="M27" s="13">
        <v>82674587.69</v>
      </c>
      <c r="N27" s="13">
        <v>83070251.17</v>
      </c>
      <c r="O27" s="13">
        <v>84336861.51</v>
      </c>
      <c r="P27" s="14">
        <f t="shared" si="1"/>
        <v>81685320.14583333</v>
      </c>
      <c r="Q27" s="14">
        <f t="shared" si="2"/>
        <v>81632633.43166666</v>
      </c>
      <c r="R27" s="15">
        <f t="shared" si="3"/>
        <v>-0.0006449961152458217</v>
      </c>
      <c r="V27" s="19">
        <f t="shared" si="6"/>
        <v>81685320.14583333</v>
      </c>
      <c r="W27" s="20"/>
      <c r="X27" s="21"/>
      <c r="Y27" s="21"/>
      <c r="Z27" s="21">
        <f t="shared" si="5"/>
        <v>81685320.14583333</v>
      </c>
      <c r="AA27" s="12">
        <f t="shared" si="4"/>
        <v>81685320.14583333</v>
      </c>
      <c r="AB27" s="12"/>
    </row>
    <row r="28" spans="1:28" s="7" customFormat="1" ht="15.75">
      <c r="A28" s="7">
        <f t="shared" si="0"/>
        <v>25</v>
      </c>
      <c r="B28" s="10" t="s">
        <v>21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f t="shared" si="1"/>
        <v>0</v>
      </c>
      <c r="Q28" s="14">
        <f t="shared" si="2"/>
        <v>0</v>
      </c>
      <c r="R28" s="15"/>
      <c r="V28" s="19">
        <f t="shared" si="6"/>
        <v>0</v>
      </c>
      <c r="W28" s="20"/>
      <c r="X28" s="21"/>
      <c r="Y28" s="21"/>
      <c r="Z28" s="21">
        <f t="shared" si="5"/>
        <v>0</v>
      </c>
      <c r="AA28" s="12">
        <f t="shared" si="4"/>
        <v>0</v>
      </c>
      <c r="AB28" s="12"/>
    </row>
    <row r="29" spans="1:28" s="7" customFormat="1" ht="15.75">
      <c r="A29" s="7">
        <f t="shared" si="0"/>
        <v>26</v>
      </c>
      <c r="B29" s="10" t="s">
        <v>22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4">
        <f t="shared" si="1"/>
        <v>0</v>
      </c>
      <c r="Q29" s="14">
        <f t="shared" si="2"/>
        <v>0</v>
      </c>
      <c r="R29" s="15"/>
      <c r="V29" s="19">
        <f t="shared" si="6"/>
        <v>0</v>
      </c>
      <c r="W29" s="20"/>
      <c r="X29" s="21"/>
      <c r="Y29" s="21"/>
      <c r="Z29" s="21">
        <f t="shared" si="5"/>
        <v>0</v>
      </c>
      <c r="AA29" s="12">
        <f t="shared" si="4"/>
        <v>0</v>
      </c>
      <c r="AB29" s="12"/>
    </row>
    <row r="30" spans="1:28" s="7" customFormat="1" ht="15.75">
      <c r="A30" s="7">
        <f t="shared" si="0"/>
        <v>27</v>
      </c>
      <c r="B30" s="10" t="s">
        <v>23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4">
        <f t="shared" si="1"/>
        <v>0</v>
      </c>
      <c r="Q30" s="14">
        <f t="shared" si="2"/>
        <v>0</v>
      </c>
      <c r="R30" s="15"/>
      <c r="V30" s="19">
        <f t="shared" si="6"/>
        <v>0</v>
      </c>
      <c r="W30" s="20"/>
      <c r="X30" s="21"/>
      <c r="Y30" s="21"/>
      <c r="Z30" s="21">
        <f t="shared" si="5"/>
        <v>0</v>
      </c>
      <c r="AA30" s="12">
        <f t="shared" si="4"/>
        <v>0</v>
      </c>
      <c r="AB30" s="12"/>
    </row>
    <row r="31" spans="1:28" s="7" customFormat="1" ht="15.75">
      <c r="A31" s="7">
        <f t="shared" si="0"/>
        <v>28</v>
      </c>
      <c r="B31" s="10" t="s">
        <v>24</v>
      </c>
      <c r="C31" s="13">
        <v>8081370.07</v>
      </c>
      <c r="D31" s="13">
        <v>8802115.75</v>
      </c>
      <c r="E31" s="13">
        <v>8624594.55</v>
      </c>
      <c r="F31" s="13">
        <v>8606162.17</v>
      </c>
      <c r="G31" s="13">
        <v>8492697.5</v>
      </c>
      <c r="H31" s="13">
        <v>8478451.67</v>
      </c>
      <c r="I31" s="13">
        <v>8466530.19</v>
      </c>
      <c r="J31" s="13">
        <v>8461295.61</v>
      </c>
      <c r="K31" s="13">
        <v>8452726.15</v>
      </c>
      <c r="L31" s="13">
        <v>8373542.18</v>
      </c>
      <c r="M31" s="13">
        <v>8343966.73</v>
      </c>
      <c r="N31" s="13">
        <v>6871407.37</v>
      </c>
      <c r="O31" s="13">
        <v>6945598.88</v>
      </c>
      <c r="P31" s="14">
        <f t="shared" si="1"/>
        <v>8290581.1954166675</v>
      </c>
      <c r="Q31" s="14">
        <f t="shared" si="2"/>
        <v>8243257.395833335</v>
      </c>
      <c r="R31" s="15">
        <f t="shared" si="3"/>
        <v>-0.0057081401735133985</v>
      </c>
      <c r="V31" s="19">
        <f t="shared" si="6"/>
        <v>8290581.1954166675</v>
      </c>
      <c r="W31" s="20"/>
      <c r="X31" s="21"/>
      <c r="Y31" s="21"/>
      <c r="Z31" s="21">
        <f t="shared" si="5"/>
        <v>8290581.1954166675</v>
      </c>
      <c r="AA31" s="12">
        <f t="shared" si="4"/>
        <v>8290581.1954166675</v>
      </c>
      <c r="AB31" s="12"/>
    </row>
    <row r="32" spans="1:28" s="7" customFormat="1" ht="15.75">
      <c r="A32" s="7">
        <f t="shared" si="0"/>
        <v>29</v>
      </c>
      <c r="B32" s="10" t="s">
        <v>25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4">
        <f t="shared" si="1"/>
        <v>0</v>
      </c>
      <c r="Q32" s="14">
        <f t="shared" si="2"/>
        <v>0</v>
      </c>
      <c r="R32" s="15"/>
      <c r="V32" s="19">
        <f t="shared" si="6"/>
        <v>0</v>
      </c>
      <c r="W32" s="20"/>
      <c r="X32" s="21"/>
      <c r="Y32" s="21"/>
      <c r="Z32" s="21">
        <f t="shared" si="5"/>
        <v>0</v>
      </c>
      <c r="AA32" s="12">
        <f t="shared" si="4"/>
        <v>0</v>
      </c>
      <c r="AB32" s="12"/>
    </row>
    <row r="33" spans="1:28" s="7" customFormat="1" ht="15.75">
      <c r="A33" s="7">
        <f t="shared" si="0"/>
        <v>30</v>
      </c>
      <c r="B33" s="10" t="s">
        <v>26</v>
      </c>
      <c r="C33" s="13">
        <v>86579549.13</v>
      </c>
      <c r="D33" s="13">
        <v>69954057.13</v>
      </c>
      <c r="E33" s="13">
        <v>69134025.13</v>
      </c>
      <c r="F33" s="13">
        <v>63439500.13</v>
      </c>
      <c r="G33" s="13">
        <v>61906373.13</v>
      </c>
      <c r="H33" s="13">
        <v>78803144.13</v>
      </c>
      <c r="I33" s="13">
        <v>74601648.13</v>
      </c>
      <c r="J33" s="13">
        <v>56624940.13</v>
      </c>
      <c r="K33" s="13">
        <v>62515919.13</v>
      </c>
      <c r="L33" s="13">
        <v>47225702.13</v>
      </c>
      <c r="M33" s="13">
        <v>54950759.13</v>
      </c>
      <c r="N33" s="13">
        <v>48752044.13</v>
      </c>
      <c r="O33" s="13">
        <v>42909107.13</v>
      </c>
      <c r="P33" s="14">
        <f t="shared" si="1"/>
        <v>62721036.71333333</v>
      </c>
      <c r="Q33" s="14">
        <f t="shared" si="2"/>
        <v>60901434.96333333</v>
      </c>
      <c r="R33" s="15">
        <f t="shared" si="3"/>
        <v>-0.029011027963655844</v>
      </c>
      <c r="T33" s="14">
        <f>+P33</f>
        <v>62721036.71333333</v>
      </c>
      <c r="U33" s="14"/>
      <c r="V33" s="22"/>
      <c r="W33" s="19"/>
      <c r="X33" s="21"/>
      <c r="Y33" s="21"/>
      <c r="Z33" s="21"/>
      <c r="AA33" s="12">
        <f t="shared" si="4"/>
        <v>0</v>
      </c>
      <c r="AB33" s="12"/>
    </row>
    <row r="34" spans="1:28" s="7" customFormat="1" ht="15.75">
      <c r="A34" s="7">
        <f t="shared" si="0"/>
        <v>31</v>
      </c>
      <c r="B34" s="10" t="s">
        <v>27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4">
        <f t="shared" si="1"/>
        <v>0</v>
      </c>
      <c r="Q34" s="14">
        <f t="shared" si="2"/>
        <v>0</v>
      </c>
      <c r="R34" s="15"/>
      <c r="V34" s="19">
        <f t="shared" si="6"/>
        <v>0</v>
      </c>
      <c r="W34" s="20"/>
      <c r="X34" s="21"/>
      <c r="Y34" s="21"/>
      <c r="Z34" s="21">
        <f t="shared" si="5"/>
        <v>0</v>
      </c>
      <c r="AA34" s="12">
        <f t="shared" si="4"/>
        <v>0</v>
      </c>
      <c r="AB34" s="12"/>
    </row>
    <row r="35" spans="1:28" s="7" customFormat="1" ht="15.75">
      <c r="A35" s="7">
        <f t="shared" si="0"/>
        <v>32</v>
      </c>
      <c r="B35" s="10" t="s">
        <v>28</v>
      </c>
      <c r="C35" s="13">
        <v>368846415.8</v>
      </c>
      <c r="D35" s="13">
        <v>352984539.64000005</v>
      </c>
      <c r="E35" s="13">
        <v>352521339.31</v>
      </c>
      <c r="F35" s="13">
        <v>349890456.38</v>
      </c>
      <c r="G35" s="13">
        <v>347924663.21999997</v>
      </c>
      <c r="H35" s="13">
        <v>364002132.64000005</v>
      </c>
      <c r="I35" s="13">
        <v>359386635.67</v>
      </c>
      <c r="J35" s="13">
        <v>335084973.3</v>
      </c>
      <c r="K35" s="13">
        <v>343282890.92999995</v>
      </c>
      <c r="L35" s="13">
        <v>340887687.61</v>
      </c>
      <c r="M35" s="13">
        <v>348920724.14</v>
      </c>
      <c r="N35" s="13">
        <v>342101141.34</v>
      </c>
      <c r="O35" s="13">
        <v>340247443.29999995</v>
      </c>
      <c r="P35" s="23">
        <f>SUBTOTAL(9,P22:P34)</f>
        <v>349294509.4775</v>
      </c>
      <c r="Q35" s="14">
        <f t="shared" si="2"/>
        <v>348102885.6233334</v>
      </c>
      <c r="R35" s="15">
        <f t="shared" si="3"/>
        <v>-0.0034115161327590293</v>
      </c>
      <c r="T35" s="23">
        <f>SUBTOTAL(9,T22:T34)</f>
        <v>81635133.71333334</v>
      </c>
      <c r="V35" s="23">
        <f>SUBTOTAL(9,V22:V34)</f>
        <v>267659375.76416668</v>
      </c>
      <c r="W35" s="23">
        <f>SUBTOTAL(9,W22:W34)</f>
        <v>0</v>
      </c>
      <c r="X35" s="23">
        <f>SUBTOTAL(9,X22:X34)</f>
        <v>30678372</v>
      </c>
      <c r="Y35" s="23">
        <f>SUBTOTAL(9,Y22:Y34)</f>
        <v>112964068</v>
      </c>
      <c r="Z35" s="23">
        <f>SUBTOTAL(9,Z22:Z34)</f>
        <v>124016935.76416668</v>
      </c>
      <c r="AA35" s="12"/>
      <c r="AB35" s="12"/>
    </row>
    <row r="36" spans="1:28" s="7" customFormat="1" ht="15.75">
      <c r="A36" s="7">
        <f t="shared" si="0"/>
        <v>33</v>
      </c>
      <c r="B36" s="1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4"/>
      <c r="Q36" s="14"/>
      <c r="R36" s="15"/>
      <c r="T36" s="24"/>
      <c r="V36" s="24"/>
      <c r="W36" s="24"/>
      <c r="X36" s="24"/>
      <c r="Y36" s="24"/>
      <c r="Z36" s="24"/>
      <c r="AA36" s="12"/>
      <c r="AB36" s="12"/>
    </row>
    <row r="37" spans="1:28" s="7" customFormat="1" ht="15.75">
      <c r="A37" s="7">
        <f t="shared" si="0"/>
        <v>34</v>
      </c>
      <c r="B37" s="10" t="s">
        <v>29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4"/>
      <c r="Q37" s="14"/>
      <c r="R37" s="15"/>
      <c r="V37" s="20"/>
      <c r="W37" s="20"/>
      <c r="X37" s="21"/>
      <c r="Y37" s="21"/>
      <c r="Z37" s="21"/>
      <c r="AA37" s="12"/>
      <c r="AB37" s="12"/>
    </row>
    <row r="38" spans="1:28" s="7" customFormat="1" ht="15.75">
      <c r="A38" s="7">
        <f t="shared" si="0"/>
        <v>35</v>
      </c>
      <c r="B38" s="10" t="s">
        <v>30</v>
      </c>
      <c r="C38" s="13">
        <v>15725712.44</v>
      </c>
      <c r="D38" s="13">
        <v>18132113.59</v>
      </c>
      <c r="E38" s="13">
        <v>6454471.12</v>
      </c>
      <c r="F38" s="13">
        <v>9836745.52</v>
      </c>
      <c r="G38" s="13">
        <v>6233177.29</v>
      </c>
      <c r="H38" s="13">
        <v>13685942.9</v>
      </c>
      <c r="I38" s="13">
        <v>9102992.04</v>
      </c>
      <c r="J38" s="13">
        <v>6678698.42</v>
      </c>
      <c r="K38" s="13">
        <v>18447267.75</v>
      </c>
      <c r="L38" s="13">
        <v>8678697.53</v>
      </c>
      <c r="M38" s="13">
        <v>11184719.7</v>
      </c>
      <c r="N38" s="13">
        <v>16560051.77</v>
      </c>
      <c r="O38" s="13">
        <v>4238847.49</v>
      </c>
      <c r="P38" s="14">
        <f t="shared" si="1"/>
        <v>11248096.46625</v>
      </c>
      <c r="Q38" s="14">
        <f t="shared" si="2"/>
        <v>10769477.093333332</v>
      </c>
      <c r="R38" s="15">
        <f t="shared" si="3"/>
        <v>-0.042551144040484545</v>
      </c>
      <c r="T38" s="14">
        <f>+P38</f>
        <v>11248096.46625</v>
      </c>
      <c r="V38" s="20"/>
      <c r="W38" s="20"/>
      <c r="X38" s="21"/>
      <c r="Y38" s="21"/>
      <c r="Z38" s="21"/>
      <c r="AA38" s="12"/>
      <c r="AB38" s="12"/>
    </row>
    <row r="39" spans="1:28" s="7" customFormat="1" ht="15.75">
      <c r="A39" s="7">
        <f t="shared" si="0"/>
        <v>36</v>
      </c>
      <c r="B39" s="10" t="s">
        <v>31</v>
      </c>
      <c r="C39" s="13">
        <v>2048982.2</v>
      </c>
      <c r="D39" s="13">
        <v>2055606.88</v>
      </c>
      <c r="E39" s="13">
        <v>2248661.46</v>
      </c>
      <c r="F39" s="13">
        <v>1973743.04</v>
      </c>
      <c r="G39" s="13">
        <v>1802407.04</v>
      </c>
      <c r="H39" s="13">
        <v>1865932.01</v>
      </c>
      <c r="I39" s="13">
        <v>1869059.26</v>
      </c>
      <c r="J39" s="13">
        <v>759790</v>
      </c>
      <c r="K39" s="13">
        <v>759790</v>
      </c>
      <c r="L39" s="13">
        <v>759790</v>
      </c>
      <c r="M39" s="13">
        <v>759790</v>
      </c>
      <c r="N39" s="13">
        <v>759790</v>
      </c>
      <c r="O39" s="13">
        <v>610443.15</v>
      </c>
      <c r="P39" s="14">
        <f t="shared" si="1"/>
        <v>1412006.0304166665</v>
      </c>
      <c r="Q39" s="14">
        <f t="shared" si="2"/>
        <v>1352066.9033333333</v>
      </c>
      <c r="R39" s="15">
        <f t="shared" si="3"/>
        <v>-0.04244962542096642</v>
      </c>
      <c r="T39" s="14"/>
      <c r="V39" s="14">
        <f>+P39</f>
        <v>1412006.0304166665</v>
      </c>
      <c r="X39" s="12"/>
      <c r="Y39" s="12"/>
      <c r="Z39" s="12">
        <f>+V39</f>
        <v>1412006.0304166665</v>
      </c>
      <c r="AA39" s="12"/>
      <c r="AB39" s="12"/>
    </row>
    <row r="40" spans="1:28" s="7" customFormat="1" ht="15.75">
      <c r="A40" s="7">
        <f t="shared" si="0"/>
        <v>37</v>
      </c>
      <c r="B40" s="10" t="s">
        <v>32</v>
      </c>
      <c r="C40" s="13">
        <v>2020</v>
      </c>
      <c r="D40" s="13">
        <v>1920</v>
      </c>
      <c r="E40" s="13">
        <v>1920</v>
      </c>
      <c r="F40" s="13">
        <v>1920</v>
      </c>
      <c r="G40" s="13">
        <v>1920</v>
      </c>
      <c r="H40" s="13">
        <v>1920</v>
      </c>
      <c r="I40" s="13">
        <v>1920</v>
      </c>
      <c r="J40" s="13">
        <v>1920</v>
      </c>
      <c r="K40" s="13">
        <v>1920</v>
      </c>
      <c r="L40" s="13">
        <v>1920</v>
      </c>
      <c r="M40" s="13">
        <v>1920</v>
      </c>
      <c r="N40" s="13">
        <v>1920</v>
      </c>
      <c r="O40" s="13">
        <v>1920</v>
      </c>
      <c r="P40" s="14">
        <f t="shared" si="1"/>
        <v>1924.1666666666667</v>
      </c>
      <c r="Q40" s="14">
        <f t="shared" si="2"/>
        <v>1920</v>
      </c>
      <c r="R40" s="15">
        <f t="shared" si="3"/>
        <v>-0.002165439584235651</v>
      </c>
      <c r="T40" s="14">
        <f aca="true" t="shared" si="7" ref="T40:T65">+P40</f>
        <v>1924.1666666666667</v>
      </c>
      <c r="X40" s="12"/>
      <c r="Y40" s="12"/>
      <c r="Z40" s="12"/>
      <c r="AA40" s="12"/>
      <c r="AB40" s="12"/>
    </row>
    <row r="41" spans="1:28" s="7" customFormat="1" ht="15.75">
      <c r="A41" s="7">
        <f t="shared" si="0"/>
        <v>38</v>
      </c>
      <c r="B41" s="10" t="s">
        <v>33</v>
      </c>
      <c r="C41" s="13">
        <v>3937516.25</v>
      </c>
      <c r="D41" s="13">
        <v>862046610.54</v>
      </c>
      <c r="E41" s="13">
        <v>739647479.13</v>
      </c>
      <c r="F41" s="13">
        <v>750392633.02</v>
      </c>
      <c r="G41" s="13">
        <v>686596395.17</v>
      </c>
      <c r="H41" s="13">
        <v>594085690.78</v>
      </c>
      <c r="I41" s="13">
        <v>507018124.32</v>
      </c>
      <c r="J41" s="13">
        <v>209888569.02</v>
      </c>
      <c r="K41" s="13">
        <v>163512434.97</v>
      </c>
      <c r="L41" s="13">
        <v>98815446.69</v>
      </c>
      <c r="M41" s="13">
        <v>6220230.33</v>
      </c>
      <c r="N41" s="13">
        <v>65677029.21</v>
      </c>
      <c r="O41" s="13">
        <v>81769678.2</v>
      </c>
      <c r="P41" s="14">
        <f t="shared" si="1"/>
        <v>393896186.70041674</v>
      </c>
      <c r="Q41" s="14">
        <f t="shared" si="2"/>
        <v>397139193.4483333</v>
      </c>
      <c r="R41" s="15">
        <f t="shared" si="3"/>
        <v>0.00823315090984389</v>
      </c>
      <c r="S41" s="15"/>
      <c r="T41" s="14"/>
      <c r="V41" s="14">
        <f>+P41</f>
        <v>393896186.70041674</v>
      </c>
      <c r="X41" s="12"/>
      <c r="Y41" s="12"/>
      <c r="Z41" s="12">
        <f>+V41</f>
        <v>393896186.70041674</v>
      </c>
      <c r="AA41" s="12"/>
      <c r="AB41" s="12"/>
    </row>
    <row r="42" spans="1:28" s="7" customFormat="1" ht="15.75">
      <c r="A42" s="7">
        <f t="shared" si="0"/>
        <v>39</v>
      </c>
      <c r="B42" s="10" t="s">
        <v>34</v>
      </c>
      <c r="C42" s="13">
        <v>270948.62</v>
      </c>
      <c r="D42" s="13">
        <v>609812.96</v>
      </c>
      <c r="E42" s="13">
        <v>591971.31</v>
      </c>
      <c r="F42" s="13">
        <v>592265.31</v>
      </c>
      <c r="G42" s="13">
        <v>592407.97</v>
      </c>
      <c r="H42" s="13">
        <v>592289.9</v>
      </c>
      <c r="I42" s="13">
        <v>588388.33</v>
      </c>
      <c r="J42" s="13">
        <v>550086.35</v>
      </c>
      <c r="K42" s="13">
        <v>546145.96</v>
      </c>
      <c r="L42" s="13">
        <v>542246.99</v>
      </c>
      <c r="M42" s="13">
        <v>538419.48</v>
      </c>
      <c r="N42" s="13">
        <v>534171.8</v>
      </c>
      <c r="O42" s="13">
        <v>208655.58</v>
      </c>
      <c r="P42" s="14">
        <f t="shared" si="1"/>
        <v>543167.3716666667</v>
      </c>
      <c r="Q42" s="14">
        <f t="shared" si="2"/>
        <v>540571.8283333334</v>
      </c>
      <c r="R42" s="15">
        <f t="shared" si="3"/>
        <v>-0.004778533227003501</v>
      </c>
      <c r="T42" s="14"/>
      <c r="V42" s="14">
        <f>+P42</f>
        <v>543167.3716666667</v>
      </c>
      <c r="X42" s="12"/>
      <c r="Y42" s="12"/>
      <c r="Z42" s="12">
        <f>+V42</f>
        <v>543167.3716666667</v>
      </c>
      <c r="AA42" s="12"/>
      <c r="AB42" s="12"/>
    </row>
    <row r="43" spans="1:28" s="7" customFormat="1" ht="15.75">
      <c r="A43" s="7">
        <f t="shared" si="0"/>
        <v>40</v>
      </c>
      <c r="B43" s="10" t="s">
        <v>35</v>
      </c>
      <c r="C43" s="13">
        <v>346007076.87</v>
      </c>
      <c r="D43" s="13">
        <v>349451105.23</v>
      </c>
      <c r="E43" s="13">
        <v>342835530.01</v>
      </c>
      <c r="F43" s="13">
        <v>306655323.66</v>
      </c>
      <c r="G43" s="13">
        <v>251782296.86</v>
      </c>
      <c r="H43" s="13">
        <v>262493655.07</v>
      </c>
      <c r="I43" s="13">
        <v>272058729.92</v>
      </c>
      <c r="J43" s="13">
        <v>288458513.51</v>
      </c>
      <c r="K43" s="13">
        <v>314275040.1</v>
      </c>
      <c r="L43" s="13">
        <v>315101943.22</v>
      </c>
      <c r="M43" s="13">
        <v>304304742.82</v>
      </c>
      <c r="N43" s="13">
        <v>325981251.53</v>
      </c>
      <c r="O43" s="13">
        <v>361520728.62</v>
      </c>
      <c r="P43" s="14">
        <f t="shared" si="1"/>
        <v>307263502.88958335</v>
      </c>
      <c r="Q43" s="14">
        <f t="shared" si="2"/>
        <v>307909905.04583335</v>
      </c>
      <c r="R43" s="15">
        <f t="shared" si="3"/>
        <v>0.0021037388110565214</v>
      </c>
      <c r="T43" s="14">
        <f t="shared" si="7"/>
        <v>307263502.88958335</v>
      </c>
      <c r="X43" s="12"/>
      <c r="Y43" s="12"/>
      <c r="Z43" s="12"/>
      <c r="AA43" s="12"/>
      <c r="AB43" s="12"/>
    </row>
    <row r="44" spans="1:28" s="7" customFormat="1" ht="15.75">
      <c r="A44" s="7">
        <f t="shared" si="0"/>
        <v>41</v>
      </c>
      <c r="B44" s="10" t="s">
        <v>36</v>
      </c>
      <c r="C44" s="13">
        <v>43610380.25</v>
      </c>
      <c r="D44" s="13">
        <v>45760540.21</v>
      </c>
      <c r="E44" s="13">
        <v>38523499.78</v>
      </c>
      <c r="F44" s="13">
        <v>39978253.9</v>
      </c>
      <c r="G44" s="13">
        <v>40170949.26</v>
      </c>
      <c r="H44" s="13">
        <v>38967310.82</v>
      </c>
      <c r="I44" s="13">
        <v>40495560.57</v>
      </c>
      <c r="J44" s="13">
        <v>23875508.89</v>
      </c>
      <c r="K44" s="13">
        <v>28172143.26</v>
      </c>
      <c r="L44" s="13">
        <v>23685702.02</v>
      </c>
      <c r="M44" s="13">
        <v>27776794.15</v>
      </c>
      <c r="N44" s="13">
        <v>28280573.88</v>
      </c>
      <c r="O44" s="13">
        <v>32319952.21</v>
      </c>
      <c r="P44" s="14">
        <f t="shared" si="1"/>
        <v>34471000.247499995</v>
      </c>
      <c r="Q44" s="14">
        <f t="shared" si="2"/>
        <v>34000565.74583333</v>
      </c>
      <c r="R44" s="15">
        <f t="shared" si="3"/>
        <v>-0.013647254164050104</v>
      </c>
      <c r="T44" s="14">
        <f t="shared" si="7"/>
        <v>34471000.247499995</v>
      </c>
      <c r="X44" s="12"/>
      <c r="Y44" s="12"/>
      <c r="Z44" s="12"/>
      <c r="AA44" s="12"/>
      <c r="AB44" s="12"/>
    </row>
    <row r="45" spans="1:28" s="7" customFormat="1" ht="15.75">
      <c r="A45" s="7">
        <f t="shared" si="0"/>
        <v>42</v>
      </c>
      <c r="B45" s="10" t="s">
        <v>37</v>
      </c>
      <c r="C45" s="13">
        <v>8679145.03</v>
      </c>
      <c r="D45" s="13">
        <v>7493291.31</v>
      </c>
      <c r="E45" s="13">
        <v>7134132.11</v>
      </c>
      <c r="F45" s="13">
        <v>8761624.09</v>
      </c>
      <c r="G45" s="13">
        <v>8881906.4</v>
      </c>
      <c r="H45" s="13">
        <v>8970569.34</v>
      </c>
      <c r="I45" s="13">
        <v>9284817.75</v>
      </c>
      <c r="J45" s="13">
        <v>9129013.5</v>
      </c>
      <c r="K45" s="13">
        <v>8972378.48</v>
      </c>
      <c r="L45" s="13">
        <v>8424342.91</v>
      </c>
      <c r="M45" s="13">
        <v>7835965.07</v>
      </c>
      <c r="N45" s="13">
        <v>7645606.19</v>
      </c>
      <c r="O45" s="13">
        <v>7052111.78</v>
      </c>
      <c r="P45" s="14">
        <f>-(C45+2*SUM(D45:N45)+O45)/24</f>
        <v>-8366606.296250001</v>
      </c>
      <c r="Q45" s="14">
        <f t="shared" si="2"/>
        <v>8298813.244166668</v>
      </c>
      <c r="R45" s="15">
        <f t="shared" si="3"/>
        <v>-1.991897186304354</v>
      </c>
      <c r="T45" s="14">
        <f>P45</f>
        <v>-8366606.296250001</v>
      </c>
      <c r="X45" s="12"/>
      <c r="Y45" s="12"/>
      <c r="Z45" s="12"/>
      <c r="AA45" s="12"/>
      <c r="AB45" s="12"/>
    </row>
    <row r="46" spans="1:28" s="7" customFormat="1" ht="15.75">
      <c r="A46" s="7">
        <f t="shared" si="0"/>
        <v>43</v>
      </c>
      <c r="B46" s="10" t="s">
        <v>38</v>
      </c>
      <c r="C46" s="13">
        <v>20797545.44</v>
      </c>
      <c r="D46" s="13">
        <v>14530230.09</v>
      </c>
      <c r="E46" s="13">
        <v>12762975.48</v>
      </c>
      <c r="F46" s="13">
        <v>15347937.2</v>
      </c>
      <c r="G46" s="13">
        <v>16940422.96</v>
      </c>
      <c r="H46" s="13">
        <v>6915148.05</v>
      </c>
      <c r="I46" s="13">
        <v>7533508.74</v>
      </c>
      <c r="J46" s="13">
        <v>7497389.08</v>
      </c>
      <c r="K46" s="13">
        <v>5909560.45</v>
      </c>
      <c r="L46" s="13">
        <v>7676740.61</v>
      </c>
      <c r="M46" s="13">
        <v>3248897.91</v>
      </c>
      <c r="N46" s="13">
        <v>5488565.18</v>
      </c>
      <c r="O46" s="13">
        <v>4748292.18</v>
      </c>
      <c r="P46" s="14">
        <f t="shared" si="1"/>
        <v>9718691.213333333</v>
      </c>
      <c r="Q46" s="14">
        <f t="shared" si="2"/>
        <v>9049972.3275</v>
      </c>
      <c r="R46" s="15">
        <f t="shared" si="3"/>
        <v>-0.06880750413346803</v>
      </c>
      <c r="T46" s="14"/>
      <c r="V46" s="14">
        <f>+P46</f>
        <v>9718691.213333333</v>
      </c>
      <c r="X46" s="12"/>
      <c r="Y46" s="12"/>
      <c r="Z46" s="12">
        <f>+V46</f>
        <v>9718691.213333333</v>
      </c>
      <c r="AA46" s="12"/>
      <c r="AB46" s="12"/>
    </row>
    <row r="47" spans="1:28" s="7" customFormat="1" ht="15.75">
      <c r="A47" s="7">
        <f t="shared" si="0"/>
        <v>44</v>
      </c>
      <c r="B47" s="10" t="s">
        <v>39</v>
      </c>
      <c r="C47" s="13">
        <v>8447227.53</v>
      </c>
      <c r="D47" s="13">
        <v>10902869.29</v>
      </c>
      <c r="E47" s="13">
        <v>18152456.84</v>
      </c>
      <c r="F47" s="13">
        <v>26038244.57</v>
      </c>
      <c r="G47" s="13">
        <v>17626658.45</v>
      </c>
      <c r="H47" s="13">
        <v>17192407.41</v>
      </c>
      <c r="I47" s="13">
        <v>18400866.86</v>
      </c>
      <c r="J47" s="13">
        <v>20869238.27</v>
      </c>
      <c r="K47" s="13">
        <v>21543046.15</v>
      </c>
      <c r="L47" s="13">
        <v>24899306.56</v>
      </c>
      <c r="M47" s="13">
        <v>25385911.76</v>
      </c>
      <c r="N47" s="13">
        <v>27243326.92</v>
      </c>
      <c r="O47" s="13">
        <v>14254319.91</v>
      </c>
      <c r="P47" s="14">
        <f t="shared" si="1"/>
        <v>19967092.23333333</v>
      </c>
      <c r="Q47" s="14">
        <f t="shared" si="2"/>
        <v>20209054.41583333</v>
      </c>
      <c r="R47" s="15">
        <f t="shared" si="3"/>
        <v>0.012118048019834626</v>
      </c>
      <c r="T47" s="14">
        <f t="shared" si="7"/>
        <v>19967092.23333333</v>
      </c>
      <c r="X47" s="12"/>
      <c r="Y47" s="12"/>
      <c r="Z47" s="12"/>
      <c r="AA47" s="12"/>
      <c r="AB47" s="12" t="s">
        <v>223</v>
      </c>
    </row>
    <row r="48" spans="1:29" s="7" customFormat="1" ht="15.75">
      <c r="A48" s="7">
        <f t="shared" si="0"/>
        <v>45</v>
      </c>
      <c r="B48" s="10" t="s">
        <v>40</v>
      </c>
      <c r="C48" s="13">
        <v>136802882.38</v>
      </c>
      <c r="D48" s="13">
        <v>135792320.41</v>
      </c>
      <c r="E48" s="13">
        <v>137993944.47</v>
      </c>
      <c r="F48" s="13">
        <v>137175844.6</v>
      </c>
      <c r="G48" s="13">
        <v>143953876.44</v>
      </c>
      <c r="H48" s="13">
        <v>143101854.68</v>
      </c>
      <c r="I48" s="13">
        <v>147738827.63</v>
      </c>
      <c r="J48" s="13">
        <v>149880296.71</v>
      </c>
      <c r="K48" s="13">
        <v>150142365.28</v>
      </c>
      <c r="L48" s="13">
        <v>154865746.69</v>
      </c>
      <c r="M48" s="13">
        <v>162920552.29</v>
      </c>
      <c r="N48" s="13">
        <v>169114205.85</v>
      </c>
      <c r="O48" s="13">
        <v>170930142.63</v>
      </c>
      <c r="P48" s="14">
        <f t="shared" si="1"/>
        <v>148878862.29625002</v>
      </c>
      <c r="Q48" s="14">
        <f t="shared" si="2"/>
        <v>150300831.47333336</v>
      </c>
      <c r="R48" s="15">
        <f t="shared" si="3"/>
        <v>0.009551182452306906</v>
      </c>
      <c r="T48" s="14">
        <f>+P48</f>
        <v>148878862.29625002</v>
      </c>
      <c r="V48" s="14"/>
      <c r="X48" s="12"/>
      <c r="Y48" s="12"/>
      <c r="Z48" s="12"/>
      <c r="AA48" s="12"/>
      <c r="AB48" s="12">
        <v>3524551</v>
      </c>
      <c r="AC48" s="12">
        <v>145354311</v>
      </c>
    </row>
    <row r="49" spans="1:29" s="7" customFormat="1" ht="15.75">
      <c r="A49" s="7">
        <f t="shared" si="0"/>
        <v>46</v>
      </c>
      <c r="B49" s="10" t="s">
        <v>41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4">
        <f t="shared" si="1"/>
        <v>0</v>
      </c>
      <c r="Q49" s="14">
        <f t="shared" si="2"/>
        <v>0</v>
      </c>
      <c r="R49" s="15"/>
      <c r="T49" s="14">
        <f t="shared" si="7"/>
        <v>0</v>
      </c>
      <c r="X49" s="12"/>
      <c r="Y49" s="12"/>
      <c r="Z49" s="12"/>
      <c r="AA49" s="12"/>
      <c r="AB49" s="12"/>
      <c r="AC49" s="12"/>
    </row>
    <row r="50" spans="1:29" s="7" customFormat="1" ht="15.75">
      <c r="A50" s="7">
        <f t="shared" si="0"/>
        <v>47</v>
      </c>
      <c r="B50" s="10" t="s">
        <v>42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4">
        <f t="shared" si="1"/>
        <v>0</v>
      </c>
      <c r="Q50" s="14">
        <f t="shared" si="2"/>
        <v>0</v>
      </c>
      <c r="R50" s="15"/>
      <c r="T50" s="14">
        <f t="shared" si="7"/>
        <v>0</v>
      </c>
      <c r="X50" s="12"/>
      <c r="Y50" s="12"/>
      <c r="Z50" s="12"/>
      <c r="AA50" s="12"/>
      <c r="AB50" s="12"/>
      <c r="AC50" s="12"/>
    </row>
    <row r="51" spans="1:29" s="7" customFormat="1" ht="15.75">
      <c r="A51" s="7">
        <f t="shared" si="0"/>
        <v>48</v>
      </c>
      <c r="B51" s="10" t="s">
        <v>43</v>
      </c>
      <c r="C51" s="13">
        <v>170075368.59</v>
      </c>
      <c r="D51" s="13">
        <v>172720075.61</v>
      </c>
      <c r="E51" s="13">
        <v>177305007.32</v>
      </c>
      <c r="F51" s="13">
        <v>179830987.9</v>
      </c>
      <c r="G51" s="13">
        <v>179739848.34</v>
      </c>
      <c r="H51" s="13">
        <v>179839372.74</v>
      </c>
      <c r="I51" s="13">
        <v>179417252.47</v>
      </c>
      <c r="J51" s="13">
        <v>178655254.21</v>
      </c>
      <c r="K51" s="13">
        <v>177302733.84</v>
      </c>
      <c r="L51" s="13">
        <v>177522023.57</v>
      </c>
      <c r="M51" s="13">
        <v>175847398.66</v>
      </c>
      <c r="N51" s="13">
        <v>175774644.86</v>
      </c>
      <c r="O51" s="13">
        <v>178147021.92</v>
      </c>
      <c r="P51" s="14">
        <f t="shared" si="1"/>
        <v>177338816.23125002</v>
      </c>
      <c r="Q51" s="14">
        <f t="shared" si="2"/>
        <v>177675135.12</v>
      </c>
      <c r="R51" s="15">
        <f t="shared" si="3"/>
        <v>0.001896476450544471</v>
      </c>
      <c r="T51" s="14">
        <f>+P51</f>
        <v>177338816.23125002</v>
      </c>
      <c r="V51" s="14"/>
      <c r="X51" s="12"/>
      <c r="Y51" s="12"/>
      <c r="Z51" s="12"/>
      <c r="AA51" s="12"/>
      <c r="AB51" s="12">
        <v>7775703</v>
      </c>
      <c r="AC51" s="12">
        <v>169563114</v>
      </c>
    </row>
    <row r="52" spans="1:28" s="7" customFormat="1" ht="15.75">
      <c r="A52" s="7">
        <f t="shared" si="0"/>
        <v>49</v>
      </c>
      <c r="B52" s="10" t="s">
        <v>44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4">
        <f t="shared" si="1"/>
        <v>0</v>
      </c>
      <c r="Q52" s="14">
        <f t="shared" si="2"/>
        <v>0</v>
      </c>
      <c r="R52" s="15"/>
      <c r="T52" s="14">
        <f t="shared" si="7"/>
        <v>0</v>
      </c>
      <c r="X52" s="12"/>
      <c r="Y52" s="12"/>
      <c r="Z52" s="12"/>
      <c r="AA52" s="12"/>
      <c r="AB52" s="12"/>
    </row>
    <row r="53" spans="1:28" s="7" customFormat="1" ht="15.75">
      <c r="A53" s="7">
        <f t="shared" si="0"/>
        <v>50</v>
      </c>
      <c r="B53" s="10" t="s">
        <v>45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4">
        <f t="shared" si="1"/>
        <v>0</v>
      </c>
      <c r="Q53" s="14">
        <f t="shared" si="2"/>
        <v>0</v>
      </c>
      <c r="R53" s="15"/>
      <c r="T53" s="14">
        <f t="shared" si="7"/>
        <v>0</v>
      </c>
      <c r="X53" s="12"/>
      <c r="Y53" s="12"/>
      <c r="Z53" s="12"/>
      <c r="AA53" s="12"/>
      <c r="AB53" s="12"/>
    </row>
    <row r="54" spans="1:28" s="7" customFormat="1" ht="15.75">
      <c r="A54" s="7">
        <f t="shared" si="0"/>
        <v>51</v>
      </c>
      <c r="B54" s="10" t="s">
        <v>46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4">
        <f t="shared" si="1"/>
        <v>0</v>
      </c>
      <c r="Q54" s="14">
        <f t="shared" si="2"/>
        <v>0</v>
      </c>
      <c r="R54" s="15"/>
      <c r="T54" s="14">
        <f t="shared" si="7"/>
        <v>0</v>
      </c>
      <c r="X54" s="12"/>
      <c r="Y54" s="12"/>
      <c r="Z54" s="12"/>
      <c r="AA54" s="12"/>
      <c r="AB54" s="12"/>
    </row>
    <row r="55" spans="1:28" s="7" customFormat="1" ht="15.75">
      <c r="A55" s="7">
        <f t="shared" si="0"/>
        <v>52</v>
      </c>
      <c r="B55" s="10" t="s">
        <v>47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4">
        <f t="shared" si="1"/>
        <v>0</v>
      </c>
      <c r="Q55" s="14">
        <f t="shared" si="2"/>
        <v>0</v>
      </c>
      <c r="R55" s="15"/>
      <c r="T55" s="14">
        <f t="shared" si="7"/>
        <v>0</v>
      </c>
      <c r="X55" s="12"/>
      <c r="Y55" s="12"/>
      <c r="Z55" s="12"/>
      <c r="AA55" s="12"/>
      <c r="AB55" s="12"/>
    </row>
    <row r="56" spans="1:28" s="7" customFormat="1" ht="15.75">
      <c r="A56" s="7">
        <f t="shared" si="0"/>
        <v>53</v>
      </c>
      <c r="B56" s="10" t="s">
        <v>48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4">
        <f t="shared" si="1"/>
        <v>0</v>
      </c>
      <c r="Q56" s="14">
        <f t="shared" si="2"/>
        <v>0</v>
      </c>
      <c r="R56" s="15"/>
      <c r="T56" s="14">
        <f>-P56</f>
        <v>0</v>
      </c>
      <c r="X56" s="12"/>
      <c r="Y56" s="12"/>
      <c r="Z56" s="12"/>
      <c r="AA56" s="12"/>
      <c r="AB56" s="12"/>
    </row>
    <row r="57" spans="1:28" s="7" customFormat="1" ht="15.75">
      <c r="A57" s="7">
        <f t="shared" si="0"/>
        <v>54</v>
      </c>
      <c r="B57" s="10" t="s">
        <v>49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4">
        <f t="shared" si="1"/>
        <v>0</v>
      </c>
      <c r="Q57" s="14">
        <f t="shared" si="2"/>
        <v>0</v>
      </c>
      <c r="R57" s="15"/>
      <c r="T57" s="14">
        <f t="shared" si="7"/>
        <v>0</v>
      </c>
      <c r="X57" s="12"/>
      <c r="Y57" s="12"/>
      <c r="Z57" s="12"/>
      <c r="AA57" s="12"/>
      <c r="AB57" s="12"/>
    </row>
    <row r="58" spans="1:28" s="7" customFormat="1" ht="15.75">
      <c r="A58" s="7">
        <f t="shared" si="0"/>
        <v>55</v>
      </c>
      <c r="B58" s="10" t="s">
        <v>50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4">
        <f t="shared" si="1"/>
        <v>0</v>
      </c>
      <c r="Q58" s="14">
        <f t="shared" si="2"/>
        <v>0</v>
      </c>
      <c r="R58" s="15"/>
      <c r="T58" s="14">
        <f t="shared" si="7"/>
        <v>0</v>
      </c>
      <c r="X58" s="12"/>
      <c r="Y58" s="12"/>
      <c r="Z58" s="12"/>
      <c r="AA58" s="12"/>
      <c r="AB58" s="12"/>
    </row>
    <row r="59" spans="1:28" s="7" customFormat="1" ht="15.75">
      <c r="A59" s="7">
        <f t="shared" si="0"/>
        <v>56</v>
      </c>
      <c r="B59" s="10" t="s">
        <v>51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4">
        <f t="shared" si="1"/>
        <v>0</v>
      </c>
      <c r="Q59" s="14">
        <f t="shared" si="2"/>
        <v>0</v>
      </c>
      <c r="R59" s="15"/>
      <c r="T59" s="14">
        <f t="shared" si="7"/>
        <v>0</v>
      </c>
      <c r="X59" s="12"/>
      <c r="Y59" s="12"/>
      <c r="Z59" s="12"/>
      <c r="AA59" s="12"/>
      <c r="AB59" s="12"/>
    </row>
    <row r="60" spans="1:28" s="7" customFormat="1" ht="15.75">
      <c r="A60" s="7">
        <f t="shared" si="0"/>
        <v>57</v>
      </c>
      <c r="B60" s="10" t="s">
        <v>52</v>
      </c>
      <c r="C60" s="13">
        <v>84769212.43</v>
      </c>
      <c r="D60" s="13">
        <v>60510496.69</v>
      </c>
      <c r="E60" s="13">
        <v>50938001.1</v>
      </c>
      <c r="F60" s="13">
        <v>67441362.19</v>
      </c>
      <c r="G60" s="13">
        <v>50467744.54</v>
      </c>
      <c r="H60" s="13">
        <v>44653502.65</v>
      </c>
      <c r="I60" s="13">
        <v>95200204.41</v>
      </c>
      <c r="J60" s="13">
        <v>62834034.17</v>
      </c>
      <c r="K60" s="13">
        <v>36635511.76</v>
      </c>
      <c r="L60" s="13">
        <v>192112509.51</v>
      </c>
      <c r="M60" s="13">
        <v>171500953.75</v>
      </c>
      <c r="N60" s="13">
        <v>42421488.4</v>
      </c>
      <c r="O60" s="13">
        <v>298656263.2</v>
      </c>
      <c r="P60" s="14">
        <f t="shared" si="1"/>
        <v>88869045.58208333</v>
      </c>
      <c r="Q60" s="14">
        <f t="shared" si="2"/>
        <v>97781006.03083332</v>
      </c>
      <c r="R60" s="15">
        <f t="shared" si="3"/>
        <v>0.10028194170847171</v>
      </c>
      <c r="T60" s="14">
        <f t="shared" si="7"/>
        <v>88869045.58208333</v>
      </c>
      <c r="X60" s="12"/>
      <c r="Y60" s="12"/>
      <c r="Z60" s="12"/>
      <c r="AA60" s="12"/>
      <c r="AB60" s="12"/>
    </row>
    <row r="61" spans="1:28" s="7" customFormat="1" ht="15.75">
      <c r="A61" s="7">
        <f t="shared" si="0"/>
        <v>58</v>
      </c>
      <c r="B61" s="10" t="s">
        <v>53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4">
        <f t="shared" si="1"/>
        <v>0</v>
      </c>
      <c r="Q61" s="14">
        <f t="shared" si="2"/>
        <v>0</v>
      </c>
      <c r="R61" s="15"/>
      <c r="T61" s="14">
        <f t="shared" si="7"/>
        <v>0</v>
      </c>
      <c r="X61" s="12"/>
      <c r="Y61" s="12"/>
      <c r="Z61" s="12"/>
      <c r="AA61" s="12"/>
      <c r="AB61" s="12"/>
    </row>
    <row r="62" spans="1:28" s="7" customFormat="1" ht="15.75">
      <c r="A62" s="7">
        <f t="shared" si="0"/>
        <v>59</v>
      </c>
      <c r="B62" s="10" t="s">
        <v>54</v>
      </c>
      <c r="C62" s="13">
        <v>28101.9</v>
      </c>
      <c r="D62" s="13">
        <v>10599.1</v>
      </c>
      <c r="E62" s="13">
        <v>9554.78</v>
      </c>
      <c r="F62" s="13">
        <v>27791.33</v>
      </c>
      <c r="G62" s="13">
        <v>13524.35</v>
      </c>
      <c r="H62" s="13">
        <v>11542.18</v>
      </c>
      <c r="I62" s="13">
        <v>6853.88</v>
      </c>
      <c r="J62" s="13">
        <v>14670.99</v>
      </c>
      <c r="K62" s="13">
        <v>13533.61</v>
      </c>
      <c r="L62" s="13">
        <v>14999.48</v>
      </c>
      <c r="M62" s="13">
        <v>11385.09</v>
      </c>
      <c r="N62" s="13">
        <v>14717.89</v>
      </c>
      <c r="O62" s="13">
        <v>8788.27</v>
      </c>
      <c r="P62" s="14">
        <f t="shared" si="1"/>
        <v>13968.147083333335</v>
      </c>
      <c r="Q62" s="14">
        <f t="shared" si="2"/>
        <v>13163.412499999999</v>
      </c>
      <c r="R62" s="15">
        <f t="shared" si="3"/>
        <v>-0.05761212124502457</v>
      </c>
      <c r="T62" s="14">
        <f t="shared" si="7"/>
        <v>13968.147083333335</v>
      </c>
      <c r="X62" s="12"/>
      <c r="Y62" s="12"/>
      <c r="Z62" s="12"/>
      <c r="AA62" s="12"/>
      <c r="AB62" s="12"/>
    </row>
    <row r="63" spans="1:28" s="7" customFormat="1" ht="15.75">
      <c r="A63" s="7">
        <f t="shared" si="0"/>
        <v>60</v>
      </c>
      <c r="B63" s="10" t="s">
        <v>55</v>
      </c>
      <c r="C63" s="13">
        <v>2172050.29</v>
      </c>
      <c r="D63" s="13">
        <v>1818920.43</v>
      </c>
      <c r="E63" s="13">
        <v>1677298.38</v>
      </c>
      <c r="F63" s="13">
        <v>1564432.4</v>
      </c>
      <c r="G63" s="13">
        <v>2986996.88</v>
      </c>
      <c r="H63" s="13">
        <v>2807517.74</v>
      </c>
      <c r="I63" s="13">
        <v>1576833.85</v>
      </c>
      <c r="J63" s="13">
        <v>5628158.98</v>
      </c>
      <c r="K63" s="13">
        <v>2936291.5</v>
      </c>
      <c r="L63" s="13">
        <v>2191215.17</v>
      </c>
      <c r="M63" s="13">
        <v>4444882.38</v>
      </c>
      <c r="N63" s="13">
        <v>4197732.25</v>
      </c>
      <c r="O63" s="13">
        <v>2772052.72</v>
      </c>
      <c r="P63" s="14">
        <f t="shared" si="1"/>
        <v>2858527.622083333</v>
      </c>
      <c r="Q63" s="14">
        <f t="shared" si="2"/>
        <v>2883527.723333333</v>
      </c>
      <c r="R63" s="15">
        <f t="shared" si="3"/>
        <v>0.008745796632106728</v>
      </c>
      <c r="T63" s="14">
        <f t="shared" si="7"/>
        <v>2858527.622083333</v>
      </c>
      <c r="X63" s="12"/>
      <c r="Y63" s="12"/>
      <c r="Z63" s="12"/>
      <c r="AA63" s="12"/>
      <c r="AB63" s="12"/>
    </row>
    <row r="64" spans="1:28" s="7" customFormat="1" ht="15.75">
      <c r="A64" s="7">
        <f t="shared" si="0"/>
        <v>61</v>
      </c>
      <c r="B64" s="10" t="s">
        <v>56</v>
      </c>
      <c r="C64" s="13">
        <v>210896000</v>
      </c>
      <c r="D64" s="13">
        <v>191911000</v>
      </c>
      <c r="E64" s="13">
        <v>169619000</v>
      </c>
      <c r="F64" s="13">
        <v>174720000</v>
      </c>
      <c r="G64" s="13">
        <v>168796000</v>
      </c>
      <c r="H64" s="13">
        <v>185160000</v>
      </c>
      <c r="I64" s="13">
        <v>187360000</v>
      </c>
      <c r="J64" s="13">
        <v>237453000</v>
      </c>
      <c r="K64" s="13">
        <v>216458000</v>
      </c>
      <c r="L64" s="13">
        <v>198863000</v>
      </c>
      <c r="M64" s="13">
        <v>201512000</v>
      </c>
      <c r="N64" s="13">
        <v>204831000</v>
      </c>
      <c r="O64" s="13">
        <v>213989000</v>
      </c>
      <c r="P64" s="14">
        <f t="shared" si="1"/>
        <v>195760458.33333334</v>
      </c>
      <c r="Q64" s="14">
        <f t="shared" si="2"/>
        <v>195889333.33333334</v>
      </c>
      <c r="R64" s="15">
        <f t="shared" si="3"/>
        <v>0.0006583300892182287</v>
      </c>
      <c r="T64" s="14">
        <f t="shared" si="7"/>
        <v>195760458.33333334</v>
      </c>
      <c r="X64" s="12"/>
      <c r="Y64" s="12"/>
      <c r="Z64" s="12"/>
      <c r="AA64" s="12"/>
      <c r="AB64" s="12"/>
    </row>
    <row r="65" spans="1:28" s="7" customFormat="1" ht="15.75">
      <c r="A65" s="7">
        <f t="shared" si="0"/>
        <v>62</v>
      </c>
      <c r="B65" s="10" t="s">
        <v>57</v>
      </c>
      <c r="C65" s="13">
        <v>8854406</v>
      </c>
      <c r="D65" s="13">
        <v>8854406</v>
      </c>
      <c r="E65" s="13">
        <v>8854406</v>
      </c>
      <c r="F65" s="13">
        <v>16659013</v>
      </c>
      <c r="G65" s="13">
        <v>16659013</v>
      </c>
      <c r="H65" s="13">
        <v>16659013</v>
      </c>
      <c r="I65" s="13">
        <v>17241415</v>
      </c>
      <c r="J65" s="13">
        <v>21954990</v>
      </c>
      <c r="K65" s="13">
        <v>21954990</v>
      </c>
      <c r="L65" s="13">
        <v>61280139</v>
      </c>
      <c r="M65" s="13">
        <v>61280139</v>
      </c>
      <c r="N65" s="13">
        <v>61280139</v>
      </c>
      <c r="O65" s="13">
        <v>0</v>
      </c>
      <c r="P65" s="14">
        <f t="shared" si="1"/>
        <v>26425405.5</v>
      </c>
      <c r="Q65" s="14">
        <f t="shared" si="2"/>
        <v>26056471.916666668</v>
      </c>
      <c r="R65" s="15">
        <f t="shared" si="3"/>
        <v>-0.013961321552221073</v>
      </c>
      <c r="T65" s="14">
        <f t="shared" si="7"/>
        <v>26425405.5</v>
      </c>
      <c r="X65" s="12"/>
      <c r="Y65" s="12"/>
      <c r="Z65" s="12"/>
      <c r="AA65" s="12"/>
      <c r="AB65" s="12"/>
    </row>
    <row r="66" spans="1:28" s="7" customFormat="1" ht="15.75">
      <c r="A66" s="7">
        <f t="shared" si="0"/>
        <v>63</v>
      </c>
      <c r="B66" s="10" t="s">
        <v>58</v>
      </c>
      <c r="C66" s="13">
        <v>260256082.49</v>
      </c>
      <c r="D66" s="13">
        <v>209604997.49</v>
      </c>
      <c r="E66" s="13">
        <v>213681352.88</v>
      </c>
      <c r="F66" s="13">
        <v>217413127.88</v>
      </c>
      <c r="G66" s="13">
        <v>229333781.88</v>
      </c>
      <c r="H66" s="13">
        <v>207495730.88</v>
      </c>
      <c r="I66" s="13">
        <v>203098973.88</v>
      </c>
      <c r="J66" s="13">
        <v>174543722.88</v>
      </c>
      <c r="K66" s="13">
        <v>189359350.88</v>
      </c>
      <c r="L66" s="13">
        <v>163575749.88</v>
      </c>
      <c r="M66" s="13">
        <v>174911069.88</v>
      </c>
      <c r="N66" s="13">
        <v>162777851.88</v>
      </c>
      <c r="O66" s="13">
        <v>151143600.88</v>
      </c>
      <c r="P66" s="14">
        <f t="shared" si="1"/>
        <v>195957962.66458336</v>
      </c>
      <c r="Q66" s="14">
        <f t="shared" si="2"/>
        <v>191411609.2641667</v>
      </c>
      <c r="R66" s="15">
        <f t="shared" si="3"/>
        <v>-0.02320065660306203</v>
      </c>
      <c r="T66" s="14">
        <f>+P66</f>
        <v>195957962.66458336</v>
      </c>
      <c r="U66" s="25"/>
      <c r="W66" s="14"/>
      <c r="X66" s="12"/>
      <c r="Y66" s="12"/>
      <c r="Z66" s="12"/>
      <c r="AA66" s="12"/>
      <c r="AB66" s="12"/>
    </row>
    <row r="67" spans="1:28" s="7" customFormat="1" ht="15.75">
      <c r="A67" s="7">
        <f t="shared" si="0"/>
        <v>64</v>
      </c>
      <c r="B67" s="10" t="s">
        <v>59</v>
      </c>
      <c r="C67" s="13">
        <v>86579549.13</v>
      </c>
      <c r="D67" s="13">
        <v>69954057.13</v>
      </c>
      <c r="E67" s="13">
        <v>69134025.13</v>
      </c>
      <c r="F67" s="13">
        <v>63439500.13</v>
      </c>
      <c r="G67" s="13">
        <v>61906373.13</v>
      </c>
      <c r="H67" s="13">
        <v>78803144.13</v>
      </c>
      <c r="I67" s="13">
        <v>74601648.13</v>
      </c>
      <c r="J67" s="13">
        <v>56624940.13</v>
      </c>
      <c r="K67" s="13">
        <v>62515919.13</v>
      </c>
      <c r="L67" s="13">
        <v>47225702.13</v>
      </c>
      <c r="M67" s="13">
        <v>54950759.13</v>
      </c>
      <c r="N67" s="13">
        <v>48752044.13</v>
      </c>
      <c r="O67" s="13">
        <v>42909107.13</v>
      </c>
      <c r="P67" s="14">
        <f>-(C67+2*SUM(D67:N67)+O67)/24</f>
        <v>-62721036.71333333</v>
      </c>
      <c r="Q67" s="14">
        <f t="shared" si="2"/>
        <v>60901434.96333333</v>
      </c>
      <c r="R67" s="15">
        <f t="shared" si="3"/>
        <v>-1.970988972036344</v>
      </c>
      <c r="T67" s="14">
        <f>P67</f>
        <v>-62721036.71333333</v>
      </c>
      <c r="W67" s="14"/>
      <c r="X67" s="12"/>
      <c r="Y67" s="12"/>
      <c r="Z67" s="12"/>
      <c r="AA67" s="12"/>
      <c r="AB67" s="12"/>
    </row>
    <row r="68" spans="1:28" s="7" customFormat="1" ht="15.75">
      <c r="A68" s="7">
        <f t="shared" si="0"/>
        <v>65</v>
      </c>
      <c r="B68" s="10" t="s">
        <v>60</v>
      </c>
      <c r="C68" s="13">
        <v>1.42</v>
      </c>
      <c r="D68" s="13">
        <v>38450.42</v>
      </c>
      <c r="E68" s="13">
        <v>0.42</v>
      </c>
      <c r="F68" s="13">
        <v>0.42</v>
      </c>
      <c r="G68" s="13">
        <v>-347259.58</v>
      </c>
      <c r="H68" s="13">
        <v>-1302174.58</v>
      </c>
      <c r="I68" s="13">
        <v>-454169.58</v>
      </c>
      <c r="J68" s="13">
        <v>-716362.58</v>
      </c>
      <c r="K68" s="13">
        <v>1775759.42</v>
      </c>
      <c r="L68" s="13">
        <v>-4026375.58</v>
      </c>
      <c r="M68" s="13">
        <v>-1784927.58</v>
      </c>
      <c r="N68" s="13">
        <v>471975.42</v>
      </c>
      <c r="O68" s="13">
        <v>0</v>
      </c>
      <c r="P68" s="14">
        <f t="shared" si="1"/>
        <v>-528756.8891666668</v>
      </c>
      <c r="Q68" s="14">
        <f t="shared" si="2"/>
        <v>-528756.9483333334</v>
      </c>
      <c r="R68" s="15">
        <f t="shared" si="3"/>
        <v>1.1189767512576054E-07</v>
      </c>
      <c r="T68" s="14">
        <f>+P68</f>
        <v>-528756.8891666668</v>
      </c>
      <c r="W68" s="14"/>
      <c r="X68" s="12"/>
      <c r="Y68" s="12"/>
      <c r="Z68" s="12"/>
      <c r="AA68" s="12"/>
      <c r="AB68" s="12"/>
    </row>
    <row r="69" spans="1:28" s="7" customFormat="1" ht="15.75">
      <c r="A69" s="7">
        <f t="shared" si="0"/>
        <v>66</v>
      </c>
      <c r="B69" s="10" t="s">
        <v>61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4">
        <f t="shared" si="1"/>
        <v>0</v>
      </c>
      <c r="Q69" s="14">
        <f t="shared" si="2"/>
        <v>0</v>
      </c>
      <c r="R69" s="15"/>
      <c r="T69" s="14">
        <f>-P69</f>
        <v>0</v>
      </c>
      <c r="X69" s="12"/>
      <c r="Y69" s="12"/>
      <c r="Z69" s="12"/>
      <c r="AA69" s="12"/>
      <c r="AB69" s="12"/>
    </row>
    <row r="70" spans="1:28" s="7" customFormat="1" ht="15.75">
      <c r="A70" s="7">
        <f aca="true" t="shared" si="8" ref="A70:A131">+A69+1</f>
        <v>67</v>
      </c>
      <c r="B70" s="10" t="s">
        <v>62</v>
      </c>
      <c r="C70" s="13">
        <v>1219442820.9400003</v>
      </c>
      <c r="D70" s="13">
        <v>2007304726.5</v>
      </c>
      <c r="E70" s="13">
        <v>1845029373.2399998</v>
      </c>
      <c r="F70" s="13">
        <v>1873448501.7200003</v>
      </c>
      <c r="G70" s="13">
        <v>1742561881.3200002</v>
      </c>
      <c r="H70" s="13">
        <v>1626452942.7600002</v>
      </c>
      <c r="I70" s="13">
        <v>1604368875.7000005</v>
      </c>
      <c r="J70" s="13">
        <v>1323073525.2700002</v>
      </c>
      <c r="K70" s="13">
        <v>1278257587.3200004</v>
      </c>
      <c r="L70" s="13">
        <v>1370910756.3000002</v>
      </c>
      <c r="M70" s="13">
        <v>1267278155.42</v>
      </c>
      <c r="N70" s="13">
        <v>1235012785.5200002</v>
      </c>
      <c r="O70" s="13">
        <v>1465358488.05</v>
      </c>
      <c r="P70" s="16">
        <f>SUBTOTAL(9,P38:P69)</f>
        <v>1543008313.7970834</v>
      </c>
      <c r="Q70" s="14">
        <f t="shared" si="2"/>
        <v>1553254799.926667</v>
      </c>
      <c r="R70" s="15">
        <f t="shared" si="3"/>
        <v>0.006640590357137377</v>
      </c>
      <c r="T70" s="16">
        <f>SUBTOTAL(9,T38:T69)</f>
        <v>1137438262.4812503</v>
      </c>
      <c r="V70" s="16">
        <f>SUBTOTAL(9,V38:V69)</f>
        <v>405570051.3158334</v>
      </c>
      <c r="X70" s="16">
        <f>SUBTOTAL(9,X38:X69)</f>
        <v>0</v>
      </c>
      <c r="Y70" s="16">
        <f>SUBTOTAL(9,Y38:Y69)</f>
        <v>0</v>
      </c>
      <c r="Z70" s="16">
        <f>SUBTOTAL(9,Z38:Z69)</f>
        <v>405570051.3158334</v>
      </c>
      <c r="AA70" s="12"/>
      <c r="AB70" s="12"/>
    </row>
    <row r="71" spans="1:28" s="7" customFormat="1" ht="15.75">
      <c r="A71" s="7">
        <f t="shared" si="8"/>
        <v>68</v>
      </c>
      <c r="B71" s="1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6"/>
      <c r="Q71" s="14"/>
      <c r="R71" s="15"/>
      <c r="T71" s="26"/>
      <c r="V71" s="26"/>
      <c r="X71" s="26"/>
      <c r="Y71" s="26"/>
      <c r="Z71" s="26"/>
      <c r="AA71" s="12"/>
      <c r="AB71" s="12"/>
    </row>
    <row r="72" spans="1:28" s="7" customFormat="1" ht="15.75">
      <c r="A72" s="7">
        <f t="shared" si="8"/>
        <v>69</v>
      </c>
      <c r="B72" s="10" t="s">
        <v>63</v>
      </c>
      <c r="C72" s="11" t="s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4"/>
      <c r="Q72" s="14"/>
      <c r="R72" s="15"/>
      <c r="X72" s="12"/>
      <c r="Y72" s="12"/>
      <c r="Z72" s="12"/>
      <c r="AA72" s="12"/>
      <c r="AB72" s="12"/>
    </row>
    <row r="73" spans="1:28" s="7" customFormat="1" ht="15.75">
      <c r="A73" s="7">
        <f t="shared" si="8"/>
        <v>70</v>
      </c>
      <c r="B73" s="10" t="s">
        <v>64</v>
      </c>
      <c r="C73" s="13">
        <v>30017720.67</v>
      </c>
      <c r="D73" s="13">
        <v>37888253.21</v>
      </c>
      <c r="E73" s="13">
        <v>38034222.97</v>
      </c>
      <c r="F73" s="13">
        <v>37831381.47</v>
      </c>
      <c r="G73" s="13">
        <v>37720860.37</v>
      </c>
      <c r="H73" s="13">
        <v>37486822.26</v>
      </c>
      <c r="I73" s="13">
        <v>37297859.06</v>
      </c>
      <c r="J73" s="13">
        <v>37094926.32</v>
      </c>
      <c r="K73" s="13">
        <v>36871723.17</v>
      </c>
      <c r="L73" s="13">
        <v>36648519.85</v>
      </c>
      <c r="M73" s="13">
        <v>36425316.7</v>
      </c>
      <c r="N73" s="13">
        <v>36202113.38</v>
      </c>
      <c r="O73" s="13">
        <v>35978910.23</v>
      </c>
      <c r="P73" s="14">
        <f aca="true" t="shared" si="9" ref="P73:P143">(C73+2*SUM(D73:N73)+O73)/24</f>
        <v>36875026.18416666</v>
      </c>
      <c r="Q73" s="14">
        <f aca="true" t="shared" si="10" ref="Q73:Q143">AVERAGE(D73:O73)</f>
        <v>37123409.0825</v>
      </c>
      <c r="R73" s="15">
        <f t="shared" si="3"/>
        <v>0.006735802629477039</v>
      </c>
      <c r="V73" s="14"/>
      <c r="W73" s="14">
        <f>-P73</f>
        <v>-36875026.18416666</v>
      </c>
      <c r="X73" s="12"/>
      <c r="Y73" s="12"/>
      <c r="Z73" s="12"/>
      <c r="AA73" s="12"/>
      <c r="AB73" s="12"/>
    </row>
    <row r="74" spans="1:28" s="7" customFormat="1" ht="15.75">
      <c r="A74" s="7">
        <f t="shared" si="8"/>
        <v>71</v>
      </c>
      <c r="B74" s="10" t="s">
        <v>65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4">
        <f t="shared" si="9"/>
        <v>0</v>
      </c>
      <c r="Q74" s="14">
        <f t="shared" si="10"/>
        <v>0</v>
      </c>
      <c r="R74" s="15"/>
      <c r="V74" s="14">
        <f aca="true" t="shared" si="11" ref="V74:V87">+P74</f>
        <v>0</v>
      </c>
      <c r="X74" s="12"/>
      <c r="Y74" s="12"/>
      <c r="Z74" s="12"/>
      <c r="AA74" s="12"/>
      <c r="AB74" s="12"/>
    </row>
    <row r="75" spans="1:28" s="7" customFormat="1" ht="15.75">
      <c r="A75" s="7">
        <f t="shared" si="8"/>
        <v>72</v>
      </c>
      <c r="B75" s="10" t="s">
        <v>66</v>
      </c>
      <c r="C75" s="13">
        <v>10439101.29</v>
      </c>
      <c r="D75" s="13">
        <v>10009937.3</v>
      </c>
      <c r="E75" s="13">
        <v>9580773.31</v>
      </c>
      <c r="F75" s="13">
        <v>9151609.32</v>
      </c>
      <c r="G75" s="13">
        <v>8722445.33</v>
      </c>
      <c r="H75" s="13">
        <v>8293281.34</v>
      </c>
      <c r="I75" s="13">
        <v>7864117.34</v>
      </c>
      <c r="J75" s="13">
        <v>7434953.35</v>
      </c>
      <c r="K75" s="13">
        <v>7005789.36</v>
      </c>
      <c r="L75" s="13">
        <v>6576625.37</v>
      </c>
      <c r="M75" s="13">
        <v>6147461.38</v>
      </c>
      <c r="N75" s="13">
        <v>5718297.39</v>
      </c>
      <c r="O75" s="13">
        <v>5289133.39</v>
      </c>
      <c r="P75" s="14">
        <f t="shared" si="9"/>
        <v>7864117.344166666</v>
      </c>
      <c r="Q75" s="14">
        <f t="shared" si="10"/>
        <v>7649535.348333334</v>
      </c>
      <c r="R75" s="15">
        <f t="shared" si="3"/>
        <v>-0.027286214897658145</v>
      </c>
      <c r="V75" s="14">
        <f t="shared" si="11"/>
        <v>7864117.344166666</v>
      </c>
      <c r="X75" s="12"/>
      <c r="Y75" s="12"/>
      <c r="Z75" s="12">
        <f>+V75-Y75-X75</f>
        <v>7864117.344166666</v>
      </c>
      <c r="AA75" s="12">
        <f>+Z75+X75+Y75</f>
        <v>7864117.344166666</v>
      </c>
      <c r="AB75" s="12"/>
    </row>
    <row r="76" spans="1:28" s="7" customFormat="1" ht="15.75">
      <c r="A76" s="7">
        <f t="shared" si="8"/>
        <v>73</v>
      </c>
      <c r="B76" s="10" t="s">
        <v>67</v>
      </c>
      <c r="C76" s="13">
        <v>1626353729.76</v>
      </c>
      <c r="D76" s="13">
        <v>1560721657.83</v>
      </c>
      <c r="E76" s="13">
        <v>1562888563.45</v>
      </c>
      <c r="F76" s="13">
        <v>1552360459.36</v>
      </c>
      <c r="G76" s="13">
        <v>1552259527.46</v>
      </c>
      <c r="H76" s="13">
        <v>1541056352.91</v>
      </c>
      <c r="I76" s="13">
        <v>1483805143.29</v>
      </c>
      <c r="J76" s="13">
        <v>1467247506.73</v>
      </c>
      <c r="K76" s="13">
        <v>1466395972.64</v>
      </c>
      <c r="L76" s="13">
        <v>1445809428.54</v>
      </c>
      <c r="M76" s="13">
        <v>1432712962.34</v>
      </c>
      <c r="N76" s="13">
        <v>1421950346.04</v>
      </c>
      <c r="O76" s="13">
        <v>1550913652.27</v>
      </c>
      <c r="P76" s="14">
        <f t="shared" si="9"/>
        <v>1506320134.3004167</v>
      </c>
      <c r="Q76" s="14">
        <f t="shared" si="10"/>
        <v>1503176797.7383335</v>
      </c>
      <c r="R76" s="15">
        <f aca="true" t="shared" si="12" ref="R76:R146">+Q76/P76-1</f>
        <v>-0.0020867652834920536</v>
      </c>
      <c r="V76" s="14">
        <f t="shared" si="11"/>
        <v>1506320134.3004167</v>
      </c>
      <c r="X76" s="12">
        <f>+'Tab 2 accounts'!F38</f>
        <v>5636094</v>
      </c>
      <c r="Y76" s="12">
        <f>+'Tab 2 accounts'!G38</f>
        <v>119762090</v>
      </c>
      <c r="Z76" s="12">
        <f>+V76-X76-Y76</f>
        <v>1380921950.3004167</v>
      </c>
      <c r="AA76" s="12">
        <f>+Z76+X76+Y76</f>
        <v>1506320134.3004167</v>
      </c>
      <c r="AB76" s="12"/>
    </row>
    <row r="77" spans="1:28" s="7" customFormat="1" ht="15.75">
      <c r="A77" s="7">
        <f t="shared" si="8"/>
        <v>74</v>
      </c>
      <c r="B77" s="10" t="s">
        <v>68</v>
      </c>
      <c r="C77" s="13">
        <v>1091392.17</v>
      </c>
      <c r="D77" s="13">
        <v>1091392.17</v>
      </c>
      <c r="E77" s="13">
        <v>1091392.17</v>
      </c>
      <c r="F77" s="13">
        <v>1092038.13</v>
      </c>
      <c r="G77" s="13">
        <v>1193360.26</v>
      </c>
      <c r="H77" s="13">
        <v>1194427.64</v>
      </c>
      <c r="I77" s="13">
        <v>1629764.74</v>
      </c>
      <c r="J77" s="13">
        <v>1695888.6</v>
      </c>
      <c r="K77" s="13">
        <v>1716164.36</v>
      </c>
      <c r="L77" s="13">
        <v>2797885.64</v>
      </c>
      <c r="M77" s="13">
        <v>3146238.95</v>
      </c>
      <c r="N77" s="13">
        <v>3277378.84</v>
      </c>
      <c r="O77" s="13">
        <v>3116068.63</v>
      </c>
      <c r="P77" s="14">
        <f t="shared" si="9"/>
        <v>1835805.1583333334</v>
      </c>
      <c r="Q77" s="14">
        <f t="shared" si="10"/>
        <v>1920166.6775</v>
      </c>
      <c r="R77" s="15">
        <f t="shared" si="12"/>
        <v>0.045953416561513194</v>
      </c>
      <c r="V77" s="14">
        <f t="shared" si="11"/>
        <v>1835805.1583333334</v>
      </c>
      <c r="X77" s="12">
        <v>0</v>
      </c>
      <c r="Y77" s="12">
        <v>0</v>
      </c>
      <c r="Z77" s="12">
        <f>+V77</f>
        <v>1835805.1583333334</v>
      </c>
      <c r="AA77" s="12">
        <f>+Z77+X77+Y77</f>
        <v>1835805.1583333334</v>
      </c>
      <c r="AB77" s="12"/>
    </row>
    <row r="78" spans="1:28" s="7" customFormat="1" ht="15.75">
      <c r="A78" s="7">
        <f t="shared" si="8"/>
        <v>75</v>
      </c>
      <c r="B78" s="10" t="s">
        <v>69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4">
        <f t="shared" si="9"/>
        <v>0</v>
      </c>
      <c r="Q78" s="14">
        <f t="shared" si="10"/>
        <v>0</v>
      </c>
      <c r="R78" s="15"/>
      <c r="V78" s="14">
        <f t="shared" si="11"/>
        <v>0</v>
      </c>
      <c r="X78" s="12"/>
      <c r="Y78" s="12"/>
      <c r="Z78" s="12"/>
      <c r="AA78" s="12"/>
      <c r="AB78" s="12"/>
    </row>
    <row r="79" spans="1:28" s="7" customFormat="1" ht="15.75">
      <c r="A79" s="7">
        <f t="shared" si="8"/>
        <v>76</v>
      </c>
      <c r="B79" s="10" t="s">
        <v>70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4">
        <f t="shared" si="9"/>
        <v>0</v>
      </c>
      <c r="Q79" s="14">
        <f t="shared" si="10"/>
        <v>0</v>
      </c>
      <c r="R79" s="15"/>
      <c r="V79" s="14">
        <f t="shared" si="11"/>
        <v>0</v>
      </c>
      <c r="X79" s="12"/>
      <c r="Y79" s="12"/>
      <c r="Z79" s="12"/>
      <c r="AA79" s="12"/>
      <c r="AB79" s="12"/>
    </row>
    <row r="80" spans="1:28" s="7" customFormat="1" ht="15.75">
      <c r="A80" s="7">
        <f t="shared" si="8"/>
        <v>77</v>
      </c>
      <c r="B80" s="10" t="s">
        <v>71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4">
        <f t="shared" si="9"/>
        <v>0</v>
      </c>
      <c r="Q80" s="14">
        <f t="shared" si="10"/>
        <v>0</v>
      </c>
      <c r="R80" s="15"/>
      <c r="V80" s="14">
        <f t="shared" si="11"/>
        <v>0</v>
      </c>
      <c r="X80" s="12"/>
      <c r="Y80" s="12"/>
      <c r="Z80" s="12"/>
      <c r="AA80" s="12"/>
      <c r="AB80" s="12"/>
    </row>
    <row r="81" spans="1:28" s="7" customFormat="1" ht="15.75">
      <c r="A81" s="7">
        <f t="shared" si="8"/>
        <v>78</v>
      </c>
      <c r="B81" s="10" t="s">
        <v>72</v>
      </c>
      <c r="C81" s="13">
        <v>88829.07</v>
      </c>
      <c r="D81" s="13">
        <v>94796.37</v>
      </c>
      <c r="E81" s="13">
        <v>81839.29</v>
      </c>
      <c r="F81" s="13">
        <v>103725.2</v>
      </c>
      <c r="G81" s="13">
        <v>133268.69</v>
      </c>
      <c r="H81" s="13">
        <v>108662.38</v>
      </c>
      <c r="I81" s="13">
        <v>86265.86</v>
      </c>
      <c r="J81" s="13">
        <v>103034.46</v>
      </c>
      <c r="K81" s="13">
        <v>97798.98</v>
      </c>
      <c r="L81" s="13">
        <v>67576.54</v>
      </c>
      <c r="M81" s="13">
        <v>65271.62</v>
      </c>
      <c r="N81" s="13">
        <v>68858.95</v>
      </c>
      <c r="O81" s="13">
        <v>89890.83</v>
      </c>
      <c r="P81" s="14">
        <f t="shared" si="9"/>
        <v>91704.8575</v>
      </c>
      <c r="Q81" s="14">
        <f t="shared" si="10"/>
        <v>91749.09749999999</v>
      </c>
      <c r="R81" s="15">
        <f t="shared" si="12"/>
        <v>0.00048241719365837987</v>
      </c>
      <c r="V81" s="14">
        <f t="shared" si="11"/>
        <v>91704.8575</v>
      </c>
      <c r="X81" s="12">
        <v>0</v>
      </c>
      <c r="Y81" s="12">
        <v>0</v>
      </c>
      <c r="Z81" s="12">
        <f>+V81</f>
        <v>91704.8575</v>
      </c>
      <c r="AA81" s="12">
        <f>+Z81+X81+Y81</f>
        <v>91704.8575</v>
      </c>
      <c r="AB81" s="12"/>
    </row>
    <row r="82" spans="1:28" s="7" customFormat="1" ht="15.75">
      <c r="A82" s="7">
        <f t="shared" si="8"/>
        <v>79</v>
      </c>
      <c r="B82" s="10" t="s">
        <v>73</v>
      </c>
      <c r="C82" s="13">
        <v>72806093.74</v>
      </c>
      <c r="D82" s="13">
        <v>72597909.57</v>
      </c>
      <c r="E82" s="13">
        <v>73865429.84</v>
      </c>
      <c r="F82" s="13">
        <v>73648457</v>
      </c>
      <c r="G82" s="13">
        <v>74571466.05</v>
      </c>
      <c r="H82" s="13">
        <v>74523271.65</v>
      </c>
      <c r="I82" s="13">
        <v>66022456.52</v>
      </c>
      <c r="J82" s="13">
        <v>66783060.19</v>
      </c>
      <c r="K82" s="13">
        <v>63852028.81</v>
      </c>
      <c r="L82" s="13">
        <v>63969730.88</v>
      </c>
      <c r="M82" s="13">
        <v>63215451.24</v>
      </c>
      <c r="N82" s="13">
        <v>64257553.11</v>
      </c>
      <c r="O82" s="13">
        <v>67302538.76</v>
      </c>
      <c r="P82" s="14">
        <f t="shared" si="9"/>
        <v>68946760.92583333</v>
      </c>
      <c r="Q82" s="14">
        <f t="shared" si="10"/>
        <v>68717446.135</v>
      </c>
      <c r="R82" s="15">
        <f t="shared" si="12"/>
        <v>-0.0033259690194873404</v>
      </c>
      <c r="V82" s="14">
        <f t="shared" si="11"/>
        <v>68946760.92583333</v>
      </c>
      <c r="X82" s="12">
        <f>+'Tab 2 accounts'!F47</f>
        <v>2995635</v>
      </c>
      <c r="Y82" s="12">
        <f>+'Tab 2 accounts'!G47</f>
        <v>63912195</v>
      </c>
      <c r="Z82" s="12">
        <f>+'Tab 2 accounts'!H46</f>
        <v>2038930.9258333296</v>
      </c>
      <c r="AA82" s="12">
        <f>+Z82+X82+Y82</f>
        <v>68946760.92583333</v>
      </c>
      <c r="AB82" s="12"/>
    </row>
    <row r="83" spans="1:28" s="7" customFormat="1" ht="15.75">
      <c r="A83" s="7">
        <f t="shared" si="8"/>
        <v>80</v>
      </c>
      <c r="B83" s="10" t="s">
        <v>74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4">
        <f t="shared" si="9"/>
        <v>0</v>
      </c>
      <c r="Q83" s="14">
        <f t="shared" si="10"/>
        <v>0</v>
      </c>
      <c r="R83" s="15"/>
      <c r="V83" s="14">
        <f t="shared" si="11"/>
        <v>0</v>
      </c>
      <c r="X83" s="12"/>
      <c r="Y83" s="12"/>
      <c r="Z83" s="12"/>
      <c r="AA83" s="12"/>
      <c r="AB83" s="12"/>
    </row>
    <row r="84" spans="1:28" s="7" customFormat="1" ht="15.75">
      <c r="A84" s="7">
        <f t="shared" si="8"/>
        <v>81</v>
      </c>
      <c r="B84" s="10" t="s">
        <v>75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4">
        <f t="shared" si="9"/>
        <v>0</v>
      </c>
      <c r="Q84" s="14">
        <f t="shared" si="10"/>
        <v>0</v>
      </c>
      <c r="R84" s="15"/>
      <c r="V84" s="14">
        <f t="shared" si="11"/>
        <v>0</v>
      </c>
      <c r="X84" s="12"/>
      <c r="Y84" s="12"/>
      <c r="Z84" s="12"/>
      <c r="AA84" s="12"/>
      <c r="AB84" s="12"/>
    </row>
    <row r="85" spans="1:28" s="7" customFormat="1" ht="15.75">
      <c r="A85" s="7">
        <f t="shared" si="8"/>
        <v>82</v>
      </c>
      <c r="B85" s="10" t="s">
        <v>76</v>
      </c>
      <c r="C85" s="13">
        <v>16563179.75</v>
      </c>
      <c r="D85" s="13">
        <v>16277554.25</v>
      </c>
      <c r="E85" s="13">
        <v>15991928.95</v>
      </c>
      <c r="F85" s="13">
        <v>15706303.45</v>
      </c>
      <c r="G85" s="13">
        <v>15439457.86</v>
      </c>
      <c r="H85" s="13">
        <v>15229406.65</v>
      </c>
      <c r="I85" s="13">
        <v>15019355.62</v>
      </c>
      <c r="J85" s="13">
        <v>14809304.41</v>
      </c>
      <c r="K85" s="13">
        <v>14599253.38</v>
      </c>
      <c r="L85" s="13">
        <v>14393956.79</v>
      </c>
      <c r="M85" s="13">
        <v>14188660.37</v>
      </c>
      <c r="N85" s="13">
        <v>13983363.78</v>
      </c>
      <c r="O85" s="13">
        <v>13778067.36</v>
      </c>
      <c r="P85" s="14">
        <f t="shared" si="9"/>
        <v>15067430.755416667</v>
      </c>
      <c r="Q85" s="14">
        <f t="shared" si="10"/>
        <v>14951384.405833334</v>
      </c>
      <c r="R85" s="15">
        <f t="shared" si="12"/>
        <v>-0.007701800756019117</v>
      </c>
      <c r="V85" s="14"/>
      <c r="W85" s="14">
        <f>-P85</f>
        <v>-15067430.755416667</v>
      </c>
      <c r="X85" s="12"/>
      <c r="Y85" s="12"/>
      <c r="Z85" s="12"/>
      <c r="AA85" s="12"/>
      <c r="AB85" s="12"/>
    </row>
    <row r="86" spans="1:28" s="7" customFormat="1" ht="15.75">
      <c r="A86" s="7">
        <f t="shared" si="8"/>
        <v>83</v>
      </c>
      <c r="B86" s="10" t="s">
        <v>77</v>
      </c>
      <c r="C86" s="13">
        <v>586940124.68</v>
      </c>
      <c r="D86" s="13">
        <v>586944962.68</v>
      </c>
      <c r="E86" s="13">
        <v>587122054.68</v>
      </c>
      <c r="F86" s="13">
        <v>571837659.39</v>
      </c>
      <c r="G86" s="13">
        <v>571745145.39</v>
      </c>
      <c r="H86" s="13">
        <v>572091832.39</v>
      </c>
      <c r="I86" s="13">
        <v>569976367.39</v>
      </c>
      <c r="J86" s="13">
        <v>571107387.39</v>
      </c>
      <c r="K86" s="13">
        <v>570161602.39</v>
      </c>
      <c r="L86" s="13">
        <v>776623977.39</v>
      </c>
      <c r="M86" s="13">
        <v>775761001.39</v>
      </c>
      <c r="N86" s="13">
        <v>774880808.39</v>
      </c>
      <c r="O86" s="13">
        <v>587517757.54</v>
      </c>
      <c r="P86" s="19">
        <f t="shared" si="9"/>
        <v>626290144.9983335</v>
      </c>
      <c r="Q86" s="14">
        <f t="shared" si="10"/>
        <v>626314213.0341667</v>
      </c>
      <c r="R86" s="15">
        <f t="shared" si="12"/>
        <v>3.842952986787829E-05</v>
      </c>
      <c r="V86" s="14">
        <f t="shared" si="11"/>
        <v>626290144.9983335</v>
      </c>
      <c r="X86" s="12">
        <f>+'Tab 2 accounts'!F50</f>
        <v>5165174</v>
      </c>
      <c r="Y86" s="12">
        <f>+'Tab 2 accounts'!G50</f>
        <v>96513928</v>
      </c>
      <c r="Z86" s="12">
        <f>+'Tab 2 accounts'!H49+'Tab 2 accounts'!H50</f>
        <v>524611042.99833345</v>
      </c>
      <c r="AA86" s="12">
        <f>+Z86+X86+Y86</f>
        <v>626290144.9983335</v>
      </c>
      <c r="AB86" s="12"/>
    </row>
    <row r="87" spans="1:28" s="7" customFormat="1" ht="15.75">
      <c r="A87" s="7">
        <f t="shared" si="8"/>
        <v>84</v>
      </c>
      <c r="B87" s="10" t="s">
        <v>78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4">
        <f t="shared" si="9"/>
        <v>0</v>
      </c>
      <c r="Q87" s="14">
        <f t="shared" si="10"/>
        <v>0</v>
      </c>
      <c r="R87" s="15"/>
      <c r="V87" s="14">
        <f t="shared" si="11"/>
        <v>0</v>
      </c>
      <c r="X87" s="12"/>
      <c r="Y87" s="12"/>
      <c r="Z87" s="12"/>
      <c r="AA87" s="12"/>
      <c r="AB87" s="12"/>
    </row>
    <row r="88" spans="1:28" s="7" customFormat="1" ht="15.75">
      <c r="A88" s="7">
        <f t="shared" si="8"/>
        <v>85</v>
      </c>
      <c r="B88" s="10" t="s">
        <v>79</v>
      </c>
      <c r="C88" s="13">
        <v>2344300171.13</v>
      </c>
      <c r="D88" s="13">
        <v>2285626463.3799996</v>
      </c>
      <c r="E88" s="13">
        <v>2288656204.66</v>
      </c>
      <c r="F88" s="13">
        <v>2261731633.32</v>
      </c>
      <c r="G88" s="13">
        <v>2261785531.41</v>
      </c>
      <c r="H88" s="13">
        <v>2249984057.2200003</v>
      </c>
      <c r="I88" s="13">
        <v>2181701329.8199997</v>
      </c>
      <c r="J88" s="13">
        <v>2166276061.4500003</v>
      </c>
      <c r="K88" s="13">
        <v>2160700333.09</v>
      </c>
      <c r="L88" s="13">
        <v>2346887701</v>
      </c>
      <c r="M88" s="13">
        <v>2331662363.99</v>
      </c>
      <c r="N88" s="13">
        <v>2320338719.8799996</v>
      </c>
      <c r="O88" s="13">
        <v>2263986019.0099998</v>
      </c>
      <c r="P88" s="16">
        <f>SUBTOTAL(9,P73:P87)</f>
        <v>2263291124.524167</v>
      </c>
      <c r="Q88" s="14">
        <f t="shared" si="10"/>
        <v>2259944701.5191665</v>
      </c>
      <c r="R88" s="15">
        <f t="shared" si="12"/>
        <v>-0.0014785649838591208</v>
      </c>
      <c r="T88" s="16">
        <f>SUBTOTAL(9,T73:T87)</f>
        <v>0</v>
      </c>
      <c r="V88" s="16">
        <f aca="true" t="shared" si="13" ref="V88:AA88">SUBTOTAL(9,V73:V87)</f>
        <v>2211348667.5845833</v>
      </c>
      <c r="W88" s="16">
        <f t="shared" si="13"/>
        <v>-51942456.93958333</v>
      </c>
      <c r="X88" s="16">
        <f t="shared" si="13"/>
        <v>13796903</v>
      </c>
      <c r="Y88" s="16">
        <f t="shared" si="13"/>
        <v>280188213</v>
      </c>
      <c r="Z88" s="16">
        <f t="shared" si="13"/>
        <v>1917363551.5845835</v>
      </c>
      <c r="AA88" s="16">
        <f t="shared" si="13"/>
        <v>2211348667.5845833</v>
      </c>
      <c r="AB88" s="12"/>
    </row>
    <row r="89" spans="1:28" s="7" customFormat="1" ht="15.75">
      <c r="A89" s="7">
        <f t="shared" si="8"/>
        <v>86</v>
      </c>
      <c r="B89" s="1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/>
      <c r="Q89" s="14"/>
      <c r="R89" s="15"/>
      <c r="T89" s="27"/>
      <c r="V89" s="27"/>
      <c r="W89" s="27"/>
      <c r="X89" s="27"/>
      <c r="Y89" s="27"/>
      <c r="Z89" s="27"/>
      <c r="AA89" s="26"/>
      <c r="AB89" s="12"/>
    </row>
    <row r="90" spans="1:28" s="7" customFormat="1" ht="15.75">
      <c r="A90" s="7">
        <f t="shared" si="8"/>
        <v>87</v>
      </c>
      <c r="B90" s="28" t="s">
        <v>80</v>
      </c>
      <c r="C90" s="29">
        <v>16755401517.52</v>
      </c>
      <c r="D90" s="29">
        <v>17547646536.03</v>
      </c>
      <c r="E90" s="29">
        <v>17506536933.19</v>
      </c>
      <c r="F90" s="29">
        <v>17620961402.010002</v>
      </c>
      <c r="G90" s="29">
        <v>17633833462.32</v>
      </c>
      <c r="H90" s="29">
        <v>17694062739.079998</v>
      </c>
      <c r="I90" s="29">
        <v>17768503102.47</v>
      </c>
      <c r="J90" s="29">
        <v>17596505767.42</v>
      </c>
      <c r="K90" s="29">
        <v>17702644665.129997</v>
      </c>
      <c r="L90" s="29">
        <v>18139331661.28</v>
      </c>
      <c r="M90" s="29">
        <v>18158436810.989998</v>
      </c>
      <c r="N90" s="29">
        <v>18224874720.15</v>
      </c>
      <c r="O90" s="29">
        <v>18550965132.499996</v>
      </c>
      <c r="P90" s="30">
        <f t="shared" si="9"/>
        <v>17770543427.09</v>
      </c>
      <c r="Q90" s="30">
        <f t="shared" si="10"/>
        <v>17845358577.714165</v>
      </c>
      <c r="R90" s="31">
        <f t="shared" si="12"/>
        <v>0.004210065433908783</v>
      </c>
      <c r="S90" s="20"/>
      <c r="T90" s="32">
        <f>SUBTOTAL(9,T4:T88)</f>
        <v>1219073396.1945837</v>
      </c>
      <c r="U90" s="20"/>
      <c r="V90" s="32">
        <f>SUBTOTAL(9,V4:V88)</f>
        <v>16499527573.955833</v>
      </c>
      <c r="W90" s="32">
        <f>SUBTOTAL(9,W4:W88)</f>
        <v>-51942456.93958333</v>
      </c>
      <c r="X90" s="33">
        <f>SUBTOTAL(9,X4:X88)</f>
        <v>905457497</v>
      </c>
      <c r="Y90" s="33">
        <f>SUBTOTAL(9,Y4:Y88)</f>
        <v>11580840925</v>
      </c>
      <c r="Z90" s="33">
        <f>SUBTOTAL(9,Z4:Z88)</f>
        <v>4013229151.9558377</v>
      </c>
      <c r="AA90" s="12">
        <f>+Z90+Y90+X90</f>
        <v>16499527573.955837</v>
      </c>
      <c r="AB90" s="12"/>
    </row>
    <row r="91" spans="1:28" s="7" customFormat="1" ht="15.75">
      <c r="A91" s="7">
        <f t="shared" si="8"/>
        <v>88</v>
      </c>
      <c r="B91" s="34" t="s">
        <v>158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>
        <f>+T90+V90-W90</f>
        <v>17770543427.09</v>
      </c>
      <c r="Q91" s="30"/>
      <c r="R91" s="31"/>
      <c r="S91" s="20"/>
      <c r="T91" s="20"/>
      <c r="U91" s="20"/>
      <c r="V91" s="19"/>
      <c r="W91" s="20"/>
      <c r="X91" s="17"/>
      <c r="Y91" s="17"/>
      <c r="Z91" s="17"/>
      <c r="AA91" s="12"/>
      <c r="AB91" s="12"/>
    </row>
    <row r="92" spans="1:28" s="7" customFormat="1" ht="15.75">
      <c r="A92" s="7">
        <f t="shared" si="8"/>
        <v>89</v>
      </c>
      <c r="B92" s="28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7"/>
      <c r="Q92" s="37"/>
      <c r="R92" s="15"/>
      <c r="T92" s="14"/>
      <c r="V92" s="14"/>
      <c r="X92" s="12"/>
      <c r="Y92" s="12"/>
      <c r="Z92" s="12"/>
      <c r="AA92" s="12"/>
      <c r="AB92" s="12"/>
    </row>
    <row r="93" spans="1:28" s="7" customFormat="1" ht="15.75">
      <c r="A93" s="7">
        <f>+A92+1</f>
        <v>90</v>
      </c>
      <c r="B93" s="28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7"/>
      <c r="Q93" s="37"/>
      <c r="R93" s="15"/>
      <c r="T93" s="14"/>
      <c r="V93" s="14"/>
      <c r="X93" s="12"/>
      <c r="Y93" s="12"/>
      <c r="Z93" s="12"/>
      <c r="AA93" s="12"/>
      <c r="AB93" s="12"/>
    </row>
    <row r="94" spans="1:28" s="7" customFormat="1" ht="15.75">
      <c r="A94" s="7">
        <f t="shared" si="8"/>
        <v>91</v>
      </c>
      <c r="B94" s="10" t="s">
        <v>81</v>
      </c>
      <c r="C94" s="11" t="s">
        <v>1</v>
      </c>
      <c r="D94" s="11" t="s">
        <v>1</v>
      </c>
      <c r="E94" s="11" t="s">
        <v>1</v>
      </c>
      <c r="F94" s="11" t="s">
        <v>1</v>
      </c>
      <c r="G94" s="11" t="s">
        <v>1</v>
      </c>
      <c r="H94" s="11" t="s">
        <v>1</v>
      </c>
      <c r="I94" s="11" t="s">
        <v>1</v>
      </c>
      <c r="J94" s="11" t="s">
        <v>1</v>
      </c>
      <c r="K94" s="11" t="s">
        <v>1</v>
      </c>
      <c r="L94" s="11" t="s">
        <v>1</v>
      </c>
      <c r="M94" s="11" t="s">
        <v>1</v>
      </c>
      <c r="N94" s="11" t="s">
        <v>1</v>
      </c>
      <c r="O94" s="11" t="s">
        <v>1</v>
      </c>
      <c r="P94" s="14"/>
      <c r="Q94" s="14"/>
      <c r="R94" s="15"/>
      <c r="X94" s="12"/>
      <c r="Y94" s="12"/>
      <c r="Z94" s="12"/>
      <c r="AA94" s="12"/>
      <c r="AB94" s="12"/>
    </row>
    <row r="95" spans="1:28" s="7" customFormat="1" ht="15.75">
      <c r="A95" s="7">
        <f t="shared" si="8"/>
        <v>92</v>
      </c>
      <c r="B95" s="10" t="s">
        <v>82</v>
      </c>
      <c r="C95" s="13">
        <v>3417945896.24</v>
      </c>
      <c r="D95" s="13">
        <v>3417945896.24</v>
      </c>
      <c r="E95" s="13">
        <v>3417945896.24</v>
      </c>
      <c r="F95" s="13">
        <v>3417945896.24</v>
      </c>
      <c r="G95" s="13">
        <v>3417945896.24</v>
      </c>
      <c r="H95" s="13">
        <v>3417945896.24</v>
      </c>
      <c r="I95" s="13">
        <v>3417945896.24</v>
      </c>
      <c r="J95" s="13">
        <v>3417945896.24</v>
      </c>
      <c r="K95" s="13">
        <v>3417945896.24</v>
      </c>
      <c r="L95" s="13">
        <v>3417945896.24</v>
      </c>
      <c r="M95" s="13">
        <v>3417945896.24</v>
      </c>
      <c r="N95" s="13">
        <v>3417945896.24</v>
      </c>
      <c r="O95" s="13">
        <v>3417945896.24</v>
      </c>
      <c r="P95" s="14">
        <f t="shared" si="9"/>
        <v>3417945896.24</v>
      </c>
      <c r="Q95" s="14">
        <f t="shared" si="10"/>
        <v>3417945896.2399993</v>
      </c>
      <c r="R95" s="15">
        <f t="shared" si="12"/>
        <v>0</v>
      </c>
      <c r="W95" s="14">
        <f>+P95</f>
        <v>3417945896.24</v>
      </c>
      <c r="X95" s="12"/>
      <c r="Y95" s="12"/>
      <c r="Z95" s="12"/>
      <c r="AA95" s="12"/>
      <c r="AB95" s="12"/>
    </row>
    <row r="96" spans="1:28" s="7" customFormat="1" ht="15.75">
      <c r="A96" s="7">
        <f t="shared" si="8"/>
        <v>93</v>
      </c>
      <c r="B96" s="10" t="s">
        <v>83</v>
      </c>
      <c r="C96" s="13">
        <v>41463300</v>
      </c>
      <c r="D96" s="13">
        <v>41463300</v>
      </c>
      <c r="E96" s="13">
        <v>41463300</v>
      </c>
      <c r="F96" s="13">
        <v>41463300</v>
      </c>
      <c r="G96" s="13">
        <v>41463300</v>
      </c>
      <c r="H96" s="13">
        <v>41463300</v>
      </c>
      <c r="I96" s="13">
        <v>41463300</v>
      </c>
      <c r="J96" s="13">
        <v>41463300</v>
      </c>
      <c r="K96" s="13">
        <v>41463300</v>
      </c>
      <c r="L96" s="13">
        <v>41463300</v>
      </c>
      <c r="M96" s="13">
        <v>41463300</v>
      </c>
      <c r="N96" s="13">
        <v>41463300</v>
      </c>
      <c r="O96" s="13">
        <v>41463300</v>
      </c>
      <c r="P96" s="14">
        <f t="shared" si="9"/>
        <v>41463300</v>
      </c>
      <c r="Q96" s="14">
        <f t="shared" si="10"/>
        <v>41463300</v>
      </c>
      <c r="R96" s="15">
        <f t="shared" si="12"/>
        <v>0</v>
      </c>
      <c r="W96" s="14">
        <f aca="true" t="shared" si="14" ref="W96:W108">+P96</f>
        <v>41463300</v>
      </c>
      <c r="X96" s="12"/>
      <c r="Y96" s="12"/>
      <c r="Z96" s="12"/>
      <c r="AA96" s="12"/>
      <c r="AB96" s="12"/>
    </row>
    <row r="97" spans="1:28" s="7" customFormat="1" ht="15.75">
      <c r="A97" s="7">
        <f t="shared" si="8"/>
        <v>94</v>
      </c>
      <c r="B97" s="10" t="s">
        <v>84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4">
        <f t="shared" si="9"/>
        <v>0</v>
      </c>
      <c r="Q97" s="14">
        <f t="shared" si="10"/>
        <v>0</v>
      </c>
      <c r="R97" s="15"/>
      <c r="W97" s="14">
        <f t="shared" si="14"/>
        <v>0</v>
      </c>
      <c r="X97" s="12"/>
      <c r="Y97" s="12"/>
      <c r="Z97" s="12"/>
      <c r="AA97" s="12"/>
      <c r="AB97" s="12"/>
    </row>
    <row r="98" spans="1:28" s="7" customFormat="1" ht="15.75">
      <c r="A98" s="7">
        <f t="shared" si="8"/>
        <v>95</v>
      </c>
      <c r="B98" s="10" t="s">
        <v>85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4">
        <f t="shared" si="9"/>
        <v>0</v>
      </c>
      <c r="Q98" s="14">
        <f t="shared" si="10"/>
        <v>0</v>
      </c>
      <c r="R98" s="15"/>
      <c r="W98" s="14">
        <f t="shared" si="14"/>
        <v>0</v>
      </c>
      <c r="X98" s="12"/>
      <c r="Y98" s="12"/>
      <c r="Z98" s="12"/>
      <c r="AA98" s="12"/>
      <c r="AB98" s="12"/>
    </row>
    <row r="99" spans="1:28" s="7" customFormat="1" ht="15.75">
      <c r="A99" s="7">
        <f t="shared" si="8"/>
        <v>96</v>
      </c>
      <c r="B99" s="10" t="s">
        <v>86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4">
        <f t="shared" si="9"/>
        <v>0</v>
      </c>
      <c r="Q99" s="14">
        <f t="shared" si="10"/>
        <v>0</v>
      </c>
      <c r="R99" s="15"/>
      <c r="W99" s="14">
        <f t="shared" si="14"/>
        <v>0</v>
      </c>
      <c r="X99" s="12"/>
      <c r="Y99" s="12"/>
      <c r="Z99" s="12"/>
      <c r="AA99" s="12"/>
      <c r="AB99" s="12"/>
    </row>
    <row r="100" spans="1:28" s="7" customFormat="1" ht="15.75">
      <c r="A100" s="7">
        <f t="shared" si="8"/>
        <v>97</v>
      </c>
      <c r="B100" s="10" t="s">
        <v>87</v>
      </c>
      <c r="C100" s="13">
        <v>877063956.38</v>
      </c>
      <c r="D100" s="13">
        <v>877063956.38</v>
      </c>
      <c r="E100" s="13">
        <v>877063956.38</v>
      </c>
      <c r="F100" s="13">
        <v>877063956.38</v>
      </c>
      <c r="G100" s="13">
        <v>877063956.38</v>
      </c>
      <c r="H100" s="13">
        <v>877063956.38</v>
      </c>
      <c r="I100" s="13">
        <v>877063956.38</v>
      </c>
      <c r="J100" s="13">
        <v>877063956.38</v>
      </c>
      <c r="K100" s="13">
        <v>877063956.38</v>
      </c>
      <c r="L100" s="13">
        <v>877063956.38</v>
      </c>
      <c r="M100" s="13">
        <v>877063956.38</v>
      </c>
      <c r="N100" s="13">
        <v>877063956.38</v>
      </c>
      <c r="O100" s="13">
        <v>1002063956.38</v>
      </c>
      <c r="P100" s="14">
        <f t="shared" si="9"/>
        <v>882272289.7133332</v>
      </c>
      <c r="Q100" s="14">
        <f t="shared" si="10"/>
        <v>887480623.0466665</v>
      </c>
      <c r="R100" s="15">
        <f t="shared" si="12"/>
        <v>0.0059033173704521325</v>
      </c>
      <c r="W100" s="14">
        <f t="shared" si="14"/>
        <v>882272289.7133332</v>
      </c>
      <c r="X100" s="12"/>
      <c r="Y100" s="12"/>
      <c r="Z100" s="12"/>
      <c r="AA100" s="12"/>
      <c r="AB100" s="12"/>
    </row>
    <row r="101" spans="1:28" s="7" customFormat="1" ht="15.75">
      <c r="A101" s="7">
        <f t="shared" si="8"/>
        <v>98</v>
      </c>
      <c r="B101" s="10" t="s">
        <v>88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4">
        <f t="shared" si="9"/>
        <v>0</v>
      </c>
      <c r="Q101" s="14">
        <f t="shared" si="10"/>
        <v>0</v>
      </c>
      <c r="R101" s="15"/>
      <c r="W101" s="14">
        <f t="shared" si="14"/>
        <v>0</v>
      </c>
      <c r="X101" s="12"/>
      <c r="Y101" s="12"/>
      <c r="Z101" s="12"/>
      <c r="AA101" s="12"/>
      <c r="AB101" s="12"/>
    </row>
    <row r="102" spans="1:28" s="7" customFormat="1" ht="15.75">
      <c r="A102" s="7">
        <f t="shared" si="8"/>
        <v>99</v>
      </c>
      <c r="B102" s="10" t="s">
        <v>89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4">
        <f>-(C102+2*SUM(D102:N102)+O102)/24</f>
        <v>0</v>
      </c>
      <c r="Q102" s="14">
        <f t="shared" si="10"/>
        <v>0</v>
      </c>
      <c r="R102" s="15"/>
      <c r="W102" s="14">
        <f>P102</f>
        <v>0</v>
      </c>
      <c r="X102" s="12"/>
      <c r="Y102" s="12"/>
      <c r="Z102" s="12"/>
      <c r="AA102" s="12"/>
      <c r="AB102" s="12"/>
    </row>
    <row r="103" spans="1:28" s="7" customFormat="1" ht="15.75">
      <c r="A103" s="7">
        <f t="shared" si="8"/>
        <v>100</v>
      </c>
      <c r="B103" s="10" t="s">
        <v>90</v>
      </c>
      <c r="C103" s="13">
        <v>41288206.75</v>
      </c>
      <c r="D103" s="13">
        <v>41288206.75</v>
      </c>
      <c r="E103" s="13">
        <v>41288206.75</v>
      </c>
      <c r="F103" s="13">
        <v>41288206.75</v>
      </c>
      <c r="G103" s="13">
        <v>41288206.75</v>
      </c>
      <c r="H103" s="13">
        <v>41288206.75</v>
      </c>
      <c r="I103" s="13">
        <v>41288206.75</v>
      </c>
      <c r="J103" s="13">
        <v>41288206.75</v>
      </c>
      <c r="K103" s="13">
        <v>41288206.75</v>
      </c>
      <c r="L103" s="13">
        <v>41288206.75</v>
      </c>
      <c r="M103" s="13">
        <v>41288206.75</v>
      </c>
      <c r="N103" s="13">
        <v>41288206.75</v>
      </c>
      <c r="O103" s="13">
        <v>41288206.75</v>
      </c>
      <c r="P103" s="14">
        <f>-(C103+2*SUM(D103:N103)+O103)/24</f>
        <v>-41288206.75</v>
      </c>
      <c r="Q103" s="14">
        <f t="shared" si="10"/>
        <v>41288206.75</v>
      </c>
      <c r="R103" s="15">
        <f t="shared" si="12"/>
        <v>-2</v>
      </c>
      <c r="W103" s="14">
        <f>P103</f>
        <v>-41288206.75</v>
      </c>
      <c r="X103" s="12"/>
      <c r="Y103" s="12"/>
      <c r="Z103" s="12"/>
      <c r="AA103" s="12"/>
      <c r="AB103" s="12"/>
    </row>
    <row r="104" spans="1:28" s="7" customFormat="1" ht="15.75">
      <c r="A104" s="7">
        <f t="shared" si="8"/>
        <v>101</v>
      </c>
      <c r="B104" s="10" t="s">
        <v>91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4">
        <f t="shared" si="9"/>
        <v>0</v>
      </c>
      <c r="Q104" s="14">
        <f t="shared" si="10"/>
        <v>0</v>
      </c>
      <c r="R104" s="15"/>
      <c r="W104" s="14">
        <f t="shared" si="14"/>
        <v>0</v>
      </c>
      <c r="X104" s="12"/>
      <c r="Y104" s="12"/>
      <c r="Z104" s="12"/>
      <c r="AA104" s="12"/>
      <c r="AB104" s="12"/>
    </row>
    <row r="105" spans="1:28" s="7" customFormat="1" ht="15.75">
      <c r="A105" s="7">
        <f t="shared" si="8"/>
        <v>102</v>
      </c>
      <c r="B105" s="10" t="s">
        <v>92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4">
        <f t="shared" si="9"/>
        <v>0</v>
      </c>
      <c r="Q105" s="14">
        <f t="shared" si="10"/>
        <v>0</v>
      </c>
      <c r="R105" s="15"/>
      <c r="W105" s="14">
        <f t="shared" si="14"/>
        <v>0</v>
      </c>
      <c r="X105" s="12"/>
      <c r="Y105" s="12"/>
      <c r="Z105" s="12"/>
      <c r="AA105" s="12"/>
      <c r="AB105" s="12"/>
    </row>
    <row r="106" spans="1:28" s="7" customFormat="1" ht="15.75">
      <c r="A106" s="7">
        <f t="shared" si="8"/>
        <v>103</v>
      </c>
      <c r="B106" s="10" t="s">
        <v>93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4">
        <f t="shared" si="9"/>
        <v>0</v>
      </c>
      <c r="Q106" s="14">
        <f t="shared" si="10"/>
        <v>0</v>
      </c>
      <c r="R106" s="15"/>
      <c r="W106" s="14">
        <f t="shared" si="14"/>
        <v>0</v>
      </c>
      <c r="X106" s="12"/>
      <c r="Y106" s="12"/>
      <c r="Z106" s="12"/>
      <c r="AA106" s="12"/>
      <c r="AB106" s="12"/>
    </row>
    <row r="107" spans="1:28" s="7" customFormat="1" ht="15.75">
      <c r="A107" s="7">
        <f t="shared" si="8"/>
        <v>104</v>
      </c>
      <c r="B107" s="10" t="s">
        <v>94</v>
      </c>
      <c r="C107" s="13">
        <v>1687760382.1100008</v>
      </c>
      <c r="D107" s="13">
        <v>1735939915.9899998</v>
      </c>
      <c r="E107" s="13">
        <v>1768266836.6399999</v>
      </c>
      <c r="F107" s="13">
        <v>1810169704.9599998</v>
      </c>
      <c r="G107" s="13">
        <v>1843434191.6399996</v>
      </c>
      <c r="H107" s="13">
        <v>1885066308.9999995</v>
      </c>
      <c r="I107" s="13">
        <v>1920932924.7999992</v>
      </c>
      <c r="J107" s="13">
        <v>1990590564.3799999</v>
      </c>
      <c r="K107" s="13">
        <v>2039333846.7599998</v>
      </c>
      <c r="L107" s="13">
        <v>2078763231.3</v>
      </c>
      <c r="M107" s="13">
        <v>2117220019.1799998</v>
      </c>
      <c r="N107" s="13">
        <v>2166444374.799999</v>
      </c>
      <c r="O107" s="13">
        <v>2225701346.0400004</v>
      </c>
      <c r="P107" s="14">
        <f t="shared" si="9"/>
        <v>1942741065.2937496</v>
      </c>
      <c r="Q107" s="14">
        <f t="shared" si="10"/>
        <v>1965155272.1241663</v>
      </c>
      <c r="R107" s="15">
        <f t="shared" si="12"/>
        <v>0.01153741341593939</v>
      </c>
      <c r="W107" s="14">
        <f t="shared" si="14"/>
        <v>1942741065.2937496</v>
      </c>
      <c r="X107" s="12"/>
      <c r="Y107" s="12"/>
      <c r="Z107" s="12"/>
      <c r="AA107" s="12"/>
      <c r="AB107" s="12"/>
    </row>
    <row r="108" spans="1:28" s="7" customFormat="1" ht="15.75">
      <c r="A108" s="7">
        <f t="shared" si="8"/>
        <v>105</v>
      </c>
      <c r="B108" s="10" t="s">
        <v>95</v>
      </c>
      <c r="C108" s="13">
        <v>6508777.92</v>
      </c>
      <c r="D108" s="13">
        <v>6500221.56</v>
      </c>
      <c r="E108" s="13">
        <v>6402219.43</v>
      </c>
      <c r="F108" s="13">
        <v>6147689.95</v>
      </c>
      <c r="G108" s="13">
        <v>5905908.82</v>
      </c>
      <c r="H108" s="13">
        <v>5939125.65</v>
      </c>
      <c r="I108" s="13">
        <v>5616618.39</v>
      </c>
      <c r="J108" s="13">
        <v>8394952.85</v>
      </c>
      <c r="K108" s="13">
        <v>8342229.29</v>
      </c>
      <c r="L108" s="13">
        <v>8871942.16</v>
      </c>
      <c r="M108" s="13">
        <v>8842624.48</v>
      </c>
      <c r="N108" s="13">
        <v>8801798.77</v>
      </c>
      <c r="O108" s="13">
        <v>8330470.069999999</v>
      </c>
      <c r="P108" s="14">
        <f t="shared" si="9"/>
        <v>7265412.945416666</v>
      </c>
      <c r="Q108" s="14">
        <f t="shared" si="10"/>
        <v>7341316.784999999</v>
      </c>
      <c r="R108" s="15">
        <f t="shared" si="12"/>
        <v>0.010447284986219163</v>
      </c>
      <c r="W108" s="14">
        <f t="shared" si="14"/>
        <v>7265412.945416666</v>
      </c>
      <c r="X108" s="12"/>
      <c r="Y108" s="12"/>
      <c r="Z108" s="12"/>
      <c r="AA108" s="12"/>
      <c r="AB108" s="12"/>
    </row>
    <row r="109" spans="1:28" s="7" customFormat="1" ht="15.75">
      <c r="A109" s="7">
        <f t="shared" si="8"/>
        <v>106</v>
      </c>
      <c r="B109" s="10" t="s">
        <v>96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4">
        <f>-(C109+2*SUM(D109:N109)+O109)/24</f>
        <v>0</v>
      </c>
      <c r="Q109" s="14">
        <f t="shared" si="10"/>
        <v>0</v>
      </c>
      <c r="R109" s="15"/>
      <c r="W109" s="14">
        <f>+P109</f>
        <v>0</v>
      </c>
      <c r="X109" s="12"/>
      <c r="Y109" s="12"/>
      <c r="Z109" s="12"/>
      <c r="AA109" s="12"/>
      <c r="AB109" s="12"/>
    </row>
    <row r="110" spans="1:28" s="7" customFormat="1" ht="15.75">
      <c r="A110" s="7">
        <f t="shared" si="8"/>
        <v>107</v>
      </c>
      <c r="B110" s="10" t="s">
        <v>97</v>
      </c>
      <c r="C110" s="13">
        <v>-2550680.49</v>
      </c>
      <c r="D110" s="13">
        <v>-2550028.27</v>
      </c>
      <c r="E110" s="13">
        <v>-2857039.41</v>
      </c>
      <c r="F110" s="13">
        <v>-2975159.87</v>
      </c>
      <c r="G110" s="13">
        <v>-2804068.71</v>
      </c>
      <c r="H110" s="13">
        <v>-3357021.85</v>
      </c>
      <c r="I110" s="13">
        <v>-2820665.33</v>
      </c>
      <c r="J110" s="13">
        <v>-2839220.48</v>
      </c>
      <c r="K110" s="13">
        <v>-1287550.15</v>
      </c>
      <c r="L110" s="13">
        <v>-4947347.82</v>
      </c>
      <c r="M110" s="13">
        <v>-3531068.49</v>
      </c>
      <c r="N110" s="13">
        <v>-2086607.16</v>
      </c>
      <c r="O110" s="13">
        <v>-5819577</v>
      </c>
      <c r="P110" s="14">
        <f t="shared" si="9"/>
        <v>-3020075.5237499997</v>
      </c>
      <c r="Q110" s="14">
        <f t="shared" si="10"/>
        <v>-3156279.5449999995</v>
      </c>
      <c r="R110" s="15">
        <f t="shared" si="12"/>
        <v>0.04509954144486983</v>
      </c>
      <c r="T110" s="14"/>
      <c r="W110" s="14">
        <f>+P110</f>
        <v>-3020075.5237499997</v>
      </c>
      <c r="X110" s="12"/>
      <c r="Y110" s="12"/>
      <c r="Z110" s="12"/>
      <c r="AA110" s="12"/>
      <c r="AB110" s="12"/>
    </row>
    <row r="111" spans="1:28" s="7" customFormat="1" ht="15.75">
      <c r="A111" s="7">
        <f t="shared" si="8"/>
        <v>108</v>
      </c>
      <c r="B111" s="10" t="s">
        <v>98</v>
      </c>
      <c r="C111" s="13">
        <v>5986903425.410001</v>
      </c>
      <c r="D111" s="13">
        <v>6035075055.15</v>
      </c>
      <c r="E111" s="13">
        <v>6066996962.530001</v>
      </c>
      <c r="F111" s="13">
        <v>6108527180.91</v>
      </c>
      <c r="G111" s="13">
        <v>6141720977.619999</v>
      </c>
      <c r="H111" s="13">
        <v>6182833358.669998</v>
      </c>
      <c r="I111" s="13">
        <v>6218913823.73</v>
      </c>
      <c r="J111" s="13">
        <v>6291331242.620001</v>
      </c>
      <c r="K111" s="13">
        <v>6341573471.7699995</v>
      </c>
      <c r="L111" s="13">
        <v>6377872771.51</v>
      </c>
      <c r="M111" s="13">
        <v>6417716521.039999</v>
      </c>
      <c r="N111" s="13">
        <v>6468344512.28</v>
      </c>
      <c r="O111" s="13">
        <v>6648397184.98</v>
      </c>
      <c r="P111" s="16">
        <f>SUBTOTAL(9,P95:P110)</f>
        <v>6247379681.918749</v>
      </c>
      <c r="Q111" s="14">
        <f t="shared" si="10"/>
        <v>6274941921.900833</v>
      </c>
      <c r="R111" s="15">
        <f t="shared" si="12"/>
        <v>0.004411808051598909</v>
      </c>
      <c r="T111" s="16">
        <f>SUBTOTAL(9,T95:T110)</f>
        <v>0</v>
      </c>
      <c r="W111" s="16">
        <f>SUBTOTAL(9,W95:W110)</f>
        <v>6247379681.918749</v>
      </c>
      <c r="X111" s="12"/>
      <c r="Y111" s="12"/>
      <c r="Z111" s="12"/>
      <c r="AA111" s="12"/>
      <c r="AB111" s="12"/>
    </row>
    <row r="112" spans="1:28" s="7" customFormat="1" ht="15.75">
      <c r="A112" s="7">
        <f t="shared" si="8"/>
        <v>109</v>
      </c>
      <c r="B112" s="1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26"/>
      <c r="Q112" s="14"/>
      <c r="R112" s="15"/>
      <c r="W112" s="26"/>
      <c r="X112" s="12"/>
      <c r="Y112" s="12"/>
      <c r="Z112" s="12"/>
      <c r="AA112" s="12"/>
      <c r="AB112" s="12"/>
    </row>
    <row r="113" spans="1:28" s="7" customFormat="1" ht="15.75">
      <c r="A113" s="7">
        <f t="shared" si="8"/>
        <v>110</v>
      </c>
      <c r="B113" s="10" t="s">
        <v>99</v>
      </c>
      <c r="C113" s="11" t="s">
        <v>1</v>
      </c>
      <c r="D113" s="11" t="s">
        <v>1</v>
      </c>
      <c r="E113" s="11" t="s">
        <v>1</v>
      </c>
      <c r="F113" s="11" t="s">
        <v>1</v>
      </c>
      <c r="G113" s="11" t="s">
        <v>1</v>
      </c>
      <c r="H113" s="11" t="s">
        <v>1</v>
      </c>
      <c r="I113" s="11" t="s">
        <v>1</v>
      </c>
      <c r="J113" s="11" t="s">
        <v>1</v>
      </c>
      <c r="K113" s="11" t="s">
        <v>1</v>
      </c>
      <c r="L113" s="11" t="s">
        <v>1</v>
      </c>
      <c r="M113" s="11" t="s">
        <v>1</v>
      </c>
      <c r="N113" s="11" t="s">
        <v>1</v>
      </c>
      <c r="O113" s="11" t="s">
        <v>1</v>
      </c>
      <c r="P113" s="14"/>
      <c r="Q113" s="14"/>
      <c r="R113" s="15"/>
      <c r="X113" s="12"/>
      <c r="Y113" s="12"/>
      <c r="Z113" s="12"/>
      <c r="AA113" s="12"/>
      <c r="AB113" s="12"/>
    </row>
    <row r="114" spans="1:28" s="7" customFormat="1" ht="15.75">
      <c r="A114" s="7">
        <f t="shared" si="8"/>
        <v>111</v>
      </c>
      <c r="B114" s="10" t="s">
        <v>100</v>
      </c>
      <c r="C114" s="13">
        <v>5510797000</v>
      </c>
      <c r="D114" s="13">
        <v>6510797000</v>
      </c>
      <c r="E114" s="13">
        <v>6510797000</v>
      </c>
      <c r="F114" s="13">
        <v>6510797000</v>
      </c>
      <c r="G114" s="13">
        <v>6510797000</v>
      </c>
      <c r="H114" s="13">
        <v>6510797000</v>
      </c>
      <c r="I114" s="13">
        <v>6510797000</v>
      </c>
      <c r="J114" s="13">
        <v>6385797000</v>
      </c>
      <c r="K114" s="13">
        <v>6385797000</v>
      </c>
      <c r="L114" s="13">
        <v>6385797000</v>
      </c>
      <c r="M114" s="13">
        <v>6372343000</v>
      </c>
      <c r="N114" s="13">
        <v>6372343000</v>
      </c>
      <c r="O114" s="13">
        <v>6372343000</v>
      </c>
      <c r="P114" s="14">
        <f t="shared" si="9"/>
        <v>6409035750</v>
      </c>
      <c r="Q114" s="14">
        <f t="shared" si="10"/>
        <v>6444933500</v>
      </c>
      <c r="R114" s="15">
        <f t="shared" si="12"/>
        <v>0.00560111558123233</v>
      </c>
      <c r="W114" s="14">
        <f>+P114</f>
        <v>6409035750</v>
      </c>
      <c r="X114" s="12"/>
      <c r="Y114" s="12"/>
      <c r="Z114" s="12"/>
      <c r="AA114" s="12"/>
      <c r="AB114" s="12"/>
    </row>
    <row r="115" spans="1:28" s="7" customFormat="1" ht="15.75">
      <c r="A115" s="7">
        <f t="shared" si="8"/>
        <v>112</v>
      </c>
      <c r="B115" s="10" t="s">
        <v>101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4">
        <f t="shared" si="9"/>
        <v>0</v>
      </c>
      <c r="Q115" s="14">
        <f t="shared" si="10"/>
        <v>0</v>
      </c>
      <c r="R115" s="15"/>
      <c r="W115" s="14">
        <f>+P115</f>
        <v>0</v>
      </c>
      <c r="X115" s="12"/>
      <c r="Y115" s="12"/>
      <c r="Z115" s="12"/>
      <c r="AA115" s="12"/>
      <c r="AB115" s="12"/>
    </row>
    <row r="116" spans="1:28" s="7" customFormat="1" ht="15.75">
      <c r="A116" s="7">
        <f t="shared" si="8"/>
        <v>113</v>
      </c>
      <c r="B116" s="10" t="s">
        <v>102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4">
        <f t="shared" si="9"/>
        <v>0</v>
      </c>
      <c r="Q116" s="14">
        <f t="shared" si="10"/>
        <v>0</v>
      </c>
      <c r="R116" s="15"/>
      <c r="W116" s="14">
        <f>+P116</f>
        <v>0</v>
      </c>
      <c r="X116" s="12"/>
      <c r="Y116" s="12"/>
      <c r="Z116" s="12"/>
      <c r="AA116" s="12"/>
      <c r="AB116" s="12"/>
    </row>
    <row r="117" spans="1:28" s="7" customFormat="1" ht="15.75">
      <c r="A117" s="7">
        <f t="shared" si="8"/>
        <v>114</v>
      </c>
      <c r="B117" s="10" t="s">
        <v>103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4">
        <f t="shared" si="9"/>
        <v>0</v>
      </c>
      <c r="Q117" s="14">
        <f t="shared" si="10"/>
        <v>0</v>
      </c>
      <c r="R117" s="15"/>
      <c r="W117" s="14">
        <f>+P117</f>
        <v>0</v>
      </c>
      <c r="X117" s="12"/>
      <c r="Y117" s="12"/>
      <c r="Z117" s="12"/>
      <c r="AA117" s="12"/>
      <c r="AB117" s="12"/>
    </row>
    <row r="118" spans="1:28" s="7" customFormat="1" ht="15.75">
      <c r="A118" s="7">
        <f t="shared" si="8"/>
        <v>115</v>
      </c>
      <c r="B118" s="10" t="s">
        <v>104</v>
      </c>
      <c r="C118" s="13">
        <v>38281.03</v>
      </c>
      <c r="D118" s="13">
        <v>38054.52</v>
      </c>
      <c r="E118" s="13">
        <v>37828</v>
      </c>
      <c r="F118" s="13">
        <v>37601.49</v>
      </c>
      <c r="G118" s="13">
        <v>37374.97</v>
      </c>
      <c r="H118" s="13">
        <v>37148.46</v>
      </c>
      <c r="I118" s="13">
        <v>36921.94</v>
      </c>
      <c r="J118" s="13">
        <v>36695.43</v>
      </c>
      <c r="K118" s="13">
        <v>36468.91</v>
      </c>
      <c r="L118" s="13">
        <v>36242.4</v>
      </c>
      <c r="M118" s="13">
        <v>36015.88</v>
      </c>
      <c r="N118" s="13">
        <v>35789.37</v>
      </c>
      <c r="O118" s="13">
        <v>35562.85</v>
      </c>
      <c r="P118" s="14">
        <f t="shared" si="9"/>
        <v>36921.9425</v>
      </c>
      <c r="Q118" s="14">
        <f t="shared" si="10"/>
        <v>36808.685</v>
      </c>
      <c r="R118" s="15">
        <f t="shared" si="12"/>
        <v>-0.003067484870277304</v>
      </c>
      <c r="W118" s="14">
        <f>+P118</f>
        <v>36921.9425</v>
      </c>
      <c r="X118" s="12"/>
      <c r="Y118" s="12"/>
      <c r="Z118" s="12"/>
      <c r="AA118" s="12"/>
      <c r="AB118" s="12"/>
    </row>
    <row r="119" spans="1:28" s="7" customFormat="1" ht="15.75">
      <c r="A119" s="7">
        <f t="shared" si="8"/>
        <v>116</v>
      </c>
      <c r="B119" s="10" t="s">
        <v>105</v>
      </c>
      <c r="C119" s="13">
        <v>7963910.77</v>
      </c>
      <c r="D119" s="13">
        <v>16378513.29</v>
      </c>
      <c r="E119" s="13">
        <v>16289358.87</v>
      </c>
      <c r="F119" s="13">
        <v>16200204.44</v>
      </c>
      <c r="G119" s="13">
        <v>16111050.02</v>
      </c>
      <c r="H119" s="13">
        <v>16021895.59</v>
      </c>
      <c r="I119" s="13">
        <v>15932741.17</v>
      </c>
      <c r="J119" s="13">
        <v>15843586.74</v>
      </c>
      <c r="K119" s="13">
        <v>15757566.01</v>
      </c>
      <c r="L119" s="13">
        <v>15671545.26</v>
      </c>
      <c r="M119" s="13">
        <v>15585524.53</v>
      </c>
      <c r="N119" s="13">
        <v>15499503.78</v>
      </c>
      <c r="O119" s="13">
        <v>15413483.04</v>
      </c>
      <c r="P119" s="14">
        <f>-(C119+2*SUM(D119:N119)+O119)/24</f>
        <v>-15581682.217083333</v>
      </c>
      <c r="Q119" s="14">
        <f t="shared" si="10"/>
        <v>15892081.061666666</v>
      </c>
      <c r="R119" s="15">
        <f t="shared" si="12"/>
        <v>-2.019920753116311</v>
      </c>
      <c r="W119" s="14">
        <f>P119</f>
        <v>-15581682.217083333</v>
      </c>
      <c r="X119" s="12"/>
      <c r="Y119" s="12"/>
      <c r="Z119" s="12"/>
      <c r="AA119" s="12"/>
      <c r="AB119" s="12"/>
    </row>
    <row r="120" spans="1:28" s="7" customFormat="1" ht="15.75">
      <c r="A120" s="7">
        <f t="shared" si="8"/>
        <v>117</v>
      </c>
      <c r="B120" s="10" t="s">
        <v>106</v>
      </c>
      <c r="C120" s="13">
        <v>5502871370.26</v>
      </c>
      <c r="D120" s="13">
        <v>6494456541.2300005</v>
      </c>
      <c r="E120" s="13">
        <v>6494545469.13</v>
      </c>
      <c r="F120" s="13">
        <v>6494634397.049999</v>
      </c>
      <c r="G120" s="13">
        <v>6494723324.950001</v>
      </c>
      <c r="H120" s="13">
        <v>6494812252.87</v>
      </c>
      <c r="I120" s="13">
        <v>6494901180.7699995</v>
      </c>
      <c r="J120" s="13">
        <v>6369990108.690001</v>
      </c>
      <c r="K120" s="13">
        <v>6370075902.9</v>
      </c>
      <c r="L120" s="13">
        <v>6370161697.139999</v>
      </c>
      <c r="M120" s="13">
        <v>6356793491.349999</v>
      </c>
      <c r="N120" s="13">
        <v>6356879285.589999</v>
      </c>
      <c r="O120" s="13">
        <v>6356965079.81</v>
      </c>
      <c r="P120" s="16">
        <f>SUBTOTAL(9,P114:P119)</f>
        <v>6393490989.725417</v>
      </c>
      <c r="Q120" s="14">
        <f t="shared" si="10"/>
        <v>6429078227.623333</v>
      </c>
      <c r="R120" s="15">
        <f t="shared" si="12"/>
        <v>0.005566166896161295</v>
      </c>
      <c r="T120" s="16">
        <f>SUBTOTAL(9,T114:T119)</f>
        <v>0</v>
      </c>
      <c r="W120" s="16">
        <f>SUBTOTAL(9,W114:W119)</f>
        <v>6393490989.725417</v>
      </c>
      <c r="X120" s="12"/>
      <c r="Y120" s="12"/>
      <c r="Z120" s="12"/>
      <c r="AA120" s="12"/>
      <c r="AB120" s="12"/>
    </row>
    <row r="121" spans="1:28" s="7" customFormat="1" ht="15.75">
      <c r="A121" s="7">
        <f t="shared" si="8"/>
        <v>118</v>
      </c>
      <c r="B121" s="1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26"/>
      <c r="Q121" s="14"/>
      <c r="R121" s="15"/>
      <c r="W121" s="26"/>
      <c r="X121" s="12"/>
      <c r="Y121" s="12"/>
      <c r="Z121" s="12"/>
      <c r="AA121" s="12"/>
      <c r="AB121" s="12"/>
    </row>
    <row r="122" spans="1:28" s="7" customFormat="1" ht="15.75">
      <c r="A122" s="7">
        <f t="shared" si="8"/>
        <v>119</v>
      </c>
      <c r="B122" s="10" t="s">
        <v>107</v>
      </c>
      <c r="C122" s="11" t="s">
        <v>1</v>
      </c>
      <c r="D122" s="11" t="s">
        <v>1</v>
      </c>
      <c r="E122" s="11" t="s">
        <v>1</v>
      </c>
      <c r="F122" s="11" t="s">
        <v>1</v>
      </c>
      <c r="G122" s="11" t="s">
        <v>1</v>
      </c>
      <c r="H122" s="11" t="s">
        <v>1</v>
      </c>
      <c r="I122" s="11" t="s">
        <v>1</v>
      </c>
      <c r="J122" s="11" t="s">
        <v>1</v>
      </c>
      <c r="K122" s="11" t="s">
        <v>1</v>
      </c>
      <c r="L122" s="11" t="s">
        <v>1</v>
      </c>
      <c r="M122" s="11" t="s">
        <v>1</v>
      </c>
      <c r="N122" s="11" t="s">
        <v>1</v>
      </c>
      <c r="O122" s="11" t="s">
        <v>1</v>
      </c>
      <c r="P122" s="14"/>
      <c r="Q122" s="14"/>
      <c r="R122" s="15"/>
      <c r="X122" s="12"/>
      <c r="Y122" s="12"/>
      <c r="Z122" s="12"/>
      <c r="AA122" s="12"/>
      <c r="AB122" s="12"/>
    </row>
    <row r="123" spans="1:28" s="7" customFormat="1" ht="15.75">
      <c r="A123" s="7">
        <f t="shared" si="8"/>
        <v>120</v>
      </c>
      <c r="B123" s="10" t="s">
        <v>108</v>
      </c>
      <c r="C123" s="13">
        <v>59390327.97</v>
      </c>
      <c r="D123" s="13">
        <v>58895591.38</v>
      </c>
      <c r="E123" s="13">
        <v>58846257.05</v>
      </c>
      <c r="F123" s="13">
        <v>58469850.75</v>
      </c>
      <c r="G123" s="13">
        <v>58428408.48</v>
      </c>
      <c r="H123" s="13">
        <v>58386336.38</v>
      </c>
      <c r="I123" s="13">
        <v>58171629.05</v>
      </c>
      <c r="J123" s="13">
        <v>58126674.29</v>
      </c>
      <c r="K123" s="13">
        <v>58081050.08</v>
      </c>
      <c r="L123" s="13">
        <v>57862750.53</v>
      </c>
      <c r="M123" s="13">
        <v>57551130.39</v>
      </c>
      <c r="N123" s="13">
        <v>57490200.91</v>
      </c>
      <c r="O123" s="13">
        <v>57295450.15</v>
      </c>
      <c r="P123" s="14">
        <f t="shared" si="9"/>
        <v>58221064.02916667</v>
      </c>
      <c r="Q123" s="14">
        <f t="shared" si="10"/>
        <v>58133777.453333326</v>
      </c>
      <c r="R123" s="15">
        <f t="shared" si="12"/>
        <v>-0.0014992267367290868</v>
      </c>
      <c r="V123" s="14"/>
      <c r="W123" s="14">
        <f>+P123</f>
        <v>58221064.02916667</v>
      </c>
      <c r="X123" s="12"/>
      <c r="Y123" s="12"/>
      <c r="Z123" s="12"/>
      <c r="AA123" s="12"/>
      <c r="AB123" s="12"/>
    </row>
    <row r="124" spans="1:28" s="7" customFormat="1" ht="15.75">
      <c r="A124" s="7">
        <f t="shared" si="8"/>
        <v>121</v>
      </c>
      <c r="B124" s="10" t="s">
        <v>109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4">
        <f t="shared" si="9"/>
        <v>0</v>
      </c>
      <c r="Q124" s="14">
        <f t="shared" si="10"/>
        <v>0</v>
      </c>
      <c r="R124" s="15"/>
      <c r="V124" s="14">
        <f>-P124</f>
        <v>0</v>
      </c>
      <c r="W124" s="14"/>
      <c r="X124" s="12"/>
      <c r="Y124" s="12"/>
      <c r="Z124" s="12"/>
      <c r="AA124" s="12"/>
      <c r="AB124" s="12"/>
    </row>
    <row r="125" spans="1:28" s="7" customFormat="1" ht="15.75">
      <c r="A125" s="7">
        <f t="shared" si="8"/>
        <v>122</v>
      </c>
      <c r="B125" s="10" t="s">
        <v>110</v>
      </c>
      <c r="C125" s="13">
        <v>8501564.8</v>
      </c>
      <c r="D125" s="13">
        <v>8606288.47</v>
      </c>
      <c r="E125" s="13">
        <v>8290293.56</v>
      </c>
      <c r="F125" s="13">
        <v>8175793.56</v>
      </c>
      <c r="G125" s="13">
        <v>8148557.91</v>
      </c>
      <c r="H125" s="13">
        <v>8056637.58</v>
      </c>
      <c r="I125" s="13">
        <v>8547536.15</v>
      </c>
      <c r="J125" s="13">
        <v>10670294.05</v>
      </c>
      <c r="K125" s="13">
        <v>10651243.66</v>
      </c>
      <c r="L125" s="13">
        <v>9099205.68</v>
      </c>
      <c r="M125" s="13">
        <v>7223288.9</v>
      </c>
      <c r="N125" s="13">
        <v>7470514.32</v>
      </c>
      <c r="O125" s="13">
        <v>7487871.1</v>
      </c>
      <c r="P125" s="14">
        <f t="shared" si="9"/>
        <v>8577864.315833334</v>
      </c>
      <c r="Q125" s="14">
        <f t="shared" si="10"/>
        <v>8535627.078333333</v>
      </c>
      <c r="R125" s="15">
        <f t="shared" si="12"/>
        <v>-0.004923980602262179</v>
      </c>
      <c r="T125" s="14"/>
      <c r="U125" s="14"/>
      <c r="V125" s="14">
        <f>-P125</f>
        <v>-8577864.315833334</v>
      </c>
      <c r="W125" s="14"/>
      <c r="X125" s="12">
        <f>+'Tab 2 accounts'!F53</f>
        <v>-635480</v>
      </c>
      <c r="Y125" s="12">
        <f>+'Tab 2 accounts'!G53</f>
        <v>-7942384</v>
      </c>
      <c r="Z125" s="12">
        <v>0</v>
      </c>
      <c r="AA125" s="12">
        <f>+Z125+Y125+X125</f>
        <v>-8577864</v>
      </c>
      <c r="AB125" s="12" t="s">
        <v>173</v>
      </c>
    </row>
    <row r="126" spans="1:28" s="7" customFormat="1" ht="15.75">
      <c r="A126" s="7">
        <f t="shared" si="8"/>
        <v>123</v>
      </c>
      <c r="B126" s="10" t="s">
        <v>111</v>
      </c>
      <c r="C126" s="13">
        <v>604317223.77</v>
      </c>
      <c r="D126" s="13">
        <v>599378998.36</v>
      </c>
      <c r="E126" s="13">
        <v>595297981.9</v>
      </c>
      <c r="F126" s="13">
        <v>585147929.04</v>
      </c>
      <c r="G126" s="13">
        <v>581709668.4</v>
      </c>
      <c r="H126" s="13">
        <v>577622821.8</v>
      </c>
      <c r="I126" s="13">
        <v>567572522.89</v>
      </c>
      <c r="J126" s="13">
        <v>563203021.79</v>
      </c>
      <c r="K126" s="13">
        <v>559109450.81</v>
      </c>
      <c r="L126" s="13">
        <v>555741813.99</v>
      </c>
      <c r="M126" s="13">
        <v>556813010.86</v>
      </c>
      <c r="N126" s="13">
        <v>559825364.85</v>
      </c>
      <c r="O126" s="13">
        <v>592543109.55</v>
      </c>
      <c r="P126" s="14">
        <f t="shared" si="9"/>
        <v>574987729.2791666</v>
      </c>
      <c r="Q126" s="14">
        <f t="shared" si="10"/>
        <v>574497141.1866666</v>
      </c>
      <c r="R126" s="15">
        <f t="shared" si="12"/>
        <v>-0.0008532148905421311</v>
      </c>
      <c r="U126" s="14"/>
      <c r="V126" s="14">
        <f>-P126</f>
        <v>-574987729.2791666</v>
      </c>
      <c r="W126" s="14"/>
      <c r="X126" s="12">
        <f>+'Tab 2 accounts'!F56</f>
        <v>-1600000</v>
      </c>
      <c r="Y126" s="12">
        <f>+'Tab 2 accounts'!G56</f>
        <v>-20005711</v>
      </c>
      <c r="Z126" s="12">
        <f>+'Tab 2 accounts'!H55</f>
        <v>-553382018.2791666</v>
      </c>
      <c r="AA126" s="12">
        <f>+Z126+X126+Y126</f>
        <v>-574987729.2791666</v>
      </c>
      <c r="AB126" s="12"/>
    </row>
    <row r="127" spans="1:28" s="7" customFormat="1" ht="15.75">
      <c r="A127" s="7">
        <f t="shared" si="8"/>
        <v>124</v>
      </c>
      <c r="B127" s="10" t="s">
        <v>112</v>
      </c>
      <c r="C127" s="13">
        <v>42256560.1</v>
      </c>
      <c r="D127" s="13">
        <v>41898810.06</v>
      </c>
      <c r="E127" s="13">
        <v>41976509.32</v>
      </c>
      <c r="F127" s="13">
        <v>41793193.57</v>
      </c>
      <c r="G127" s="13">
        <v>41914850.69</v>
      </c>
      <c r="H127" s="13">
        <v>42053658.81</v>
      </c>
      <c r="I127" s="13">
        <v>42126221.48</v>
      </c>
      <c r="J127" s="13">
        <v>42162171.44</v>
      </c>
      <c r="K127" s="13">
        <v>41934643.32</v>
      </c>
      <c r="L127" s="13">
        <v>41765555.87</v>
      </c>
      <c r="M127" s="13">
        <v>41764422.7</v>
      </c>
      <c r="N127" s="13">
        <v>41892372.4</v>
      </c>
      <c r="O127" s="13">
        <v>41878303.07</v>
      </c>
      <c r="P127" s="14">
        <f t="shared" si="9"/>
        <v>41945820.10375</v>
      </c>
      <c r="Q127" s="14">
        <f t="shared" si="10"/>
        <v>41930059.39416666</v>
      </c>
      <c r="R127" s="15">
        <f t="shared" si="12"/>
        <v>-0.00037573969335569224</v>
      </c>
      <c r="U127" s="14"/>
      <c r="V127" s="14">
        <f>-P127</f>
        <v>-41945820.10375</v>
      </c>
      <c r="W127" s="14"/>
      <c r="X127" s="12">
        <f>+'Tab 2 accounts'!F59</f>
        <v>-331000</v>
      </c>
      <c r="Y127" s="12">
        <f>+'Tab 2 accounts'!G59</f>
        <v>-1169000</v>
      </c>
      <c r="Z127" s="12">
        <f>+'Tab 2 accounts'!H58</f>
        <v>-40445820.10375</v>
      </c>
      <c r="AA127" s="12">
        <f>+Z127+X127+Y127</f>
        <v>-41945820.10375</v>
      </c>
      <c r="AB127" s="12"/>
    </row>
    <row r="128" spans="1:28" s="7" customFormat="1" ht="15.75">
      <c r="A128" s="7">
        <f t="shared" si="8"/>
        <v>125</v>
      </c>
      <c r="B128" s="10" t="s">
        <v>113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4">
        <f t="shared" si="9"/>
        <v>0</v>
      </c>
      <c r="Q128" s="14">
        <f t="shared" si="10"/>
        <v>0</v>
      </c>
      <c r="R128" s="15"/>
      <c r="W128" s="14"/>
      <c r="X128" s="12"/>
      <c r="Y128" s="12"/>
      <c r="Z128" s="12"/>
      <c r="AA128" s="12"/>
      <c r="AB128" s="12"/>
    </row>
    <row r="129" spans="1:28" s="7" customFormat="1" ht="15.75">
      <c r="A129" s="7">
        <f t="shared" si="8"/>
        <v>126</v>
      </c>
      <c r="B129" s="10" t="s">
        <v>114</v>
      </c>
      <c r="C129" s="13">
        <v>490202449.38</v>
      </c>
      <c r="D129" s="13">
        <v>457506359.38</v>
      </c>
      <c r="E129" s="13">
        <v>442486300.05</v>
      </c>
      <c r="F129" s="13">
        <v>433346626.05</v>
      </c>
      <c r="G129" s="13">
        <v>432924706.09</v>
      </c>
      <c r="H129" s="13">
        <v>453371662.09</v>
      </c>
      <c r="I129" s="13">
        <v>405423011.09</v>
      </c>
      <c r="J129" s="13">
        <v>361305734.09</v>
      </c>
      <c r="K129" s="13">
        <v>375576625.09</v>
      </c>
      <c r="L129" s="13">
        <v>351070771.09</v>
      </c>
      <c r="M129" s="13">
        <v>358950645.09</v>
      </c>
      <c r="N129" s="13">
        <v>366166526.09</v>
      </c>
      <c r="O129" s="13">
        <v>409727110.09</v>
      </c>
      <c r="P129" s="14">
        <f t="shared" si="9"/>
        <v>407341145.49458337</v>
      </c>
      <c r="Q129" s="14">
        <f t="shared" si="10"/>
        <v>403988006.3575001</v>
      </c>
      <c r="R129" s="15">
        <f t="shared" si="12"/>
        <v>-0.008231771266347221</v>
      </c>
      <c r="U129" s="14">
        <f>+P129</f>
        <v>407341145.49458337</v>
      </c>
      <c r="W129" s="14"/>
      <c r="X129" s="12"/>
      <c r="Y129" s="12"/>
      <c r="Z129" s="12"/>
      <c r="AA129" s="12"/>
      <c r="AB129" s="12"/>
    </row>
    <row r="130" spans="1:28" s="7" customFormat="1" ht="15.75">
      <c r="A130" s="7">
        <f t="shared" si="8"/>
        <v>127</v>
      </c>
      <c r="B130" s="10" t="s">
        <v>115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4">
        <f t="shared" si="9"/>
        <v>0</v>
      </c>
      <c r="Q130" s="14">
        <f t="shared" si="10"/>
        <v>0</v>
      </c>
      <c r="R130" s="15"/>
      <c r="W130" s="14"/>
      <c r="X130" s="12"/>
      <c r="Y130" s="12"/>
      <c r="Z130" s="12"/>
      <c r="AA130" s="12"/>
      <c r="AB130" s="12"/>
    </row>
    <row r="131" spans="1:28" s="7" customFormat="1" ht="15.75">
      <c r="A131" s="7">
        <f t="shared" si="8"/>
        <v>128</v>
      </c>
      <c r="B131" s="10" t="s">
        <v>116</v>
      </c>
      <c r="C131" s="13">
        <v>80948143.15</v>
      </c>
      <c r="D131" s="13">
        <v>80839071.33</v>
      </c>
      <c r="E131" s="13">
        <v>80690395.26</v>
      </c>
      <c r="F131" s="13">
        <v>84469051.13</v>
      </c>
      <c r="G131" s="13">
        <v>84419037.97</v>
      </c>
      <c r="H131" s="13">
        <v>84400370.29</v>
      </c>
      <c r="I131" s="13">
        <v>90129046.12</v>
      </c>
      <c r="J131" s="13">
        <v>90039467.22</v>
      </c>
      <c r="K131" s="13">
        <v>89969127.18</v>
      </c>
      <c r="L131" s="13">
        <v>102493708.68</v>
      </c>
      <c r="M131" s="13">
        <v>102504771.03</v>
      </c>
      <c r="N131" s="13">
        <v>102452816.35</v>
      </c>
      <c r="O131" s="13">
        <v>102516931.43</v>
      </c>
      <c r="P131" s="14">
        <f t="shared" si="9"/>
        <v>90344949.98750001</v>
      </c>
      <c r="Q131" s="14">
        <f t="shared" si="10"/>
        <v>91243649.49916667</v>
      </c>
      <c r="R131" s="15">
        <f t="shared" si="12"/>
        <v>0.009947423865871885</v>
      </c>
      <c r="V131" s="14">
        <f>-P131</f>
        <v>-90344949.98750001</v>
      </c>
      <c r="W131" s="14"/>
      <c r="X131" s="12">
        <f>+'Tab 2 accounts'!F64</f>
        <v>-444000</v>
      </c>
      <c r="Y131" s="12">
        <f>+'Tab 2 accounts'!G64</f>
        <v>-3986000</v>
      </c>
      <c r="Z131" s="12">
        <f>+'Tab 2 accounts'!H61</f>
        <v>-85914949.98750001</v>
      </c>
      <c r="AA131" s="12">
        <f>+Z131+X131+Y131</f>
        <v>-90344949.98750001</v>
      </c>
      <c r="AB131" s="12"/>
    </row>
    <row r="132" spans="1:28" s="7" customFormat="1" ht="15.75">
      <c r="A132" s="7">
        <f aca="true" t="shared" si="15" ref="A132:A179">+A131+1</f>
        <v>129</v>
      </c>
      <c r="B132" s="10" t="s">
        <v>117</v>
      </c>
      <c r="C132" s="13">
        <v>1285616269.17</v>
      </c>
      <c r="D132" s="13">
        <v>1247125118.98</v>
      </c>
      <c r="E132" s="13">
        <v>1227587737.14</v>
      </c>
      <c r="F132" s="13">
        <v>1211402444.1</v>
      </c>
      <c r="G132" s="13">
        <v>1207545229.54</v>
      </c>
      <c r="H132" s="13">
        <v>1223891486.9499998</v>
      </c>
      <c r="I132" s="13">
        <v>1171969966.7800002</v>
      </c>
      <c r="J132" s="13">
        <v>1125507362.8799999</v>
      </c>
      <c r="K132" s="13">
        <v>1135322140.14</v>
      </c>
      <c r="L132" s="13">
        <v>1118033805.8400002</v>
      </c>
      <c r="M132" s="13">
        <v>1124807268.97</v>
      </c>
      <c r="N132" s="13">
        <v>1135297794.9199998</v>
      </c>
      <c r="O132" s="13">
        <v>1211448775.39</v>
      </c>
      <c r="P132" s="16">
        <f>SUBTOTAL(9,P123:P131)</f>
        <v>1181418573.2099998</v>
      </c>
      <c r="Q132" s="14">
        <f t="shared" si="10"/>
        <v>1178328260.9691665</v>
      </c>
      <c r="R132" s="15">
        <f t="shared" si="12"/>
        <v>-0.002615764057641856</v>
      </c>
      <c r="S132" s="3"/>
      <c r="T132" s="16">
        <f>SUBTOTAL(9,T123:T131)</f>
        <v>0</v>
      </c>
      <c r="U132" s="16">
        <f aca="true" t="shared" si="16" ref="U132:Z132">SUBTOTAL(9,U123:U131)</f>
        <v>407341145.49458337</v>
      </c>
      <c r="V132" s="16">
        <f t="shared" si="16"/>
        <v>-715856363.68625</v>
      </c>
      <c r="W132" s="16">
        <f t="shared" si="16"/>
        <v>58221064.02916667</v>
      </c>
      <c r="X132" s="16">
        <f t="shared" si="16"/>
        <v>-3010480</v>
      </c>
      <c r="Y132" s="16">
        <f t="shared" si="16"/>
        <v>-33103095</v>
      </c>
      <c r="Z132" s="16">
        <f t="shared" si="16"/>
        <v>-679742788.3704166</v>
      </c>
      <c r="AA132" s="12"/>
      <c r="AB132" s="12"/>
    </row>
    <row r="133" spans="1:28" s="7" customFormat="1" ht="15.75">
      <c r="A133" s="7">
        <f t="shared" si="15"/>
        <v>130</v>
      </c>
      <c r="B133" s="1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26"/>
      <c r="Q133" s="14"/>
      <c r="R133" s="15"/>
      <c r="S133" s="3"/>
      <c r="U133" s="26"/>
      <c r="V133" s="26"/>
      <c r="W133" s="26"/>
      <c r="X133" s="26"/>
      <c r="Y133" s="26"/>
      <c r="Z133" s="26"/>
      <c r="AA133" s="12"/>
      <c r="AB133" s="12"/>
    </row>
    <row r="134" spans="1:28" s="7" customFormat="1" ht="15.75">
      <c r="A134" s="7">
        <f t="shared" si="15"/>
        <v>131</v>
      </c>
      <c r="B134" s="10" t="s">
        <v>118</v>
      </c>
      <c r="C134" s="11" t="s">
        <v>1</v>
      </c>
      <c r="D134" s="11" t="s">
        <v>1</v>
      </c>
      <c r="E134" s="11" t="s">
        <v>1</v>
      </c>
      <c r="F134" s="11" t="s">
        <v>1</v>
      </c>
      <c r="G134" s="11" t="s">
        <v>1</v>
      </c>
      <c r="H134" s="11" t="s">
        <v>1</v>
      </c>
      <c r="I134" s="11" t="s">
        <v>1</v>
      </c>
      <c r="J134" s="11" t="s">
        <v>1</v>
      </c>
      <c r="K134" s="11" t="s">
        <v>1</v>
      </c>
      <c r="L134" s="11" t="s">
        <v>1</v>
      </c>
      <c r="M134" s="11" t="s">
        <v>1</v>
      </c>
      <c r="N134" s="11" t="s">
        <v>1</v>
      </c>
      <c r="O134" s="11" t="s">
        <v>1</v>
      </c>
      <c r="P134" s="14"/>
      <c r="Q134" s="14"/>
      <c r="R134" s="15"/>
      <c r="X134" s="12"/>
      <c r="Y134" s="12"/>
      <c r="Z134" s="12"/>
      <c r="AA134" s="12"/>
      <c r="AB134" s="12"/>
    </row>
    <row r="135" spans="1:28" s="7" customFormat="1" ht="15.75">
      <c r="A135" s="7">
        <f t="shared" si="15"/>
        <v>132</v>
      </c>
      <c r="B135" s="10" t="s">
        <v>119</v>
      </c>
      <c r="C135" s="13">
        <v>84999999.4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4">
        <f t="shared" si="9"/>
        <v>3541666.641666667</v>
      </c>
      <c r="Q135" s="14">
        <f t="shared" si="10"/>
        <v>0</v>
      </c>
      <c r="R135" s="15">
        <f t="shared" si="12"/>
        <v>-1</v>
      </c>
      <c r="U135" s="14"/>
      <c r="W135" s="14">
        <f>+P135</f>
        <v>3541666.641666667</v>
      </c>
      <c r="X135" s="12"/>
      <c r="Y135" s="12"/>
      <c r="Z135" s="12"/>
      <c r="AA135" s="12"/>
      <c r="AB135" s="12"/>
    </row>
    <row r="136" spans="1:28" s="7" customFormat="1" ht="15.75">
      <c r="A136" s="7">
        <f t="shared" si="15"/>
        <v>133</v>
      </c>
      <c r="B136" s="10" t="s">
        <v>120</v>
      </c>
      <c r="C136" s="13">
        <v>744182870.34</v>
      </c>
      <c r="D136" s="13">
        <v>650799171.84</v>
      </c>
      <c r="E136" s="13">
        <v>589441602.79</v>
      </c>
      <c r="F136" s="13">
        <v>591173267.56</v>
      </c>
      <c r="G136" s="13">
        <v>592108001.09</v>
      </c>
      <c r="H136" s="13">
        <v>623292626.6</v>
      </c>
      <c r="I136" s="13">
        <v>606595520.18</v>
      </c>
      <c r="J136" s="13">
        <v>556846544.56</v>
      </c>
      <c r="K136" s="13">
        <v>574958336.7</v>
      </c>
      <c r="L136" s="13">
        <v>560676518.26</v>
      </c>
      <c r="M136" s="13">
        <v>561302993.56</v>
      </c>
      <c r="N136" s="13">
        <v>586796538.42</v>
      </c>
      <c r="O136" s="13">
        <v>539268266.47</v>
      </c>
      <c r="P136" s="14">
        <f t="shared" si="9"/>
        <v>594643057.4970833</v>
      </c>
      <c r="Q136" s="14">
        <f t="shared" si="10"/>
        <v>586104949.0024999</v>
      </c>
      <c r="R136" s="15">
        <f t="shared" si="12"/>
        <v>-0.014358375813754876</v>
      </c>
      <c r="U136" s="14">
        <f aca="true" t="shared" si="17" ref="U136:U146">+P136</f>
        <v>594643057.4970833</v>
      </c>
      <c r="X136" s="12"/>
      <c r="Y136" s="12"/>
      <c r="Z136" s="12"/>
      <c r="AA136" s="12"/>
      <c r="AB136" s="12"/>
    </row>
    <row r="137" spans="1:28" s="7" customFormat="1" ht="15.75">
      <c r="A137" s="7">
        <f t="shared" si="15"/>
        <v>134</v>
      </c>
      <c r="B137" s="10" t="s">
        <v>121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4">
        <f t="shared" si="9"/>
        <v>0</v>
      </c>
      <c r="Q137" s="14">
        <f t="shared" si="10"/>
        <v>0</v>
      </c>
      <c r="R137" s="15"/>
      <c r="U137" s="14">
        <f t="shared" si="17"/>
        <v>0</v>
      </c>
      <c r="X137" s="12"/>
      <c r="Y137" s="12"/>
      <c r="Z137" s="12"/>
      <c r="AA137" s="12"/>
      <c r="AB137" s="12"/>
    </row>
    <row r="138" spans="1:28" s="7" customFormat="1" ht="15.75">
      <c r="A138" s="7">
        <f t="shared" si="15"/>
        <v>135</v>
      </c>
      <c r="B138" s="10" t="s">
        <v>122</v>
      </c>
      <c r="C138" s="13">
        <v>17383942.35</v>
      </c>
      <c r="D138" s="13">
        <v>14700718.5</v>
      </c>
      <c r="E138" s="13">
        <v>13937497.28</v>
      </c>
      <c r="F138" s="13">
        <v>14710503.79</v>
      </c>
      <c r="G138" s="13">
        <v>14555146.57</v>
      </c>
      <c r="H138" s="13">
        <v>10545768.48</v>
      </c>
      <c r="I138" s="13">
        <v>11704041.81</v>
      </c>
      <c r="J138" s="13">
        <v>13612903.95</v>
      </c>
      <c r="K138" s="13">
        <v>15738326.9</v>
      </c>
      <c r="L138" s="13">
        <v>15621478.69</v>
      </c>
      <c r="M138" s="13">
        <v>14475579.34</v>
      </c>
      <c r="N138" s="13">
        <v>15526699.29</v>
      </c>
      <c r="O138" s="13">
        <v>13729206.14</v>
      </c>
      <c r="P138" s="14">
        <f t="shared" si="9"/>
        <v>14223769.90375</v>
      </c>
      <c r="Q138" s="14">
        <f t="shared" si="10"/>
        <v>14071489.228333334</v>
      </c>
      <c r="R138" s="15">
        <f t="shared" si="12"/>
        <v>-0.010706069941170737</v>
      </c>
      <c r="U138" s="14">
        <f t="shared" si="17"/>
        <v>14223769.90375</v>
      </c>
      <c r="X138" s="12"/>
      <c r="Y138" s="12"/>
      <c r="Z138" s="12"/>
      <c r="AA138" s="12"/>
      <c r="AB138" s="12"/>
    </row>
    <row r="139" spans="1:28" s="7" customFormat="1" ht="15.75">
      <c r="A139" s="7">
        <f t="shared" si="15"/>
        <v>136</v>
      </c>
      <c r="B139" s="10" t="s">
        <v>123</v>
      </c>
      <c r="C139" s="13">
        <v>21919031.94</v>
      </c>
      <c r="D139" s="13">
        <v>22477982.09</v>
      </c>
      <c r="E139" s="13">
        <v>22758617.66</v>
      </c>
      <c r="F139" s="13">
        <v>26912920.17</v>
      </c>
      <c r="G139" s="13">
        <v>26101883.47</v>
      </c>
      <c r="H139" s="13">
        <v>25772401.81</v>
      </c>
      <c r="I139" s="13">
        <v>25945306.27</v>
      </c>
      <c r="J139" s="13">
        <v>26000454.43</v>
      </c>
      <c r="K139" s="13">
        <v>30178071.03</v>
      </c>
      <c r="L139" s="13">
        <v>32596615.5</v>
      </c>
      <c r="M139" s="13">
        <v>31663401.98</v>
      </c>
      <c r="N139" s="13">
        <v>31673440.22</v>
      </c>
      <c r="O139" s="13">
        <v>31895823.9</v>
      </c>
      <c r="P139" s="14">
        <f t="shared" si="9"/>
        <v>27415710.212500002</v>
      </c>
      <c r="Q139" s="14">
        <f t="shared" si="10"/>
        <v>27831409.877499998</v>
      </c>
      <c r="R139" s="15">
        <f t="shared" si="12"/>
        <v>0.01516282677989711</v>
      </c>
      <c r="U139" s="14"/>
      <c r="V139" s="14">
        <f>-P139</f>
        <v>-27415710.212500002</v>
      </c>
      <c r="X139" s="12">
        <v>-2980496</v>
      </c>
      <c r="Y139" s="12">
        <f>+V139-X139</f>
        <v>-24435214.212500002</v>
      </c>
      <c r="Z139" s="12"/>
      <c r="AA139" s="12"/>
      <c r="AB139" s="12"/>
    </row>
    <row r="140" spans="1:28" s="7" customFormat="1" ht="15.75">
      <c r="A140" s="7">
        <f t="shared" si="15"/>
        <v>137</v>
      </c>
      <c r="B140" s="10" t="s">
        <v>124</v>
      </c>
      <c r="C140" s="13">
        <v>28648481.8</v>
      </c>
      <c r="D140" s="13">
        <v>35413679.4</v>
      </c>
      <c r="E140" s="13">
        <v>41234990.93</v>
      </c>
      <c r="F140" s="13">
        <v>47705002.15</v>
      </c>
      <c r="G140" s="13">
        <v>39218720.12</v>
      </c>
      <c r="H140" s="13">
        <v>57956640.85</v>
      </c>
      <c r="I140" s="13">
        <v>49174362.58</v>
      </c>
      <c r="J140" s="13">
        <v>56523621.43</v>
      </c>
      <c r="K140" s="13">
        <v>61239545.23</v>
      </c>
      <c r="L140" s="13">
        <v>68437058.54</v>
      </c>
      <c r="M140" s="13">
        <v>77931897.34</v>
      </c>
      <c r="N140" s="13">
        <v>63229285.92</v>
      </c>
      <c r="O140" s="13">
        <v>46747021.82</v>
      </c>
      <c r="P140" s="14">
        <f t="shared" si="9"/>
        <v>52980213.025</v>
      </c>
      <c r="Q140" s="14">
        <f t="shared" si="10"/>
        <v>53734318.859166674</v>
      </c>
      <c r="R140" s="15">
        <f t="shared" si="12"/>
        <v>0.014233725972578437</v>
      </c>
      <c r="U140" s="14">
        <f t="shared" si="17"/>
        <v>52980213.025</v>
      </c>
      <c r="X140" s="12"/>
      <c r="Y140" s="12"/>
      <c r="Z140" s="12"/>
      <c r="AA140" s="12"/>
      <c r="AB140" s="12"/>
    </row>
    <row r="141" spans="1:28" s="7" customFormat="1" ht="15.75">
      <c r="A141" s="7">
        <f t="shared" si="15"/>
        <v>138</v>
      </c>
      <c r="B141" s="10" t="s">
        <v>125</v>
      </c>
      <c r="C141" s="13">
        <v>88654331.84</v>
      </c>
      <c r="D141" s="13">
        <v>86797938.85</v>
      </c>
      <c r="E141" s="13">
        <v>96049260.2</v>
      </c>
      <c r="F141" s="13">
        <v>114119662.74</v>
      </c>
      <c r="G141" s="13">
        <v>100545815.43</v>
      </c>
      <c r="H141" s="13">
        <v>100491327.73</v>
      </c>
      <c r="I141" s="13">
        <v>121421059.17</v>
      </c>
      <c r="J141" s="13">
        <v>84250232.09</v>
      </c>
      <c r="K141" s="13">
        <v>92797673.44</v>
      </c>
      <c r="L141" s="13">
        <v>105864647.16</v>
      </c>
      <c r="M141" s="13">
        <v>91491027.53</v>
      </c>
      <c r="N141" s="13">
        <v>90645210.57</v>
      </c>
      <c r="O141" s="13">
        <v>111568227.67</v>
      </c>
      <c r="P141" s="14">
        <f t="shared" si="9"/>
        <v>98715427.88875002</v>
      </c>
      <c r="Q141" s="14">
        <f t="shared" si="10"/>
        <v>99670173.54833335</v>
      </c>
      <c r="R141" s="15">
        <f t="shared" si="12"/>
        <v>0.009671696511910133</v>
      </c>
      <c r="U141" s="14">
        <f t="shared" si="17"/>
        <v>98715427.88875002</v>
      </c>
      <c r="X141" s="12"/>
      <c r="Y141" s="12"/>
      <c r="Z141" s="12"/>
      <c r="AA141" s="12"/>
      <c r="AB141" s="12"/>
    </row>
    <row r="142" spans="1:28" s="7" customFormat="1" ht="15.75">
      <c r="A142" s="7">
        <f t="shared" si="15"/>
        <v>139</v>
      </c>
      <c r="B142" s="10" t="s">
        <v>126</v>
      </c>
      <c r="C142" s="13">
        <v>520947.43</v>
      </c>
      <c r="D142" s="13">
        <v>520947.43</v>
      </c>
      <c r="E142" s="13">
        <v>0</v>
      </c>
      <c r="F142" s="13">
        <v>520947.43</v>
      </c>
      <c r="G142" s="13">
        <v>520947.43</v>
      </c>
      <c r="H142" s="13">
        <v>0</v>
      </c>
      <c r="I142" s="13">
        <v>520947.43</v>
      </c>
      <c r="J142" s="13">
        <v>520947.43</v>
      </c>
      <c r="K142" s="13">
        <v>0</v>
      </c>
      <c r="L142" s="13">
        <v>520947.43</v>
      </c>
      <c r="M142" s="13">
        <v>520947.43</v>
      </c>
      <c r="N142" s="13">
        <v>0</v>
      </c>
      <c r="O142" s="13">
        <v>520947.43</v>
      </c>
      <c r="P142" s="14">
        <f t="shared" si="9"/>
        <v>347298.2866666667</v>
      </c>
      <c r="Q142" s="14">
        <f t="shared" si="10"/>
        <v>347298.2866666667</v>
      </c>
      <c r="R142" s="15">
        <f t="shared" si="12"/>
        <v>0</v>
      </c>
      <c r="U142" s="14">
        <f t="shared" si="17"/>
        <v>347298.2866666667</v>
      </c>
      <c r="X142" s="12"/>
      <c r="Y142" s="12"/>
      <c r="Z142" s="12"/>
      <c r="AA142" s="12"/>
      <c r="AB142" s="12"/>
    </row>
    <row r="143" spans="1:28" s="7" customFormat="1" ht="15.75">
      <c r="A143" s="7">
        <f t="shared" si="15"/>
        <v>140</v>
      </c>
      <c r="B143" s="10" t="s">
        <v>127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4">
        <f t="shared" si="9"/>
        <v>0</v>
      </c>
      <c r="Q143" s="14">
        <f t="shared" si="10"/>
        <v>0</v>
      </c>
      <c r="R143" s="15"/>
      <c r="U143" s="14">
        <f t="shared" si="17"/>
        <v>0</v>
      </c>
      <c r="X143" s="12"/>
      <c r="Y143" s="12"/>
      <c r="Z143" s="12"/>
      <c r="AA143" s="12"/>
      <c r="AB143" s="12"/>
    </row>
    <row r="144" spans="1:28" s="7" customFormat="1" ht="15.75">
      <c r="A144" s="7">
        <f t="shared" si="15"/>
        <v>141</v>
      </c>
      <c r="B144" s="10" t="s">
        <v>128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4">
        <f aca="true" t="shared" si="18" ref="P144:P151">(C144+2*SUM(D144:N144)+O144)/24</f>
        <v>0</v>
      </c>
      <c r="Q144" s="14">
        <f aca="true" t="shared" si="19" ref="Q144:Q152">AVERAGE(D144:O144)</f>
        <v>0</v>
      </c>
      <c r="R144" s="15"/>
      <c r="U144" s="14">
        <f t="shared" si="17"/>
        <v>0</v>
      </c>
      <c r="X144" s="12"/>
      <c r="Y144" s="12"/>
      <c r="Z144" s="12"/>
      <c r="AA144" s="12"/>
      <c r="AB144" s="12"/>
    </row>
    <row r="145" spans="1:28" s="7" customFormat="1" ht="15.75">
      <c r="A145" s="7">
        <f t="shared" si="15"/>
        <v>142</v>
      </c>
      <c r="B145" s="10" t="s">
        <v>129</v>
      </c>
      <c r="C145" s="13">
        <v>14388664.79</v>
      </c>
      <c r="D145" s="13">
        <v>13665071.86</v>
      </c>
      <c r="E145" s="13">
        <v>12911445.68</v>
      </c>
      <c r="F145" s="13">
        <v>12878450.8</v>
      </c>
      <c r="G145" s="13">
        <v>11875699.76</v>
      </c>
      <c r="H145" s="13">
        <v>11734945.35</v>
      </c>
      <c r="I145" s="13">
        <v>13607075.62</v>
      </c>
      <c r="J145" s="13">
        <v>15360857.73</v>
      </c>
      <c r="K145" s="13">
        <v>15885720.47</v>
      </c>
      <c r="L145" s="13">
        <v>15870445.54</v>
      </c>
      <c r="M145" s="13">
        <v>13340915.67</v>
      </c>
      <c r="N145" s="13">
        <v>12542457.91</v>
      </c>
      <c r="O145" s="13">
        <v>15796379.87</v>
      </c>
      <c r="P145" s="14">
        <f t="shared" si="18"/>
        <v>13730467.393333333</v>
      </c>
      <c r="Q145" s="14">
        <f t="shared" si="19"/>
        <v>13789122.188333333</v>
      </c>
      <c r="R145" s="15">
        <f t="shared" si="12"/>
        <v>0.004271871693783735</v>
      </c>
      <c r="U145" s="14">
        <f t="shared" si="17"/>
        <v>13730467.393333333</v>
      </c>
      <c r="X145" s="12"/>
      <c r="Y145" s="12"/>
      <c r="Z145" s="12"/>
      <c r="AA145" s="12"/>
      <c r="AB145" s="12"/>
    </row>
    <row r="146" spans="1:28" s="7" customFormat="1" ht="15.75">
      <c r="A146" s="7">
        <f t="shared" si="15"/>
        <v>143</v>
      </c>
      <c r="B146" s="10" t="s">
        <v>130</v>
      </c>
      <c r="C146" s="13">
        <v>67406951.03</v>
      </c>
      <c r="D146" s="13">
        <v>67015011.22</v>
      </c>
      <c r="E146" s="13">
        <v>68060630.99</v>
      </c>
      <c r="F146" s="13">
        <v>67074513.72</v>
      </c>
      <c r="G146" s="13">
        <v>67475878.61</v>
      </c>
      <c r="H146" s="13">
        <v>66695602.87</v>
      </c>
      <c r="I146" s="13">
        <v>66061459.11</v>
      </c>
      <c r="J146" s="13">
        <v>64012093.24</v>
      </c>
      <c r="K146" s="13">
        <v>59952785.94</v>
      </c>
      <c r="L146" s="13">
        <v>60076361.7</v>
      </c>
      <c r="M146" s="13">
        <v>61811568.61</v>
      </c>
      <c r="N146" s="13">
        <v>59081763.15</v>
      </c>
      <c r="O146" s="13">
        <v>63197164.98</v>
      </c>
      <c r="P146" s="14">
        <f t="shared" si="18"/>
        <v>64384977.263749994</v>
      </c>
      <c r="Q146" s="14">
        <f t="shared" si="19"/>
        <v>64209569.51166666</v>
      </c>
      <c r="R146" s="15">
        <f t="shared" si="12"/>
        <v>-0.002724358375786662</v>
      </c>
      <c r="U146" s="14">
        <f t="shared" si="17"/>
        <v>64384977.263749994</v>
      </c>
      <c r="X146" s="12"/>
      <c r="Y146" s="12"/>
      <c r="Z146" s="12"/>
      <c r="AA146" s="12"/>
      <c r="AB146" s="12"/>
    </row>
    <row r="147" spans="1:28" s="7" customFormat="1" ht="15.75">
      <c r="A147" s="7">
        <f t="shared" si="15"/>
        <v>144</v>
      </c>
      <c r="B147" s="10" t="s">
        <v>131</v>
      </c>
      <c r="C147" s="13">
        <v>5768004.25</v>
      </c>
      <c r="D147" s="13">
        <v>6277030.23</v>
      </c>
      <c r="E147" s="13">
        <v>5885970.12</v>
      </c>
      <c r="F147" s="13">
        <v>5537685.25</v>
      </c>
      <c r="G147" s="13">
        <v>5126836.12</v>
      </c>
      <c r="H147" s="13">
        <v>4713045.59</v>
      </c>
      <c r="I147" s="13">
        <v>4301500.05</v>
      </c>
      <c r="J147" s="13">
        <v>3870207.13</v>
      </c>
      <c r="K147" s="13">
        <v>3435796.63</v>
      </c>
      <c r="L147" s="13">
        <v>3015042.3</v>
      </c>
      <c r="M147" s="13">
        <v>2589664.25</v>
      </c>
      <c r="N147" s="13">
        <v>2155599.16</v>
      </c>
      <c r="O147" s="13">
        <v>1725317.69</v>
      </c>
      <c r="P147" s="14">
        <f t="shared" si="18"/>
        <v>4221253.149999999</v>
      </c>
      <c r="Q147" s="14">
        <f t="shared" si="19"/>
        <v>4052807.8766666665</v>
      </c>
      <c r="R147" s="15">
        <f aca="true" t="shared" si="20" ref="R147:R166">+Q147/P147-1</f>
        <v>-0.03990409182953958</v>
      </c>
      <c r="U147" s="14"/>
      <c r="V147" s="14"/>
      <c r="W147" s="14">
        <f>+P147</f>
        <v>4221253.149999999</v>
      </c>
      <c r="X147" s="12"/>
      <c r="Y147" s="12"/>
      <c r="Z147" s="12"/>
      <c r="AA147" s="12"/>
      <c r="AB147" s="12"/>
    </row>
    <row r="148" spans="1:28" s="7" customFormat="1" ht="15.75">
      <c r="A148" s="7">
        <f t="shared" si="15"/>
        <v>145</v>
      </c>
      <c r="B148" s="10" t="s">
        <v>132</v>
      </c>
      <c r="C148" s="13">
        <v>620548359.5</v>
      </c>
      <c r="D148" s="13">
        <v>563766228.5</v>
      </c>
      <c r="E148" s="13">
        <v>535867197.89</v>
      </c>
      <c r="F148" s="13">
        <v>529583277.89</v>
      </c>
      <c r="G148" s="13">
        <v>534428906.67999995</v>
      </c>
      <c r="H148" s="13">
        <v>520115224.67999995</v>
      </c>
      <c r="I148" s="13">
        <v>479966219.67999995</v>
      </c>
      <c r="J148" s="13">
        <v>439686959.67999995</v>
      </c>
      <c r="K148" s="13">
        <v>469049405.67999995</v>
      </c>
      <c r="L148" s="13">
        <v>444835569.67999995</v>
      </c>
      <c r="M148" s="13">
        <v>446175412.67999995</v>
      </c>
      <c r="N148" s="13">
        <v>450240706.67999995</v>
      </c>
      <c r="O148" s="13">
        <v>494721338.67999995</v>
      </c>
      <c r="P148" s="14">
        <f t="shared" si="18"/>
        <v>497612496.56749994</v>
      </c>
      <c r="Q148" s="14">
        <f t="shared" si="19"/>
        <v>492369704.0333333</v>
      </c>
      <c r="R148" s="15">
        <f t="shared" si="20"/>
        <v>-0.010535894034677806</v>
      </c>
      <c r="U148" s="19">
        <f>+P148</f>
        <v>497612496.56749994</v>
      </c>
      <c r="W148" s="14"/>
      <c r="X148" s="12"/>
      <c r="Y148" s="12"/>
      <c r="Z148" s="12"/>
      <c r="AA148" s="12"/>
      <c r="AB148" s="12"/>
    </row>
    <row r="149" spans="1:28" s="7" customFormat="1" ht="15.75">
      <c r="A149" s="7">
        <f t="shared" si="15"/>
        <v>146</v>
      </c>
      <c r="B149" s="10" t="s">
        <v>133</v>
      </c>
      <c r="C149" s="13">
        <v>490202449.38</v>
      </c>
      <c r="D149" s="13">
        <v>457506359.38</v>
      </c>
      <c r="E149" s="13">
        <v>442486300.05</v>
      </c>
      <c r="F149" s="13">
        <v>433346626.05</v>
      </c>
      <c r="G149" s="13">
        <v>432924706.09</v>
      </c>
      <c r="H149" s="13">
        <v>453371662.09</v>
      </c>
      <c r="I149" s="13">
        <v>405423011.09</v>
      </c>
      <c r="J149" s="13">
        <v>361305734.09</v>
      </c>
      <c r="K149" s="13">
        <v>375576625.09</v>
      </c>
      <c r="L149" s="13">
        <v>351070771.09</v>
      </c>
      <c r="M149" s="13">
        <v>358950645.09</v>
      </c>
      <c r="N149" s="13">
        <v>366166526.09</v>
      </c>
      <c r="O149" s="13">
        <v>409727110.09</v>
      </c>
      <c r="P149" s="14">
        <f>-(C149+2*SUM(D149:N149)+O149)/24</f>
        <v>-407341145.49458337</v>
      </c>
      <c r="Q149" s="14">
        <f t="shared" si="19"/>
        <v>403988006.3575001</v>
      </c>
      <c r="R149" s="15">
        <f t="shared" si="20"/>
        <v>-1.991768228733653</v>
      </c>
      <c r="U149" s="19">
        <f>P149</f>
        <v>-407341145.49458337</v>
      </c>
      <c r="W149" s="14"/>
      <c r="X149" s="12"/>
      <c r="Y149" s="12"/>
      <c r="Z149" s="12"/>
      <c r="AA149" s="12"/>
      <c r="AB149" s="12"/>
    </row>
    <row r="150" spans="1:28" s="7" customFormat="1" ht="15.75">
      <c r="A150" s="7">
        <f t="shared" si="15"/>
        <v>147</v>
      </c>
      <c r="B150" s="10" t="s">
        <v>134</v>
      </c>
      <c r="C150" s="13">
        <v>0</v>
      </c>
      <c r="D150" s="13">
        <v>51200</v>
      </c>
      <c r="E150" s="13">
        <v>479385</v>
      </c>
      <c r="F150" s="13">
        <v>632435</v>
      </c>
      <c r="G150" s="13">
        <v>41404</v>
      </c>
      <c r="H150" s="13">
        <v>1</v>
      </c>
      <c r="I150" s="13">
        <v>1</v>
      </c>
      <c r="J150" s="13">
        <v>0</v>
      </c>
      <c r="K150" s="13">
        <v>0</v>
      </c>
      <c r="L150" s="13">
        <v>94913</v>
      </c>
      <c r="M150" s="13">
        <v>62439</v>
      </c>
      <c r="N150" s="13">
        <v>1</v>
      </c>
      <c r="O150" s="13">
        <v>0</v>
      </c>
      <c r="P150" s="14">
        <f t="shared" si="18"/>
        <v>113481.58333333333</v>
      </c>
      <c r="Q150" s="14">
        <f t="shared" si="19"/>
        <v>113481.58333333333</v>
      </c>
      <c r="R150" s="15">
        <f t="shared" si="20"/>
        <v>0</v>
      </c>
      <c r="U150" s="19">
        <f>+P150</f>
        <v>113481.58333333333</v>
      </c>
      <c r="W150" s="14"/>
      <c r="X150" s="12"/>
      <c r="Y150" s="12"/>
      <c r="Z150" s="12"/>
      <c r="AA150" s="12"/>
      <c r="AB150" s="12"/>
    </row>
    <row r="151" spans="1:28" s="7" customFormat="1" ht="15.75">
      <c r="A151" s="7">
        <f t="shared" si="15"/>
        <v>148</v>
      </c>
      <c r="B151" s="10" t="s">
        <v>135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4">
        <f t="shared" si="18"/>
        <v>0</v>
      </c>
      <c r="Q151" s="14">
        <f t="shared" si="19"/>
        <v>0</v>
      </c>
      <c r="R151" s="15"/>
      <c r="U151" s="19">
        <f>-P151</f>
        <v>0</v>
      </c>
      <c r="X151" s="12"/>
      <c r="Y151" s="12"/>
      <c r="Z151" s="12"/>
      <c r="AA151" s="12"/>
      <c r="AB151" s="12"/>
    </row>
    <row r="152" spans="1:28" s="7" customFormat="1" ht="15.75">
      <c r="A152" s="7">
        <f t="shared" si="15"/>
        <v>149</v>
      </c>
      <c r="B152" s="10" t="s">
        <v>136</v>
      </c>
      <c r="C152" s="13">
        <v>1204219135.2900002</v>
      </c>
      <c r="D152" s="13">
        <v>1003978620.5400002</v>
      </c>
      <c r="E152" s="13">
        <v>944140298.4899999</v>
      </c>
      <c r="F152" s="13">
        <v>977502040.4499997</v>
      </c>
      <c r="G152" s="13">
        <v>959074533.1899999</v>
      </c>
      <c r="H152" s="13">
        <v>967945922.87</v>
      </c>
      <c r="I152" s="13">
        <v>973874481.8099996</v>
      </c>
      <c r="J152" s="13">
        <v>899379087.5799998</v>
      </c>
      <c r="K152" s="13">
        <v>947659036.93</v>
      </c>
      <c r="L152" s="13">
        <v>956538826.7099997</v>
      </c>
      <c r="M152" s="13">
        <v>942415202.2999998</v>
      </c>
      <c r="N152" s="13">
        <v>945725176.2299997</v>
      </c>
      <c r="O152" s="13">
        <v>909442584.5600001</v>
      </c>
      <c r="P152" s="38">
        <f>SUBTOTAL(9,P135:P151)</f>
        <v>964588673.9187497</v>
      </c>
      <c r="Q152" s="14">
        <f t="shared" si="19"/>
        <v>952306317.6383332</v>
      </c>
      <c r="R152" s="15">
        <f t="shared" si="20"/>
        <v>-0.012733257825346511</v>
      </c>
      <c r="T152" s="38">
        <f>SUBTOTAL(9,T135:T151)</f>
        <v>0</v>
      </c>
      <c r="U152" s="38">
        <f>SUBTOTAL(9,U135:U151)</f>
        <v>929410043.9145831</v>
      </c>
      <c r="X152" s="12"/>
      <c r="Y152" s="12"/>
      <c r="Z152" s="12"/>
      <c r="AA152" s="12"/>
      <c r="AB152" s="12"/>
    </row>
    <row r="153" spans="1:28" s="7" customFormat="1" ht="15.75">
      <c r="A153" s="7">
        <f t="shared" si="15"/>
        <v>150</v>
      </c>
      <c r="B153" s="1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39"/>
      <c r="Q153" s="14"/>
      <c r="R153" s="15"/>
      <c r="U153" s="39"/>
      <c r="X153" s="12"/>
      <c r="Y153" s="12"/>
      <c r="Z153" s="12"/>
      <c r="AA153" s="12"/>
      <c r="AB153" s="12"/>
    </row>
    <row r="154" spans="1:28" s="7" customFormat="1" ht="15.75">
      <c r="A154" s="7">
        <f t="shared" si="15"/>
        <v>151</v>
      </c>
      <c r="B154" s="10" t="s">
        <v>137</v>
      </c>
      <c r="C154" s="11" t="s">
        <v>1</v>
      </c>
      <c r="D154" s="11" t="s">
        <v>1</v>
      </c>
      <c r="E154" s="11" t="s">
        <v>1</v>
      </c>
      <c r="F154" s="11" t="s">
        <v>1</v>
      </c>
      <c r="G154" s="11" t="s">
        <v>1</v>
      </c>
      <c r="H154" s="11" t="s">
        <v>1</v>
      </c>
      <c r="I154" s="11" t="s">
        <v>1</v>
      </c>
      <c r="J154" s="11" t="s">
        <v>1</v>
      </c>
      <c r="K154" s="11" t="s">
        <v>1</v>
      </c>
      <c r="L154" s="11" t="s">
        <v>1</v>
      </c>
      <c r="M154" s="11" t="s">
        <v>1</v>
      </c>
      <c r="N154" s="11" t="s">
        <v>1</v>
      </c>
      <c r="O154" s="11" t="s">
        <v>1</v>
      </c>
      <c r="P154" s="14"/>
      <c r="Q154" s="14"/>
      <c r="R154" s="15"/>
      <c r="X154" s="12"/>
      <c r="Y154" s="12"/>
      <c r="Z154" s="12"/>
      <c r="AA154" s="12"/>
      <c r="AB154" s="12"/>
    </row>
    <row r="155" spans="1:28" s="7" customFormat="1" ht="15.75">
      <c r="A155" s="7">
        <f t="shared" si="15"/>
        <v>152</v>
      </c>
      <c r="B155" s="10" t="s">
        <v>138</v>
      </c>
      <c r="C155" s="13">
        <v>20259578.14</v>
      </c>
      <c r="D155" s="13">
        <v>15089376.14</v>
      </c>
      <c r="E155" s="13">
        <v>19075437.97</v>
      </c>
      <c r="F155" s="13">
        <v>21782829.29</v>
      </c>
      <c r="G155" s="13">
        <v>20148820.32</v>
      </c>
      <c r="H155" s="13">
        <v>18569103.21</v>
      </c>
      <c r="I155" s="13">
        <v>18985582.87</v>
      </c>
      <c r="J155" s="13">
        <v>17644239.81</v>
      </c>
      <c r="K155" s="13">
        <v>14188063.49</v>
      </c>
      <c r="L155" s="13">
        <v>14422771.21</v>
      </c>
      <c r="M155" s="13">
        <v>14206594.91</v>
      </c>
      <c r="N155" s="13">
        <v>16175319.66</v>
      </c>
      <c r="O155" s="13">
        <v>20946235.67</v>
      </c>
      <c r="P155" s="14">
        <f aca="true" t="shared" si="21" ref="P155:P163">(C155+2*SUM(D155:N155)+O155)/24</f>
        <v>17574253.815416668</v>
      </c>
      <c r="Q155" s="14">
        <f aca="true" t="shared" si="22" ref="Q155:Q166">AVERAGE(D155:O155)</f>
        <v>17602864.545833334</v>
      </c>
      <c r="R155" s="15">
        <f t="shared" si="20"/>
        <v>0.0016279911919543366</v>
      </c>
      <c r="V155" s="14">
        <f>-P155</f>
        <v>-17574253.815416668</v>
      </c>
      <c r="W155" s="14"/>
      <c r="X155" s="12">
        <v>-334000</v>
      </c>
      <c r="Y155" s="12">
        <f>+V155-X155</f>
        <v>-17240253.815416668</v>
      </c>
      <c r="Z155" s="12"/>
      <c r="AA155" s="12">
        <f>+Z155+X155+Y155</f>
        <v>-17574253.815416668</v>
      </c>
      <c r="AB155" s="12"/>
    </row>
    <row r="156" spans="1:28" s="7" customFormat="1" ht="15.75">
      <c r="A156" s="7">
        <f t="shared" si="15"/>
        <v>153</v>
      </c>
      <c r="B156" s="10" t="s">
        <v>139</v>
      </c>
      <c r="C156" s="13">
        <v>49828356</v>
      </c>
      <c r="D156" s="13">
        <v>49828356</v>
      </c>
      <c r="E156" s="13">
        <v>49828356</v>
      </c>
      <c r="F156" s="13">
        <v>48843490</v>
      </c>
      <c r="G156" s="13">
        <v>48843490</v>
      </c>
      <c r="H156" s="13">
        <v>48843490</v>
      </c>
      <c r="I156" s="13">
        <v>47858624</v>
      </c>
      <c r="J156" s="13">
        <v>47858624</v>
      </c>
      <c r="K156" s="13">
        <v>47858624</v>
      </c>
      <c r="L156" s="13">
        <v>46873758</v>
      </c>
      <c r="M156" s="13">
        <v>46873758</v>
      </c>
      <c r="N156" s="13">
        <v>46873758</v>
      </c>
      <c r="O156" s="13">
        <v>45888892</v>
      </c>
      <c r="P156" s="14">
        <f t="shared" si="21"/>
        <v>48186912.666666664</v>
      </c>
      <c r="Q156" s="14">
        <f t="shared" si="22"/>
        <v>48022768.333333336</v>
      </c>
      <c r="R156" s="15">
        <f t="shared" si="20"/>
        <v>-0.0034064090071260766</v>
      </c>
      <c r="V156" s="14">
        <f>-P156</f>
        <v>-48186912.666666664</v>
      </c>
      <c r="W156" s="14"/>
      <c r="X156" s="12">
        <f>+'Tab 2 accounts'!F80</f>
        <v>-1096753</v>
      </c>
      <c r="Y156" s="12">
        <f>+'Tab 2 accounts'!G80</f>
        <v>-7145066</v>
      </c>
      <c r="Z156" s="12">
        <f>+'Tab 2 accounts'!H79</f>
        <v>-39945093.666666664</v>
      </c>
      <c r="AA156" s="12">
        <f>+Z156+X156+Y156</f>
        <v>-48186912.666666664</v>
      </c>
      <c r="AB156" s="12"/>
    </row>
    <row r="157" spans="1:28" s="7" customFormat="1" ht="15.75">
      <c r="A157" s="7">
        <f t="shared" si="15"/>
        <v>154</v>
      </c>
      <c r="B157" s="10" t="s">
        <v>140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4">
        <f t="shared" si="21"/>
        <v>0</v>
      </c>
      <c r="Q157" s="14">
        <f t="shared" si="22"/>
        <v>0</v>
      </c>
      <c r="R157" s="15"/>
      <c r="V157" s="14">
        <f>-P157</f>
        <v>0</v>
      </c>
      <c r="W157" s="14"/>
      <c r="X157" s="12"/>
      <c r="Y157" s="12"/>
      <c r="Z157" s="12"/>
      <c r="AA157" s="12">
        <f>+Z157+X157+Y157</f>
        <v>0</v>
      </c>
      <c r="AB157" s="12"/>
    </row>
    <row r="158" spans="1:28" s="7" customFormat="1" ht="15.75">
      <c r="A158" s="7">
        <f t="shared" si="15"/>
        <v>155</v>
      </c>
      <c r="B158" s="10" t="s">
        <v>141</v>
      </c>
      <c r="C158" s="13">
        <v>42762021.87</v>
      </c>
      <c r="D158" s="13">
        <v>40318341.15</v>
      </c>
      <c r="E158" s="13">
        <v>42084287.8</v>
      </c>
      <c r="F158" s="13">
        <v>37939768.83</v>
      </c>
      <c r="G158" s="13">
        <v>42394768.37</v>
      </c>
      <c r="H158" s="13">
        <v>41287935.93</v>
      </c>
      <c r="I158" s="13">
        <v>40511207.07</v>
      </c>
      <c r="J158" s="13">
        <v>48338782.22</v>
      </c>
      <c r="K158" s="13">
        <v>47276729.4</v>
      </c>
      <c r="L158" s="13">
        <v>40246337.09</v>
      </c>
      <c r="M158" s="13">
        <v>40084804.16</v>
      </c>
      <c r="N158" s="13">
        <v>38891719.82</v>
      </c>
      <c r="O158" s="13">
        <v>40157479.82</v>
      </c>
      <c r="P158" s="14">
        <f t="shared" si="21"/>
        <v>41736202.72375</v>
      </c>
      <c r="Q158" s="14">
        <f t="shared" si="22"/>
        <v>41627680.13833333</v>
      </c>
      <c r="R158" s="15">
        <f t="shared" si="20"/>
        <v>-0.0026002026618229257</v>
      </c>
      <c r="V158" s="14">
        <f>-P158</f>
        <v>-41736202.72375</v>
      </c>
      <c r="W158" s="14"/>
      <c r="X158" s="12">
        <f>+'Tab 2 accounts'!F71</f>
        <v>-1411000</v>
      </c>
      <c r="Y158" s="12">
        <f>+'Tab 2 accounts'!G71</f>
        <v>-22997000</v>
      </c>
      <c r="Z158" s="12">
        <f>+'Tab 2 accounts'!H71+'Tab 2 accounts'!H66</f>
        <v>-17328202.723750003</v>
      </c>
      <c r="AA158" s="12">
        <f>+Z158+X158+Y158</f>
        <v>-41736202.72375</v>
      </c>
      <c r="AB158" s="12"/>
    </row>
    <row r="159" spans="1:28" s="7" customFormat="1" ht="15.75">
      <c r="A159" s="7">
        <f t="shared" si="15"/>
        <v>156</v>
      </c>
      <c r="B159" s="10" t="s">
        <v>142</v>
      </c>
      <c r="C159" s="13">
        <v>76456653.86</v>
      </c>
      <c r="D159" s="13">
        <v>75288442.59</v>
      </c>
      <c r="E159" s="13">
        <v>75805646.55</v>
      </c>
      <c r="F159" s="13">
        <v>75885243.48</v>
      </c>
      <c r="G159" s="13">
        <v>74929441.9</v>
      </c>
      <c r="H159" s="13">
        <v>71421089.12</v>
      </c>
      <c r="I159" s="13">
        <v>73041781.33</v>
      </c>
      <c r="J159" s="13">
        <v>73405257.62</v>
      </c>
      <c r="K159" s="13">
        <v>75639634.5</v>
      </c>
      <c r="L159" s="13">
        <v>73813205.99</v>
      </c>
      <c r="M159" s="13">
        <v>74170682.47</v>
      </c>
      <c r="N159" s="13">
        <v>75318665.86</v>
      </c>
      <c r="O159" s="13">
        <v>64164255.33</v>
      </c>
      <c r="P159" s="14">
        <f t="shared" si="21"/>
        <v>74085795.50041665</v>
      </c>
      <c r="Q159" s="14">
        <f t="shared" si="22"/>
        <v>73573612.22833334</v>
      </c>
      <c r="R159" s="15">
        <f t="shared" si="20"/>
        <v>-0.006913380204987218</v>
      </c>
      <c r="V159" s="14">
        <f>-P159</f>
        <v>-74085795.50041665</v>
      </c>
      <c r="W159" s="14"/>
      <c r="X159" s="12">
        <f>+'Tab 2 accounts'!F77</f>
        <v>-543000</v>
      </c>
      <c r="Y159" s="12">
        <f>+'Tab 2 accounts'!G77</f>
        <v>-6462000</v>
      </c>
      <c r="Z159" s="12">
        <f>+'Tab 2 accounts'!H73+'Tab 2 accounts'!H77</f>
        <v>-67080795.50041665</v>
      </c>
      <c r="AA159" s="12">
        <f>+Z159+X159+Y159</f>
        <v>-74085795.50041665</v>
      </c>
      <c r="AB159" s="12"/>
    </row>
    <row r="160" spans="1:28" s="7" customFormat="1" ht="15.75">
      <c r="A160" s="7">
        <f t="shared" si="15"/>
        <v>157</v>
      </c>
      <c r="B160" s="10" t="s">
        <v>143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4">
        <f t="shared" si="21"/>
        <v>0</v>
      </c>
      <c r="Q160" s="14">
        <f t="shared" si="22"/>
        <v>0</v>
      </c>
      <c r="R160" s="15"/>
      <c r="W160" s="14">
        <f>+P160</f>
        <v>0</v>
      </c>
      <c r="X160" s="12"/>
      <c r="Y160" s="12"/>
      <c r="Z160" s="12"/>
      <c r="AA160" s="12"/>
      <c r="AB160" s="12"/>
    </row>
    <row r="161" spans="1:28" s="7" customFormat="1" ht="15.75">
      <c r="A161" s="7">
        <f t="shared" si="15"/>
        <v>158</v>
      </c>
      <c r="B161" s="10" t="s">
        <v>144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4">
        <f t="shared" si="21"/>
        <v>0</v>
      </c>
      <c r="Q161" s="14">
        <f t="shared" si="22"/>
        <v>0</v>
      </c>
      <c r="R161" s="15"/>
      <c r="V161" s="14">
        <f>-P161</f>
        <v>0</v>
      </c>
      <c r="W161" s="14"/>
      <c r="X161" s="12"/>
      <c r="Y161" s="12"/>
      <c r="Z161" s="12"/>
      <c r="AA161" s="12"/>
      <c r="AB161" s="12"/>
    </row>
    <row r="162" spans="1:28" s="7" customFormat="1" ht="15.75">
      <c r="A162" s="7">
        <f t="shared" si="15"/>
        <v>159</v>
      </c>
      <c r="B162" s="10" t="s">
        <v>145</v>
      </c>
      <c r="C162" s="13">
        <v>2095724932.91</v>
      </c>
      <c r="D162" s="13">
        <v>2095724932.91</v>
      </c>
      <c r="E162" s="13">
        <v>2095724932.91</v>
      </c>
      <c r="F162" s="13">
        <v>2177456263</v>
      </c>
      <c r="G162" s="13">
        <v>2177456263</v>
      </c>
      <c r="H162" s="13">
        <v>2177456263</v>
      </c>
      <c r="I162" s="13">
        <v>2281710372</v>
      </c>
      <c r="J162" s="13">
        <v>2276093372</v>
      </c>
      <c r="K162" s="13">
        <v>2276093372</v>
      </c>
      <c r="L162" s="13">
        <v>2674779077</v>
      </c>
      <c r="M162" s="13">
        <v>2674779077</v>
      </c>
      <c r="N162" s="13">
        <v>2674779077</v>
      </c>
      <c r="O162" s="13">
        <v>2802655179</v>
      </c>
      <c r="P162" s="19">
        <f t="shared" si="21"/>
        <v>2335936921.4812503</v>
      </c>
      <c r="Q162" s="14">
        <f t="shared" si="22"/>
        <v>2365392348.4016666</v>
      </c>
      <c r="R162" s="15">
        <f t="shared" si="20"/>
        <v>0.012609684212593564</v>
      </c>
      <c r="V162" s="14">
        <f>-P162</f>
        <v>-2335936921.4812503</v>
      </c>
      <c r="W162" s="14"/>
      <c r="X162" s="12">
        <f>+'Tab 2 accounts'!F83</f>
        <v>-129035267</v>
      </c>
      <c r="Y162" s="12">
        <f>+'Tab 2 accounts'!G83</f>
        <v>-1750536212</v>
      </c>
      <c r="Z162" s="12">
        <f>+'Tab 2 accounts'!H82+'Tab 2 accounts'!H83</f>
        <v>-456365442.4812503</v>
      </c>
      <c r="AA162" s="12">
        <f>+Z162+X162+Y162</f>
        <v>-2335936921.4812503</v>
      </c>
      <c r="AB162" s="12"/>
    </row>
    <row r="163" spans="1:28" s="7" customFormat="1" ht="15.75">
      <c r="A163" s="7">
        <f t="shared" si="15"/>
        <v>160</v>
      </c>
      <c r="B163" s="10" t="s">
        <v>146</v>
      </c>
      <c r="C163" s="13">
        <v>490759774.61</v>
      </c>
      <c r="D163" s="13">
        <v>490761751.34</v>
      </c>
      <c r="E163" s="13">
        <v>490747804.67</v>
      </c>
      <c r="F163" s="13">
        <v>466987744.9</v>
      </c>
      <c r="G163" s="13">
        <v>466996613.43</v>
      </c>
      <c r="H163" s="13">
        <v>467001836.46</v>
      </c>
      <c r="I163" s="13">
        <v>446736082.11</v>
      </c>
      <c r="J163" s="13">
        <v>446957690</v>
      </c>
      <c r="K163" s="13">
        <v>446957690</v>
      </c>
      <c r="L163" s="13">
        <v>466589410.79</v>
      </c>
      <c r="M163" s="13">
        <v>466589410.79</v>
      </c>
      <c r="N163" s="13">
        <v>466589410.79</v>
      </c>
      <c r="O163" s="13">
        <v>450899465.94</v>
      </c>
      <c r="P163" s="14">
        <f t="shared" si="21"/>
        <v>466145422.12958336</v>
      </c>
      <c r="Q163" s="14">
        <f t="shared" si="22"/>
        <v>464484575.93499994</v>
      </c>
      <c r="R163" s="15">
        <f t="shared" si="20"/>
        <v>-0.003562935761539543</v>
      </c>
      <c r="V163" s="14">
        <f>-P163</f>
        <v>-466145422.12958336</v>
      </c>
      <c r="W163" s="14"/>
      <c r="X163" s="12">
        <f>+'Tab 2 accounts'!F86</f>
        <v>-4699481</v>
      </c>
      <c r="Y163" s="12">
        <f>+'Tab 2 accounts'!G86</f>
        <v>-74895634</v>
      </c>
      <c r="Z163" s="12">
        <f>+'Tab 2 accounts'!H85+'Tab 2 accounts'!H86</f>
        <v>-386550307.12958336</v>
      </c>
      <c r="AA163" s="12">
        <f>+Z163+X163+Y163</f>
        <v>-466145422.12958336</v>
      </c>
      <c r="AB163" s="12"/>
    </row>
    <row r="164" spans="1:28" s="7" customFormat="1" ht="15.75">
      <c r="A164" s="7">
        <f t="shared" si="15"/>
        <v>161</v>
      </c>
      <c r="B164" s="10" t="s">
        <v>147</v>
      </c>
      <c r="C164" s="13">
        <v>2775791317.3900003</v>
      </c>
      <c r="D164" s="13">
        <v>2767011200.13</v>
      </c>
      <c r="E164" s="13">
        <v>2773266465.9</v>
      </c>
      <c r="F164" s="13">
        <v>2828895339.5</v>
      </c>
      <c r="G164" s="13">
        <v>2830769397.02</v>
      </c>
      <c r="H164" s="13">
        <v>2824579717.7200003</v>
      </c>
      <c r="I164" s="13">
        <v>2908843649.38</v>
      </c>
      <c r="J164" s="13">
        <v>2910297965.65</v>
      </c>
      <c r="K164" s="13">
        <v>2908014113.39</v>
      </c>
      <c r="L164" s="13">
        <v>3316724560.08</v>
      </c>
      <c r="M164" s="13">
        <v>3316704327.33</v>
      </c>
      <c r="N164" s="13">
        <v>3318627951.13</v>
      </c>
      <c r="O164" s="13">
        <v>3424711507.76</v>
      </c>
      <c r="P164" s="16">
        <f>SUBTOTAL(9,P155:P163)</f>
        <v>2983665508.317084</v>
      </c>
      <c r="Q164" s="14">
        <f t="shared" si="22"/>
        <v>3010703849.5825005</v>
      </c>
      <c r="R164" s="15">
        <f t="shared" si="20"/>
        <v>0.00906212214138824</v>
      </c>
      <c r="V164" s="16">
        <f>SUBTOTAL(9,V155:V163)</f>
        <v>-2983665508.317084</v>
      </c>
      <c r="W164" s="14"/>
      <c r="X164" s="12"/>
      <c r="Y164" s="12"/>
      <c r="Z164" s="12"/>
      <c r="AA164" s="12"/>
      <c r="AB164" s="12"/>
    </row>
    <row r="165" spans="1:28" s="7" customFormat="1" ht="15.75">
      <c r="A165" s="7">
        <f t="shared" si="15"/>
        <v>162</v>
      </c>
      <c r="B165" s="1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26"/>
      <c r="Q165" s="14"/>
      <c r="R165" s="15"/>
      <c r="V165" s="26"/>
      <c r="W165" s="14"/>
      <c r="X165" s="12"/>
      <c r="Y165" s="12"/>
      <c r="Z165" s="12"/>
      <c r="AA165" s="12"/>
      <c r="AB165" s="12"/>
    </row>
    <row r="166" spans="1:28" s="7" customFormat="1" ht="16.5" thickBot="1">
      <c r="A166" s="7">
        <f t="shared" si="15"/>
        <v>163</v>
      </c>
      <c r="B166" s="28" t="s">
        <v>148</v>
      </c>
      <c r="C166" s="29">
        <v>16755401517.520002</v>
      </c>
      <c r="D166" s="29">
        <v>17547646536.03</v>
      </c>
      <c r="E166" s="29">
        <v>17506536933.190002</v>
      </c>
      <c r="F166" s="29">
        <v>17620961402.01</v>
      </c>
      <c r="G166" s="29">
        <v>17633833462.32</v>
      </c>
      <c r="H166" s="29">
        <v>17694062739.079998</v>
      </c>
      <c r="I166" s="29">
        <v>17768503102.469997</v>
      </c>
      <c r="J166" s="29">
        <v>17596505767.42</v>
      </c>
      <c r="K166" s="29">
        <v>17702644665.129997</v>
      </c>
      <c r="L166" s="29">
        <v>18139331661.28</v>
      </c>
      <c r="M166" s="29">
        <v>18158436810.989998</v>
      </c>
      <c r="N166" s="29">
        <v>18224874720.149998</v>
      </c>
      <c r="O166" s="29">
        <v>18550965132.5</v>
      </c>
      <c r="P166" s="40">
        <f>SUBTOTAL(9,P95:P164)</f>
        <v>17770543427.089996</v>
      </c>
      <c r="Q166" s="30">
        <f t="shared" si="22"/>
        <v>17845358577.714165</v>
      </c>
      <c r="R166" s="31">
        <f t="shared" si="20"/>
        <v>0.004210065433908783</v>
      </c>
      <c r="S166" s="20"/>
      <c r="T166" s="40">
        <f aca="true" t="shared" si="23" ref="T166:Z166">SUBTOTAL(9,T95:T164)</f>
        <v>0</v>
      </c>
      <c r="U166" s="40">
        <f t="shared" si="23"/>
        <v>1336751189.4091666</v>
      </c>
      <c r="V166" s="40">
        <f t="shared" si="23"/>
        <v>-3726937582.2158337</v>
      </c>
      <c r="W166" s="40">
        <f t="shared" si="23"/>
        <v>12706854655.464998</v>
      </c>
      <c r="X166" s="41">
        <f t="shared" si="23"/>
        <v>-143110477</v>
      </c>
      <c r="Y166" s="41">
        <f t="shared" si="23"/>
        <v>-1936814475.0279167</v>
      </c>
      <c r="Z166" s="41">
        <f t="shared" si="23"/>
        <v>-1647012629.8720837</v>
      </c>
      <c r="AA166" s="12"/>
      <c r="AB166" s="12"/>
    </row>
    <row r="167" spans="1:28" s="7" customFormat="1" ht="15.75">
      <c r="A167" s="7">
        <f t="shared" si="15"/>
        <v>164</v>
      </c>
      <c r="B167" s="42" t="s">
        <v>226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>
        <f>+W166+U166-V166-T166</f>
        <v>17770543427.089996</v>
      </c>
      <c r="Q167" s="19">
        <f>+Q90-Q166</f>
        <v>0</v>
      </c>
      <c r="R167" s="20"/>
      <c r="S167" s="20"/>
      <c r="T167" s="20"/>
      <c r="U167" s="20"/>
      <c r="V167" s="20"/>
      <c r="W167" s="20"/>
      <c r="X167" s="12"/>
      <c r="Y167" s="12"/>
      <c r="Z167" s="12"/>
      <c r="AA167" s="12"/>
      <c r="AB167" s="12"/>
    </row>
    <row r="168" spans="1:28" s="7" customFormat="1" ht="15.75">
      <c r="A168" s="7">
        <f t="shared" si="15"/>
        <v>165</v>
      </c>
      <c r="B168" s="43" t="s">
        <v>227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14">
        <f>-P167+P91</f>
        <v>0</v>
      </c>
      <c r="Q168" s="14"/>
      <c r="X168" s="12"/>
      <c r="Y168" s="12"/>
      <c r="Z168" s="12"/>
      <c r="AA168" s="12"/>
      <c r="AB168" s="12"/>
    </row>
    <row r="169" spans="1:28" s="7" customFormat="1" ht="15.75">
      <c r="A169" s="7">
        <f t="shared" si="15"/>
        <v>166</v>
      </c>
      <c r="B169" s="28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14"/>
      <c r="Q169" s="14"/>
      <c r="X169" s="12"/>
      <c r="Y169" s="12"/>
      <c r="Z169" s="12"/>
      <c r="AA169" s="12"/>
      <c r="AB169" s="12"/>
    </row>
    <row r="170" spans="1:28" s="7" customFormat="1" ht="15.75">
      <c r="A170" s="7">
        <f t="shared" si="15"/>
        <v>167</v>
      </c>
      <c r="B170" s="10" t="s">
        <v>229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44"/>
      <c r="Q170" s="14"/>
      <c r="T170" s="12">
        <f>SUBTOTAL(9,T4:T166)</f>
        <v>1219073396.1945837</v>
      </c>
      <c r="U170" s="12">
        <f>SUBTOTAL(9,U4:U166)</f>
        <v>1336751189.4091666</v>
      </c>
      <c r="AB170" s="12"/>
    </row>
    <row r="171" spans="1:28" s="7" customFormat="1" ht="15.75">
      <c r="A171" s="7">
        <f t="shared" si="15"/>
        <v>168</v>
      </c>
      <c r="P171" s="44"/>
      <c r="T171" s="45">
        <f>+T170-U170</f>
        <v>-117677793.21458292</v>
      </c>
      <c r="AB171" s="12"/>
    </row>
    <row r="172" spans="1:28" s="7" customFormat="1" ht="15.75">
      <c r="A172" s="7">
        <f t="shared" si="15"/>
        <v>169</v>
      </c>
      <c r="B172" s="46" t="s">
        <v>230</v>
      </c>
      <c r="T172" s="12"/>
      <c r="V172" s="47">
        <f>SUBTOTAL(9,V4:V166)</f>
        <v>12772589991.740002</v>
      </c>
      <c r="W172" s="47">
        <f>SUBTOTAL(9,W4:W166)</f>
        <v>12654912198.525414</v>
      </c>
      <c r="X172" s="12">
        <f>SUBTOTAL(9,X4:X166)</f>
        <v>762347020</v>
      </c>
      <c r="Y172" s="12">
        <f>SUBTOTAL(9,Y4:Y166)</f>
        <v>9644026449.972084</v>
      </c>
      <c r="Z172" s="12">
        <f>SUBTOTAL(9,Z4:Z166)</f>
        <v>2366216522.0837536</v>
      </c>
      <c r="AA172" s="12">
        <f>+Z172+Y172+X172</f>
        <v>12772589992.055838</v>
      </c>
      <c r="AB172" s="12"/>
    </row>
    <row r="173" spans="1:28" s="7" customFormat="1" ht="15.75">
      <c r="A173" s="7">
        <f t="shared" si="15"/>
        <v>170</v>
      </c>
      <c r="B173" s="46" t="s">
        <v>231</v>
      </c>
      <c r="T173" s="12"/>
      <c r="V173" s="12"/>
      <c r="W173" s="36">
        <f>+W172-V172</f>
        <v>-117677793.21458817</v>
      </c>
      <c r="X173" s="12"/>
      <c r="Y173" s="12"/>
      <c r="Z173" s="12"/>
      <c r="AA173" s="12"/>
      <c r="AB173" s="12"/>
    </row>
    <row r="174" spans="1:28" s="7" customFormat="1" ht="15.75">
      <c r="A174" s="7">
        <f t="shared" si="15"/>
        <v>171</v>
      </c>
      <c r="B174" s="7" t="s">
        <v>232</v>
      </c>
      <c r="V174" s="7" t="s">
        <v>219</v>
      </c>
      <c r="W174" s="48"/>
      <c r="X174" s="31">
        <f>+X172/$AA$172</f>
        <v>0.05968617331912765</v>
      </c>
      <c r="Y174" s="15">
        <f>+Y172/$AA$172</f>
        <v>0.7550564494726891</v>
      </c>
      <c r="Z174" s="15">
        <f>+Z172/$AA$172</f>
        <v>0.18525737720818317</v>
      </c>
      <c r="AA174" s="12"/>
      <c r="AB174" s="12"/>
    </row>
    <row r="175" spans="1:28" s="7" customFormat="1" ht="15.75">
      <c r="A175" s="7">
        <f t="shared" si="15"/>
        <v>172</v>
      </c>
      <c r="B175" s="7" t="s">
        <v>233</v>
      </c>
      <c r="V175" s="14" t="s">
        <v>218</v>
      </c>
      <c r="X175" s="21">
        <f>+W173*X174</f>
        <v>-7023737.161618373</v>
      </c>
      <c r="Y175" s="12">
        <f>+Y174*W173</f>
        <v>-88853376.72638825</v>
      </c>
      <c r="Z175" s="12">
        <f>+Z174*W173</f>
        <v>-21800679.326581538</v>
      </c>
      <c r="AA175" s="12">
        <f>+Z175+Y175+X175</f>
        <v>-117677793.21458815</v>
      </c>
      <c r="AB175" s="12"/>
    </row>
    <row r="176" spans="1:28" s="7" customFormat="1" ht="15.75">
      <c r="A176" s="7">
        <f t="shared" si="15"/>
        <v>173</v>
      </c>
      <c r="AB176" s="12"/>
    </row>
    <row r="177" spans="1:28" s="7" customFormat="1" ht="15.75">
      <c r="A177" s="7">
        <f t="shared" si="15"/>
        <v>174</v>
      </c>
      <c r="W177" s="7" t="s">
        <v>216</v>
      </c>
      <c r="X177" s="12">
        <f>+X172</f>
        <v>762347020</v>
      </c>
      <c r="Y177" s="12">
        <f>+Y172</f>
        <v>9644026449.972084</v>
      </c>
      <c r="Z177" s="12">
        <f>+Z172</f>
        <v>2366216522.0837536</v>
      </c>
      <c r="AA177" s="12">
        <f>SUM(X177:Z177)</f>
        <v>12772589992.055838</v>
      </c>
      <c r="AB177" s="12"/>
    </row>
    <row r="178" spans="1:28" s="7" customFormat="1" ht="15.75">
      <c r="A178" s="7">
        <f t="shared" si="15"/>
        <v>175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V178" s="3"/>
      <c r="W178" s="7" t="s">
        <v>217</v>
      </c>
      <c r="X178" s="12">
        <f>+X174*W172</f>
        <v>755323282.8195306</v>
      </c>
      <c r="Y178" s="12">
        <f>+Y174*W172</f>
        <v>9555173073.007221</v>
      </c>
      <c r="Z178" s="12">
        <f>+Z174*W172</f>
        <v>2344415842.698661</v>
      </c>
      <c r="AA178" s="12">
        <f>SUM(X178:Z178)</f>
        <v>12654912198.525414</v>
      </c>
      <c r="AB178" s="12"/>
    </row>
    <row r="179" spans="1:28" s="7" customFormat="1" ht="15.75">
      <c r="A179" s="7">
        <f t="shared" si="15"/>
        <v>176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4" t="e">
        <f aca="true" t="shared" si="24" ref="Q179:Q221">AVERAGE(D179:O179)</f>
        <v>#DIV/0!</v>
      </c>
      <c r="V179" s="3"/>
      <c r="W179" s="14" t="s">
        <v>259</v>
      </c>
      <c r="X179" s="12">
        <f>+X178-X177</f>
        <v>-7023737.180469394</v>
      </c>
      <c r="Y179" s="12">
        <f>+Y178-Y177</f>
        <v>-88853376.96486282</v>
      </c>
      <c r="Z179" s="12">
        <f>+Z178-Z177</f>
        <v>-21800679.385092735</v>
      </c>
      <c r="AA179" s="12">
        <f>SUM(X179:Z179)</f>
        <v>-117677793.53042495</v>
      </c>
      <c r="AB179" s="12"/>
    </row>
    <row r="180" spans="2:28" s="7" customFormat="1" ht="15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4" t="e">
        <f t="shared" si="24"/>
        <v>#DIV/0!</v>
      </c>
      <c r="AB180" s="12"/>
    </row>
    <row r="181" spans="2:28" s="7" customFormat="1" ht="15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4" t="e">
        <f t="shared" si="24"/>
        <v>#DIV/0!</v>
      </c>
      <c r="AB181" s="12"/>
    </row>
    <row r="182" spans="2:28" s="7" customFormat="1" ht="15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4" t="e">
        <f t="shared" si="24"/>
        <v>#DIV/0!</v>
      </c>
      <c r="V182" s="3"/>
      <c r="W182" s="3"/>
      <c r="X182" s="3"/>
      <c r="Y182" s="12"/>
      <c r="Z182" s="12"/>
      <c r="AA182" s="12"/>
      <c r="AB182" s="12"/>
    </row>
    <row r="183" spans="2:28" s="7" customFormat="1" ht="15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4" t="e">
        <f t="shared" si="24"/>
        <v>#DIV/0!</v>
      </c>
      <c r="X183" s="12"/>
      <c r="Y183" s="12"/>
      <c r="Z183" s="12"/>
      <c r="AA183" s="12"/>
      <c r="AB183" s="12"/>
    </row>
    <row r="184" spans="2:28" s="7" customFormat="1" ht="15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4" t="e">
        <f t="shared" si="24"/>
        <v>#DIV/0!</v>
      </c>
      <c r="X184" s="12"/>
      <c r="Y184" s="12"/>
      <c r="Z184" s="12"/>
      <c r="AA184" s="12"/>
      <c r="AB184" s="12"/>
    </row>
    <row r="185" spans="2:28" s="7" customFormat="1" ht="15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4" t="e">
        <f t="shared" si="24"/>
        <v>#DIV/0!</v>
      </c>
      <c r="X185" s="12"/>
      <c r="Y185" s="12"/>
      <c r="Z185" s="12"/>
      <c r="AA185" s="12"/>
      <c r="AB185" s="12"/>
    </row>
    <row r="186" spans="2:28" s="7" customFormat="1" ht="15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4" t="e">
        <f t="shared" si="24"/>
        <v>#DIV/0!</v>
      </c>
      <c r="AB186" s="12"/>
    </row>
    <row r="187" spans="2:28" s="7" customFormat="1" ht="15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4" t="e">
        <f t="shared" si="24"/>
        <v>#DIV/0!</v>
      </c>
      <c r="AB187" s="12"/>
    </row>
    <row r="188" spans="2:28" s="7" customFormat="1" ht="15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4" t="e">
        <f t="shared" si="24"/>
        <v>#DIV/0!</v>
      </c>
      <c r="AB188" s="12"/>
    </row>
    <row r="189" spans="2:28" s="7" customFormat="1" ht="15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4" t="e">
        <f t="shared" si="24"/>
        <v>#DIV/0!</v>
      </c>
      <c r="X189" s="17"/>
      <c r="Y189" s="17"/>
      <c r="Z189" s="12"/>
      <c r="AA189" s="12"/>
      <c r="AB189" s="12"/>
    </row>
    <row r="190" spans="2:28" s="7" customFormat="1" ht="15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4" t="e">
        <f t="shared" si="24"/>
        <v>#DIV/0!</v>
      </c>
      <c r="X190" s="12"/>
      <c r="Y190" s="12"/>
      <c r="Z190" s="12"/>
      <c r="AA190" s="12"/>
      <c r="AB190" s="12"/>
    </row>
    <row r="191" spans="2:28" s="7" customFormat="1" ht="15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4" t="e">
        <f t="shared" si="24"/>
        <v>#DIV/0!</v>
      </c>
      <c r="X191" s="12"/>
      <c r="Y191" s="12"/>
      <c r="Z191" s="12"/>
      <c r="AA191" s="12"/>
      <c r="AB191" s="12"/>
    </row>
    <row r="192" spans="2:28" s="7" customFormat="1" ht="15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4" t="e">
        <f t="shared" si="24"/>
        <v>#DIV/0!</v>
      </c>
      <c r="X192" s="12"/>
      <c r="Y192" s="12"/>
      <c r="Z192" s="12"/>
      <c r="AA192" s="12"/>
      <c r="AB192" s="12"/>
    </row>
    <row r="193" spans="2:28" s="7" customFormat="1" ht="15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4" t="e">
        <f t="shared" si="24"/>
        <v>#DIV/0!</v>
      </c>
      <c r="X193" s="12"/>
      <c r="Y193" s="12"/>
      <c r="Z193" s="12"/>
      <c r="AA193" s="12"/>
      <c r="AB193" s="12"/>
    </row>
    <row r="194" spans="2:28" s="7" customFormat="1" ht="15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4" t="e">
        <f t="shared" si="24"/>
        <v>#DIV/0!</v>
      </c>
      <c r="X194" s="12"/>
      <c r="Y194" s="12"/>
      <c r="Z194" s="12"/>
      <c r="AA194" s="12"/>
      <c r="AB194" s="12"/>
    </row>
    <row r="195" spans="2:28" s="7" customFormat="1" ht="15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4" t="e">
        <f t="shared" si="24"/>
        <v>#DIV/0!</v>
      </c>
      <c r="X195" s="12"/>
      <c r="Y195" s="12"/>
      <c r="Z195" s="12"/>
      <c r="AA195" s="12"/>
      <c r="AB195" s="12"/>
    </row>
    <row r="196" spans="2:28" s="7" customFormat="1" ht="15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4" t="e">
        <f t="shared" si="24"/>
        <v>#DIV/0!</v>
      </c>
      <c r="X196" s="12"/>
      <c r="Y196" s="12"/>
      <c r="Z196" s="12"/>
      <c r="AA196" s="12"/>
      <c r="AB196" s="12"/>
    </row>
    <row r="197" spans="2:28" s="7" customFormat="1" ht="15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4" t="e">
        <f t="shared" si="24"/>
        <v>#DIV/0!</v>
      </c>
      <c r="X197" s="12"/>
      <c r="Y197" s="12"/>
      <c r="Z197" s="12"/>
      <c r="AA197" s="12"/>
      <c r="AB197" s="12"/>
    </row>
    <row r="198" spans="2:28" s="7" customFormat="1" ht="15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4" t="e">
        <f t="shared" si="24"/>
        <v>#DIV/0!</v>
      </c>
      <c r="X198" s="12"/>
      <c r="Y198" s="12"/>
      <c r="Z198" s="12"/>
      <c r="AA198" s="12"/>
      <c r="AB198" s="12"/>
    </row>
    <row r="199" spans="2:28" s="7" customFormat="1" ht="15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4" t="e">
        <f t="shared" si="24"/>
        <v>#DIV/0!</v>
      </c>
      <c r="X199" s="12"/>
      <c r="Y199" s="12"/>
      <c r="Z199" s="12"/>
      <c r="AA199" s="12"/>
      <c r="AB199" s="12"/>
    </row>
    <row r="200" spans="2:28" s="7" customFormat="1" ht="15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4" t="e">
        <f t="shared" si="24"/>
        <v>#DIV/0!</v>
      </c>
      <c r="X200" s="12"/>
      <c r="Y200" s="12"/>
      <c r="Z200" s="12"/>
      <c r="AA200" s="12"/>
      <c r="AB200" s="12"/>
    </row>
    <row r="201" spans="2:28" s="7" customFormat="1" ht="15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4" t="e">
        <f t="shared" si="24"/>
        <v>#DIV/0!</v>
      </c>
      <c r="X201" s="12"/>
      <c r="Y201" s="12"/>
      <c r="Z201" s="12"/>
      <c r="AA201" s="12"/>
      <c r="AB201" s="12"/>
    </row>
    <row r="202" spans="2:28" s="7" customFormat="1" ht="15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4" t="e">
        <f t="shared" si="24"/>
        <v>#DIV/0!</v>
      </c>
      <c r="X202" s="12"/>
      <c r="Y202" s="12"/>
      <c r="Z202" s="12"/>
      <c r="AA202" s="12"/>
      <c r="AB202" s="12"/>
    </row>
    <row r="203" spans="2:28" s="7" customFormat="1" ht="15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4" t="e">
        <f t="shared" si="24"/>
        <v>#DIV/0!</v>
      </c>
      <c r="X203" s="12"/>
      <c r="Y203" s="12"/>
      <c r="Z203" s="12"/>
      <c r="AA203" s="12"/>
      <c r="AB203" s="12"/>
    </row>
    <row r="204" spans="2:28" s="7" customFormat="1" ht="15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4" t="e">
        <f t="shared" si="24"/>
        <v>#DIV/0!</v>
      </c>
      <c r="X204" s="12"/>
      <c r="Y204" s="12"/>
      <c r="Z204" s="12"/>
      <c r="AA204" s="12"/>
      <c r="AB204" s="12"/>
    </row>
    <row r="205" spans="2:28" s="7" customFormat="1" ht="15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4" t="e">
        <f t="shared" si="24"/>
        <v>#DIV/0!</v>
      </c>
      <c r="X205" s="12"/>
      <c r="Y205" s="12"/>
      <c r="Z205" s="12"/>
      <c r="AA205" s="12"/>
      <c r="AB205" s="12"/>
    </row>
    <row r="206" spans="2:28" s="7" customFormat="1" ht="15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4" t="e">
        <f t="shared" si="24"/>
        <v>#DIV/0!</v>
      </c>
      <c r="X206" s="12"/>
      <c r="Y206" s="12"/>
      <c r="Z206" s="12"/>
      <c r="AA206" s="12"/>
      <c r="AB206" s="12"/>
    </row>
    <row r="207" spans="2:28" s="7" customFormat="1" ht="15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4" t="e">
        <f t="shared" si="24"/>
        <v>#DIV/0!</v>
      </c>
      <c r="X207" s="12"/>
      <c r="Y207" s="12"/>
      <c r="Z207" s="12"/>
      <c r="AA207" s="12"/>
      <c r="AB207" s="12"/>
    </row>
    <row r="208" spans="2:28" s="7" customFormat="1" ht="15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4" t="e">
        <f t="shared" si="24"/>
        <v>#DIV/0!</v>
      </c>
      <c r="X208" s="12"/>
      <c r="Y208" s="12"/>
      <c r="Z208" s="12"/>
      <c r="AA208" s="12"/>
      <c r="AB208" s="12"/>
    </row>
    <row r="209" spans="2:28" s="7" customFormat="1" ht="15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4" t="e">
        <f t="shared" si="24"/>
        <v>#DIV/0!</v>
      </c>
      <c r="X209" s="12"/>
      <c r="Y209" s="12"/>
      <c r="Z209" s="12"/>
      <c r="AA209" s="12"/>
      <c r="AB209" s="12"/>
    </row>
    <row r="210" spans="2:28" s="7" customFormat="1" ht="15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4" t="e">
        <f t="shared" si="24"/>
        <v>#DIV/0!</v>
      </c>
      <c r="X210" s="12"/>
      <c r="Y210" s="12"/>
      <c r="Z210" s="12"/>
      <c r="AA210" s="12"/>
      <c r="AB210" s="12"/>
    </row>
    <row r="211" spans="2:28" s="7" customFormat="1" ht="15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4" t="e">
        <f t="shared" si="24"/>
        <v>#DIV/0!</v>
      </c>
      <c r="X211" s="12"/>
      <c r="Y211" s="12"/>
      <c r="Z211" s="12"/>
      <c r="AA211" s="12"/>
      <c r="AB211" s="12"/>
    </row>
    <row r="212" spans="2:28" s="7" customFormat="1" ht="15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4" t="e">
        <f t="shared" si="24"/>
        <v>#DIV/0!</v>
      </c>
      <c r="X212" s="12"/>
      <c r="Y212" s="12"/>
      <c r="Z212" s="12"/>
      <c r="AA212" s="12"/>
      <c r="AB212" s="12"/>
    </row>
    <row r="213" spans="2:28" s="7" customFormat="1" ht="15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4" t="e">
        <f t="shared" si="24"/>
        <v>#DIV/0!</v>
      </c>
      <c r="X213" s="12"/>
      <c r="Y213" s="12"/>
      <c r="Z213" s="12"/>
      <c r="AA213" s="12"/>
      <c r="AB213" s="12"/>
    </row>
    <row r="214" spans="2:28" s="7" customFormat="1" ht="15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4" t="e">
        <f t="shared" si="24"/>
        <v>#DIV/0!</v>
      </c>
      <c r="X214" s="12"/>
      <c r="Y214" s="12"/>
      <c r="Z214" s="12"/>
      <c r="AA214" s="12"/>
      <c r="AB214" s="12"/>
    </row>
    <row r="215" spans="2:28" s="7" customFormat="1" ht="15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4" t="e">
        <f t="shared" si="24"/>
        <v>#DIV/0!</v>
      </c>
      <c r="X215" s="12"/>
      <c r="Y215" s="12"/>
      <c r="Z215" s="12"/>
      <c r="AA215" s="12"/>
      <c r="AB215" s="12"/>
    </row>
    <row r="216" spans="2:28" s="7" customFormat="1" ht="15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4" t="e">
        <f t="shared" si="24"/>
        <v>#DIV/0!</v>
      </c>
      <c r="X216" s="12"/>
      <c r="Y216" s="12"/>
      <c r="Z216" s="12"/>
      <c r="AA216" s="12"/>
      <c r="AB216" s="12"/>
    </row>
    <row r="217" spans="2:28" s="7" customFormat="1" ht="15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4" t="e">
        <f t="shared" si="24"/>
        <v>#DIV/0!</v>
      </c>
      <c r="X217" s="12"/>
      <c r="Y217" s="12"/>
      <c r="Z217" s="12"/>
      <c r="AA217" s="12"/>
      <c r="AB217" s="12"/>
    </row>
    <row r="218" spans="2:28" s="7" customFormat="1" ht="15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4" t="e">
        <f t="shared" si="24"/>
        <v>#DIV/0!</v>
      </c>
      <c r="X218" s="12"/>
      <c r="Y218" s="12"/>
      <c r="Z218" s="12"/>
      <c r="AA218" s="12"/>
      <c r="AB218" s="12"/>
    </row>
    <row r="219" spans="2:28" s="7" customFormat="1" ht="15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4" t="e">
        <f t="shared" si="24"/>
        <v>#DIV/0!</v>
      </c>
      <c r="X219" s="12"/>
      <c r="Y219" s="12"/>
      <c r="Z219" s="12"/>
      <c r="AA219" s="12"/>
      <c r="AB219" s="12"/>
    </row>
    <row r="220" spans="2:28" s="7" customFormat="1" ht="15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4" t="e">
        <f t="shared" si="24"/>
        <v>#DIV/0!</v>
      </c>
      <c r="X220" s="12"/>
      <c r="Y220" s="12"/>
      <c r="Z220" s="12"/>
      <c r="AA220" s="12"/>
      <c r="AB220" s="12"/>
    </row>
    <row r="221" spans="2:28" s="7" customFormat="1" ht="15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4" t="e">
        <f t="shared" si="24"/>
        <v>#DIV/0!</v>
      </c>
      <c r="X221" s="12"/>
      <c r="Y221" s="12"/>
      <c r="Z221" s="12"/>
      <c r="AA221" s="12"/>
      <c r="AB221" s="12"/>
    </row>
    <row r="222" spans="2:28" s="7" customFormat="1" ht="15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4" t="e">
        <f aca="true" t="shared" si="25" ref="Q222:Q256">AVERAGE(D222:O222)</f>
        <v>#DIV/0!</v>
      </c>
      <c r="X222" s="12"/>
      <c r="Y222" s="12"/>
      <c r="Z222" s="12"/>
      <c r="AA222" s="12"/>
      <c r="AB222" s="12"/>
    </row>
    <row r="223" spans="2:28" s="7" customFormat="1" ht="15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4" t="e">
        <f t="shared" si="25"/>
        <v>#DIV/0!</v>
      </c>
      <c r="X223" s="12"/>
      <c r="Y223" s="12"/>
      <c r="Z223" s="12"/>
      <c r="AA223" s="12"/>
      <c r="AB223" s="12"/>
    </row>
    <row r="224" spans="2:28" s="7" customFormat="1" ht="15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4" t="e">
        <f t="shared" si="25"/>
        <v>#DIV/0!</v>
      </c>
      <c r="X224" s="12"/>
      <c r="Y224" s="12"/>
      <c r="Z224" s="12"/>
      <c r="AA224" s="12"/>
      <c r="AB224" s="12"/>
    </row>
    <row r="225" spans="2:28" s="7" customFormat="1" ht="15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4" t="e">
        <f t="shared" si="25"/>
        <v>#DIV/0!</v>
      </c>
      <c r="X225" s="12"/>
      <c r="Y225" s="12"/>
      <c r="Z225" s="12"/>
      <c r="AA225" s="12"/>
      <c r="AB225" s="12"/>
    </row>
    <row r="226" spans="2:28" s="7" customFormat="1" ht="15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4" t="e">
        <f t="shared" si="25"/>
        <v>#DIV/0!</v>
      </c>
      <c r="X226" s="12"/>
      <c r="Y226" s="12"/>
      <c r="Z226" s="12"/>
      <c r="AA226" s="12"/>
      <c r="AB226" s="12"/>
    </row>
    <row r="227" spans="2:28" s="7" customFormat="1" ht="15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4" t="e">
        <f t="shared" si="25"/>
        <v>#DIV/0!</v>
      </c>
      <c r="X227" s="12"/>
      <c r="Y227" s="12"/>
      <c r="Z227" s="12"/>
      <c r="AA227" s="12"/>
      <c r="AB227" s="12"/>
    </row>
    <row r="228" spans="2:28" s="7" customFormat="1" ht="15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4" t="e">
        <f t="shared" si="25"/>
        <v>#DIV/0!</v>
      </c>
      <c r="X228" s="12"/>
      <c r="Y228" s="12"/>
      <c r="Z228" s="12"/>
      <c r="AA228" s="12"/>
      <c r="AB228" s="12"/>
    </row>
    <row r="229" spans="2:28" s="7" customFormat="1" ht="15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4" t="e">
        <f t="shared" si="25"/>
        <v>#DIV/0!</v>
      </c>
      <c r="X229" s="12"/>
      <c r="Y229" s="12"/>
      <c r="Z229" s="12"/>
      <c r="AA229" s="12"/>
      <c r="AB229" s="12"/>
    </row>
    <row r="230" spans="2:28" s="7" customFormat="1" ht="15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4" t="e">
        <f t="shared" si="25"/>
        <v>#DIV/0!</v>
      </c>
      <c r="X230" s="12"/>
      <c r="Y230" s="12"/>
      <c r="Z230" s="12"/>
      <c r="AA230" s="12"/>
      <c r="AB230" s="12"/>
    </row>
    <row r="231" spans="2:28" s="7" customFormat="1" ht="15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4" t="e">
        <f t="shared" si="25"/>
        <v>#DIV/0!</v>
      </c>
      <c r="X231" s="12"/>
      <c r="Y231" s="12"/>
      <c r="Z231" s="12"/>
      <c r="AA231" s="12"/>
      <c r="AB231" s="12"/>
    </row>
    <row r="232" spans="2:28" s="7" customFormat="1" ht="15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4" t="e">
        <f t="shared" si="25"/>
        <v>#DIV/0!</v>
      </c>
      <c r="X232" s="12"/>
      <c r="Y232" s="12"/>
      <c r="Z232" s="12"/>
      <c r="AA232" s="12"/>
      <c r="AB232" s="12"/>
    </row>
    <row r="233" spans="2:28" s="7" customFormat="1" ht="15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4" t="e">
        <f t="shared" si="25"/>
        <v>#DIV/0!</v>
      </c>
      <c r="X233" s="12"/>
      <c r="Y233" s="12"/>
      <c r="Z233" s="12"/>
      <c r="AA233" s="12"/>
      <c r="AB233" s="12"/>
    </row>
    <row r="234" spans="2:28" s="7" customFormat="1" ht="15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4" t="e">
        <f t="shared" si="25"/>
        <v>#DIV/0!</v>
      </c>
      <c r="X234" s="12"/>
      <c r="Y234" s="12"/>
      <c r="Z234" s="12"/>
      <c r="AA234" s="12"/>
      <c r="AB234" s="12"/>
    </row>
    <row r="235" spans="2:28" s="7" customFormat="1" ht="15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4" t="e">
        <f t="shared" si="25"/>
        <v>#DIV/0!</v>
      </c>
      <c r="X235" s="12"/>
      <c r="Y235" s="12"/>
      <c r="Z235" s="12"/>
      <c r="AA235" s="12"/>
      <c r="AB235" s="12"/>
    </row>
    <row r="236" spans="2:28" s="7" customFormat="1" ht="15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4" t="e">
        <f t="shared" si="25"/>
        <v>#DIV/0!</v>
      </c>
      <c r="X236" s="12"/>
      <c r="Y236" s="12"/>
      <c r="Z236" s="12"/>
      <c r="AA236" s="12"/>
      <c r="AB236" s="12"/>
    </row>
    <row r="237" spans="2:28" s="7" customFormat="1" ht="15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4" t="e">
        <f t="shared" si="25"/>
        <v>#DIV/0!</v>
      </c>
      <c r="X237" s="12"/>
      <c r="Y237" s="12"/>
      <c r="Z237" s="12"/>
      <c r="AA237" s="12"/>
      <c r="AB237" s="12"/>
    </row>
    <row r="238" spans="2:28" s="7" customFormat="1" ht="15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4" t="e">
        <f t="shared" si="25"/>
        <v>#DIV/0!</v>
      </c>
      <c r="X238" s="12"/>
      <c r="Y238" s="12"/>
      <c r="Z238" s="12"/>
      <c r="AA238" s="12"/>
      <c r="AB238" s="12"/>
    </row>
    <row r="239" spans="2:28" s="7" customFormat="1" ht="15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4" t="e">
        <f t="shared" si="25"/>
        <v>#DIV/0!</v>
      </c>
      <c r="X239" s="12"/>
      <c r="Y239" s="12"/>
      <c r="Z239" s="12"/>
      <c r="AA239" s="12"/>
      <c r="AB239" s="12"/>
    </row>
    <row r="240" spans="2:28" s="7" customFormat="1" ht="15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4" t="e">
        <f t="shared" si="25"/>
        <v>#DIV/0!</v>
      </c>
      <c r="X240" s="12"/>
      <c r="Y240" s="12"/>
      <c r="Z240" s="12"/>
      <c r="AA240" s="12"/>
      <c r="AB240" s="12"/>
    </row>
    <row r="241" spans="2:28" s="7" customFormat="1" ht="15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4" t="e">
        <f t="shared" si="25"/>
        <v>#DIV/0!</v>
      </c>
      <c r="X241" s="12"/>
      <c r="Y241" s="12"/>
      <c r="Z241" s="12"/>
      <c r="AA241" s="12"/>
      <c r="AB241" s="12"/>
    </row>
    <row r="242" spans="2:28" s="7" customFormat="1" ht="15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4" t="e">
        <f t="shared" si="25"/>
        <v>#DIV/0!</v>
      </c>
      <c r="X242" s="12"/>
      <c r="Y242" s="12"/>
      <c r="Z242" s="12"/>
      <c r="AA242" s="12"/>
      <c r="AB242" s="12"/>
    </row>
    <row r="243" spans="2:28" s="7" customFormat="1" ht="15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4" t="e">
        <f t="shared" si="25"/>
        <v>#DIV/0!</v>
      </c>
      <c r="X243" s="12"/>
      <c r="Y243" s="12"/>
      <c r="Z243" s="12"/>
      <c r="AA243" s="12"/>
      <c r="AB243" s="12"/>
    </row>
    <row r="244" spans="2:28" s="7" customFormat="1" ht="15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4" t="e">
        <f t="shared" si="25"/>
        <v>#DIV/0!</v>
      </c>
      <c r="X244" s="12"/>
      <c r="Y244" s="12"/>
      <c r="Z244" s="12"/>
      <c r="AA244" s="12"/>
      <c r="AB244" s="12"/>
    </row>
    <row r="245" spans="2:28" s="7" customFormat="1" ht="15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4" t="e">
        <f t="shared" si="25"/>
        <v>#DIV/0!</v>
      </c>
      <c r="X245" s="12"/>
      <c r="Y245" s="12"/>
      <c r="Z245" s="12"/>
      <c r="AA245" s="12"/>
      <c r="AB245" s="12"/>
    </row>
    <row r="246" spans="2:28" s="7" customFormat="1" ht="15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4" t="e">
        <f t="shared" si="25"/>
        <v>#DIV/0!</v>
      </c>
      <c r="X246" s="12"/>
      <c r="Y246" s="12"/>
      <c r="Z246" s="12"/>
      <c r="AA246" s="12"/>
      <c r="AB246" s="12"/>
    </row>
    <row r="247" spans="2:28" s="7" customFormat="1" ht="15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4" t="e">
        <f t="shared" si="25"/>
        <v>#DIV/0!</v>
      </c>
      <c r="X247" s="12"/>
      <c r="Y247" s="12"/>
      <c r="Z247" s="12"/>
      <c r="AA247" s="12"/>
      <c r="AB247" s="12"/>
    </row>
    <row r="248" spans="2:28" s="7" customFormat="1" ht="15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4" t="e">
        <f t="shared" si="25"/>
        <v>#DIV/0!</v>
      </c>
      <c r="X248" s="12"/>
      <c r="Y248" s="12"/>
      <c r="Z248" s="12"/>
      <c r="AA248" s="12"/>
      <c r="AB248" s="12"/>
    </row>
    <row r="249" spans="2:28" s="7" customFormat="1" ht="15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4" t="e">
        <f t="shared" si="25"/>
        <v>#DIV/0!</v>
      </c>
      <c r="X249" s="12"/>
      <c r="Y249" s="12"/>
      <c r="Z249" s="12"/>
      <c r="AA249" s="12"/>
      <c r="AB249" s="12"/>
    </row>
    <row r="250" spans="2:28" s="7" customFormat="1" ht="15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4" t="e">
        <f t="shared" si="25"/>
        <v>#DIV/0!</v>
      </c>
      <c r="X250" s="12"/>
      <c r="Y250" s="12"/>
      <c r="Z250" s="12"/>
      <c r="AA250" s="12"/>
      <c r="AB250" s="12"/>
    </row>
    <row r="251" spans="2:28" s="7" customFormat="1" ht="15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4" t="e">
        <f t="shared" si="25"/>
        <v>#DIV/0!</v>
      </c>
      <c r="X251" s="12"/>
      <c r="Y251" s="12"/>
      <c r="Z251" s="12"/>
      <c r="AA251" s="12"/>
      <c r="AB251" s="12"/>
    </row>
    <row r="252" spans="2:28" s="7" customFormat="1" ht="15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4" t="e">
        <f t="shared" si="25"/>
        <v>#DIV/0!</v>
      </c>
      <c r="X252" s="12"/>
      <c r="Y252" s="12"/>
      <c r="Z252" s="12"/>
      <c r="AA252" s="12"/>
      <c r="AB252" s="12"/>
    </row>
    <row r="253" spans="17:28" ht="15.75">
      <c r="Q253" s="14" t="e">
        <f t="shared" si="25"/>
        <v>#DIV/0!</v>
      </c>
      <c r="R253" s="7"/>
      <c r="S253" s="7"/>
      <c r="X253" s="49"/>
      <c r="Y253" s="49"/>
      <c r="Z253" s="49"/>
      <c r="AA253" s="49"/>
      <c r="AB253" s="49"/>
    </row>
    <row r="254" spans="17:28" ht="15.75">
      <c r="Q254" s="14" t="e">
        <f t="shared" si="25"/>
        <v>#DIV/0!</v>
      </c>
      <c r="R254" s="7"/>
      <c r="S254" s="7"/>
      <c r="X254" s="49"/>
      <c r="Y254" s="49"/>
      <c r="Z254" s="49"/>
      <c r="AA254" s="49"/>
      <c r="AB254" s="49"/>
    </row>
    <row r="255" spans="17:28" ht="15.75">
      <c r="Q255" s="14" t="e">
        <f t="shared" si="25"/>
        <v>#DIV/0!</v>
      </c>
      <c r="R255" s="7"/>
      <c r="S255" s="7"/>
      <c r="X255" s="49"/>
      <c r="Y255" s="49"/>
      <c r="Z255" s="49"/>
      <c r="AA255" s="49"/>
      <c r="AB255" s="49"/>
    </row>
    <row r="256" spans="17:28" ht="15.75">
      <c r="Q256" s="14" t="e">
        <f t="shared" si="25"/>
        <v>#DIV/0!</v>
      </c>
      <c r="R256" s="7"/>
      <c r="S256" s="7"/>
      <c r="X256" s="49"/>
      <c r="Y256" s="49"/>
      <c r="Z256" s="49"/>
      <c r="AA256" s="49"/>
      <c r="AB256" s="49"/>
    </row>
    <row r="257" spans="17:28" ht="15.75">
      <c r="Q257" s="14"/>
      <c r="R257" s="7"/>
      <c r="S257" s="7"/>
      <c r="X257" s="49"/>
      <c r="Y257" s="49"/>
      <c r="Z257" s="49"/>
      <c r="AA257" s="49"/>
      <c r="AB257" s="49"/>
    </row>
    <row r="258" spans="17:28" ht="15.75">
      <c r="Q258" s="14"/>
      <c r="R258" s="7"/>
      <c r="S258" s="7"/>
      <c r="X258" s="49"/>
      <c r="Y258" s="49"/>
      <c r="Z258" s="49"/>
      <c r="AA258" s="49"/>
      <c r="AB258" s="49"/>
    </row>
    <row r="259" spans="24:28" ht="15.75">
      <c r="X259" s="49"/>
      <c r="Y259" s="49"/>
      <c r="Z259" s="49"/>
      <c r="AA259" s="49"/>
      <c r="AB259" s="49"/>
    </row>
    <row r="260" spans="24:28" ht="15.75">
      <c r="X260" s="49"/>
      <c r="Y260" s="49"/>
      <c r="Z260" s="49"/>
      <c r="AA260" s="49"/>
      <c r="AB260" s="49"/>
    </row>
    <row r="261" spans="24:28" ht="15.75">
      <c r="X261" s="49"/>
      <c r="Y261" s="49"/>
      <c r="Z261" s="49"/>
      <c r="AA261" s="49"/>
      <c r="AB261" s="49"/>
    </row>
    <row r="262" spans="24:28" ht="15.75">
      <c r="X262" s="49"/>
      <c r="Y262" s="49"/>
      <c r="Z262" s="49"/>
      <c r="AA262" s="49"/>
      <c r="AB262" s="49"/>
    </row>
    <row r="263" spans="24:28" ht="15.75">
      <c r="X263" s="49"/>
      <c r="Y263" s="49"/>
      <c r="Z263" s="49"/>
      <c r="AA263" s="49"/>
      <c r="AB263" s="49"/>
    </row>
    <row r="264" spans="24:28" ht="15.75">
      <c r="X264" s="49"/>
      <c r="Y264" s="49"/>
      <c r="Z264" s="49"/>
      <c r="AA264" s="49"/>
      <c r="AB264" s="49"/>
    </row>
    <row r="265" spans="24:28" ht="15.75">
      <c r="X265" s="49"/>
      <c r="Y265" s="49"/>
      <c r="Z265" s="49"/>
      <c r="AA265" s="49"/>
      <c r="AB265" s="49"/>
    </row>
    <row r="266" spans="24:28" ht="15.75">
      <c r="X266" s="49"/>
      <c r="Y266" s="49"/>
      <c r="Z266" s="49"/>
      <c r="AA266" s="49"/>
      <c r="AB266" s="49"/>
    </row>
    <row r="267" spans="24:28" ht="15.75">
      <c r="X267" s="49"/>
      <c r="Y267" s="49"/>
      <c r="Z267" s="49"/>
      <c r="AA267" s="49"/>
      <c r="AB267" s="49"/>
    </row>
    <row r="268" spans="24:28" ht="15.75">
      <c r="X268" s="49"/>
      <c r="Y268" s="49"/>
      <c r="Z268" s="49"/>
      <c r="AA268" s="49"/>
      <c r="AB268" s="49"/>
    </row>
  </sheetData>
  <sheetProtection/>
  <mergeCells count="1">
    <mergeCell ref="X2:Z2"/>
  </mergeCells>
  <printOptions/>
  <pageMargins left="0.75" right="0.75" top="1.5" bottom="1" header="0.75" footer="0.5"/>
  <pageSetup fitToHeight="0" fitToWidth="1" horizontalDpi="600" verticalDpi="600" orientation="landscape" scale="59" r:id="rId3"/>
  <headerFooter alignWithMargins="0">
    <oddHeader>&amp;L&amp;"Times New Roman,Regular"PacifiCorp&amp;C&amp;"Times New Roman,Regular"Investor-supplied Working Capital&amp;R&amp;"Times New Roman,Regular"Docket No. UE-100749
Exhibit No. TES-2
October 5, 2010</oddHeader>
    <oddFooter>&amp;L&amp;"-,Regular"&amp;8&amp;F (&amp;A)&amp;R&amp;"Times New Roman,Bold"&amp;P of &amp;N</oddFooter>
  </headerFooter>
  <ignoredErrors>
    <ignoredError sqref="Z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PageLayoutView="0" workbookViewId="0" topLeftCell="A1">
      <selection activeCell="X76" sqref="X76"/>
    </sheetView>
  </sheetViews>
  <sheetFormatPr defaultColWidth="9.140625" defaultRowHeight="12.75"/>
  <cols>
    <col min="1" max="1" width="9.140625" style="50" customWidth="1"/>
    <col min="2" max="2" width="19.28125" style="50" bestFit="1" customWidth="1"/>
    <col min="3" max="3" width="9.140625" style="50" customWidth="1"/>
    <col min="4" max="4" width="14.8515625" style="50" bestFit="1" customWidth="1"/>
    <col min="5" max="5" width="17.421875" style="50" bestFit="1" customWidth="1"/>
    <col min="6" max="6" width="16.421875" style="50" bestFit="1" customWidth="1"/>
    <col min="7" max="7" width="17.421875" style="50" bestFit="1" customWidth="1"/>
    <col min="8" max="8" width="13.8515625" style="50" bestFit="1" customWidth="1"/>
    <col min="9" max="9" width="14.421875" style="50" bestFit="1" customWidth="1"/>
    <col min="10" max="16384" width="9.140625" style="50" customWidth="1"/>
  </cols>
  <sheetData>
    <row r="1" spans="1:5" ht="12.75">
      <c r="A1" s="50" t="s">
        <v>159</v>
      </c>
      <c r="E1" s="51"/>
    </row>
    <row r="2" ht="12.75">
      <c r="E2" s="51"/>
    </row>
    <row r="3" spans="1:8" ht="12.75">
      <c r="A3" s="50" t="s">
        <v>160</v>
      </c>
      <c r="E3" s="51" t="s">
        <v>206</v>
      </c>
      <c r="F3" s="50" t="s">
        <v>167</v>
      </c>
      <c r="G3" s="50" t="s">
        <v>168</v>
      </c>
      <c r="H3" s="50" t="s">
        <v>156</v>
      </c>
    </row>
    <row r="4" ht="12.75">
      <c r="E4" s="51"/>
    </row>
    <row r="5" spans="1:8" ht="12.75">
      <c r="A5" s="50" t="s">
        <v>165</v>
      </c>
      <c r="B5" s="52" t="s">
        <v>2</v>
      </c>
      <c r="E5" s="51">
        <f>+FORM1!P5</f>
        <v>19197832854.83209</v>
      </c>
      <c r="H5" s="53">
        <f>+E5-G11-F11</f>
        <v>145525662.83208847</v>
      </c>
    </row>
    <row r="6" spans="3:5" ht="12.75">
      <c r="C6" s="50" t="s">
        <v>170</v>
      </c>
      <c r="D6" s="50" t="s">
        <v>169</v>
      </c>
      <c r="E6" s="51"/>
    </row>
    <row r="7" spans="1:7" ht="12.75">
      <c r="A7" s="50">
        <v>101</v>
      </c>
      <c r="B7" s="50" t="s">
        <v>161</v>
      </c>
      <c r="C7" s="50" t="s">
        <v>171</v>
      </c>
      <c r="D7" s="50" t="s">
        <v>162</v>
      </c>
      <c r="E7" s="51">
        <v>18880589015</v>
      </c>
      <c r="F7" s="51">
        <v>1398743841</v>
      </c>
      <c r="G7" s="51">
        <f>+E7-F7</f>
        <v>17481845174</v>
      </c>
    </row>
    <row r="8" spans="4:7" ht="12.75">
      <c r="D8" s="54"/>
      <c r="E8" s="51"/>
      <c r="F8" s="51"/>
      <c r="G8" s="51"/>
    </row>
    <row r="9" spans="1:7" ht="12.75">
      <c r="A9" s="50">
        <v>105</v>
      </c>
      <c r="B9" s="50" t="s">
        <v>164</v>
      </c>
      <c r="D9" s="50" t="s">
        <v>163</v>
      </c>
      <c r="E9" s="51">
        <v>14524397</v>
      </c>
      <c r="F9" s="51">
        <v>37310</v>
      </c>
      <c r="G9" s="51">
        <v>14487087</v>
      </c>
    </row>
    <row r="10" spans="1:7" ht="12.75">
      <c r="A10" s="50">
        <v>114</v>
      </c>
      <c r="B10" s="50" t="s">
        <v>166</v>
      </c>
      <c r="D10" s="50" t="s">
        <v>163</v>
      </c>
      <c r="E10" s="51">
        <v>157193780</v>
      </c>
      <c r="F10" s="51">
        <v>0</v>
      </c>
      <c r="G10" s="51">
        <v>157193780</v>
      </c>
    </row>
    <row r="11" spans="5:7" ht="12.75">
      <c r="E11" s="55">
        <f>SUBTOTAL(9,E7:E10)</f>
        <v>19052307192</v>
      </c>
      <c r="F11" s="55">
        <f>SUBTOTAL(9,F7:F10)</f>
        <v>1398781151</v>
      </c>
      <c r="G11" s="55">
        <f>SUBTOTAL(9,G7:G10)</f>
        <v>17653526041</v>
      </c>
    </row>
    <row r="12" spans="5:7" ht="12.75">
      <c r="E12" s="51"/>
      <c r="F12" s="51"/>
      <c r="G12" s="51"/>
    </row>
    <row r="13" spans="1:7" ht="12.75">
      <c r="A13" s="50">
        <v>108</v>
      </c>
      <c r="B13" s="50" t="s">
        <v>175</v>
      </c>
      <c r="D13" s="50" t="s">
        <v>174</v>
      </c>
      <c r="E13" s="51">
        <v>-6490343793</v>
      </c>
      <c r="F13" s="51">
        <v>-503192584</v>
      </c>
      <c r="G13" s="51">
        <v>-5987151210</v>
      </c>
    </row>
    <row r="14" spans="1:7" ht="12.75">
      <c r="A14" s="50">
        <v>111</v>
      </c>
      <c r="B14" s="50" t="s">
        <v>172</v>
      </c>
      <c r="D14" s="50" t="s">
        <v>176</v>
      </c>
      <c r="E14" s="51">
        <v>-419705336</v>
      </c>
      <c r="F14" s="51">
        <v>-34606345</v>
      </c>
      <c r="G14" s="51">
        <v>-385098991</v>
      </c>
    </row>
    <row r="15" spans="5:7" ht="12.75">
      <c r="E15" s="55">
        <f>SUBTOTAL(9,E13:E14)</f>
        <v>-6910049129</v>
      </c>
      <c r="F15" s="55">
        <f>SUBTOTAL(9,F13:F14)</f>
        <v>-537798929</v>
      </c>
      <c r="G15" s="55">
        <f>SUBTOTAL(9,G13:G14)</f>
        <v>-6372250201</v>
      </c>
    </row>
    <row r="16" spans="5:8" ht="12.75">
      <c r="E16" s="55">
        <f>SUBTOTAL(9,E7:E15)</f>
        <v>12142258063</v>
      </c>
      <c r="F16" s="55">
        <f>SUBTOTAL(9,F7:F15)</f>
        <v>860982222</v>
      </c>
      <c r="G16" s="55">
        <f>SUBTOTAL(9,G7:G15)</f>
        <v>11281275840</v>
      </c>
      <c r="H16" s="51">
        <f>SUM(H8:H15)</f>
        <v>0</v>
      </c>
    </row>
    <row r="17" spans="5:7" ht="12.75">
      <c r="E17" s="51">
        <f>+E16-E5</f>
        <v>-7055574791.832088</v>
      </c>
      <c r="F17" s="51"/>
      <c r="G17" s="51"/>
    </row>
    <row r="18" spans="5:7" ht="12.75">
      <c r="E18" s="51"/>
      <c r="F18" s="51"/>
      <c r="G18" s="51"/>
    </row>
    <row r="19" spans="1:8" ht="12.75">
      <c r="A19" s="50">
        <v>107</v>
      </c>
      <c r="B19" s="52" t="s">
        <v>3</v>
      </c>
      <c r="E19" s="51">
        <f>+FORM1!P6</f>
        <v>1454106099.7820833</v>
      </c>
      <c r="F19" s="51"/>
      <c r="G19" s="51"/>
      <c r="H19" s="53">
        <f>+E19</f>
        <v>1454106099.7820833</v>
      </c>
    </row>
    <row r="20" spans="5:7" ht="12.75">
      <c r="E20" s="51"/>
      <c r="F20" s="51"/>
      <c r="G20" s="51"/>
    </row>
    <row r="21" spans="5:7" ht="12.75">
      <c r="E21" s="51"/>
      <c r="F21" s="51"/>
      <c r="G21" s="51"/>
    </row>
    <row r="22" spans="2:8" ht="12.75">
      <c r="B22" s="50" t="s">
        <v>177</v>
      </c>
      <c r="E22" s="51">
        <v>-7036989475.322918</v>
      </c>
      <c r="F22" s="51"/>
      <c r="G22" s="51"/>
      <c r="H22" s="53">
        <f>+E22-F26-G26</f>
        <v>-33353149.32291794</v>
      </c>
    </row>
    <row r="23" spans="1:7" ht="12.75">
      <c r="A23" s="50">
        <v>108</v>
      </c>
      <c r="B23" s="50" t="s">
        <v>175</v>
      </c>
      <c r="D23" s="50" t="s">
        <v>174</v>
      </c>
      <c r="E23" s="51">
        <v>-6490343793</v>
      </c>
      <c r="F23" s="51">
        <v>-503192584</v>
      </c>
      <c r="G23" s="51">
        <v>-5987151210</v>
      </c>
    </row>
    <row r="24" spans="1:7" ht="12.75">
      <c r="A24" s="50">
        <v>111</v>
      </c>
      <c r="B24" s="50" t="s">
        <v>172</v>
      </c>
      <c r="D24" s="50" t="s">
        <v>176</v>
      </c>
      <c r="E24" s="51">
        <v>-419705336</v>
      </c>
      <c r="F24" s="51">
        <v>-34606345</v>
      </c>
      <c r="G24" s="51">
        <v>-385098991</v>
      </c>
    </row>
    <row r="25" spans="1:7" ht="12.75">
      <c r="A25" s="50">
        <v>115</v>
      </c>
      <c r="B25" s="50" t="s">
        <v>179</v>
      </c>
      <c r="D25" s="50" t="s">
        <v>178</v>
      </c>
      <c r="E25" s="51">
        <v>-93587196</v>
      </c>
      <c r="F25" s="51">
        <v>0</v>
      </c>
      <c r="G25" s="51">
        <v>-93587196</v>
      </c>
    </row>
    <row r="26" spans="5:7" ht="12.75">
      <c r="E26" s="51">
        <f>SUBTOTAL(9,E23:E25)</f>
        <v>-7003636325</v>
      </c>
      <c r="F26" s="51">
        <f>SUBTOTAL(9,F23:F25)</f>
        <v>-537798929</v>
      </c>
      <c r="G26" s="51">
        <f>SUBTOTAL(9,G23:G25)</f>
        <v>-6465837397</v>
      </c>
    </row>
    <row r="27" spans="5:7" ht="12.75">
      <c r="E27" s="51"/>
      <c r="F27" s="51"/>
      <c r="G27" s="51"/>
    </row>
    <row r="28" spans="2:7" ht="12.75">
      <c r="B28" s="50" t="s">
        <v>180</v>
      </c>
      <c r="E28" s="51"/>
      <c r="F28" s="51"/>
      <c r="G28" s="51"/>
    </row>
    <row r="29" spans="1:7" ht="12.75">
      <c r="A29" s="50">
        <v>124</v>
      </c>
      <c r="B29" s="50" t="s">
        <v>181</v>
      </c>
      <c r="D29" s="50" t="s">
        <v>163</v>
      </c>
      <c r="E29" s="51">
        <v>2933565</v>
      </c>
      <c r="F29" s="51">
        <v>2046741</v>
      </c>
      <c r="G29" s="51">
        <v>886825</v>
      </c>
    </row>
    <row r="30" spans="5:7" ht="12.75">
      <c r="E30" s="51"/>
      <c r="F30" s="51"/>
      <c r="G30" s="51"/>
    </row>
    <row r="31" spans="5:7" ht="12.75">
      <c r="E31" s="51"/>
      <c r="F31" s="51"/>
      <c r="G31" s="51"/>
    </row>
    <row r="32" spans="5:7" ht="12.75">
      <c r="E32" s="51"/>
      <c r="F32" s="51"/>
      <c r="G32" s="51"/>
    </row>
    <row r="33" spans="5:7" ht="12.75">
      <c r="E33" s="51"/>
      <c r="F33" s="51"/>
      <c r="G33" s="51"/>
    </row>
    <row r="34" spans="5:7" ht="12.75">
      <c r="E34" s="51"/>
      <c r="F34" s="51"/>
      <c r="G34" s="51"/>
    </row>
    <row r="35" spans="1:7" ht="12.75">
      <c r="A35" s="50">
        <v>182</v>
      </c>
      <c r="B35" s="50" t="s">
        <v>181</v>
      </c>
      <c r="D35" s="50" t="s">
        <v>163</v>
      </c>
      <c r="E35" s="51">
        <v>27854192</v>
      </c>
      <c r="F35" s="51">
        <v>0</v>
      </c>
      <c r="G35" s="51">
        <v>27854192</v>
      </c>
    </row>
    <row r="36" spans="1:7" ht="12.75">
      <c r="A36" s="50">
        <v>182</v>
      </c>
      <c r="B36" s="50" t="s">
        <v>182</v>
      </c>
      <c r="D36" s="50" t="s">
        <v>183</v>
      </c>
      <c r="E36" s="51">
        <v>77049992</v>
      </c>
      <c r="F36" s="51">
        <v>3676094</v>
      </c>
      <c r="G36" s="51">
        <v>73373898</v>
      </c>
    </row>
    <row r="37" spans="1:9" ht="12.75">
      <c r="A37" s="50">
        <v>182.3</v>
      </c>
      <c r="B37" s="50" t="s">
        <v>191</v>
      </c>
      <c r="C37" s="50" t="s">
        <v>192</v>
      </c>
      <c r="E37" s="51">
        <v>100923000</v>
      </c>
      <c r="F37" s="51">
        <v>1960000</v>
      </c>
      <c r="G37" s="51">
        <v>18534000</v>
      </c>
      <c r="H37" s="51">
        <v>80429000</v>
      </c>
      <c r="I37" s="53"/>
    </row>
    <row r="38" spans="5:9" ht="12.75">
      <c r="E38" s="51">
        <f>+E37+E36+E35</f>
        <v>205827184</v>
      </c>
      <c r="F38" s="51">
        <f>+F37+F36+F35</f>
        <v>5636094</v>
      </c>
      <c r="G38" s="51">
        <f>+G37+G36+G35</f>
        <v>119762090</v>
      </c>
      <c r="H38" s="51">
        <f>+H37+H36+H35</f>
        <v>80429000</v>
      </c>
      <c r="I38" s="53"/>
    </row>
    <row r="39" spans="2:7" ht="12.75">
      <c r="B39" s="50" t="s">
        <v>260</v>
      </c>
      <c r="E39" s="51"/>
      <c r="F39" s="51"/>
      <c r="G39" s="51"/>
    </row>
    <row r="40" spans="1:8" ht="12.75">
      <c r="A40" s="50">
        <v>182.22</v>
      </c>
      <c r="B40" s="50" t="s">
        <v>185</v>
      </c>
      <c r="D40" s="50" t="s">
        <v>186</v>
      </c>
      <c r="E40" s="51">
        <v>2644176</v>
      </c>
      <c r="F40" s="51">
        <v>268577</v>
      </c>
      <c r="G40" s="51">
        <v>2375599</v>
      </c>
      <c r="H40" s="53">
        <f>+G40+F40</f>
        <v>2644176</v>
      </c>
    </row>
    <row r="41" spans="1:8" ht="12.75">
      <c r="A41" s="50">
        <v>182.26</v>
      </c>
      <c r="B41" s="50" t="s">
        <v>187</v>
      </c>
      <c r="C41" s="50" t="s">
        <v>188</v>
      </c>
      <c r="E41" s="51">
        <v>-10608000</v>
      </c>
      <c r="F41" s="51">
        <v>0</v>
      </c>
      <c r="G41" s="51">
        <f>-6775000-933000-2845000-56000</f>
        <v>-10609000</v>
      </c>
      <c r="H41" s="53">
        <f>+G41+F41</f>
        <v>-10609000</v>
      </c>
    </row>
    <row r="42" spans="2:8" ht="12.75">
      <c r="B42" s="50" t="s">
        <v>190</v>
      </c>
      <c r="E42" s="51">
        <v>10608000</v>
      </c>
      <c r="F42" s="51">
        <v>837000</v>
      </c>
      <c r="G42" s="51">
        <f>175000+2746000+4374000+602000+1837000+36000</f>
        <v>9770000</v>
      </c>
      <c r="H42" s="53">
        <f>+G42+F42</f>
        <v>10607000</v>
      </c>
    </row>
    <row r="43" spans="1:8" ht="12.75">
      <c r="A43" s="50">
        <v>182.27</v>
      </c>
      <c r="B43" s="50" t="s">
        <v>189</v>
      </c>
      <c r="C43" s="50" t="s">
        <v>188</v>
      </c>
      <c r="E43" s="51">
        <v>3982000</v>
      </c>
      <c r="F43" s="51">
        <v>879000</v>
      </c>
      <c r="G43" s="51">
        <f>182000+2921000</f>
        <v>3103000</v>
      </c>
      <c r="H43" s="53">
        <f>+G43+F43</f>
        <v>3982000</v>
      </c>
    </row>
    <row r="44" spans="5:8" ht="12.75">
      <c r="E44" s="55">
        <f>SUM(E40:E43)</f>
        <v>6626176</v>
      </c>
      <c r="F44" s="55">
        <f>SUM(F40:F43)</f>
        <v>1984577</v>
      </c>
      <c r="G44" s="55">
        <f>SUM(G40:G43)</f>
        <v>4639599</v>
      </c>
      <c r="H44" s="55">
        <f>SUM(H40:H43)</f>
        <v>6624176</v>
      </c>
    </row>
    <row r="45" spans="5:8" ht="12.75">
      <c r="E45" s="51"/>
      <c r="F45" s="56"/>
      <c r="G45" s="51"/>
      <c r="H45" s="53"/>
    </row>
    <row r="46" spans="5:8" ht="12.75">
      <c r="E46" s="51">
        <f>+FORM1!V82</f>
        <v>68946760.92583333</v>
      </c>
      <c r="F46" s="51"/>
      <c r="G46" s="51"/>
      <c r="H46" s="53">
        <f>+E46-F47-G47</f>
        <v>2038930.9258333296</v>
      </c>
    </row>
    <row r="47" spans="1:7" ht="12.75">
      <c r="A47" s="50">
        <v>186</v>
      </c>
      <c r="B47" s="50" t="s">
        <v>184</v>
      </c>
      <c r="D47" s="50" t="s">
        <v>183</v>
      </c>
      <c r="E47" s="51">
        <v>66907830</v>
      </c>
      <c r="F47" s="51">
        <v>2995635</v>
      </c>
      <c r="G47" s="51">
        <v>63912195</v>
      </c>
    </row>
    <row r="48" spans="6:7" ht="12.75">
      <c r="F48" s="51"/>
      <c r="G48" s="51"/>
    </row>
    <row r="49" spans="1:8" ht="12.75">
      <c r="A49" s="50">
        <v>190</v>
      </c>
      <c r="B49" s="50" t="s">
        <v>203</v>
      </c>
      <c r="C49" s="50" t="s">
        <v>201</v>
      </c>
      <c r="D49" s="51">
        <f>+FORM1!V86</f>
        <v>626290144.9983335</v>
      </c>
      <c r="E49" s="51"/>
      <c r="F49" s="51"/>
      <c r="G49" s="51"/>
      <c r="H49" s="51">
        <f>+D49-E50</f>
        <v>522652042.99833345</v>
      </c>
    </row>
    <row r="50" spans="4:8" ht="12.75">
      <c r="D50" s="51" t="s">
        <v>205</v>
      </c>
      <c r="E50" s="51">
        <v>103638102</v>
      </c>
      <c r="F50" s="51">
        <v>5165174</v>
      </c>
      <c r="G50" s="51">
        <f>+E50-F50-H50</f>
        <v>96513928</v>
      </c>
      <c r="H50" s="51">
        <v>1959000</v>
      </c>
    </row>
    <row r="51" spans="4:8" ht="12.75">
      <c r="D51" s="51"/>
      <c r="E51" s="51"/>
      <c r="F51" s="51"/>
      <c r="G51" s="51"/>
      <c r="H51" s="51"/>
    </row>
    <row r="52" spans="1:8" ht="12.75">
      <c r="A52" s="50">
        <v>228.2</v>
      </c>
      <c r="B52" s="50" t="s">
        <v>220</v>
      </c>
      <c r="C52" s="50" t="s">
        <v>201</v>
      </c>
      <c r="D52" s="51">
        <f>-FORM1!P125</f>
        <v>-8577864.315833334</v>
      </c>
      <c r="F52" s="51"/>
      <c r="G52" s="51"/>
      <c r="H52" s="51">
        <f>+D52-E53</f>
        <v>-0.31583333387970924</v>
      </c>
    </row>
    <row r="53" spans="4:8" ht="12.75">
      <c r="D53" s="51" t="s">
        <v>186</v>
      </c>
      <c r="E53" s="51">
        <v>-8577864</v>
      </c>
      <c r="F53" s="51">
        <v>-635480</v>
      </c>
      <c r="G53" s="51">
        <v>-7942384</v>
      </c>
      <c r="H53" s="51"/>
    </row>
    <row r="54" spans="4:8" ht="12.75">
      <c r="D54" s="51"/>
      <c r="E54" s="51"/>
      <c r="F54" s="51"/>
      <c r="G54" s="51"/>
      <c r="H54" s="51"/>
    </row>
    <row r="55" spans="1:8" ht="12.75">
      <c r="A55" s="50">
        <v>228.3</v>
      </c>
      <c r="B55" s="50" t="s">
        <v>208</v>
      </c>
      <c r="C55" s="50" t="s">
        <v>201</v>
      </c>
      <c r="D55" s="51">
        <f>+FORM1!V126</f>
        <v>-574987729.2791666</v>
      </c>
      <c r="E55" s="51"/>
      <c r="F55" s="51"/>
      <c r="G55" s="51"/>
      <c r="H55" s="51">
        <f>+D55-E56</f>
        <v>-553382018.2791666</v>
      </c>
    </row>
    <row r="56" spans="4:8" ht="12.75">
      <c r="D56" s="51" t="s">
        <v>207</v>
      </c>
      <c r="E56" s="51">
        <v>-21605711</v>
      </c>
      <c r="F56" s="51">
        <f>-1519000-81000</f>
        <v>-1600000</v>
      </c>
      <c r="G56" s="51">
        <f>+E56-F56</f>
        <v>-20005711</v>
      </c>
      <c r="H56" s="51"/>
    </row>
    <row r="57" spans="4:8" ht="12.75">
      <c r="D57" s="51"/>
      <c r="E57" s="51"/>
      <c r="F57" s="51"/>
      <c r="G57" s="51"/>
      <c r="H57" s="51"/>
    </row>
    <row r="58" spans="1:8" ht="12.75">
      <c r="A58" s="50">
        <v>228.4</v>
      </c>
      <c r="B58" s="50" t="s">
        <v>209</v>
      </c>
      <c r="C58" s="50" t="s">
        <v>201</v>
      </c>
      <c r="D58" s="51">
        <f>+FORM1!V127</f>
        <v>-41945820.10375</v>
      </c>
      <c r="E58" s="51"/>
      <c r="F58" s="51"/>
      <c r="G58" s="51"/>
      <c r="H58" s="51">
        <f>+D58-F59-G59</f>
        <v>-40445820.10375</v>
      </c>
    </row>
    <row r="59" spans="4:8" ht="12.75">
      <c r="D59" s="51" t="s">
        <v>210</v>
      </c>
      <c r="E59" s="51">
        <v>-1500000</v>
      </c>
      <c r="F59" s="51">
        <v>-331000</v>
      </c>
      <c r="G59" s="51">
        <f>+E59-F59</f>
        <v>-1169000</v>
      </c>
      <c r="H59" s="51"/>
    </row>
    <row r="60" spans="4:8" ht="12.75">
      <c r="D60" s="51"/>
      <c r="E60" s="51"/>
      <c r="F60" s="51"/>
      <c r="G60" s="51"/>
      <c r="H60" s="51"/>
    </row>
    <row r="61" spans="1:9" ht="12.75">
      <c r="A61" s="50">
        <v>230</v>
      </c>
      <c r="B61" s="50" t="s">
        <v>200</v>
      </c>
      <c r="C61" s="50" t="s">
        <v>201</v>
      </c>
      <c r="D61" s="51">
        <f>+FORM1!V131</f>
        <v>-90344949.98750001</v>
      </c>
      <c r="E61" s="51"/>
      <c r="F61" s="51"/>
      <c r="G61" s="51"/>
      <c r="H61" s="51">
        <f>+D61-F64-G64</f>
        <v>-85914949.98750001</v>
      </c>
      <c r="I61" s="51"/>
    </row>
    <row r="62" spans="2:9" ht="12.75">
      <c r="B62" s="50" t="s">
        <v>202</v>
      </c>
      <c r="D62" s="51"/>
      <c r="E62" s="51">
        <v>-2416000</v>
      </c>
      <c r="F62" s="51">
        <v>1000</v>
      </c>
      <c r="G62" s="51">
        <f>+E62-F62</f>
        <v>-2417000</v>
      </c>
      <c r="H62" s="51"/>
      <c r="I62" s="51"/>
    </row>
    <row r="63" spans="2:9" ht="12.75">
      <c r="B63" s="50" t="s">
        <v>196</v>
      </c>
      <c r="D63" s="51"/>
      <c r="E63" s="51">
        <v>-2014000</v>
      </c>
      <c r="F63" s="51">
        <v>-445000</v>
      </c>
      <c r="G63" s="51">
        <f>+E63-F63</f>
        <v>-1569000</v>
      </c>
      <c r="H63" s="51"/>
      <c r="I63" s="51"/>
    </row>
    <row r="64" spans="4:9" ht="12.75">
      <c r="D64" s="51"/>
      <c r="E64" s="51">
        <f>SUM(E62:E63)</f>
        <v>-4430000</v>
      </c>
      <c r="F64" s="51">
        <f>SUM(F62:F63)</f>
        <v>-444000</v>
      </c>
      <c r="G64" s="51">
        <f>SUM(G62:G63)</f>
        <v>-3986000</v>
      </c>
      <c r="H64" s="51"/>
      <c r="I64" s="51"/>
    </row>
    <row r="65" spans="4:9" ht="12.75">
      <c r="D65" s="51"/>
      <c r="E65" s="51"/>
      <c r="F65" s="51"/>
      <c r="G65" s="51"/>
      <c r="H65" s="51"/>
      <c r="I65" s="51"/>
    </row>
    <row r="66" spans="1:9" ht="12.75">
      <c r="A66" s="50">
        <v>253</v>
      </c>
      <c r="B66" s="50" t="s">
        <v>193</v>
      </c>
      <c r="C66" s="50" t="s">
        <v>201</v>
      </c>
      <c r="D66" s="51">
        <f>+FORM1!V158</f>
        <v>-41736202.72375</v>
      </c>
      <c r="E66" s="51"/>
      <c r="F66" s="51"/>
      <c r="G66" s="51"/>
      <c r="H66" s="51">
        <f>+D66-E71</f>
        <v>-16743202.723750003</v>
      </c>
      <c r="I66" s="51"/>
    </row>
    <row r="67" spans="3:9" ht="12.75">
      <c r="C67" s="50" t="s">
        <v>194</v>
      </c>
      <c r="D67" s="51"/>
      <c r="E67" s="51">
        <v>-3387000</v>
      </c>
      <c r="F67" s="51">
        <v>-13000</v>
      </c>
      <c r="G67" s="51">
        <f>+E67-F67</f>
        <v>-3374000</v>
      </c>
      <c r="H67" s="51"/>
      <c r="I67" s="51"/>
    </row>
    <row r="68" spans="3:9" ht="12.75">
      <c r="C68" s="50" t="s">
        <v>195</v>
      </c>
      <c r="D68" s="51"/>
      <c r="E68" s="51">
        <v>-6046000</v>
      </c>
      <c r="F68" s="51">
        <v>-87000</v>
      </c>
      <c r="G68" s="51">
        <f>+E68-F68</f>
        <v>-5959000</v>
      </c>
      <c r="H68" s="51"/>
      <c r="I68" s="51"/>
    </row>
    <row r="69" spans="3:9" ht="12.75">
      <c r="C69" s="50" t="s">
        <v>196</v>
      </c>
      <c r="D69" s="51"/>
      <c r="E69" s="51">
        <v>-3611000</v>
      </c>
      <c r="F69" s="51">
        <v>-356000</v>
      </c>
      <c r="G69" s="51">
        <f>+E69-F69-H69</f>
        <v>-2670000</v>
      </c>
      <c r="H69" s="51">
        <v>-585000</v>
      </c>
      <c r="I69" s="51"/>
    </row>
    <row r="70" spans="3:9" ht="12.75">
      <c r="C70" s="50" t="s">
        <v>196</v>
      </c>
      <c r="D70" s="51"/>
      <c r="E70" s="51">
        <v>-11949000</v>
      </c>
      <c r="F70" s="51">
        <v>-955000</v>
      </c>
      <c r="G70" s="51">
        <f>+E70-F70</f>
        <v>-10994000</v>
      </c>
      <c r="H70" s="51"/>
      <c r="I70" s="51"/>
    </row>
    <row r="71" spans="3:9" ht="12.75">
      <c r="C71" s="50" t="s">
        <v>197</v>
      </c>
      <c r="D71" s="51"/>
      <c r="E71" s="55">
        <f>SUM(E67:E70)</f>
        <v>-24993000</v>
      </c>
      <c r="F71" s="55">
        <f>SUM(F67:F70)</f>
        <v>-1411000</v>
      </c>
      <c r="G71" s="55">
        <f>SUM(G67:G70)</f>
        <v>-22997000</v>
      </c>
      <c r="H71" s="55">
        <f>SUM(H67:H70)</f>
        <v>-585000</v>
      </c>
      <c r="I71" s="51"/>
    </row>
    <row r="72" spans="4:9" ht="12.75">
      <c r="D72" s="51"/>
      <c r="E72" s="51"/>
      <c r="F72" s="51"/>
      <c r="G72" s="51"/>
      <c r="H72" s="51"/>
      <c r="I72" s="51"/>
    </row>
    <row r="73" spans="1:9" ht="12.75">
      <c r="A73" s="50">
        <v>254</v>
      </c>
      <c r="B73" s="50" t="s">
        <v>198</v>
      </c>
      <c r="C73" s="50" t="s">
        <v>201</v>
      </c>
      <c r="D73" s="51">
        <f>+FORM1!V159</f>
        <v>-74085795.50041665</v>
      </c>
      <c r="E73" s="51"/>
      <c r="F73" s="51"/>
      <c r="G73" s="51"/>
      <c r="H73" s="51">
        <f>+D73-E77</f>
        <v>-63957795.50041665</v>
      </c>
      <c r="I73" s="51"/>
    </row>
    <row r="74" spans="3:9" ht="12.75">
      <c r="C74" s="50" t="s">
        <v>195</v>
      </c>
      <c r="D74" s="51"/>
      <c r="E74" s="51">
        <v>-717000</v>
      </c>
      <c r="F74" s="51">
        <v>0</v>
      </c>
      <c r="G74" s="51">
        <f>+E74-F74</f>
        <v>-717000</v>
      </c>
      <c r="H74" s="51"/>
      <c r="I74" s="51"/>
    </row>
    <row r="75" spans="3:9" ht="12.75">
      <c r="C75" s="50" t="s">
        <v>199</v>
      </c>
      <c r="D75" s="51"/>
      <c r="E75" s="51">
        <v>-6066000</v>
      </c>
      <c r="F75" s="51">
        <v>197000</v>
      </c>
      <c r="G75" s="51">
        <f>+E75-F75-H75</f>
        <v>-3140000</v>
      </c>
      <c r="H75" s="51">
        <v>-3123000</v>
      </c>
      <c r="I75" s="51"/>
    </row>
    <row r="76" spans="3:9" ht="12.75">
      <c r="C76" s="50" t="s">
        <v>199</v>
      </c>
      <c r="D76" s="51"/>
      <c r="E76" s="51">
        <v>-3345000</v>
      </c>
      <c r="F76" s="51">
        <v>-740000</v>
      </c>
      <c r="G76" s="51">
        <f>+E76-F76-H76</f>
        <v>-2605000</v>
      </c>
      <c r="H76" s="51"/>
      <c r="I76" s="51"/>
    </row>
    <row r="77" spans="4:9" ht="12.75">
      <c r="D77" s="51"/>
      <c r="E77" s="55">
        <f>SUM(E74:E76)</f>
        <v>-10128000</v>
      </c>
      <c r="F77" s="55">
        <f>SUM(F74:F76)</f>
        <v>-543000</v>
      </c>
      <c r="G77" s="55">
        <f>SUM(G74:G76)</f>
        <v>-6462000</v>
      </c>
      <c r="H77" s="55">
        <f>SUM(H74:H76)</f>
        <v>-3123000</v>
      </c>
      <c r="I77" s="51"/>
    </row>
    <row r="78" spans="4:9" ht="12.75">
      <c r="D78" s="51"/>
      <c r="E78" s="51"/>
      <c r="F78" s="51"/>
      <c r="G78" s="51"/>
      <c r="H78" s="51"/>
      <c r="I78" s="51"/>
    </row>
    <row r="79" spans="1:9" ht="12.75">
      <c r="A79" s="50">
        <v>255</v>
      </c>
      <c r="B79" s="50" t="s">
        <v>211</v>
      </c>
      <c r="C79" s="50" t="s">
        <v>201</v>
      </c>
      <c r="D79" s="51">
        <f>+FORM1!V156</f>
        <v>-48186912.666666664</v>
      </c>
      <c r="E79" s="51"/>
      <c r="F79" s="51"/>
      <c r="G79" s="51"/>
      <c r="H79" s="51">
        <f>+D79-E80</f>
        <v>-39945093.666666664</v>
      </c>
      <c r="I79" s="51"/>
    </row>
    <row r="80" spans="4:9" ht="12.75">
      <c r="D80" s="51" t="s">
        <v>212</v>
      </c>
      <c r="E80" s="51">
        <v>-8241819</v>
      </c>
      <c r="F80" s="51">
        <v>-1096753</v>
      </c>
      <c r="G80" s="51">
        <f>+E80-F80</f>
        <v>-7145066</v>
      </c>
      <c r="H80" s="51"/>
      <c r="I80" s="51"/>
    </row>
    <row r="81" spans="4:9" ht="12.75">
      <c r="D81" s="51"/>
      <c r="E81" s="51"/>
      <c r="F81" s="51"/>
      <c r="G81" s="51"/>
      <c r="H81" s="51"/>
      <c r="I81" s="51"/>
    </row>
    <row r="82" spans="1:9" ht="12.75">
      <c r="A82" s="50">
        <v>282</v>
      </c>
      <c r="B82" s="50" t="s">
        <v>213</v>
      </c>
      <c r="C82" s="50" t="s">
        <v>201</v>
      </c>
      <c r="D82" s="51">
        <f>+FORM1!V162</f>
        <v>-2335936921.4812503</v>
      </c>
      <c r="E82" s="51"/>
      <c r="F82" s="51"/>
      <c r="G82" s="51"/>
      <c r="H82" s="51">
        <f>+D82-F83-G83-H83</f>
        <v>-456366834.4812503</v>
      </c>
      <c r="I82" s="51"/>
    </row>
    <row r="83" spans="4:9" ht="12.75">
      <c r="D83" s="51" t="s">
        <v>215</v>
      </c>
      <c r="E83" s="51">
        <v>-1879570087</v>
      </c>
      <c r="F83" s="51">
        <v>-129035267</v>
      </c>
      <c r="G83" s="51">
        <f>+E83-F83-H83</f>
        <v>-1750536212</v>
      </c>
      <c r="H83" s="51">
        <v>1392</v>
      </c>
      <c r="I83" s="51"/>
    </row>
    <row r="84" spans="4:9" ht="12.75">
      <c r="D84" s="51"/>
      <c r="E84" s="51"/>
      <c r="F84" s="51"/>
      <c r="G84" s="51"/>
      <c r="H84" s="51"/>
      <c r="I84" s="51"/>
    </row>
    <row r="85" spans="1:9" ht="12.75">
      <c r="A85" s="50">
        <v>283</v>
      </c>
      <c r="B85" s="50" t="s">
        <v>214</v>
      </c>
      <c r="C85" s="50" t="s">
        <v>201</v>
      </c>
      <c r="D85" s="51">
        <f>+FORM1!V163</f>
        <v>-466145422.12958336</v>
      </c>
      <c r="E85" s="51"/>
      <c r="F85" s="51"/>
      <c r="G85" s="51"/>
      <c r="H85" s="51">
        <f>+D85-F86-G86-H86</f>
        <v>-386529558.12958336</v>
      </c>
      <c r="I85" s="51"/>
    </row>
    <row r="86" spans="4:9" ht="12.75">
      <c r="D86" s="51" t="s">
        <v>215</v>
      </c>
      <c r="E86" s="51">
        <v>-79615864</v>
      </c>
      <c r="F86" s="51">
        <v>-4699481</v>
      </c>
      <c r="G86" s="51">
        <f>+E86-F86-H86</f>
        <v>-74895634</v>
      </c>
      <c r="H86" s="51">
        <v>-20749</v>
      </c>
      <c r="I86" s="51"/>
    </row>
    <row r="87" spans="4:9" ht="12.75">
      <c r="D87" s="51"/>
      <c r="E87" s="51"/>
      <c r="F87" s="51"/>
      <c r="G87" s="51"/>
      <c r="H87" s="51"/>
      <c r="I87" s="51"/>
    </row>
    <row r="88" spans="4:9" ht="12.75">
      <c r="D88" s="51"/>
      <c r="E88" s="51"/>
      <c r="F88" s="51"/>
      <c r="G88" s="51"/>
      <c r="H88" s="51"/>
      <c r="I88" s="51"/>
    </row>
    <row r="89" spans="4:9" ht="12.75">
      <c r="D89" s="51"/>
      <c r="E89" s="51"/>
      <c r="F89" s="51"/>
      <c r="G89" s="51"/>
      <c r="H89" s="51"/>
      <c r="I89" s="51"/>
    </row>
    <row r="90" spans="4:9" ht="12.75">
      <c r="D90" s="51"/>
      <c r="E90" s="51"/>
      <c r="F90" s="51"/>
      <c r="G90" s="51"/>
      <c r="H90" s="51"/>
      <c r="I90" s="51"/>
    </row>
    <row r="91" spans="4:9" ht="12.75">
      <c r="D91" s="51"/>
      <c r="E91" s="51"/>
      <c r="F91" s="51"/>
      <c r="G91" s="51"/>
      <c r="H91" s="51"/>
      <c r="I91" s="51"/>
    </row>
    <row r="92" spans="4:9" ht="12.75">
      <c r="D92" s="51"/>
      <c r="E92" s="51"/>
      <c r="F92" s="51"/>
      <c r="G92" s="51"/>
      <c r="H92" s="51"/>
      <c r="I92" s="51"/>
    </row>
    <row r="93" spans="4:9" ht="12.75">
      <c r="D93" s="51"/>
      <c r="E93" s="51"/>
      <c r="F93" s="51"/>
      <c r="G93" s="51"/>
      <c r="H93" s="51"/>
      <c r="I93" s="51"/>
    </row>
    <row r="94" spans="4:9" ht="12.75">
      <c r="D94" s="51"/>
      <c r="E94" s="51"/>
      <c r="F94" s="51"/>
      <c r="G94" s="51"/>
      <c r="H94" s="51"/>
      <c r="I94" s="51"/>
    </row>
    <row r="95" spans="4:9" ht="12.75">
      <c r="D95" s="51"/>
      <c r="E95" s="51"/>
      <c r="F95" s="51"/>
      <c r="G95" s="51"/>
      <c r="H95" s="51"/>
      <c r="I95" s="51"/>
    </row>
    <row r="96" spans="4:9" ht="12.75">
      <c r="D96" s="51"/>
      <c r="E96" s="51"/>
      <c r="F96" s="51"/>
      <c r="G96" s="51"/>
      <c r="H96" s="51"/>
      <c r="I96" s="51"/>
    </row>
    <row r="97" spans="4:9" ht="12.75">
      <c r="D97" s="51"/>
      <c r="E97" s="51"/>
      <c r="F97" s="51"/>
      <c r="G97" s="51"/>
      <c r="H97" s="51"/>
      <c r="I97" s="51"/>
    </row>
    <row r="98" spans="4:9" ht="12.75">
      <c r="D98" s="51"/>
      <c r="E98" s="51"/>
      <c r="F98" s="51"/>
      <c r="G98" s="51"/>
      <c r="H98" s="51"/>
      <c r="I98" s="51"/>
    </row>
    <row r="99" spans="4:9" ht="12.75">
      <c r="D99" s="51"/>
      <c r="E99" s="51"/>
      <c r="F99" s="51"/>
      <c r="G99" s="51"/>
      <c r="H99" s="51"/>
      <c r="I99" s="51"/>
    </row>
    <row r="100" spans="4:9" ht="12.75">
      <c r="D100" s="51"/>
      <c r="E100" s="51"/>
      <c r="F100" s="51"/>
      <c r="G100" s="51"/>
      <c r="H100" s="51"/>
      <c r="I100" s="51"/>
    </row>
    <row r="101" spans="4:9" ht="12.75">
      <c r="D101" s="51"/>
      <c r="E101" s="51"/>
      <c r="F101" s="51"/>
      <c r="G101" s="51"/>
      <c r="H101" s="51"/>
      <c r="I101" s="51"/>
    </row>
    <row r="102" spans="4:9" ht="12.75">
      <c r="D102" s="51"/>
      <c r="E102" s="51"/>
      <c r="F102" s="51"/>
      <c r="G102" s="51"/>
      <c r="H102" s="51"/>
      <c r="I102" s="51"/>
    </row>
    <row r="103" spans="4:9" ht="12.75">
      <c r="D103" s="51"/>
      <c r="E103" s="51"/>
      <c r="F103" s="51"/>
      <c r="G103" s="51"/>
      <c r="H103" s="51"/>
      <c r="I103" s="51"/>
    </row>
    <row r="104" spans="4:9" ht="12.75">
      <c r="D104" s="51"/>
      <c r="E104" s="51"/>
      <c r="F104" s="51"/>
      <c r="G104" s="51"/>
      <c r="H104" s="51"/>
      <c r="I104" s="51"/>
    </row>
    <row r="105" spans="4:9" ht="12.75">
      <c r="D105" s="51"/>
      <c r="E105" s="51"/>
      <c r="F105" s="51"/>
      <c r="G105" s="51"/>
      <c r="H105" s="51"/>
      <c r="I105" s="51"/>
    </row>
    <row r="106" spans="4:9" ht="12.75">
      <c r="D106" s="51"/>
      <c r="E106" s="51"/>
      <c r="F106" s="51"/>
      <c r="G106" s="51"/>
      <c r="H106" s="51"/>
      <c r="I106" s="51"/>
    </row>
    <row r="107" spans="4:9" ht="12.75">
      <c r="D107" s="51"/>
      <c r="E107" s="51"/>
      <c r="F107" s="51"/>
      <c r="G107" s="51"/>
      <c r="H107" s="51"/>
      <c r="I107" s="51"/>
    </row>
    <row r="108" spans="4:9" ht="12.75">
      <c r="D108" s="51"/>
      <c r="E108" s="51"/>
      <c r="F108" s="51"/>
      <c r="G108" s="51"/>
      <c r="H108" s="51"/>
      <c r="I108" s="51"/>
    </row>
    <row r="109" spans="4:9" ht="12.75">
      <c r="D109" s="51"/>
      <c r="E109" s="51"/>
      <c r="F109" s="51"/>
      <c r="G109" s="51"/>
      <c r="H109" s="51"/>
      <c r="I109" s="51"/>
    </row>
    <row r="110" spans="4:9" ht="12.75">
      <c r="D110" s="51"/>
      <c r="E110" s="51"/>
      <c r="F110" s="51"/>
      <c r="G110" s="51"/>
      <c r="H110" s="51"/>
      <c r="I110" s="51"/>
    </row>
    <row r="111" spans="4:9" ht="12.75">
      <c r="D111" s="51"/>
      <c r="E111" s="51"/>
      <c r="F111" s="51"/>
      <c r="G111" s="51"/>
      <c r="H111" s="51"/>
      <c r="I111" s="51"/>
    </row>
    <row r="112" spans="4:9" ht="12.75">
      <c r="D112" s="51"/>
      <c r="E112" s="51"/>
      <c r="F112" s="51"/>
      <c r="G112" s="51"/>
      <c r="H112" s="51"/>
      <c r="I112" s="51"/>
    </row>
    <row r="113" spans="4:9" ht="12.75">
      <c r="D113" s="51"/>
      <c r="E113" s="51"/>
      <c r="F113" s="51"/>
      <c r="G113" s="51"/>
      <c r="H113" s="51"/>
      <c r="I113" s="51"/>
    </row>
    <row r="114" spans="4:9" ht="12.75">
      <c r="D114" s="51"/>
      <c r="E114" s="51"/>
      <c r="F114" s="51"/>
      <c r="G114" s="51"/>
      <c r="H114" s="51"/>
      <c r="I114" s="51"/>
    </row>
  </sheetData>
  <sheetProtection/>
  <printOptions/>
  <pageMargins left="1.45" right="0.7" top="0.75" bottom="0.75" header="0.3" footer="0.3"/>
  <pageSetup fitToHeight="1" fitToWidth="1" horizontalDpi="600" verticalDpi="600" orientation="portrait" scale="58" r:id="rId1"/>
  <headerFooter>
    <oddHeader>&amp;L&amp;"Times New Roman,Regular"&amp;12PacifiCorp&amp;C&amp;"Times New Roman,Regular"&amp;12Investor-Supplied Working Capital
Allocation of Investments&amp;R&amp;"Times New Roman,Regular"&amp;12UE-100749
Exhibit No. ___ (TES-2)
October 5, 2010</oddHeader>
    <oddFooter>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E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bestFit="1" customWidth="1"/>
    <col min="3" max="3" width="14.8515625" style="0" bestFit="1" customWidth="1"/>
  </cols>
  <sheetData>
    <row r="4" spans="4:5" ht="12.75">
      <c r="D4" s="1"/>
      <c r="E4" s="1"/>
    </row>
    <row r="5" spans="4:5" ht="12.75">
      <c r="D5" s="1"/>
      <c r="E5" s="1"/>
    </row>
    <row r="6" spans="4:5" ht="12.75">
      <c r="D6" s="1"/>
      <c r="E6" s="1"/>
    </row>
    <row r="7" spans="4:5" ht="12.75">
      <c r="D7" s="1"/>
      <c r="E7" s="1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B7"/>
  <sheetViews>
    <sheetView zoomScalePageLayoutView="0" workbookViewId="0" topLeftCell="A1">
      <selection activeCell="B11" sqref="A1:B11"/>
    </sheetView>
  </sheetViews>
  <sheetFormatPr defaultColWidth="9.140625" defaultRowHeight="12.75"/>
  <cols>
    <col min="2" max="2" width="18.7109375" style="0" bestFit="1" customWidth="1"/>
    <col min="3" max="3" width="16.00390625" style="0" customWidth="1"/>
    <col min="5" max="5" width="18.7109375" style="0" bestFit="1" customWidth="1"/>
  </cols>
  <sheetData>
    <row r="4" ht="12.75">
      <c r="B4" s="2"/>
    </row>
    <row r="5" ht="12.75">
      <c r="B5" s="2"/>
    </row>
    <row r="6" ht="12.75">
      <c r="B6" s="2"/>
    </row>
    <row r="7" ht="12.75">
      <c r="B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Schooley, Thomas (UTC)</dc:creator>
  <cp:keywords/>
  <dc:description/>
  <cp:lastModifiedBy>Thomas Schooley</cp:lastModifiedBy>
  <cp:lastPrinted>2010-10-05T16:40:47Z</cp:lastPrinted>
  <dcterms:created xsi:type="dcterms:W3CDTF">2009-03-25T23:52:56Z</dcterms:created>
  <dcterms:modified xsi:type="dcterms:W3CDTF">2010-10-05T17:40:45Z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100749</vt:lpwstr>
  </property>
  <property fmtid="{D5CDD505-2E9C-101B-9397-08002B2CF9AE}" pid="6" name="IsConfidenti">
    <vt:lpwstr>0</vt:lpwstr>
  </property>
  <property fmtid="{D5CDD505-2E9C-101B-9397-08002B2CF9AE}" pid="7" name="Dat">
    <vt:lpwstr>2010-10-05T00:00:00Z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2010-05-04T00:00:00Z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