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z9tr1\Desktop\"/>
    </mc:Choice>
  </mc:AlternateContent>
  <bookViews>
    <workbookView xWindow="28680" yWindow="-192" windowWidth="29040" windowHeight="15840"/>
  </bookViews>
  <sheets>
    <sheet name="Adjustment -compare to rebuttal" sheetId="13" r:id="rId1"/>
    <sheet name="Instructions" sheetId="12" r:id="rId2"/>
    <sheet name="Adjustment-compare to filed" sheetId="10" r:id="rId3"/>
    <sheet name="AMI" sheetId="5" r:id="rId4"/>
    <sheet name="Amortization" sheetId="9" r:id="rId5"/>
    <sheet name="Electric-Old meter deferral" sheetId="7" r:id="rId6"/>
    <sheet name="Gas-Old meter deferral" sheetId="8" r:id="rId7"/>
    <sheet name="Old Meters" sheetId="4" r:id="rId8"/>
    <sheet name="Deprec Ex ADJ by Func" sheetId="11" r:id="rId9"/>
  </sheets>
  <definedNames>
    <definedName name="_xlnm.Print_Area" localSheetId="3">AMI!$A$1:$S$28</definedName>
    <definedName name="_xlnm.Print_Area" localSheetId="8">'Deprec Ex ADJ by Func'!$B$1:$F$16</definedName>
    <definedName name="_xlnm.Print_Area" localSheetId="5">'Electric-Old meter deferral'!$A$1:$R$38</definedName>
    <definedName name="_xlnm.Print_Area" localSheetId="7">'Old Meters'!$C$1:$N$22</definedName>
    <definedName name="_xlnm.Print_Titles" localSheetId="3">AMI!$A:$B,AMI!$1:$1</definedName>
    <definedName name="_xlnm.Print_Titles" localSheetId="4">Amortization!$1:$6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2" i="5" l="1"/>
  <c r="C34" i="13" s="1"/>
  <c r="I34" i="13" s="1"/>
  <c r="O4" i="5"/>
  <c r="N3" i="5"/>
  <c r="F48" i="13"/>
  <c r="E48" i="13"/>
  <c r="E44" i="13"/>
  <c r="H41" i="13"/>
  <c r="C41" i="13"/>
  <c r="I41" i="13" s="1"/>
  <c r="B41" i="13"/>
  <c r="H40" i="13"/>
  <c r="C40" i="13"/>
  <c r="I40" i="13" s="1"/>
  <c r="B40" i="13"/>
  <c r="H39" i="13"/>
  <c r="C39" i="13"/>
  <c r="I39" i="13" s="1"/>
  <c r="B39" i="13"/>
  <c r="H38" i="13"/>
  <c r="C38" i="13"/>
  <c r="C42" i="13" s="1"/>
  <c r="B38" i="13"/>
  <c r="B42" i="13" s="1"/>
  <c r="H34" i="13"/>
  <c r="B34" i="13"/>
  <c r="H33" i="13"/>
  <c r="C33" i="13"/>
  <c r="B33" i="13"/>
  <c r="B35" i="13" s="1"/>
  <c r="H29" i="13"/>
  <c r="F44" i="13"/>
  <c r="H23" i="13"/>
  <c r="C23" i="13"/>
  <c r="C24" i="13" s="1"/>
  <c r="B23" i="13"/>
  <c r="B24" i="13" s="1"/>
  <c r="I22" i="13"/>
  <c r="H22" i="13"/>
  <c r="H24" i="13" s="1"/>
  <c r="I18" i="13"/>
  <c r="C18" i="13"/>
  <c r="B18" i="13"/>
  <c r="H18" i="13" s="1"/>
  <c r="B17" i="13"/>
  <c r="H17" i="13" s="1"/>
  <c r="I16" i="13"/>
  <c r="C16" i="13"/>
  <c r="B16" i="13"/>
  <c r="H16" i="13" s="1"/>
  <c r="I15" i="13"/>
  <c r="C15" i="13"/>
  <c r="B15" i="13"/>
  <c r="H15" i="13" s="1"/>
  <c r="I14" i="13"/>
  <c r="C14" i="13"/>
  <c r="B14" i="13"/>
  <c r="H14" i="13" s="1"/>
  <c r="I13" i="13"/>
  <c r="C13" i="13"/>
  <c r="B13" i="13"/>
  <c r="B19" i="13" s="1"/>
  <c r="B9" i="13"/>
  <c r="H9" i="13" s="1"/>
  <c r="I8" i="13"/>
  <c r="C8" i="13"/>
  <c r="B8" i="13"/>
  <c r="B10" i="13" s="1"/>
  <c r="B4" i="13"/>
  <c r="H4" i="13" s="1"/>
  <c r="I3" i="13"/>
  <c r="C3" i="13"/>
  <c r="B3" i="13"/>
  <c r="B5" i="13" s="1"/>
  <c r="B26" i="13" s="1"/>
  <c r="C35" i="13" l="1"/>
  <c r="C44" i="13" s="1"/>
  <c r="H35" i="13"/>
  <c r="H42" i="13"/>
  <c r="C47" i="13"/>
  <c r="F47" i="13"/>
  <c r="F49" i="13" s="1"/>
  <c r="F51" i="13" s="1"/>
  <c r="B48" i="13"/>
  <c r="H44" i="13"/>
  <c r="B44" i="13"/>
  <c r="I23" i="13"/>
  <c r="I24" i="13" s="1"/>
  <c r="I29" i="13"/>
  <c r="I33" i="13"/>
  <c r="I35" i="13" s="1"/>
  <c r="I38" i="13"/>
  <c r="I42" i="13" s="1"/>
  <c r="H3" i="13"/>
  <c r="H5" i="13" s="1"/>
  <c r="H8" i="13"/>
  <c r="H10" i="13" s="1"/>
  <c r="H13" i="13"/>
  <c r="H19" i="13" s="1"/>
  <c r="E47" i="13"/>
  <c r="E49" i="13" s="1"/>
  <c r="E51" i="13" s="1"/>
  <c r="E15" i="11"/>
  <c r="B47" i="13" l="1"/>
  <c r="B49" i="13"/>
  <c r="B51" i="13" s="1"/>
  <c r="I44" i="13"/>
  <c r="H26" i="13"/>
  <c r="H47" i="13"/>
  <c r="E9" i="11"/>
  <c r="I47" i="13" l="1"/>
  <c r="H48" i="13"/>
  <c r="H49" i="13" s="1"/>
  <c r="H51" i="13" s="1"/>
  <c r="B44" i="10"/>
  <c r="E3" i="5" l="1"/>
  <c r="E56" i="9" l="1"/>
  <c r="J24" i="5"/>
  <c r="B15" i="10"/>
  <c r="F48" i="10" l="1"/>
  <c r="E48" i="10"/>
  <c r="F29" i="10" l="1"/>
  <c r="F44" i="10" s="1"/>
  <c r="F47" i="10" s="1"/>
  <c r="F49" i="10" s="1"/>
  <c r="F51" i="10" s="1"/>
  <c r="E29" i="10"/>
  <c r="E44" i="10" s="1"/>
  <c r="E47" i="10" s="1"/>
  <c r="E49" i="10" s="1"/>
  <c r="E51" i="10" s="1"/>
  <c r="O24" i="5" l="1"/>
  <c r="F24" i="5" l="1"/>
  <c r="F22" i="5"/>
  <c r="F4" i="5"/>
  <c r="I29" i="10"/>
  <c r="H29" i="10"/>
  <c r="I22" i="10"/>
  <c r="H22" i="10"/>
  <c r="C4" i="7" l="1"/>
  <c r="O4" i="8"/>
  <c r="M5" i="8"/>
  <c r="Q12" i="5" l="1"/>
  <c r="O7" i="5"/>
  <c r="H14" i="5"/>
  <c r="H12" i="5"/>
  <c r="F7" i="5" l="1"/>
  <c r="G36" i="8"/>
  <c r="G36" i="7"/>
  <c r="F15" i="11" l="1"/>
  <c r="F9" i="11"/>
  <c r="E16" i="11"/>
  <c r="E10" i="11"/>
  <c r="D14" i="11" l="1"/>
  <c r="D8" i="11"/>
  <c r="F8" i="11" s="1"/>
  <c r="F10" i="11" s="1"/>
  <c r="D10" i="11" l="1"/>
  <c r="D16" i="11"/>
  <c r="F14" i="11"/>
  <c r="F16" i="11" s="1"/>
  <c r="C39" i="10"/>
  <c r="I39" i="10" s="1"/>
  <c r="B39" i="10"/>
  <c r="H39" i="10" s="1"/>
  <c r="C40" i="10"/>
  <c r="I40" i="10" s="1"/>
  <c r="B40" i="10"/>
  <c r="H40" i="10" s="1"/>
  <c r="C34" i="10"/>
  <c r="I34" i="10" s="1"/>
  <c r="B34" i="10"/>
  <c r="H34" i="10" s="1"/>
  <c r="C33" i="10"/>
  <c r="I33" i="10" s="1"/>
  <c r="B33" i="10"/>
  <c r="H33" i="10" s="1"/>
  <c r="I35" i="10" l="1"/>
  <c r="H35" i="10"/>
  <c r="B35" i="10"/>
  <c r="C35" i="10"/>
  <c r="N13" i="4"/>
  <c r="N14" i="4"/>
  <c r="N15" i="4" s="1"/>
  <c r="N16" i="4" s="1"/>
  <c r="N17" i="4" s="1"/>
  <c r="N18" i="4" s="1"/>
  <c r="N19" i="4" s="1"/>
  <c r="N20" i="4" s="1"/>
  <c r="N22" i="4" s="1"/>
  <c r="L34" i="5" s="1"/>
  <c r="J14" i="4"/>
  <c r="J15" i="4" s="1"/>
  <c r="J16" i="4" s="1"/>
  <c r="J17" i="4" s="1"/>
  <c r="J18" i="4" s="1"/>
  <c r="J19" i="4" s="1"/>
  <c r="J20" i="4" s="1"/>
  <c r="J22" i="4" s="1"/>
  <c r="C34" i="5" s="1"/>
  <c r="J13" i="4"/>
  <c r="M22" i="4" l="1"/>
  <c r="L33" i="5" s="1"/>
  <c r="C8" i="10" s="1"/>
  <c r="I8" i="10" s="1"/>
  <c r="L22" i="4"/>
  <c r="L32" i="5" s="1"/>
  <c r="C3" i="10" s="1"/>
  <c r="I3" i="10" s="1"/>
  <c r="I22" i="4" l="1"/>
  <c r="C33" i="5" s="1"/>
  <c r="B8" i="10" s="1"/>
  <c r="H8" i="10" s="1"/>
  <c r="H22" i="4"/>
  <c r="C32" i="5" s="1"/>
  <c r="B3" i="10" s="1"/>
  <c r="H3" i="10" s="1"/>
  <c r="R28" i="5" l="1"/>
  <c r="Q28" i="5"/>
  <c r="P28" i="5"/>
  <c r="N28" i="5"/>
  <c r="M28" i="5"/>
  <c r="D28" i="5"/>
  <c r="E28" i="5"/>
  <c r="G28" i="5"/>
  <c r="H28" i="5"/>
  <c r="I28" i="5"/>
  <c r="D6" i="9"/>
  <c r="D45" i="9" s="1"/>
  <c r="C6" i="9"/>
  <c r="C45" i="9" s="1"/>
  <c r="C38" i="10"/>
  <c r="I38" i="10" s="1"/>
  <c r="B38" i="10"/>
  <c r="H38" i="10" s="1"/>
  <c r="S23" i="5" l="1"/>
  <c r="S25" i="5"/>
  <c r="S26" i="5"/>
  <c r="J23" i="5"/>
  <c r="J25" i="5"/>
  <c r="J26" i="5"/>
  <c r="R16" i="5"/>
  <c r="C46" i="9" l="1"/>
  <c r="D46" i="9"/>
  <c r="P16" i="5"/>
  <c r="C18" i="5"/>
  <c r="Q14" i="5"/>
  <c r="Q16" i="5" s="1"/>
  <c r="H16" i="5"/>
  <c r="M38" i="7"/>
  <c r="G25" i="8"/>
  <c r="G26" i="8"/>
  <c r="G27" i="8"/>
  <c r="G28" i="8"/>
  <c r="G29" i="8"/>
  <c r="G30" i="8"/>
  <c r="G31" i="8"/>
  <c r="G32" i="8"/>
  <c r="G33" i="8"/>
  <c r="G34" i="8"/>
  <c r="G35" i="8"/>
  <c r="M38" i="8"/>
  <c r="A25" i="7"/>
  <c r="C25" i="7" s="1"/>
  <c r="G25" i="7"/>
  <c r="G26" i="7"/>
  <c r="A27" i="7"/>
  <c r="C27" i="7" s="1"/>
  <c r="G27" i="7"/>
  <c r="G28" i="7"/>
  <c r="A29" i="7"/>
  <c r="C29" i="7" s="1"/>
  <c r="G29" i="7"/>
  <c r="G30" i="7"/>
  <c r="A31" i="7"/>
  <c r="C31" i="7" s="1"/>
  <c r="G31" i="7"/>
  <c r="G32" i="7"/>
  <c r="A33" i="7"/>
  <c r="C33" i="7" s="1"/>
  <c r="G33" i="7"/>
  <c r="G34" i="7"/>
  <c r="A35" i="7"/>
  <c r="C35" i="7" s="1"/>
  <c r="G35" i="7"/>
  <c r="D47" i="9" l="1"/>
  <c r="D48" i="9" s="1"/>
  <c r="D49" i="9" s="1"/>
  <c r="D50" i="9" s="1"/>
  <c r="D51" i="9" s="1"/>
  <c r="D52" i="9" s="1"/>
  <c r="D53" i="9" s="1"/>
  <c r="D54" i="9" s="1"/>
  <c r="D55" i="9" s="1"/>
  <c r="D56" i="9" s="1"/>
  <c r="D57" i="9" s="1"/>
  <c r="D58" i="9" s="1"/>
  <c r="D59" i="9" s="1"/>
  <c r="D60" i="9" s="1"/>
  <c r="D61" i="9" s="1"/>
  <c r="D62" i="9" s="1"/>
  <c r="D63" i="9" s="1"/>
  <c r="D64" i="9" s="1"/>
  <c r="D65" i="9" s="1"/>
  <c r="D66" i="9" s="1"/>
  <c r="D67" i="9" s="1"/>
  <c r="D68" i="9" s="1"/>
  <c r="D69" i="9" s="1"/>
  <c r="D70" i="9" s="1"/>
  <c r="D71" i="9" s="1"/>
  <c r="D72" i="9" s="1"/>
  <c r="D73" i="9" s="1"/>
  <c r="D74" i="9" s="1"/>
  <c r="D75" i="9" s="1"/>
  <c r="D76" i="9" s="1"/>
  <c r="D77" i="9" s="1"/>
  <c r="D78" i="9" s="1"/>
  <c r="D79" i="9" s="1"/>
  <c r="D80" i="9" s="1"/>
  <c r="D81" i="9" s="1"/>
  <c r="D82" i="9" s="1"/>
  <c r="D83" i="9" s="1"/>
  <c r="D84" i="9" s="1"/>
  <c r="D85" i="9" s="1"/>
  <c r="D86" i="9" s="1"/>
  <c r="D87" i="9" s="1"/>
  <c r="D88" i="9" s="1"/>
  <c r="D89" i="9" s="1"/>
  <c r="D90" i="9" s="1"/>
  <c r="D91" i="9" s="1"/>
  <c r="D92" i="9" s="1"/>
  <c r="D93" i="9" s="1"/>
  <c r="D94" i="9" s="1"/>
  <c r="D95" i="9" s="1"/>
  <c r="D96" i="9" s="1"/>
  <c r="D97" i="9" s="1"/>
  <c r="D98" i="9" s="1"/>
  <c r="D99" i="9" s="1"/>
  <c r="D100" i="9" s="1"/>
  <c r="D101" i="9" s="1"/>
  <c r="D102" i="9" s="1"/>
  <c r="D103" i="9" s="1"/>
  <c r="D104" i="9" s="1"/>
  <c r="D105" i="9" s="1"/>
  <c r="D106" i="9" s="1"/>
  <c r="D107" i="9" s="1"/>
  <c r="D108" i="9" s="1"/>
  <c r="D109" i="9" s="1"/>
  <c r="D110" i="9" s="1"/>
  <c r="D111" i="9" s="1"/>
  <c r="D112" i="9" s="1"/>
  <c r="D113" i="9" s="1"/>
  <c r="D114" i="9" s="1"/>
  <c r="D115" i="9" s="1"/>
  <c r="D116" i="9" s="1"/>
  <c r="D117" i="9" s="1"/>
  <c r="D118" i="9" s="1"/>
  <c r="D119" i="9" s="1"/>
  <c r="D120" i="9" s="1"/>
  <c r="D121" i="9" s="1"/>
  <c r="D122" i="9" s="1"/>
  <c r="D123" i="9" s="1"/>
  <c r="D124" i="9" s="1"/>
  <c r="D125" i="9" s="1"/>
  <c r="D126" i="9" s="1"/>
  <c r="D127" i="9" s="1"/>
  <c r="D128" i="9" s="1"/>
  <c r="D129" i="9" s="1"/>
  <c r="D130" i="9" s="1"/>
  <c r="D131" i="9" s="1"/>
  <c r="D132" i="9" s="1"/>
  <c r="D133" i="9" s="1"/>
  <c r="D134" i="9" s="1"/>
  <c r="D135" i="9" s="1"/>
  <c r="D136" i="9" s="1"/>
  <c r="D137" i="9" s="1"/>
  <c r="D138" i="9" s="1"/>
  <c r="D139" i="9" s="1"/>
  <c r="D140" i="9" s="1"/>
  <c r="D141" i="9" s="1"/>
  <c r="D142" i="9" s="1"/>
  <c r="D143" i="9" s="1"/>
  <c r="D144" i="9" s="1"/>
  <c r="D145" i="9" s="1"/>
  <c r="D146" i="9" s="1"/>
  <c r="D147" i="9" s="1"/>
  <c r="D148" i="9" s="1"/>
  <c r="D149" i="9" s="1"/>
  <c r="D150" i="9" s="1"/>
  <c r="D151" i="9" s="1"/>
  <c r="D152" i="9" s="1"/>
  <c r="D153" i="9" s="1"/>
  <c r="D154" i="9" s="1"/>
  <c r="D155" i="9" s="1"/>
  <c r="D156" i="9" s="1"/>
  <c r="D157" i="9" s="1"/>
  <c r="D158" i="9" s="1"/>
  <c r="D159" i="9" s="1"/>
  <c r="D160" i="9" s="1"/>
  <c r="D161" i="9" s="1"/>
  <c r="D162" i="9" s="1"/>
  <c r="D163" i="9" s="1"/>
  <c r="D164" i="9" s="1"/>
  <c r="D165" i="9" s="1"/>
  <c r="D166" i="9" s="1"/>
  <c r="D167" i="9" s="1"/>
  <c r="D168" i="9" s="1"/>
  <c r="D169" i="9" s="1"/>
  <c r="D170" i="9" s="1"/>
  <c r="D171" i="9" s="1"/>
  <c r="D172" i="9" s="1"/>
  <c r="D173" i="9" s="1"/>
  <c r="D174" i="9" s="1"/>
  <c r="D175" i="9" s="1"/>
  <c r="D176" i="9" s="1"/>
  <c r="D177" i="9" s="1"/>
  <c r="D178" i="9" s="1"/>
  <c r="D179" i="9" s="1"/>
  <c r="D180" i="9" s="1"/>
  <c r="D181" i="9" s="1"/>
  <c r="D182" i="9" s="1"/>
  <c r="D183" i="9" s="1"/>
  <c r="D184" i="9" s="1"/>
  <c r="D185" i="9" s="1"/>
  <c r="D186" i="9" s="1"/>
  <c r="D187" i="9" s="1"/>
  <c r="C47" i="9"/>
  <c r="C48" i="9" s="1"/>
  <c r="C49" i="9" s="1"/>
  <c r="C50" i="9" s="1"/>
  <c r="C51" i="9" s="1"/>
  <c r="C52" i="9" s="1"/>
  <c r="C53" i="9" s="1"/>
  <c r="C54" i="9" s="1"/>
  <c r="C55" i="9" s="1"/>
  <c r="C56" i="9" s="1"/>
  <c r="C57" i="9" s="1"/>
  <c r="C58" i="9" s="1"/>
  <c r="C59" i="9" s="1"/>
  <c r="C60" i="9" s="1"/>
  <c r="C61" i="9" s="1"/>
  <c r="C62" i="9" s="1"/>
  <c r="C63" i="9" s="1"/>
  <c r="C64" i="9" s="1"/>
  <c r="C65" i="9" s="1"/>
  <c r="C66" i="9" s="1"/>
  <c r="C67" i="9" s="1"/>
  <c r="C68" i="9" s="1"/>
  <c r="C69" i="9" s="1"/>
  <c r="C70" i="9" s="1"/>
  <c r="C71" i="9" s="1"/>
  <c r="C72" i="9" s="1"/>
  <c r="C73" i="9" s="1"/>
  <c r="C74" i="9" s="1"/>
  <c r="C75" i="9" s="1"/>
  <c r="C76" i="9" s="1"/>
  <c r="C77" i="9" s="1"/>
  <c r="C78" i="9" s="1"/>
  <c r="C79" i="9" s="1"/>
  <c r="C80" i="9" s="1"/>
  <c r="C81" i="9" s="1"/>
  <c r="C82" i="9" s="1"/>
  <c r="C83" i="9" s="1"/>
  <c r="C84" i="9" s="1"/>
  <c r="C85" i="9" s="1"/>
  <c r="C86" i="9" s="1"/>
  <c r="C87" i="9" s="1"/>
  <c r="C88" i="9" s="1"/>
  <c r="C89" i="9" s="1"/>
  <c r="C90" i="9" s="1"/>
  <c r="C91" i="9" s="1"/>
  <c r="C92" i="9" s="1"/>
  <c r="C93" i="9" s="1"/>
  <c r="C94" i="9" s="1"/>
  <c r="C95" i="9" s="1"/>
  <c r="C96" i="9" s="1"/>
  <c r="C97" i="9" s="1"/>
  <c r="C98" i="9" s="1"/>
  <c r="C99" i="9" s="1"/>
  <c r="C100" i="9" s="1"/>
  <c r="C101" i="9" s="1"/>
  <c r="C102" i="9" s="1"/>
  <c r="C103" i="9" s="1"/>
  <c r="C104" i="9" s="1"/>
  <c r="C105" i="9" s="1"/>
  <c r="C106" i="9" s="1"/>
  <c r="C107" i="9" s="1"/>
  <c r="C108" i="9" s="1"/>
  <c r="C109" i="9" s="1"/>
  <c r="C110" i="9" s="1"/>
  <c r="C111" i="9" s="1"/>
  <c r="C112" i="9" s="1"/>
  <c r="C113" i="9" s="1"/>
  <c r="C114" i="9" s="1"/>
  <c r="C115" i="9" s="1"/>
  <c r="C116" i="9" s="1"/>
  <c r="C117" i="9" s="1"/>
  <c r="C118" i="9" s="1"/>
  <c r="C119" i="9" s="1"/>
  <c r="C120" i="9" s="1"/>
  <c r="C121" i="9" s="1"/>
  <c r="C122" i="9" s="1"/>
  <c r="C123" i="9" s="1"/>
  <c r="C124" i="9" s="1"/>
  <c r="C125" i="9" s="1"/>
  <c r="C126" i="9" s="1"/>
  <c r="C127" i="9" s="1"/>
  <c r="C128" i="9" s="1"/>
  <c r="C129" i="9" s="1"/>
  <c r="C130" i="9" s="1"/>
  <c r="C131" i="9" s="1"/>
  <c r="C132" i="9" s="1"/>
  <c r="C133" i="9" s="1"/>
  <c r="C134" i="9" s="1"/>
  <c r="C135" i="9" s="1"/>
  <c r="C136" i="9" s="1"/>
  <c r="C137" i="9" s="1"/>
  <c r="C138" i="9" s="1"/>
  <c r="C139" i="9" s="1"/>
  <c r="C140" i="9" s="1"/>
  <c r="C141" i="9" s="1"/>
  <c r="C142" i="9" s="1"/>
  <c r="C143" i="9" s="1"/>
  <c r="C144" i="9" s="1"/>
  <c r="C145" i="9" s="1"/>
  <c r="C146" i="9" s="1"/>
  <c r="C147" i="9" s="1"/>
  <c r="C148" i="9" s="1"/>
  <c r="C149" i="9" s="1"/>
  <c r="C150" i="9" s="1"/>
  <c r="C151" i="9" s="1"/>
  <c r="C152" i="9" s="1"/>
  <c r="C153" i="9" s="1"/>
  <c r="C154" i="9" s="1"/>
  <c r="C155" i="9" s="1"/>
  <c r="C156" i="9" s="1"/>
  <c r="C157" i="9" s="1"/>
  <c r="C158" i="9" s="1"/>
  <c r="C159" i="9" s="1"/>
  <c r="C160" i="9" s="1"/>
  <c r="C161" i="9" s="1"/>
  <c r="C162" i="9" s="1"/>
  <c r="C163" i="9" s="1"/>
  <c r="C164" i="9" s="1"/>
  <c r="C165" i="9" s="1"/>
  <c r="C166" i="9" s="1"/>
  <c r="C167" i="9" s="1"/>
  <c r="C168" i="9" s="1"/>
  <c r="C169" i="9" s="1"/>
  <c r="C170" i="9" s="1"/>
  <c r="C171" i="9" s="1"/>
  <c r="C172" i="9" s="1"/>
  <c r="C173" i="9" s="1"/>
  <c r="C174" i="9" s="1"/>
  <c r="C175" i="9" s="1"/>
  <c r="C176" i="9" s="1"/>
  <c r="C177" i="9" s="1"/>
  <c r="C178" i="9" s="1"/>
  <c r="C179" i="9" s="1"/>
  <c r="C180" i="9" s="1"/>
  <c r="C181" i="9" s="1"/>
  <c r="C182" i="9" s="1"/>
  <c r="C183" i="9" s="1"/>
  <c r="C184" i="9" s="1"/>
  <c r="C185" i="9" s="1"/>
  <c r="C186" i="9" s="1"/>
  <c r="C187" i="9" s="1"/>
  <c r="I3" i="8"/>
  <c r="I3" i="7"/>
  <c r="F27" i="5" l="1"/>
  <c r="F28" i="5" s="1"/>
  <c r="G29" i="5" s="1"/>
  <c r="D188" i="9"/>
  <c r="C188" i="9"/>
  <c r="F56" i="9"/>
  <c r="O27" i="5" s="1"/>
  <c r="J27" i="5"/>
  <c r="B41" i="10" s="1"/>
  <c r="K10" i="8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10" i="7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C4" i="8"/>
  <c r="B42" i="10" l="1"/>
  <c r="H41" i="10"/>
  <c r="H42" i="10" s="1"/>
  <c r="H44" i="10" s="1"/>
  <c r="H47" i="10" s="1"/>
  <c r="S27" i="5"/>
  <c r="C41" i="10" s="1"/>
  <c r="O28" i="5"/>
  <c r="P29" i="5" s="1"/>
  <c r="D5" i="8"/>
  <c r="D6" i="8" s="1"/>
  <c r="D5" i="7"/>
  <c r="C5" i="7" s="1"/>
  <c r="B47" i="10" l="1"/>
  <c r="C42" i="10"/>
  <c r="C44" i="10" s="1"/>
  <c r="I41" i="10"/>
  <c r="I42" i="10" s="1"/>
  <c r="I44" i="10" s="1"/>
  <c r="I47" i="10" s="1"/>
  <c r="D6" i="7"/>
  <c r="A6" i="7"/>
  <c r="D7" i="8"/>
  <c r="A5" i="8"/>
  <c r="C5" i="8" s="1"/>
  <c r="C47" i="10" l="1"/>
  <c r="C6" i="7"/>
  <c r="D7" i="7"/>
  <c r="A6" i="8"/>
  <c r="D8" i="8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C7" i="7" l="1"/>
  <c r="A8" i="7" s="1"/>
  <c r="D8" i="7"/>
  <c r="A7" i="7"/>
  <c r="B6" i="7"/>
  <c r="C6" i="8"/>
  <c r="A7" i="8" s="1"/>
  <c r="B7" i="7" l="1"/>
  <c r="C8" i="7"/>
  <c r="D9" i="7"/>
  <c r="D10" i="7" s="1"/>
  <c r="D11" i="7" s="1"/>
  <c r="D12" i="7" s="1"/>
  <c r="D13" i="7" s="1"/>
  <c r="D14" i="7" s="1"/>
  <c r="D15" i="7" s="1"/>
  <c r="D16" i="7" s="1"/>
  <c r="D17" i="7" s="1"/>
  <c r="C7" i="8"/>
  <c r="A8" i="8" s="1"/>
  <c r="A5" i="7" l="1"/>
  <c r="B5" i="7" s="1"/>
  <c r="B4" i="7"/>
  <c r="B8" i="7"/>
  <c r="B9" i="7"/>
  <c r="B10" i="7" s="1"/>
  <c r="B11" i="7" s="1"/>
  <c r="B12" i="7" s="1"/>
  <c r="B13" i="7" s="1"/>
  <c r="B14" i="7" s="1"/>
  <c r="B15" i="7" s="1"/>
  <c r="A9" i="7"/>
  <c r="B8" i="8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E8" i="8"/>
  <c r="E7" i="8"/>
  <c r="E6" i="8"/>
  <c r="E5" i="8"/>
  <c r="E4" i="8"/>
  <c r="F8" i="8"/>
  <c r="G8" i="8" s="1"/>
  <c r="F9" i="8"/>
  <c r="F10" i="8"/>
  <c r="F11" i="8"/>
  <c r="F12" i="8"/>
  <c r="F13" i="8"/>
  <c r="F14" i="8"/>
  <c r="F15" i="8"/>
  <c r="F16" i="8"/>
  <c r="F17" i="8"/>
  <c r="F18" i="8"/>
  <c r="F19" i="8"/>
  <c r="G19" i="8" s="1"/>
  <c r="F20" i="8"/>
  <c r="G20" i="8" s="1"/>
  <c r="F21" i="8"/>
  <c r="G21" i="8" s="1"/>
  <c r="F22" i="8"/>
  <c r="G22" i="8" s="1"/>
  <c r="F23" i="8"/>
  <c r="G23" i="8" s="1"/>
  <c r="F7" i="8"/>
  <c r="F5" i="8"/>
  <c r="F6" i="8"/>
  <c r="F4" i="8"/>
  <c r="G24" i="8"/>
  <c r="O5" i="8"/>
  <c r="G5" i="7"/>
  <c r="G6" i="7"/>
  <c r="G7" i="7"/>
  <c r="G8" i="7"/>
  <c r="G18" i="7"/>
  <c r="G19" i="7"/>
  <c r="G20" i="7"/>
  <c r="G21" i="7"/>
  <c r="G22" i="7"/>
  <c r="G23" i="7"/>
  <c r="G24" i="7"/>
  <c r="G4" i="7"/>
  <c r="O4" i="7"/>
  <c r="M5" i="7" s="1"/>
  <c r="O5" i="7" s="1"/>
  <c r="G7" i="8" l="1"/>
  <c r="G5" i="8"/>
  <c r="H4" i="7"/>
  <c r="H5" i="7" s="1"/>
  <c r="H6" i="7" s="1"/>
  <c r="H7" i="7" s="1"/>
  <c r="H8" i="7" s="1"/>
  <c r="I4" i="7"/>
  <c r="J4" i="7" s="1"/>
  <c r="G6" i="8"/>
  <c r="C8" i="8"/>
  <c r="A9" i="8" s="1"/>
  <c r="C9" i="8" s="1"/>
  <c r="G4" i="8"/>
  <c r="P4" i="8"/>
  <c r="M6" i="8"/>
  <c r="O6" i="8" s="1"/>
  <c r="P5" i="8"/>
  <c r="P5" i="7"/>
  <c r="M6" i="7"/>
  <c r="O6" i="7" s="1"/>
  <c r="P4" i="7"/>
  <c r="O13" i="5"/>
  <c r="O16" i="5" s="1"/>
  <c r="I5" i="7" l="1"/>
  <c r="J5" i="7" s="1"/>
  <c r="R4" i="7"/>
  <c r="R5" i="7" s="1"/>
  <c r="I4" i="8"/>
  <c r="J4" i="8" s="1"/>
  <c r="I5" i="8" s="1"/>
  <c r="J5" i="8" s="1"/>
  <c r="H4" i="8"/>
  <c r="H5" i="8" s="1"/>
  <c r="H6" i="8" s="1"/>
  <c r="H7" i="8" s="1"/>
  <c r="H8" i="8" s="1"/>
  <c r="E9" i="8"/>
  <c r="G9" i="8" s="1"/>
  <c r="A10" i="8"/>
  <c r="C10" i="8" s="1"/>
  <c r="P6" i="8"/>
  <c r="M7" i="8"/>
  <c r="O7" i="8" s="1"/>
  <c r="M7" i="7"/>
  <c r="O7" i="7" s="1"/>
  <c r="P6" i="7"/>
  <c r="R4" i="8" l="1"/>
  <c r="H9" i="8"/>
  <c r="R5" i="8"/>
  <c r="I6" i="7"/>
  <c r="R6" i="7" s="1"/>
  <c r="E10" i="8"/>
  <c r="G10" i="8" s="1"/>
  <c r="A11" i="8"/>
  <c r="C11" i="8" s="1"/>
  <c r="I6" i="8"/>
  <c r="M8" i="8"/>
  <c r="O8" i="8" s="1"/>
  <c r="P7" i="8"/>
  <c r="M8" i="7"/>
  <c r="O8" i="7" s="1"/>
  <c r="P7" i="7"/>
  <c r="C24" i="5"/>
  <c r="C22" i="5"/>
  <c r="J22" i="5" s="1"/>
  <c r="L24" i="5"/>
  <c r="S24" i="5" s="1"/>
  <c r="L22" i="5"/>
  <c r="H10" i="8" l="1"/>
  <c r="R6" i="8"/>
  <c r="L28" i="5"/>
  <c r="S22" i="5"/>
  <c r="S28" i="5" s="1"/>
  <c r="C28" i="5"/>
  <c r="J28" i="5"/>
  <c r="J6" i="7"/>
  <c r="I7" i="7" s="1"/>
  <c r="J7" i="7" s="1"/>
  <c r="R7" i="7"/>
  <c r="P8" i="7"/>
  <c r="M9" i="7"/>
  <c r="O9" i="7" s="1"/>
  <c r="A12" i="8"/>
  <c r="C12" i="8" s="1"/>
  <c r="E11" i="8"/>
  <c r="G11" i="8" s="1"/>
  <c r="H11" i="8" s="1"/>
  <c r="P8" i="8"/>
  <c r="M9" i="8"/>
  <c r="O9" i="8" s="1"/>
  <c r="J6" i="8"/>
  <c r="D5" i="5"/>
  <c r="I16" i="5"/>
  <c r="F13" i="5"/>
  <c r="G11" i="5"/>
  <c r="G16" i="5" s="1"/>
  <c r="E6" i="5"/>
  <c r="N6" i="5"/>
  <c r="S5" i="5"/>
  <c r="S7" i="5"/>
  <c r="C14" i="10" s="1"/>
  <c r="I14" i="10" s="1"/>
  <c r="S8" i="5"/>
  <c r="S9" i="5"/>
  <c r="S10" i="5"/>
  <c r="S11" i="5"/>
  <c r="C15" i="10" s="1"/>
  <c r="I15" i="10" s="1"/>
  <c r="S12" i="5"/>
  <c r="C16" i="10" s="1"/>
  <c r="I16" i="10" s="1"/>
  <c r="S13" i="5"/>
  <c r="C17" i="13" s="1"/>
  <c r="S14" i="5"/>
  <c r="C18" i="10" s="1"/>
  <c r="I18" i="10" s="1"/>
  <c r="S4" i="5"/>
  <c r="S3" i="5"/>
  <c r="J3" i="5"/>
  <c r="C9" i="10" l="1"/>
  <c r="C9" i="13"/>
  <c r="I17" i="13"/>
  <c r="I19" i="13" s="1"/>
  <c r="C19" i="13"/>
  <c r="C4" i="10"/>
  <c r="C4" i="13"/>
  <c r="I8" i="7"/>
  <c r="J8" i="7" s="1"/>
  <c r="C10" i="10"/>
  <c r="I9" i="10"/>
  <c r="I10" i="10" s="1"/>
  <c r="C5" i="10"/>
  <c r="I4" i="10"/>
  <c r="I5" i="10" s="1"/>
  <c r="B4" i="10"/>
  <c r="S6" i="5"/>
  <c r="C13" i="10" s="1"/>
  <c r="I13" i="10" s="1"/>
  <c r="N16" i="5"/>
  <c r="R8" i="7"/>
  <c r="C17" i="10"/>
  <c r="S18" i="5"/>
  <c r="S20" i="5" s="1"/>
  <c r="P9" i="7"/>
  <c r="M10" i="7"/>
  <c r="O10" i="7" s="1"/>
  <c r="A13" i="8"/>
  <c r="C13" i="8" s="1"/>
  <c r="E12" i="8"/>
  <c r="G12" i="8" s="1"/>
  <c r="H12" i="8" s="1"/>
  <c r="I7" i="8"/>
  <c r="R7" i="8" s="1"/>
  <c r="P9" i="8"/>
  <c r="M10" i="8"/>
  <c r="O10" i="8" s="1"/>
  <c r="F16" i="5"/>
  <c r="E16" i="5"/>
  <c r="J4" i="5"/>
  <c r="B9" i="10" s="1"/>
  <c r="J5" i="5"/>
  <c r="J6" i="5"/>
  <c r="B13" i="10" s="1"/>
  <c r="H13" i="10" s="1"/>
  <c r="J7" i="5"/>
  <c r="B14" i="10" s="1"/>
  <c r="H14" i="10" s="1"/>
  <c r="J8" i="5"/>
  <c r="J9" i="5"/>
  <c r="J10" i="5"/>
  <c r="J11" i="5"/>
  <c r="H15" i="10" s="1"/>
  <c r="J12" i="5"/>
  <c r="B16" i="10" s="1"/>
  <c r="H16" i="10" s="1"/>
  <c r="J13" i="5"/>
  <c r="J14" i="5"/>
  <c r="B18" i="10" s="1"/>
  <c r="H18" i="10" s="1"/>
  <c r="L18" i="5"/>
  <c r="L20" i="5" s="1"/>
  <c r="M15" i="5" s="1"/>
  <c r="C20" i="5"/>
  <c r="D15" i="5" s="1"/>
  <c r="D16" i="5" s="1"/>
  <c r="I9" i="13" l="1"/>
  <c r="I10" i="13" s="1"/>
  <c r="C10" i="13"/>
  <c r="I4" i="13"/>
  <c r="I5" i="13" s="1"/>
  <c r="I26" i="13" s="1"/>
  <c r="I48" i="13" s="1"/>
  <c r="I49" i="13" s="1"/>
  <c r="I51" i="13" s="1"/>
  <c r="C5" i="13"/>
  <c r="C26" i="13" s="1"/>
  <c r="C48" i="13" s="1"/>
  <c r="C49" i="13" s="1"/>
  <c r="C51" i="13" s="1"/>
  <c r="C19" i="10"/>
  <c r="I17" i="10"/>
  <c r="I19" i="10" s="1"/>
  <c r="B10" i="10"/>
  <c r="H9" i="10"/>
  <c r="H10" i="10" s="1"/>
  <c r="B5" i="10"/>
  <c r="H4" i="10"/>
  <c r="H5" i="10" s="1"/>
  <c r="B17" i="10"/>
  <c r="J18" i="5"/>
  <c r="J20" i="5" s="1"/>
  <c r="S15" i="5"/>
  <c r="M16" i="5"/>
  <c r="M11" i="7"/>
  <c r="O11" i="7" s="1"/>
  <c r="P10" i="7"/>
  <c r="P10" i="8"/>
  <c r="M11" i="8"/>
  <c r="O11" i="8" s="1"/>
  <c r="A14" i="8"/>
  <c r="C14" i="8" s="1"/>
  <c r="E13" i="8"/>
  <c r="G13" i="8" s="1"/>
  <c r="H13" i="8" s="1"/>
  <c r="J7" i="8"/>
  <c r="I8" i="8" s="1"/>
  <c r="J8" i="8" s="1"/>
  <c r="I9" i="8" s="1"/>
  <c r="J9" i="8" s="1"/>
  <c r="J15" i="5"/>
  <c r="J16" i="5" s="1"/>
  <c r="B19" i="10" l="1"/>
  <c r="H17" i="10"/>
  <c r="H19" i="10" s="1"/>
  <c r="S16" i="5"/>
  <c r="C23" i="10"/>
  <c r="B23" i="10"/>
  <c r="M12" i="7"/>
  <c r="O12" i="7" s="1"/>
  <c r="P11" i="7"/>
  <c r="I10" i="8"/>
  <c r="J10" i="8" s="1"/>
  <c r="A15" i="8"/>
  <c r="C15" i="8" s="1"/>
  <c r="E14" i="8"/>
  <c r="G14" i="8" s="1"/>
  <c r="H14" i="8" s="1"/>
  <c r="R8" i="8"/>
  <c r="R9" i="8" s="1"/>
  <c r="M12" i="8"/>
  <c r="O12" i="8" s="1"/>
  <c r="P11" i="8"/>
  <c r="C24" i="10" l="1"/>
  <c r="C26" i="10" s="1"/>
  <c r="C48" i="10" s="1"/>
  <c r="C49" i="10" s="1"/>
  <c r="C51" i="10" s="1"/>
  <c r="I23" i="10"/>
  <c r="I24" i="10" s="1"/>
  <c r="I26" i="10" s="1"/>
  <c r="I48" i="10" s="1"/>
  <c r="I49" i="10" s="1"/>
  <c r="I51" i="10" s="1"/>
  <c r="B24" i="10"/>
  <c r="B26" i="10" s="1"/>
  <c r="B48" i="10" s="1"/>
  <c r="B49" i="10" s="1"/>
  <c r="B51" i="10" s="1"/>
  <c r="H23" i="10"/>
  <c r="H24" i="10" s="1"/>
  <c r="H26" i="10" s="1"/>
  <c r="H48" i="10" s="1"/>
  <c r="H49" i="10" s="1"/>
  <c r="H51" i="10" s="1"/>
  <c r="R10" i="8"/>
  <c r="M13" i="7"/>
  <c r="O13" i="7" s="1"/>
  <c r="P12" i="7"/>
  <c r="A16" i="8"/>
  <c r="C16" i="8" s="1"/>
  <c r="E15" i="8"/>
  <c r="G15" i="8" s="1"/>
  <c r="H15" i="8" s="1"/>
  <c r="M13" i="8"/>
  <c r="O13" i="8" s="1"/>
  <c r="P12" i="8"/>
  <c r="I11" i="8"/>
  <c r="R11" i="8" s="1"/>
  <c r="L16" i="5"/>
  <c r="C16" i="5"/>
  <c r="J11" i="8" l="1"/>
  <c r="I12" i="8" s="1"/>
  <c r="J12" i="8" s="1"/>
  <c r="M14" i="7"/>
  <c r="O14" i="7" s="1"/>
  <c r="P13" i="7"/>
  <c r="I13" i="8"/>
  <c r="J13" i="8" s="1"/>
  <c r="I14" i="8" s="1"/>
  <c r="J14" i="8" s="1"/>
  <c r="A17" i="8"/>
  <c r="C17" i="8" s="1"/>
  <c r="E16" i="8"/>
  <c r="G16" i="8" s="1"/>
  <c r="H16" i="8" s="1"/>
  <c r="R12" i="8"/>
  <c r="P13" i="8"/>
  <c r="M14" i="8"/>
  <c r="O14" i="8" s="1"/>
  <c r="D10" i="4"/>
  <c r="E10" i="4"/>
  <c r="C9" i="7"/>
  <c r="R13" i="8" l="1"/>
  <c r="A10" i="7"/>
  <c r="C10" i="7" s="1"/>
  <c r="E10" i="7" s="1"/>
  <c r="G10" i="7" s="1"/>
  <c r="E9" i="7"/>
  <c r="G9" i="7" s="1"/>
  <c r="M15" i="7"/>
  <c r="O15" i="7" s="1"/>
  <c r="P14" i="7"/>
  <c r="P14" i="8"/>
  <c r="R14" i="8" s="1"/>
  <c r="M15" i="8"/>
  <c r="O15" i="8" s="1"/>
  <c r="A18" i="8"/>
  <c r="C18" i="8" s="1"/>
  <c r="E18" i="8" s="1"/>
  <c r="G18" i="8" s="1"/>
  <c r="E17" i="8"/>
  <c r="G17" i="8" s="1"/>
  <c r="H17" i="8" s="1"/>
  <c r="I15" i="8"/>
  <c r="J15" i="8" s="1"/>
  <c r="I16" i="8" s="1"/>
  <c r="J16" i="8" s="1"/>
  <c r="A11" i="7"/>
  <c r="H18" i="8" l="1"/>
  <c r="H19" i="8" s="1"/>
  <c r="H20" i="8" s="1"/>
  <c r="H21" i="8" s="1"/>
  <c r="H22" i="8" s="1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8" i="8" s="1"/>
  <c r="M16" i="7"/>
  <c r="O16" i="7" s="1"/>
  <c r="P15" i="7"/>
  <c r="H9" i="7"/>
  <c r="H10" i="7" s="1"/>
  <c r="I9" i="7"/>
  <c r="R9" i="7" s="1"/>
  <c r="I17" i="8"/>
  <c r="J17" i="8" s="1"/>
  <c r="M16" i="8"/>
  <c r="O16" i="8" s="1"/>
  <c r="P15" i="8"/>
  <c r="R15" i="8" s="1"/>
  <c r="C11" i="7"/>
  <c r="E11" i="7" s="1"/>
  <c r="G11" i="7" s="1"/>
  <c r="H11" i="7" l="1"/>
  <c r="J9" i="7"/>
  <c r="I10" i="7" s="1"/>
  <c r="J10" i="7" s="1"/>
  <c r="M17" i="7"/>
  <c r="O17" i="7" s="1"/>
  <c r="P16" i="7"/>
  <c r="M17" i="8"/>
  <c r="O17" i="8" s="1"/>
  <c r="P16" i="8"/>
  <c r="R16" i="8" s="1"/>
  <c r="I18" i="8"/>
  <c r="J18" i="8" s="1"/>
  <c r="A12" i="7"/>
  <c r="M18" i="7" l="1"/>
  <c r="O18" i="7" s="1"/>
  <c r="P17" i="7"/>
  <c r="I11" i="7"/>
  <c r="J11" i="7"/>
  <c r="I12" i="7" s="1"/>
  <c r="J12" i="7" s="1"/>
  <c r="R10" i="7"/>
  <c r="I19" i="8"/>
  <c r="J19" i="8"/>
  <c r="I20" i="8" s="1"/>
  <c r="J20" i="8" s="1"/>
  <c r="I21" i="8" s="1"/>
  <c r="J21" i="8" s="1"/>
  <c r="P17" i="8"/>
  <c r="R17" i="8" s="1"/>
  <c r="M18" i="8"/>
  <c r="O18" i="8" s="1"/>
  <c r="C12" i="7"/>
  <c r="E12" i="7" s="1"/>
  <c r="G12" i="7" s="1"/>
  <c r="H12" i="7" s="1"/>
  <c r="R11" i="7" l="1"/>
  <c r="R12" i="7" s="1"/>
  <c r="M19" i="7"/>
  <c r="O19" i="7" s="1"/>
  <c r="P18" i="7"/>
  <c r="P18" i="8"/>
  <c r="R18" i="8" s="1"/>
  <c r="M19" i="8"/>
  <c r="O19" i="8" s="1"/>
  <c r="I22" i="8"/>
  <c r="J22" i="8" s="1"/>
  <c r="A13" i="7"/>
  <c r="M20" i="7" l="1"/>
  <c r="O20" i="7" s="1"/>
  <c r="P19" i="7"/>
  <c r="I23" i="8"/>
  <c r="J23" i="8" s="1"/>
  <c r="I24" i="8" s="1"/>
  <c r="J24" i="8" s="1"/>
  <c r="M20" i="8"/>
  <c r="O20" i="8" s="1"/>
  <c r="P19" i="8"/>
  <c r="R19" i="8" s="1"/>
  <c r="C13" i="7"/>
  <c r="E13" i="7" s="1"/>
  <c r="G13" i="7" s="1"/>
  <c r="H13" i="7" l="1"/>
  <c r="I13" i="7"/>
  <c r="R13" i="7" s="1"/>
  <c r="M21" i="7"/>
  <c r="O21" i="7" s="1"/>
  <c r="P20" i="7"/>
  <c r="I25" i="8"/>
  <c r="J25" i="8"/>
  <c r="M21" i="8"/>
  <c r="O21" i="8" s="1"/>
  <c r="P20" i="8"/>
  <c r="R20" i="8" s="1"/>
  <c r="A14" i="7"/>
  <c r="M22" i="7" l="1"/>
  <c r="O22" i="7" s="1"/>
  <c r="P21" i="7"/>
  <c r="J13" i="7"/>
  <c r="P21" i="8"/>
  <c r="R21" i="8" s="1"/>
  <c r="M22" i="8"/>
  <c r="O22" i="8" s="1"/>
  <c r="I26" i="8"/>
  <c r="J26" i="8" s="1"/>
  <c r="I27" i="8" s="1"/>
  <c r="J27" i="8" s="1"/>
  <c r="C14" i="7"/>
  <c r="E14" i="7" s="1"/>
  <c r="G14" i="7" s="1"/>
  <c r="H14" i="7" s="1"/>
  <c r="M23" i="7" l="1"/>
  <c r="O23" i="7" s="1"/>
  <c r="P22" i="7"/>
  <c r="I14" i="7"/>
  <c r="R14" i="7" s="1"/>
  <c r="I28" i="8"/>
  <c r="J28" i="8" s="1"/>
  <c r="I29" i="8" s="1"/>
  <c r="J29" i="8" s="1"/>
  <c r="P22" i="8"/>
  <c r="R22" i="8" s="1"/>
  <c r="M23" i="8"/>
  <c r="O23" i="8" s="1"/>
  <c r="A15" i="7"/>
  <c r="M24" i="7" l="1"/>
  <c r="O24" i="7" s="1"/>
  <c r="P23" i="7"/>
  <c r="J14" i="7"/>
  <c r="M24" i="8"/>
  <c r="O24" i="8" s="1"/>
  <c r="P23" i="8"/>
  <c r="R23" i="8" s="1"/>
  <c r="I30" i="8"/>
  <c r="J30" i="8" s="1"/>
  <c r="I31" i="8" s="1"/>
  <c r="J31" i="8" s="1"/>
  <c r="C15" i="7"/>
  <c r="E15" i="7" s="1"/>
  <c r="G15" i="7" s="1"/>
  <c r="H15" i="7" s="1"/>
  <c r="I15" i="7" l="1"/>
  <c r="J15" i="7" s="1"/>
  <c r="M25" i="7"/>
  <c r="O25" i="7" s="1"/>
  <c r="P24" i="7"/>
  <c r="I32" i="8"/>
  <c r="J32" i="8" s="1"/>
  <c r="I33" i="8" s="1"/>
  <c r="J33" i="8" s="1"/>
  <c r="M25" i="8"/>
  <c r="O25" i="8" s="1"/>
  <c r="P24" i="8"/>
  <c r="R24" i="8" s="1"/>
  <c r="A16" i="7"/>
  <c r="R15" i="7" l="1"/>
  <c r="M26" i="7"/>
  <c r="O26" i="7" s="1"/>
  <c r="P25" i="7"/>
  <c r="P25" i="8"/>
  <c r="R25" i="8" s="1"/>
  <c r="M26" i="8"/>
  <c r="O26" i="8" s="1"/>
  <c r="I34" i="8"/>
  <c r="J34" i="8" s="1"/>
  <c r="I35" i="8" s="1"/>
  <c r="J35" i="8" s="1"/>
  <c r="C16" i="7"/>
  <c r="E16" i="7" s="1"/>
  <c r="G16" i="7" s="1"/>
  <c r="I36" i="8" l="1"/>
  <c r="J36" i="8" s="1"/>
  <c r="I16" i="7"/>
  <c r="R16" i="7" s="1"/>
  <c r="H16" i="7"/>
  <c r="M27" i="7"/>
  <c r="O27" i="7" s="1"/>
  <c r="P26" i="7"/>
  <c r="P26" i="8"/>
  <c r="R26" i="8" s="1"/>
  <c r="M27" i="8"/>
  <c r="O27" i="8" s="1"/>
  <c r="A17" i="7"/>
  <c r="C17" i="7" s="1"/>
  <c r="E17" i="7" s="1"/>
  <c r="G17" i="7" s="1"/>
  <c r="J16" i="7" l="1"/>
  <c r="H17" i="7"/>
  <c r="H18" i="7" s="1"/>
  <c r="H19" i="7" s="1"/>
  <c r="H20" i="7" s="1"/>
  <c r="H21" i="7" s="1"/>
  <c r="H22" i="7" s="1"/>
  <c r="H23" i="7" s="1"/>
  <c r="H24" i="7" s="1"/>
  <c r="M28" i="7"/>
  <c r="O28" i="7" s="1"/>
  <c r="P27" i="7"/>
  <c r="I17" i="7"/>
  <c r="J17" i="7" s="1"/>
  <c r="M28" i="8"/>
  <c r="O28" i="8" s="1"/>
  <c r="P27" i="8"/>
  <c r="R27" i="8" s="1"/>
  <c r="A18" i="7"/>
  <c r="C18" i="7" s="1"/>
  <c r="H25" i="7" l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8" i="7" s="1"/>
  <c r="I18" i="7"/>
  <c r="J18" i="7" s="1"/>
  <c r="I19" i="7" s="1"/>
  <c r="J19" i="7" s="1"/>
  <c r="R17" i="7"/>
  <c r="R18" i="7" s="1"/>
  <c r="M29" i="7"/>
  <c r="O29" i="7" s="1"/>
  <c r="P28" i="7"/>
  <c r="M29" i="8"/>
  <c r="O29" i="8" s="1"/>
  <c r="P28" i="8"/>
  <c r="R28" i="8" s="1"/>
  <c r="A19" i="7"/>
  <c r="R19" i="7" l="1"/>
  <c r="M30" i="7"/>
  <c r="O30" i="7" s="1"/>
  <c r="P29" i="7"/>
  <c r="I20" i="7"/>
  <c r="R20" i="7" s="1"/>
  <c r="P29" i="8"/>
  <c r="R29" i="8" s="1"/>
  <c r="M30" i="8"/>
  <c r="O30" i="8" s="1"/>
  <c r="C19" i="7"/>
  <c r="M31" i="7" l="1"/>
  <c r="O31" i="7" s="1"/>
  <c r="P30" i="7"/>
  <c r="J20" i="7"/>
  <c r="P30" i="8"/>
  <c r="R30" i="8" s="1"/>
  <c r="M31" i="8"/>
  <c r="O31" i="8" s="1"/>
  <c r="A20" i="7"/>
  <c r="I21" i="7" l="1"/>
  <c r="R21" i="7" s="1"/>
  <c r="M32" i="7"/>
  <c r="O32" i="7" s="1"/>
  <c r="P31" i="7"/>
  <c r="M32" i="8"/>
  <c r="O32" i="8" s="1"/>
  <c r="P31" i="8"/>
  <c r="R31" i="8" s="1"/>
  <c r="C20" i="7"/>
  <c r="A21" i="7" s="1"/>
  <c r="C21" i="7" s="1"/>
  <c r="A22" i="7" s="1"/>
  <c r="C22" i="7" s="1"/>
  <c r="A23" i="7" s="1"/>
  <c r="C23" i="7" s="1"/>
  <c r="M33" i="7" l="1"/>
  <c r="O33" i="7" s="1"/>
  <c r="P32" i="7"/>
  <c r="J21" i="7"/>
  <c r="I22" i="7" s="1"/>
  <c r="J22" i="7" s="1"/>
  <c r="I23" i="7" s="1"/>
  <c r="J23" i="7" s="1"/>
  <c r="M33" i="8"/>
  <c r="O33" i="8" s="1"/>
  <c r="P32" i="8"/>
  <c r="R32" i="8" s="1"/>
  <c r="I24" i="7" l="1"/>
  <c r="J24" i="7" s="1"/>
  <c r="R22" i="7"/>
  <c r="R23" i="7" s="1"/>
  <c r="R24" i="7" s="1"/>
  <c r="M34" i="7"/>
  <c r="O34" i="7" s="1"/>
  <c r="P33" i="7"/>
  <c r="P33" i="8"/>
  <c r="R33" i="8" s="1"/>
  <c r="M34" i="8"/>
  <c r="O34" i="8" s="1"/>
  <c r="M35" i="7" l="1"/>
  <c r="O35" i="7" s="1"/>
  <c r="M36" i="7" s="1"/>
  <c r="O36" i="7" s="1"/>
  <c r="P34" i="7"/>
  <c r="I25" i="7"/>
  <c r="J25" i="7" s="1"/>
  <c r="I26" i="7" s="1"/>
  <c r="J26" i="7" s="1"/>
  <c r="P34" i="8"/>
  <c r="R34" i="8" s="1"/>
  <c r="M35" i="8"/>
  <c r="O35" i="8" s="1"/>
  <c r="M36" i="8" s="1"/>
  <c r="O36" i="8" s="1"/>
  <c r="P36" i="7" l="1"/>
  <c r="O38" i="7"/>
  <c r="P36" i="8"/>
  <c r="O38" i="8"/>
  <c r="P35" i="8"/>
  <c r="P35" i="7"/>
  <c r="R35" i="8"/>
  <c r="I27" i="7"/>
  <c r="J27" i="7" s="1"/>
  <c r="I28" i="7" s="1"/>
  <c r="J28" i="7" s="1"/>
  <c r="R25" i="7"/>
  <c r="R26" i="7" s="1"/>
  <c r="R36" i="8" l="1"/>
  <c r="R38" i="8" s="1"/>
  <c r="R27" i="7"/>
  <c r="R28" i="7" s="1"/>
  <c r="I29" i="7"/>
  <c r="R29" i="7" l="1"/>
  <c r="J29" i="7"/>
  <c r="I30" i="7" s="1"/>
  <c r="J30" i="7" s="1"/>
  <c r="R30" i="7"/>
  <c r="I31" i="7"/>
  <c r="R31" i="7" s="1"/>
  <c r="J31" i="7" l="1"/>
  <c r="I32" i="7" s="1"/>
  <c r="J32" i="7" s="1"/>
  <c r="I33" i="7" s="1"/>
  <c r="R32" i="7" l="1"/>
  <c r="R33" i="7" s="1"/>
  <c r="J33" i="7"/>
  <c r="I34" i="7" s="1"/>
  <c r="J34" i="7" s="1"/>
  <c r="I35" i="7" s="1"/>
  <c r="J35" i="7" s="1"/>
  <c r="R34" i="7" l="1"/>
  <c r="R35" i="7" s="1"/>
  <c r="I36" i="7"/>
  <c r="J36" i="7" s="1"/>
  <c r="R36" i="7" l="1"/>
  <c r="R38" i="7" s="1"/>
</calcChain>
</file>

<file path=xl/sharedStrings.xml><?xml version="1.0" encoding="utf-8"?>
<sst xmlns="http://schemas.openxmlformats.org/spreadsheetml/2006/main" count="261" uniqueCount="155">
  <si>
    <t>ADFIT - 12/31/2019</t>
  </si>
  <si>
    <t>AFUDC</t>
  </si>
  <si>
    <t>AFUDC-A/D</t>
  </si>
  <si>
    <t>Plant</t>
  </si>
  <si>
    <t>A/D</t>
  </si>
  <si>
    <t>Actual at 12/31/2019</t>
  </si>
  <si>
    <t>Existing Meters/ERTs-Cost</t>
  </si>
  <si>
    <t>Existing Meters/ERTs-A/D</t>
  </si>
  <si>
    <t>AMI Reg Deferral A/D</t>
  </si>
  <si>
    <t>Reg Asset-Carrying Charge</t>
  </si>
  <si>
    <t>Reg Asset-Deferred Deprec Exp on AMI</t>
  </si>
  <si>
    <t>Reg Liability-Excess Deprec Collected-Existing Meters/ERTs</t>
  </si>
  <si>
    <t>WA Electric</t>
  </si>
  <si>
    <t>WA Gas</t>
  </si>
  <si>
    <t>Total</t>
  </si>
  <si>
    <t>Reg Asset-Existing Metes/ERTS</t>
  </si>
  <si>
    <t>ADFIT-AMI Deferrals</t>
  </si>
  <si>
    <t>E</t>
  </si>
  <si>
    <t>G</t>
  </si>
  <si>
    <t>Correction</t>
  </si>
  <si>
    <t>AMA PF Amount</t>
  </si>
  <si>
    <t>Additions</t>
  </si>
  <si>
    <t>Depreciation</t>
  </si>
  <si>
    <t>Retire Old Meters</t>
  </si>
  <si>
    <t>407332</t>
  </si>
  <si>
    <t>EXIST METERS/ERTS EXCESS DEPRC</t>
  </si>
  <si>
    <t>407436</t>
  </si>
  <si>
    <t xml:space="preserve">REG CREDIT - MDM SYSTEM			</t>
  </si>
  <si>
    <t>Depreciation Expense - AMI</t>
  </si>
  <si>
    <t>Depreciation Expense - Old Meters</t>
  </si>
  <si>
    <t>Amortization - AMI</t>
  </si>
  <si>
    <t>GD</t>
  </si>
  <si>
    <t>Accounting Period</t>
  </si>
  <si>
    <t>WA</t>
  </si>
  <si>
    <t>202001</t>
  </si>
  <si>
    <t>202002</t>
  </si>
  <si>
    <t>202003</t>
  </si>
  <si>
    <t>202004</t>
  </si>
  <si>
    <t>202005</t>
  </si>
  <si>
    <t>Plant Bal</t>
  </si>
  <si>
    <t>Deprec Rate</t>
  </si>
  <si>
    <t>Deprec Exp</t>
  </si>
  <si>
    <t>Deprec Expense in Rates</t>
  </si>
  <si>
    <t>Deferral</t>
  </si>
  <si>
    <t>202006</t>
  </si>
  <si>
    <t>202007</t>
  </si>
  <si>
    <t>202008</t>
  </si>
  <si>
    <t>202009</t>
  </si>
  <si>
    <t>202010</t>
  </si>
  <si>
    <t>202011</t>
  </si>
  <si>
    <t>202012</t>
  </si>
  <si>
    <t>Retirements</t>
  </si>
  <si>
    <t>Accumulated Deferral</t>
  </si>
  <si>
    <t>Interest</t>
  </si>
  <si>
    <t>Accumulated Deferral with interest</t>
  </si>
  <si>
    <t>Deferral &amp; Interest</t>
  </si>
  <si>
    <t xml:space="preserve">Tax </t>
  </si>
  <si>
    <t>Tax</t>
  </si>
  <si>
    <t>Electric</t>
  </si>
  <si>
    <t>Natural Gas</t>
  </si>
  <si>
    <t>Amortization AFUDC- AMI</t>
  </si>
  <si>
    <t>Adjustment:</t>
  </si>
  <si>
    <t>ROO AMA</t>
  </si>
  <si>
    <t>201812</t>
  </si>
  <si>
    <t>201901</t>
  </si>
  <si>
    <t>201902</t>
  </si>
  <si>
    <t>201903</t>
  </si>
  <si>
    <t>201904</t>
  </si>
  <si>
    <t>201905</t>
  </si>
  <si>
    <t>201906</t>
  </si>
  <si>
    <t>201907</t>
  </si>
  <si>
    <t>201908</t>
  </si>
  <si>
    <t>201909</t>
  </si>
  <si>
    <t>201910</t>
  </si>
  <si>
    <t>201911</t>
  </si>
  <si>
    <t>201912</t>
  </si>
  <si>
    <t>E Cost</t>
  </si>
  <si>
    <t>E A/D</t>
  </si>
  <si>
    <t>G Cost</t>
  </si>
  <si>
    <t>G A/D</t>
  </si>
  <si>
    <t>E Reg Asset</t>
  </si>
  <si>
    <t>E Activity</t>
  </si>
  <si>
    <t>G Activity</t>
  </si>
  <si>
    <t>AMA</t>
  </si>
  <si>
    <t>G Reg Aset</t>
  </si>
  <si>
    <t>Remove Old Meters (12.31.2019 AMA Amount)</t>
  </si>
  <si>
    <t>Gas</t>
  </si>
  <si>
    <t>Regulatory Asset</t>
  </si>
  <si>
    <t>ADFIT</t>
  </si>
  <si>
    <t>Reverse CBR Adjustment</t>
  </si>
  <si>
    <t>Add ADFIT on Reg Asset</t>
  </si>
  <si>
    <t>Net Rate Base</t>
  </si>
  <si>
    <t xml:space="preserve">   Plant</t>
  </si>
  <si>
    <t xml:space="preserve">   A/D</t>
  </si>
  <si>
    <t xml:space="preserve">   Regulatory Asset</t>
  </si>
  <si>
    <t xml:space="preserve">   ADFIT</t>
  </si>
  <si>
    <t>Depreciation Expense</t>
  </si>
  <si>
    <t>Amortization - Reg Asset</t>
  </si>
  <si>
    <t xml:space="preserve">   Total Expense</t>
  </si>
  <si>
    <t>Expenses:</t>
  </si>
  <si>
    <t>Net O&amp;M Offsets</t>
  </si>
  <si>
    <t>Remove Existing Meters/ERTs depreciation expense from test year (2019)</t>
  </si>
  <si>
    <t>Add Depreciation Expense on new AMI investment</t>
  </si>
  <si>
    <t>Regulatory Amortization</t>
  </si>
  <si>
    <t>Add Amortization - AFUDC</t>
  </si>
  <si>
    <t>Remove AMI Deferral in Test Period</t>
  </si>
  <si>
    <t>Remove Existing Meters Deferral in Test Period</t>
  </si>
  <si>
    <t xml:space="preserve">   Net Regulatory Amortization</t>
  </si>
  <si>
    <t xml:space="preserve">                                   Net Change</t>
  </si>
  <si>
    <t>Dist</t>
  </si>
  <si>
    <t>GP&amp;Intang</t>
  </si>
  <si>
    <t>Test Period</t>
  </si>
  <si>
    <t>Rate Year</t>
  </si>
  <si>
    <t>ADJ</t>
  </si>
  <si>
    <t>Additions/ Retirements</t>
  </si>
  <si>
    <t>Add AMI AFUDC (9/30/2022 AMA)</t>
  </si>
  <si>
    <t>Add AMI AFUDC-A/D (9/30/2022 AMA)</t>
  </si>
  <si>
    <t>Add Reg Asset-Carrying Charge (9/30/2022 AMA)</t>
  </si>
  <si>
    <t>Add Reg Asset-Deferred Deprec Exp on AMI (9/30/2022 AMA)</t>
  </si>
  <si>
    <t>Add Reg Liability-Excess Deprec Collected-Existing Meters/ERTs (9/30/2022 AMA)</t>
  </si>
  <si>
    <t>Add AMI Plant (9/30/2022 AMA Amount)</t>
  </si>
  <si>
    <t>Add Reg Asset-Existing Meters/ERTS (9/30/2022 AMA)</t>
  </si>
  <si>
    <t>This workpaper is used as the back-up for the PF AMI adjustment.</t>
  </si>
  <si>
    <t>This adjustment accounts for:</t>
  </si>
  <si>
    <t>1) Investment in old electric meters/old natual gas meter registers</t>
  </si>
  <si>
    <t>2) New investment in AMI.</t>
  </si>
  <si>
    <t xml:space="preserve">The Company has not included any new investment in AMI in the </t>
  </si>
  <si>
    <t>12/31/2019 restated period. New investment in AMI was removed.</t>
  </si>
  <si>
    <t>The Company was approved to defer all depreciation expense on</t>
  </si>
  <si>
    <t>new investment, so this adjustment removes that deferral and</t>
  </si>
  <si>
    <t>pro forms depreciation expense on new investment.</t>
  </si>
  <si>
    <t>The old meters/registers have been removed from plant rate base</t>
  </si>
  <si>
    <t>and included in regulatory asset.</t>
  </si>
  <si>
    <t>The Company was required to compute carrying charge and record</t>
  </si>
  <si>
    <t>in a separate reg. asset account.  Interest is computed to the rate</t>
  </si>
  <si>
    <t>year on the worksheets called "Electric-Old meter deferral" and</t>
  </si>
  <si>
    <t>"Gas-Old meter deferral" in this workbook.</t>
  </si>
  <si>
    <t>All of the deferred costs have been included on the "Amortization"</t>
  </si>
  <si>
    <t>worksheet to amortize over life of the project.</t>
  </si>
  <si>
    <t>Revised</t>
  </si>
  <si>
    <t>Difference</t>
  </si>
  <si>
    <t xml:space="preserve">   Net Depreciation Expense</t>
  </si>
  <si>
    <t>Revenue Requirement</t>
  </si>
  <si>
    <t>Proposed ROR</t>
  </si>
  <si>
    <t>Proposed Cost of Capital</t>
  </si>
  <si>
    <t>CF</t>
  </si>
  <si>
    <t>Net Income</t>
  </si>
  <si>
    <t>Current Tax Exp</t>
  </si>
  <si>
    <t>Debt Interest</t>
  </si>
  <si>
    <t>Net income</t>
  </si>
  <si>
    <t>See Staff-DR-107-3.16 Attachment C</t>
  </si>
  <si>
    <t>See Staff-DR-107-3.16 Attachment B</t>
  </si>
  <si>
    <t>Originally Filed</t>
  </si>
  <si>
    <t>Rebuttal</t>
  </si>
  <si>
    <t>Revised for July Actual TTP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</si>
</sst>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37" fontId="0" fillId="0" borderId="0" xfId="0" applyNumberFormat="1"/>
    <xf numFmtId="164" fontId="0" fillId="0" borderId="1" xfId="1" applyNumberFormat="1" applyFont="1" applyBorder="1"/>
    <xf numFmtId="37" fontId="0" fillId="0" borderId="2" xfId="0" applyNumberFormat="1" applyBorder="1"/>
    <xf numFmtId="164" fontId="0" fillId="0" borderId="2" xfId="0" applyNumberFormat="1" applyBorder="1"/>
    <xf numFmtId="164" fontId="0" fillId="0" borderId="2" xfId="1" applyNumberFormat="1" applyFont="1" applyBorder="1"/>
    <xf numFmtId="0" fontId="0" fillId="0" borderId="2" xfId="0" applyBorder="1"/>
    <xf numFmtId="43" fontId="0" fillId="0" borderId="0" xfId="1" applyFont="1"/>
    <xf numFmtId="0" fontId="4" fillId="0" borderId="0" xfId="0" applyFont="1" applyAlignment="1">
      <alignment horizontal="center" wrapText="1"/>
    </xf>
    <xf numFmtId="164" fontId="4" fillId="0" borderId="0" xfId="1" applyNumberFormat="1" applyFont="1" applyAlignment="1">
      <alignment horizontal="center" wrapText="1"/>
    </xf>
    <xf numFmtId="164" fontId="2" fillId="2" borderId="0" xfId="1" applyNumberFormat="1" applyFont="1" applyFill="1" applyAlignment="1">
      <alignment horizontal="center"/>
    </xf>
    <xf numFmtId="164" fontId="4" fillId="2" borderId="0" xfId="1" applyNumberFormat="1" applyFont="1" applyFill="1" applyAlignment="1">
      <alignment horizontal="center" wrapText="1"/>
    </xf>
    <xf numFmtId="164" fontId="0" fillId="2" borderId="0" xfId="1" applyNumberFormat="1" applyFont="1" applyFill="1"/>
    <xf numFmtId="37" fontId="0" fillId="2" borderId="0" xfId="0" applyNumberFormat="1" applyFill="1"/>
    <xf numFmtId="37" fontId="0" fillId="2" borderId="2" xfId="0" applyNumberFormat="1" applyFill="1" applyBorder="1"/>
    <xf numFmtId="1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164" fontId="0" fillId="0" borderId="0" xfId="1" applyNumberFormat="1" applyFont="1" applyAlignment="1">
      <alignment horizontal="center" wrapText="1"/>
    </xf>
    <xf numFmtId="165" fontId="0" fillId="0" borderId="0" xfId="1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1" applyNumberFormat="1" applyFont="1"/>
    <xf numFmtId="164" fontId="5" fillId="2" borderId="0" xfId="1" applyNumberFormat="1" applyFont="1" applyFill="1"/>
    <xf numFmtId="164" fontId="5" fillId="0" borderId="0" xfId="0" applyNumberFormat="1" applyFont="1"/>
    <xf numFmtId="164" fontId="0" fillId="0" borderId="0" xfId="1" applyNumberFormat="1" applyFont="1" applyFill="1"/>
    <xf numFmtId="164" fontId="0" fillId="3" borderId="6" xfId="1" applyNumberFormat="1" applyFont="1" applyFill="1" applyBorder="1"/>
    <xf numFmtId="164" fontId="0" fillId="3" borderId="8" xfId="1" applyNumberFormat="1" applyFont="1" applyFill="1" applyBorder="1"/>
    <xf numFmtId="164" fontId="0" fillId="3" borderId="7" xfId="1" applyNumberFormat="1" applyFont="1" applyFill="1" applyBorder="1"/>
    <xf numFmtId="164" fontId="0" fillId="3" borderId="0" xfId="1" applyNumberFormat="1" applyFont="1" applyFill="1"/>
    <xf numFmtId="164" fontId="0" fillId="4" borderId="0" xfId="1" applyNumberFormat="1" applyFont="1" applyFill="1"/>
    <xf numFmtId="164" fontId="0" fillId="4" borderId="1" xfId="1" applyNumberFormat="1" applyFont="1" applyFill="1" applyBorder="1"/>
    <xf numFmtId="0" fontId="4" fillId="0" borderId="0" xfId="0" applyFont="1" applyFill="1"/>
    <xf numFmtId="0" fontId="0" fillId="0" borderId="0" xfId="0" applyFill="1"/>
    <xf numFmtId="0" fontId="7" fillId="0" borderId="0" xfId="0" applyFont="1" applyFill="1"/>
    <xf numFmtId="0" fontId="6" fillId="0" borderId="0" xfId="0" applyFont="1" applyFill="1"/>
    <xf numFmtId="164" fontId="0" fillId="5" borderId="0" xfId="1" applyNumberFormat="1" applyFont="1" applyFill="1"/>
    <xf numFmtId="164" fontId="0" fillId="5" borderId="0" xfId="0" applyNumberFormat="1" applyFill="1"/>
    <xf numFmtId="0" fontId="0" fillId="0" borderId="9" xfId="0" applyBorder="1"/>
    <xf numFmtId="10" fontId="0" fillId="0" borderId="0" xfId="0" applyNumberFormat="1" applyBorder="1"/>
    <xf numFmtId="0" fontId="0" fillId="0" borderId="0" xfId="0" applyBorder="1"/>
    <xf numFmtId="0" fontId="0" fillId="6" borderId="0" xfId="0" applyFill="1"/>
    <xf numFmtId="164" fontId="0" fillId="3" borderId="10" xfId="1" applyNumberFormat="1" applyFont="1" applyFill="1" applyBorder="1"/>
    <xf numFmtId="164" fontId="0" fillId="6" borderId="8" xfId="1" applyNumberFormat="1" applyFont="1" applyFill="1" applyBorder="1"/>
    <xf numFmtId="164" fontId="0" fillId="6" borderId="6" xfId="1" applyNumberFormat="1" applyFont="1" applyFill="1" applyBorder="1"/>
    <xf numFmtId="164" fontId="0" fillId="6" borderId="7" xfId="1" applyNumberFormat="1" applyFont="1" applyFill="1" applyBorder="1"/>
    <xf numFmtId="164" fontId="0" fillId="6" borderId="0" xfId="1" applyNumberFormat="1" applyFont="1" applyFill="1"/>
    <xf numFmtId="164" fontId="0" fillId="6" borderId="10" xfId="1" applyNumberFormat="1" applyFont="1" applyFill="1" applyBorder="1"/>
    <xf numFmtId="0" fontId="0" fillId="6" borderId="3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164" fontId="2" fillId="2" borderId="5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A30" workbookViewId="0">
      <selection activeCell="I51" sqref="I51"/>
    </sheetView>
  </sheetViews>
  <sheetFormatPr defaultRowHeight="14.4" x14ac:dyDescent="0.3"/>
  <cols>
    <col min="1" max="1" width="68.33203125" bestFit="1" customWidth="1"/>
    <col min="2" max="2" width="14.6640625" bestFit="1" customWidth="1"/>
    <col min="3" max="3" width="13.6640625" bestFit="1" customWidth="1"/>
    <col min="4" max="4" width="1.33203125" customWidth="1"/>
    <col min="5" max="5" width="14.6640625" bestFit="1" customWidth="1"/>
    <col min="6" max="6" width="13.6640625" bestFit="1" customWidth="1"/>
    <col min="7" max="7" width="1.5546875" customWidth="1"/>
    <col min="8" max="8" width="14.6640625" bestFit="1" customWidth="1"/>
    <col min="9" max="9" width="13.6640625" bestFit="1" customWidth="1"/>
  </cols>
  <sheetData>
    <row r="1" spans="1:9" ht="15" thickBot="1" x14ac:dyDescent="0.35">
      <c r="B1" s="53" t="s">
        <v>154</v>
      </c>
      <c r="C1" s="54"/>
      <c r="E1" s="51" t="s">
        <v>153</v>
      </c>
      <c r="F1" s="52"/>
      <c r="H1" s="55" t="s">
        <v>140</v>
      </c>
      <c r="I1" s="56"/>
    </row>
    <row r="2" spans="1:9" x14ac:dyDescent="0.3">
      <c r="A2" s="23" t="s">
        <v>3</v>
      </c>
      <c r="B2" s="22" t="s">
        <v>58</v>
      </c>
      <c r="C2" s="22" t="s">
        <v>86</v>
      </c>
      <c r="E2" s="22" t="s">
        <v>58</v>
      </c>
      <c r="F2" s="22" t="s">
        <v>86</v>
      </c>
      <c r="H2" s="22" t="s">
        <v>58</v>
      </c>
      <c r="I2" s="22" t="s">
        <v>86</v>
      </c>
    </row>
    <row r="3" spans="1:9" x14ac:dyDescent="0.3">
      <c r="A3" t="s">
        <v>85</v>
      </c>
      <c r="B3" s="1">
        <f>-AMI!C32</f>
        <v>-24366497.947500002</v>
      </c>
      <c r="C3" s="1">
        <f>-AMI!L32</f>
        <v>-5267726.5995833334</v>
      </c>
      <c r="D3" s="1"/>
      <c r="E3" s="1">
        <v>-24366497.947500002</v>
      </c>
      <c r="F3" s="1">
        <v>-5267726.5995833334</v>
      </c>
      <c r="H3" s="1">
        <f>B3-E3</f>
        <v>0</v>
      </c>
      <c r="I3" s="1">
        <f>C3-F3</f>
        <v>0</v>
      </c>
    </row>
    <row r="4" spans="1:9" ht="15" thickBot="1" x14ac:dyDescent="0.35">
      <c r="A4" s="36" t="s">
        <v>120</v>
      </c>
      <c r="B4" s="39">
        <f>AMI!J3</f>
        <v>100944477</v>
      </c>
      <c r="C4" s="39">
        <f>AMI!S3</f>
        <v>35763785</v>
      </c>
      <c r="D4" s="1"/>
      <c r="E4" s="39">
        <v>100944477</v>
      </c>
      <c r="F4" s="39">
        <v>36170688</v>
      </c>
      <c r="G4" s="35"/>
      <c r="H4" s="1">
        <f>B4-E4</f>
        <v>0</v>
      </c>
      <c r="I4" s="1">
        <f>C4-F4</f>
        <v>-406903</v>
      </c>
    </row>
    <row r="5" spans="1:9" ht="15" thickBot="1" x14ac:dyDescent="0.35">
      <c r="A5" s="36" t="s">
        <v>92</v>
      </c>
      <c r="B5" s="30">
        <f>SUM(B3:B4)</f>
        <v>76577979.052499995</v>
      </c>
      <c r="C5" s="29">
        <f>SUM(C3:C4)</f>
        <v>30496058.400416665</v>
      </c>
      <c r="D5" s="1"/>
      <c r="E5" s="46">
        <v>76577979.052499995</v>
      </c>
      <c r="F5" s="47">
        <v>30902961.400416665</v>
      </c>
      <c r="H5" s="30">
        <f>SUM(H3:H4)</f>
        <v>0</v>
      </c>
      <c r="I5" s="29">
        <f>SUM(I3:I4)</f>
        <v>-406903</v>
      </c>
    </row>
    <row r="6" spans="1:9" x14ac:dyDescent="0.3">
      <c r="A6" s="36"/>
      <c r="B6" s="1"/>
      <c r="C6" s="1"/>
      <c r="D6" s="1"/>
      <c r="E6" s="1"/>
      <c r="F6" s="1"/>
      <c r="H6" s="1"/>
      <c r="I6" s="1"/>
    </row>
    <row r="7" spans="1:9" x14ac:dyDescent="0.3">
      <c r="A7" s="35" t="s">
        <v>4</v>
      </c>
      <c r="B7" s="1"/>
      <c r="C7" s="1"/>
      <c r="D7" s="1"/>
      <c r="E7" s="1"/>
      <c r="F7" s="1"/>
      <c r="H7" s="1"/>
      <c r="I7" s="1"/>
    </row>
    <row r="8" spans="1:9" x14ac:dyDescent="0.3">
      <c r="A8" s="36" t="s">
        <v>85</v>
      </c>
      <c r="B8" s="1">
        <f>-AMI!C33</f>
        <v>2631818.6745833331</v>
      </c>
      <c r="C8" s="1">
        <f>-AMI!L33</f>
        <v>867206.7150000002</v>
      </c>
      <c r="D8" s="1"/>
      <c r="E8" s="1">
        <v>2631818.6745833331</v>
      </c>
      <c r="F8" s="1">
        <v>867206.7150000002</v>
      </c>
      <c r="H8" s="1">
        <f t="shared" ref="H8:I9" si="0">B8-E8</f>
        <v>0</v>
      </c>
      <c r="I8" s="1">
        <f t="shared" si="0"/>
        <v>0</v>
      </c>
    </row>
    <row r="9" spans="1:9" ht="15" thickBot="1" x14ac:dyDescent="0.35">
      <c r="A9" s="36" t="s">
        <v>120</v>
      </c>
      <c r="B9" s="39">
        <f>AMI!J4</f>
        <v>-30450521</v>
      </c>
      <c r="C9" s="39">
        <f>AMI!S4</f>
        <v>-10033772</v>
      </c>
      <c r="D9" s="1"/>
      <c r="E9" s="39">
        <v>-30450521</v>
      </c>
      <c r="F9" s="39">
        <v>-10040781</v>
      </c>
      <c r="H9" s="1">
        <f t="shared" si="0"/>
        <v>0</v>
      </c>
      <c r="I9" s="1">
        <f t="shared" si="0"/>
        <v>7009</v>
      </c>
    </row>
    <row r="10" spans="1:9" ht="15" thickBot="1" x14ac:dyDescent="0.35">
      <c r="A10" s="36" t="s">
        <v>93</v>
      </c>
      <c r="B10" s="30">
        <f>SUM(B8:B9)</f>
        <v>-27818702.325416666</v>
      </c>
      <c r="C10" s="29">
        <f>SUM(C8:C9)</f>
        <v>-9166565.2850000001</v>
      </c>
      <c r="D10" s="1"/>
      <c r="E10" s="46">
        <v>-27818702.325416666</v>
      </c>
      <c r="F10" s="47">
        <v>-9173574.2850000001</v>
      </c>
      <c r="H10" s="30">
        <f>SUM(H8:H9)</f>
        <v>0</v>
      </c>
      <c r="I10" s="29">
        <f>SUM(I8:I9)</f>
        <v>7009</v>
      </c>
    </row>
    <row r="11" spans="1:9" x14ac:dyDescent="0.3">
      <c r="A11" s="36"/>
      <c r="B11" s="1"/>
      <c r="C11" s="1"/>
      <c r="D11" s="1"/>
      <c r="E11" s="1"/>
      <c r="F11" s="1"/>
      <c r="H11" s="1"/>
      <c r="I11" s="1"/>
    </row>
    <row r="12" spans="1:9" x14ac:dyDescent="0.3">
      <c r="A12" s="35" t="s">
        <v>87</v>
      </c>
      <c r="B12" s="1"/>
      <c r="C12" s="1"/>
      <c r="D12" s="1"/>
      <c r="E12" s="1"/>
      <c r="F12" s="1"/>
      <c r="H12" s="1"/>
      <c r="I12" s="1"/>
    </row>
    <row r="13" spans="1:9" x14ac:dyDescent="0.3">
      <c r="A13" s="36" t="s">
        <v>115</v>
      </c>
      <c r="B13" s="1">
        <f>AMI!J6</f>
        <v>1269766</v>
      </c>
      <c r="C13" s="1">
        <f>AMI!S6</f>
        <v>402389</v>
      </c>
      <c r="D13" s="1"/>
      <c r="E13" s="1">
        <v>1269766</v>
      </c>
      <c r="F13" s="1">
        <v>402389</v>
      </c>
      <c r="H13" s="1">
        <f t="shared" ref="H13:I18" si="1">B13-E13</f>
        <v>0</v>
      </c>
      <c r="I13" s="1">
        <f t="shared" si="1"/>
        <v>0</v>
      </c>
    </row>
    <row r="14" spans="1:9" x14ac:dyDescent="0.3">
      <c r="A14" s="36" t="s">
        <v>116</v>
      </c>
      <c r="B14" s="1">
        <f>AMI!J7</f>
        <v>-238598</v>
      </c>
      <c r="C14" s="1">
        <f>AMI!S7</f>
        <v>-77412</v>
      </c>
      <c r="D14" s="1"/>
      <c r="E14" s="1">
        <v>-238598</v>
      </c>
      <c r="F14" s="1">
        <v>-77412</v>
      </c>
      <c r="H14" s="1">
        <f t="shared" si="1"/>
        <v>0</v>
      </c>
      <c r="I14" s="1">
        <f t="shared" si="1"/>
        <v>0</v>
      </c>
    </row>
    <row r="15" spans="1:9" x14ac:dyDescent="0.3">
      <c r="A15" s="36" t="s">
        <v>121</v>
      </c>
      <c r="B15" s="1">
        <f>AMI!J11</f>
        <v>21307530.619999997</v>
      </c>
      <c r="C15" s="1">
        <f>AMI!S11</f>
        <v>4410569</v>
      </c>
      <c r="D15" s="1"/>
      <c r="E15" s="1">
        <v>21307530.619999997</v>
      </c>
      <c r="F15" s="1">
        <v>4410569</v>
      </c>
      <c r="H15" s="1">
        <f t="shared" si="1"/>
        <v>0</v>
      </c>
      <c r="I15" s="1">
        <f t="shared" si="1"/>
        <v>0</v>
      </c>
    </row>
    <row r="16" spans="1:9" x14ac:dyDescent="0.3">
      <c r="A16" s="36" t="s">
        <v>117</v>
      </c>
      <c r="B16" s="1">
        <f>AMI!J12</f>
        <v>2378532</v>
      </c>
      <c r="C16" s="1">
        <f>AMI!S12</f>
        <v>867308</v>
      </c>
      <c r="D16" s="1"/>
      <c r="E16" s="1">
        <v>2378532</v>
      </c>
      <c r="F16" s="1">
        <v>867308</v>
      </c>
      <c r="H16" s="1">
        <f t="shared" si="1"/>
        <v>0</v>
      </c>
      <c r="I16" s="1">
        <f t="shared" si="1"/>
        <v>0</v>
      </c>
    </row>
    <row r="17" spans="1:10" x14ac:dyDescent="0.3">
      <c r="A17" s="36" t="s">
        <v>118</v>
      </c>
      <c r="B17" s="1">
        <f>AMI!J13</f>
        <v>30694932.130000003</v>
      </c>
      <c r="C17" s="1">
        <f>AMI!S13</f>
        <v>10117671.609999999</v>
      </c>
      <c r="D17" s="1"/>
      <c r="E17" s="1">
        <v>30694932.130000003</v>
      </c>
      <c r="F17" s="1">
        <v>10124680.609999999</v>
      </c>
      <c r="H17" s="1">
        <f t="shared" si="1"/>
        <v>0</v>
      </c>
      <c r="I17" s="1">
        <f t="shared" si="1"/>
        <v>-7009</v>
      </c>
    </row>
    <row r="18" spans="1:10" ht="15" thickBot="1" x14ac:dyDescent="0.35">
      <c r="A18" s="36" t="s">
        <v>119</v>
      </c>
      <c r="B18" s="1">
        <f>AMI!J14</f>
        <v>-2257282</v>
      </c>
      <c r="C18" s="1">
        <f>AMI!S14</f>
        <v>-151495</v>
      </c>
      <c r="D18" s="1"/>
      <c r="E18" s="1">
        <v>-2257282</v>
      </c>
      <c r="F18" s="1">
        <v>-151495</v>
      </c>
      <c r="H18" s="1">
        <f t="shared" si="1"/>
        <v>0</v>
      </c>
      <c r="I18" s="1">
        <f t="shared" si="1"/>
        <v>0</v>
      </c>
    </row>
    <row r="19" spans="1:10" ht="15" thickBot="1" x14ac:dyDescent="0.35">
      <c r="A19" t="s">
        <v>94</v>
      </c>
      <c r="B19" s="30">
        <f>SUM(B13:B18)</f>
        <v>53154880.75</v>
      </c>
      <c r="C19" s="29">
        <f>SUM(C13:C18)</f>
        <v>15569030.609999999</v>
      </c>
      <c r="D19" s="1"/>
      <c r="E19" s="46">
        <v>53154880.75</v>
      </c>
      <c r="F19" s="47">
        <v>15576039.609999999</v>
      </c>
      <c r="H19" s="30">
        <f>SUM(H13:H18)</f>
        <v>0</v>
      </c>
      <c r="I19" s="29">
        <f>SUM(I13:I18)</f>
        <v>-7009</v>
      </c>
    </row>
    <row r="20" spans="1:10" x14ac:dyDescent="0.3">
      <c r="B20" s="1"/>
      <c r="C20" s="1"/>
      <c r="D20" s="1"/>
      <c r="E20" s="1"/>
      <c r="F20" s="1"/>
      <c r="H20" s="1"/>
      <c r="I20" s="1"/>
    </row>
    <row r="21" spans="1:10" x14ac:dyDescent="0.3">
      <c r="A21" s="23" t="s">
        <v>88</v>
      </c>
      <c r="B21" s="1"/>
      <c r="C21" s="1"/>
      <c r="D21" s="1"/>
      <c r="E21" s="1"/>
      <c r="F21" s="1"/>
      <c r="H21" s="1"/>
      <c r="I21" s="1"/>
    </row>
    <row r="22" spans="1:10" x14ac:dyDescent="0.3">
      <c r="A22" t="s">
        <v>89</v>
      </c>
      <c r="B22" s="1">
        <v>-3384000</v>
      </c>
      <c r="C22" s="1">
        <v>-1019000</v>
      </c>
      <c r="D22" s="1"/>
      <c r="E22" s="1">
        <v>-3384000</v>
      </c>
      <c r="F22" s="1">
        <v>-1019000</v>
      </c>
      <c r="H22" s="1">
        <f t="shared" ref="H22:I23" si="2">B22-E22</f>
        <v>0</v>
      </c>
      <c r="I22" s="1">
        <f t="shared" si="2"/>
        <v>0</v>
      </c>
    </row>
    <row r="23" spans="1:10" ht="15" thickBot="1" x14ac:dyDescent="0.35">
      <c r="A23" t="s">
        <v>90</v>
      </c>
      <c r="B23" s="1">
        <f>AMI!J15</f>
        <v>-10945979.960000001</v>
      </c>
      <c r="C23" s="1">
        <f>AMI!S15</f>
        <v>-3202722.7</v>
      </c>
      <c r="D23" s="1"/>
      <c r="E23" s="1">
        <v>-10945979.960000001</v>
      </c>
      <c r="F23" s="1">
        <v>-3202722.7</v>
      </c>
      <c r="H23" s="1">
        <f t="shared" si="2"/>
        <v>0</v>
      </c>
      <c r="I23" s="1">
        <f t="shared" si="2"/>
        <v>0</v>
      </c>
    </row>
    <row r="24" spans="1:10" ht="15" thickBot="1" x14ac:dyDescent="0.35">
      <c r="A24" t="s">
        <v>95</v>
      </c>
      <c r="B24" s="30">
        <f>SUM(B22:B23)</f>
        <v>-14329979.960000001</v>
      </c>
      <c r="C24" s="29">
        <f>SUM(C22:C23)</f>
        <v>-4221722.7</v>
      </c>
      <c r="D24" s="1"/>
      <c r="E24" s="46">
        <v>-14329979.960000001</v>
      </c>
      <c r="F24" s="47">
        <v>-4221722.7</v>
      </c>
      <c r="H24" s="30">
        <f>SUM(H22:H23)</f>
        <v>0</v>
      </c>
      <c r="I24" s="29">
        <f>SUM(I22:I23)</f>
        <v>0</v>
      </c>
    </row>
    <row r="25" spans="1:10" x14ac:dyDescent="0.3">
      <c r="B25" s="1"/>
      <c r="C25" s="1"/>
      <c r="D25" s="1"/>
      <c r="E25" s="1"/>
      <c r="F25" s="1"/>
      <c r="H25" s="1"/>
      <c r="I25" s="1"/>
    </row>
    <row r="26" spans="1:10" ht="15" thickBot="1" x14ac:dyDescent="0.35">
      <c r="A26" t="s">
        <v>91</v>
      </c>
      <c r="B26" s="31">
        <f>SUM(B5,B10,B19,B24)</f>
        <v>87584177.517083317</v>
      </c>
      <c r="C26" s="31">
        <f>SUM(C5,C10,C19,C24)</f>
        <v>32676801.025416661</v>
      </c>
      <c r="D26" s="1"/>
      <c r="E26" s="48">
        <v>87584177.517083317</v>
      </c>
      <c r="F26" s="48">
        <v>33083704.025416661</v>
      </c>
      <c r="H26" s="31">
        <f>SUM(H5,H10,H19,H24)</f>
        <v>0</v>
      </c>
      <c r="I26" s="31">
        <f>SUM(I5,I10,I19,I24)</f>
        <v>-406903</v>
      </c>
    </row>
    <row r="27" spans="1:10" x14ac:dyDescent="0.3">
      <c r="B27" s="1"/>
      <c r="C27" s="1"/>
      <c r="D27" s="1"/>
      <c r="E27" s="1"/>
      <c r="F27" s="1"/>
      <c r="H27" s="1"/>
      <c r="I27" s="1"/>
    </row>
    <row r="28" spans="1:10" x14ac:dyDescent="0.3">
      <c r="A28" s="23" t="s">
        <v>99</v>
      </c>
      <c r="B28" s="1"/>
      <c r="C28" s="1"/>
      <c r="D28" s="1"/>
      <c r="E28" s="1"/>
      <c r="F28" s="1"/>
      <c r="H28" s="1"/>
      <c r="I28" s="1"/>
    </row>
    <row r="29" spans="1:10" x14ac:dyDescent="0.3">
      <c r="A29" t="s">
        <v>100</v>
      </c>
      <c r="B29" s="32">
        <v>-2832766</v>
      </c>
      <c r="C29" s="32">
        <v>-944255</v>
      </c>
      <c r="D29" s="1"/>
      <c r="E29" s="49">
        <v>-2832766</v>
      </c>
      <c r="F29" s="49">
        <v>-944255</v>
      </c>
      <c r="H29" s="1">
        <f>B29-E29</f>
        <v>0</v>
      </c>
      <c r="I29" s="1">
        <f>C29-F29</f>
        <v>0</v>
      </c>
      <c r="J29" t="s">
        <v>150</v>
      </c>
    </row>
    <row r="30" spans="1:10" x14ac:dyDescent="0.3">
      <c r="B30" s="28"/>
      <c r="C30" s="28"/>
      <c r="D30" s="1"/>
      <c r="E30" s="28"/>
      <c r="F30" s="28"/>
      <c r="H30" s="28"/>
      <c r="I30" s="28"/>
    </row>
    <row r="31" spans="1:10" x14ac:dyDescent="0.3">
      <c r="B31" s="1"/>
      <c r="C31" s="1"/>
      <c r="D31" s="1"/>
      <c r="E31" s="1"/>
      <c r="F31" s="1"/>
      <c r="H31" s="1"/>
      <c r="I31" s="1"/>
    </row>
    <row r="32" spans="1:10" x14ac:dyDescent="0.3">
      <c r="A32" t="s">
        <v>96</v>
      </c>
      <c r="B32" s="1"/>
      <c r="C32" s="1"/>
      <c r="D32" s="1"/>
      <c r="E32" s="1"/>
      <c r="F32" s="1"/>
      <c r="H32" s="1"/>
      <c r="I32" s="1"/>
    </row>
    <row r="33" spans="1:9" x14ac:dyDescent="0.3">
      <c r="A33" t="s">
        <v>101</v>
      </c>
      <c r="B33" s="33">
        <f>-AMI!C23</f>
        <v>-736925</v>
      </c>
      <c r="C33" s="1">
        <f>-AMI!L23</f>
        <v>-160830</v>
      </c>
      <c r="D33" s="1"/>
      <c r="E33" s="33">
        <v>-736925</v>
      </c>
      <c r="F33" s="1">
        <v>-160830</v>
      </c>
      <c r="H33" s="1">
        <f t="shared" ref="H33:I34" si="3">B33-E33</f>
        <v>0</v>
      </c>
      <c r="I33" s="1">
        <f t="shared" si="3"/>
        <v>0</v>
      </c>
    </row>
    <row r="34" spans="1:9" x14ac:dyDescent="0.3">
      <c r="A34" t="s">
        <v>102</v>
      </c>
      <c r="B34" s="33">
        <f>AMI!F22</f>
        <v>3063350</v>
      </c>
      <c r="C34" s="33">
        <f>AMI!O22</f>
        <v>998896</v>
      </c>
      <c r="D34" s="1"/>
      <c r="E34" s="33">
        <v>3063350</v>
      </c>
      <c r="F34" s="33">
        <v>1012161</v>
      </c>
      <c r="H34" s="1">
        <f t="shared" si="3"/>
        <v>0</v>
      </c>
      <c r="I34" s="1">
        <f t="shared" si="3"/>
        <v>-13265</v>
      </c>
    </row>
    <row r="35" spans="1:9" x14ac:dyDescent="0.3">
      <c r="A35" t="s">
        <v>141</v>
      </c>
      <c r="B35" s="29">
        <f>SUM(B33:B34)</f>
        <v>2326425</v>
      </c>
      <c r="C35" s="29">
        <f>SUM(C33:C34)</f>
        <v>838066</v>
      </c>
      <c r="D35" s="1"/>
      <c r="E35" s="47">
        <v>2326425</v>
      </c>
      <c r="F35" s="47">
        <v>851331</v>
      </c>
      <c r="H35" s="29">
        <f>SUM(H33:H34)</f>
        <v>0</v>
      </c>
      <c r="I35" s="29">
        <f>SUM(I33:I34)</f>
        <v>-13265</v>
      </c>
    </row>
    <row r="36" spans="1:9" x14ac:dyDescent="0.3">
      <c r="B36" s="1"/>
      <c r="C36" s="1"/>
      <c r="D36" s="1"/>
      <c r="E36" s="1"/>
      <c r="F36" s="1"/>
      <c r="H36" s="1"/>
      <c r="I36" s="1"/>
    </row>
    <row r="37" spans="1:9" x14ac:dyDescent="0.3">
      <c r="A37" t="s">
        <v>103</v>
      </c>
      <c r="B37" s="1"/>
      <c r="C37" s="1"/>
      <c r="D37" s="1"/>
      <c r="E37" s="1"/>
      <c r="F37" s="1"/>
      <c r="H37" s="1"/>
      <c r="I37" s="1"/>
    </row>
    <row r="38" spans="1:9" x14ac:dyDescent="0.3">
      <c r="A38" t="s">
        <v>104</v>
      </c>
      <c r="B38" s="33">
        <f>AMI!F24</f>
        <v>-97661</v>
      </c>
      <c r="C38" s="1">
        <f>AMI!O24</f>
        <v>-32932</v>
      </c>
      <c r="D38" s="1"/>
      <c r="E38" s="33">
        <v>-97661</v>
      </c>
      <c r="F38" s="1">
        <v>-32932</v>
      </c>
      <c r="H38" s="1">
        <f t="shared" ref="H38:I41" si="4">B38-E38</f>
        <v>0</v>
      </c>
      <c r="I38" s="1">
        <f t="shared" si="4"/>
        <v>0</v>
      </c>
    </row>
    <row r="39" spans="1:9" x14ac:dyDescent="0.3">
      <c r="A39" t="s">
        <v>106</v>
      </c>
      <c r="B39" s="33">
        <f>-AMI!C25</f>
        <v>-752825.36</v>
      </c>
      <c r="C39" s="1">
        <f>-AMI!L25</f>
        <v>-10957.47</v>
      </c>
      <c r="D39" s="1"/>
      <c r="E39" s="33">
        <v>-752825.36</v>
      </c>
      <c r="F39" s="1">
        <v>-10957.47</v>
      </c>
      <c r="H39" s="1">
        <f t="shared" si="4"/>
        <v>0</v>
      </c>
      <c r="I39" s="1">
        <f t="shared" si="4"/>
        <v>0</v>
      </c>
    </row>
    <row r="40" spans="1:9" x14ac:dyDescent="0.3">
      <c r="A40" t="s">
        <v>105</v>
      </c>
      <c r="B40" s="33">
        <f>-AMI!C26</f>
        <v>6697702.71</v>
      </c>
      <c r="C40" s="1">
        <f>-AMI!L26</f>
        <v>2239164.06</v>
      </c>
      <c r="D40" s="1"/>
      <c r="E40" s="33">
        <v>6697702.71</v>
      </c>
      <c r="F40" s="1">
        <v>2239164.06</v>
      </c>
      <c r="H40" s="1">
        <f t="shared" si="4"/>
        <v>0</v>
      </c>
      <c r="I40" s="1">
        <f t="shared" si="4"/>
        <v>0</v>
      </c>
    </row>
    <row r="41" spans="1:9" x14ac:dyDescent="0.3">
      <c r="A41" t="s">
        <v>97</v>
      </c>
      <c r="B41" s="33">
        <f>AMI!J27</f>
        <v>4286653.9090909092</v>
      </c>
      <c r="C41" s="1">
        <f>AMI!S27</f>
        <v>1296172.0791608386</v>
      </c>
      <c r="D41" s="1"/>
      <c r="E41" s="33">
        <v>4286653.9090909092</v>
      </c>
      <c r="F41" s="1">
        <v>1296172.0791608386</v>
      </c>
      <c r="H41" s="1">
        <f t="shared" si="4"/>
        <v>0</v>
      </c>
      <c r="I41" s="1">
        <f t="shared" si="4"/>
        <v>0</v>
      </c>
    </row>
    <row r="42" spans="1:9" x14ac:dyDescent="0.3">
      <c r="A42" t="s">
        <v>107</v>
      </c>
      <c r="B42" s="29">
        <f>SUM(B38:B41)</f>
        <v>10133870.259090908</v>
      </c>
      <c r="C42" s="29">
        <f>SUM(C38:C41)</f>
        <v>3491446.6691608382</v>
      </c>
      <c r="D42" s="1"/>
      <c r="E42" s="47">
        <v>10133442.259090908</v>
      </c>
      <c r="F42" s="47">
        <v>3491324.6691608382</v>
      </c>
      <c r="H42" s="29">
        <f>SUM(H38:H41)</f>
        <v>0</v>
      </c>
      <c r="I42" s="29">
        <f>SUM(I38:I41)</f>
        <v>0</v>
      </c>
    </row>
    <row r="43" spans="1:9" x14ac:dyDescent="0.3">
      <c r="B43" s="1"/>
      <c r="C43" s="1"/>
      <c r="D43" s="1"/>
      <c r="E43" s="1"/>
      <c r="F43" s="1"/>
      <c r="H43" s="1"/>
      <c r="I43" s="1"/>
    </row>
    <row r="44" spans="1:9" ht="15" thickBot="1" x14ac:dyDescent="0.35">
      <c r="A44" t="s">
        <v>98</v>
      </c>
      <c r="B44" s="4">
        <f>SUM(B29,B35,B42)</f>
        <v>9627529.2590909079</v>
      </c>
      <c r="C44" s="4">
        <f>SUM(C29,C35,C42)</f>
        <v>3385257.6691608382</v>
      </c>
      <c r="D44" s="1"/>
      <c r="E44" s="4">
        <f t="shared" ref="E44:F44" si="5">SUM(E29,E35,E42)</f>
        <v>9627101.2590909079</v>
      </c>
      <c r="F44" s="4">
        <f t="shared" si="5"/>
        <v>3398400.6691608382</v>
      </c>
      <c r="H44" s="4">
        <f>SUM(H29,H35,H42)</f>
        <v>0</v>
      </c>
      <c r="I44" s="4">
        <f>SUM(I29,I35,I42)</f>
        <v>-13265</v>
      </c>
    </row>
    <row r="45" spans="1:9" x14ac:dyDescent="0.3">
      <c r="B45" s="1"/>
      <c r="C45" s="1"/>
      <c r="D45" s="1"/>
      <c r="E45" s="1"/>
      <c r="F45" s="1"/>
      <c r="H45" s="1"/>
      <c r="I45" s="1"/>
    </row>
    <row r="46" spans="1:9" x14ac:dyDescent="0.3">
      <c r="A46" s="41" t="s">
        <v>146</v>
      </c>
      <c r="B46" s="1"/>
      <c r="C46" s="1"/>
      <c r="D46" s="1"/>
      <c r="E46" s="1"/>
      <c r="F46" s="1"/>
      <c r="H46" s="1"/>
      <c r="I46" s="1"/>
    </row>
    <row r="47" spans="1:9" x14ac:dyDescent="0.3">
      <c r="A47" s="41" t="s">
        <v>147</v>
      </c>
      <c r="B47" s="1">
        <f>B44*-0.21</f>
        <v>-2021781.1444090905</v>
      </c>
      <c r="C47" s="1">
        <f>C44*-0.21</f>
        <v>-710904.11052377603</v>
      </c>
      <c r="D47" s="1"/>
      <c r="E47" s="1">
        <f>E44*-0.21</f>
        <v>-2021691.2644090906</v>
      </c>
      <c r="F47" s="1">
        <f>F44*-0.21</f>
        <v>-713664.14052377595</v>
      </c>
      <c r="H47" s="1">
        <f>H44*-0.21</f>
        <v>0</v>
      </c>
      <c r="I47" s="1">
        <f>I44*-0.21</f>
        <v>2785.65</v>
      </c>
    </row>
    <row r="48" spans="1:9" x14ac:dyDescent="0.3">
      <c r="A48" s="41" t="s">
        <v>148</v>
      </c>
      <c r="B48" s="1">
        <f>B26*B54*-0.21</f>
        <v>-456138.39650896983</v>
      </c>
      <c r="C48" s="1">
        <f>C26*C54*-0.21</f>
        <v>-170180.77974036994</v>
      </c>
      <c r="D48" s="1"/>
      <c r="E48" s="1">
        <f>E26*E54*-0.21</f>
        <v>-456138.39650896983</v>
      </c>
      <c r="F48" s="1">
        <f>F26*F54*-0.21</f>
        <v>-172299.93056436995</v>
      </c>
      <c r="H48" s="1">
        <f>H26*H54*-0.21</f>
        <v>0</v>
      </c>
      <c r="I48" s="1">
        <f>I26*I54*-0.21</f>
        <v>2119.1508239999998</v>
      </c>
    </row>
    <row r="49" spans="1:9" ht="15" thickBot="1" x14ac:dyDescent="0.35">
      <c r="A49" s="43" t="s">
        <v>149</v>
      </c>
      <c r="B49" s="45">
        <f>-B44-(B47+B48)</f>
        <v>-7149609.7181728473</v>
      </c>
      <c r="C49" s="45">
        <f>-C44-(C47+C48)</f>
        <v>-2504172.7788966922</v>
      </c>
      <c r="D49" s="1"/>
      <c r="E49" s="50">
        <f>-E44-(E47+E48)</f>
        <v>-7149271.5981728472</v>
      </c>
      <c r="F49" s="50">
        <f>-F44-(F47+F48)</f>
        <v>-2512436.5980726923</v>
      </c>
      <c r="H49" s="1">
        <f>-H44-(H47+H48)</f>
        <v>0</v>
      </c>
      <c r="I49" s="1">
        <f>-I44-(I47+I48)</f>
        <v>8360.1991760000001</v>
      </c>
    </row>
    <row r="50" spans="1:9" ht="15.6" thickTop="1" thickBot="1" x14ac:dyDescent="0.35">
      <c r="B50" s="1"/>
      <c r="C50" s="1"/>
      <c r="D50" s="1"/>
      <c r="E50" s="1"/>
      <c r="F50" s="1"/>
      <c r="H50" s="1"/>
      <c r="I50" s="1"/>
    </row>
    <row r="51" spans="1:9" ht="15" thickBot="1" x14ac:dyDescent="0.35">
      <c r="A51" t="s">
        <v>142</v>
      </c>
      <c r="B51" s="1">
        <f>(B26*B53-B49)/B55</f>
        <v>18081851.712964933</v>
      </c>
      <c r="C51" s="1">
        <f>(C26*C53-C49)/C55</f>
        <v>6529985.8003441701</v>
      </c>
      <c r="D51" s="1"/>
      <c r="E51" s="1">
        <f>(E26*E53-E49)/E55</f>
        <v>18081404.046228539</v>
      </c>
      <c r="F51" s="1">
        <f>(F26*F53-F49)/F55</f>
        <v>6580954.9753621109</v>
      </c>
      <c r="H51" s="30">
        <f>(H26*H53-H49)/H55</f>
        <v>0</v>
      </c>
      <c r="I51" s="30">
        <f>(I26*I53-I49)/I55</f>
        <v>-51096.780956819464</v>
      </c>
    </row>
    <row r="52" spans="1:9" x14ac:dyDescent="0.3">
      <c r="B52" s="1"/>
      <c r="C52" s="1"/>
      <c r="D52" s="1"/>
      <c r="E52" s="1"/>
      <c r="F52" s="1"/>
      <c r="H52" s="1"/>
      <c r="I52" s="1"/>
    </row>
    <row r="53" spans="1:9" x14ac:dyDescent="0.3">
      <c r="A53" s="41" t="s">
        <v>143</v>
      </c>
      <c r="B53" s="42">
        <v>7.4300000000000005E-2</v>
      </c>
      <c r="C53" s="42">
        <v>7.4300000000000005E-2</v>
      </c>
      <c r="D53" s="1"/>
      <c r="E53" s="42">
        <v>7.4300000000000005E-2</v>
      </c>
      <c r="F53" s="42">
        <v>7.4300000000000005E-2</v>
      </c>
      <c r="H53" s="42">
        <v>7.4300000000000005E-2</v>
      </c>
      <c r="I53" s="42">
        <v>7.4300000000000005E-2</v>
      </c>
    </row>
    <row r="54" spans="1:9" x14ac:dyDescent="0.3">
      <c r="A54" s="41" t="s">
        <v>144</v>
      </c>
      <c r="B54" s="42">
        <v>2.4799999999999999E-2</v>
      </c>
      <c r="C54" s="42">
        <v>2.4799999999999999E-2</v>
      </c>
      <c r="D54" s="1"/>
      <c r="E54" s="42">
        <v>2.4799999999999999E-2</v>
      </c>
      <c r="F54" s="42">
        <v>2.4799999999999999E-2</v>
      </c>
      <c r="H54" s="42">
        <v>2.4799999999999999E-2</v>
      </c>
      <c r="I54" s="42">
        <v>2.4799999999999999E-2</v>
      </c>
    </row>
    <row r="55" spans="1:9" x14ac:dyDescent="0.3">
      <c r="A55" s="41" t="s">
        <v>145</v>
      </c>
      <c r="B55" s="43">
        <v>0.75529400000000002</v>
      </c>
      <c r="C55" s="43">
        <v>0.75529400000000002</v>
      </c>
      <c r="D55" s="1"/>
      <c r="E55" s="43">
        <v>0.75529400000000002</v>
      </c>
      <c r="F55" s="43">
        <v>0.75529400000000002</v>
      </c>
      <c r="H55" s="43">
        <v>0.75529400000000002</v>
      </c>
      <c r="I55" s="43">
        <v>0.75529400000000002</v>
      </c>
    </row>
    <row r="56" spans="1:9" x14ac:dyDescent="0.3">
      <c r="B56" s="1"/>
      <c r="C56" s="1"/>
      <c r="D56" s="1"/>
      <c r="E56" s="1"/>
      <c r="F56" s="1"/>
      <c r="H56" s="1"/>
      <c r="I56" s="1"/>
    </row>
    <row r="57" spans="1:9" x14ac:dyDescent="0.3">
      <c r="B57" s="1"/>
      <c r="C57" s="1"/>
      <c r="D57" s="1"/>
      <c r="E57" s="1"/>
      <c r="F57" s="1"/>
      <c r="H57" s="1"/>
      <c r="I57" s="1"/>
    </row>
    <row r="58" spans="1:9" x14ac:dyDescent="0.3">
      <c r="B58" s="1"/>
      <c r="C58" s="1"/>
      <c r="D58" s="1"/>
      <c r="E58" s="1"/>
      <c r="F58" s="1"/>
      <c r="H58" s="1"/>
      <c r="I58" s="1"/>
    </row>
    <row r="59" spans="1:9" x14ac:dyDescent="0.3">
      <c r="B59" s="1"/>
      <c r="C59" s="1"/>
      <c r="D59" s="1"/>
      <c r="E59" s="1"/>
      <c r="F59" s="1"/>
      <c r="H59" s="1"/>
      <c r="I59" s="1"/>
    </row>
  </sheetData>
  <mergeCells count="3">
    <mergeCell ref="B1:C1"/>
    <mergeCell ref="E1:F1"/>
    <mergeCell ref="H1:I1"/>
  </mergeCells>
  <pageMargins left="0.7" right="0.7" top="0.75" bottom="0.75" header="0.3" footer="0.3"/>
  <pageSetup scale="57" orientation="portrait" r:id="rId1"/>
  <headerFooter>
    <oddFooter>&amp;LAvista
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B26"/>
  <sheetViews>
    <sheetView workbookViewId="0"/>
  </sheetViews>
  <sheetFormatPr defaultRowHeight="14.4" x14ac:dyDescent="0.3"/>
  <sheetData>
    <row r="4" spans="2:2" x14ac:dyDescent="0.3">
      <c r="B4" t="s">
        <v>122</v>
      </c>
    </row>
    <row r="6" spans="2:2" x14ac:dyDescent="0.3">
      <c r="B6" t="s">
        <v>123</v>
      </c>
    </row>
    <row r="7" spans="2:2" x14ac:dyDescent="0.3">
      <c r="B7" t="s">
        <v>124</v>
      </c>
    </row>
    <row r="8" spans="2:2" x14ac:dyDescent="0.3">
      <c r="B8" t="s">
        <v>125</v>
      </c>
    </row>
    <row r="10" spans="2:2" x14ac:dyDescent="0.3">
      <c r="B10" t="s">
        <v>126</v>
      </c>
    </row>
    <row r="11" spans="2:2" x14ac:dyDescent="0.3">
      <c r="B11" t="s">
        <v>127</v>
      </c>
    </row>
    <row r="13" spans="2:2" x14ac:dyDescent="0.3">
      <c r="B13" t="s">
        <v>128</v>
      </c>
    </row>
    <row r="14" spans="2:2" x14ac:dyDescent="0.3">
      <c r="B14" t="s">
        <v>129</v>
      </c>
    </row>
    <row r="15" spans="2:2" x14ac:dyDescent="0.3">
      <c r="B15" t="s">
        <v>130</v>
      </c>
    </row>
    <row r="17" spans="2:2" x14ac:dyDescent="0.3">
      <c r="B17" t="s">
        <v>131</v>
      </c>
    </row>
    <row r="18" spans="2:2" x14ac:dyDescent="0.3">
      <c r="B18" t="s">
        <v>132</v>
      </c>
    </row>
    <row r="20" spans="2:2" x14ac:dyDescent="0.3">
      <c r="B20" t="s">
        <v>133</v>
      </c>
    </row>
    <row r="21" spans="2:2" x14ac:dyDescent="0.3">
      <c r="B21" t="s">
        <v>134</v>
      </c>
    </row>
    <row r="22" spans="2:2" x14ac:dyDescent="0.3">
      <c r="B22" t="s">
        <v>135</v>
      </c>
    </row>
    <row r="23" spans="2:2" x14ac:dyDescent="0.3">
      <c r="B23" t="s">
        <v>136</v>
      </c>
    </row>
    <row r="25" spans="2:2" x14ac:dyDescent="0.3">
      <c r="B25" t="s">
        <v>137</v>
      </c>
    </row>
    <row r="26" spans="2:2" x14ac:dyDescent="0.3">
      <c r="B26" t="s">
        <v>138</v>
      </c>
    </row>
  </sheetData>
  <pageMargins left="0.7" right="0.7" top="0.75" bottom="0.75" header="0.3" footer="0.3"/>
  <pageSetup orientation="portrait" r:id="rId1"/>
  <headerFooter>
    <oddHeader>&amp;C&amp;14Instructions</oddHeader>
    <oddFooter>&amp;LAvista
&amp;F
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workbookViewId="0">
      <selection activeCell="B34" sqref="B34"/>
    </sheetView>
  </sheetViews>
  <sheetFormatPr defaultRowHeight="14.4" x14ac:dyDescent="0.3"/>
  <cols>
    <col min="1" max="1" width="68.33203125" bestFit="1" customWidth="1"/>
    <col min="2" max="2" width="14.6640625" bestFit="1" customWidth="1"/>
    <col min="3" max="3" width="13.6640625" bestFit="1" customWidth="1"/>
    <col min="4" max="4" width="1.33203125" customWidth="1"/>
    <col min="5" max="5" width="14.6640625" bestFit="1" customWidth="1"/>
    <col min="6" max="6" width="13.6640625" bestFit="1" customWidth="1"/>
    <col min="7" max="7" width="1.5546875" customWidth="1"/>
    <col min="8" max="8" width="14.6640625" bestFit="1" customWidth="1"/>
    <col min="9" max="9" width="13.6640625" bestFit="1" customWidth="1"/>
  </cols>
  <sheetData>
    <row r="1" spans="1:9" ht="15" thickBot="1" x14ac:dyDescent="0.35">
      <c r="B1" s="53" t="s">
        <v>139</v>
      </c>
      <c r="C1" s="54"/>
      <c r="E1" s="51" t="s">
        <v>152</v>
      </c>
      <c r="F1" s="52"/>
      <c r="H1" s="55" t="s">
        <v>140</v>
      </c>
      <c r="I1" s="56"/>
    </row>
    <row r="2" spans="1:9" x14ac:dyDescent="0.3">
      <c r="A2" s="23" t="s">
        <v>3</v>
      </c>
      <c r="B2" s="22" t="s">
        <v>58</v>
      </c>
      <c r="C2" s="22" t="s">
        <v>86</v>
      </c>
      <c r="E2" s="22" t="s">
        <v>58</v>
      </c>
      <c r="F2" s="22" t="s">
        <v>86</v>
      </c>
      <c r="H2" s="22" t="s">
        <v>58</v>
      </c>
      <c r="I2" s="22" t="s">
        <v>86</v>
      </c>
    </row>
    <row r="3" spans="1:9" x14ac:dyDescent="0.3">
      <c r="A3" t="s">
        <v>85</v>
      </c>
      <c r="B3" s="1">
        <f>-AMI!C32</f>
        <v>-24366497.947500002</v>
      </c>
      <c r="C3" s="1">
        <f>-AMI!L32</f>
        <v>-5267726.5995833334</v>
      </c>
      <c r="D3" s="1"/>
      <c r="E3" s="1">
        <v>-24366497.947500002</v>
      </c>
      <c r="F3" s="1">
        <v>-5267726.5995833334</v>
      </c>
      <c r="H3" s="1">
        <f>B3-E3</f>
        <v>0</v>
      </c>
      <c r="I3" s="1">
        <f>C3-F3</f>
        <v>0</v>
      </c>
    </row>
    <row r="4" spans="1:9" ht="15" thickBot="1" x14ac:dyDescent="0.35">
      <c r="A4" s="36" t="s">
        <v>120</v>
      </c>
      <c r="B4" s="39">
        <f>AMI!J3</f>
        <v>100944477</v>
      </c>
      <c r="C4" s="39">
        <f>AMI!S3</f>
        <v>35763785</v>
      </c>
      <c r="D4" s="1"/>
      <c r="E4" s="39">
        <v>105563963</v>
      </c>
      <c r="F4" s="39">
        <v>38538823</v>
      </c>
      <c r="G4" s="35"/>
      <c r="H4" s="1">
        <f>B4-E4</f>
        <v>-4619486</v>
      </c>
      <c r="I4" s="1">
        <f>C4-F4</f>
        <v>-2775038</v>
      </c>
    </row>
    <row r="5" spans="1:9" ht="15" thickBot="1" x14ac:dyDescent="0.35">
      <c r="A5" s="36" t="s">
        <v>92</v>
      </c>
      <c r="B5" s="30">
        <f>SUM(B3:B4)</f>
        <v>76577979.052499995</v>
      </c>
      <c r="C5" s="29">
        <f>SUM(C3:C4)</f>
        <v>30496058.400416665</v>
      </c>
      <c r="D5" s="1"/>
      <c r="E5" s="46">
        <v>81197465.052499995</v>
      </c>
      <c r="F5" s="47">
        <v>33271096.400416665</v>
      </c>
      <c r="H5" s="30">
        <f>SUM(H3:H4)</f>
        <v>-4619486</v>
      </c>
      <c r="I5" s="29">
        <f>SUM(I3:I4)</f>
        <v>-2775038</v>
      </c>
    </row>
    <row r="6" spans="1:9" x14ac:dyDescent="0.3">
      <c r="A6" s="36"/>
      <c r="B6" s="1"/>
      <c r="C6" s="1"/>
      <c r="D6" s="1"/>
      <c r="E6" s="1"/>
      <c r="F6" s="1"/>
      <c r="H6" s="1"/>
      <c r="I6" s="1"/>
    </row>
    <row r="7" spans="1:9" x14ac:dyDescent="0.3">
      <c r="A7" s="35" t="s">
        <v>4</v>
      </c>
      <c r="B7" s="1"/>
      <c r="C7" s="1"/>
      <c r="D7" s="1"/>
      <c r="E7" s="1"/>
      <c r="F7" s="1"/>
      <c r="H7" s="1"/>
      <c r="I7" s="1"/>
    </row>
    <row r="8" spans="1:9" x14ac:dyDescent="0.3">
      <c r="A8" s="36" t="s">
        <v>85</v>
      </c>
      <c r="B8" s="1">
        <f>-AMI!C33</f>
        <v>2631818.6745833331</v>
      </c>
      <c r="C8" s="1">
        <f>-AMI!L33</f>
        <v>867206.7150000002</v>
      </c>
      <c r="D8" s="1"/>
      <c r="E8" s="1">
        <v>2631818.6745833331</v>
      </c>
      <c r="F8" s="1">
        <v>867206.7150000002</v>
      </c>
      <c r="H8" s="1">
        <f t="shared" ref="H8:H9" si="0">B8-E8</f>
        <v>0</v>
      </c>
      <c r="I8" s="1">
        <f t="shared" ref="I8:I9" si="1">C8-F8</f>
        <v>0</v>
      </c>
    </row>
    <row r="9" spans="1:9" ht="15" thickBot="1" x14ac:dyDescent="0.35">
      <c r="A9" s="36" t="s">
        <v>120</v>
      </c>
      <c r="B9" s="39">
        <f>AMI!J4</f>
        <v>-30450521</v>
      </c>
      <c r="C9" s="39">
        <f>AMI!S4</f>
        <v>-10033772</v>
      </c>
      <c r="D9" s="1"/>
      <c r="E9" s="39">
        <v>-30640538</v>
      </c>
      <c r="F9" s="39">
        <v>-10133198</v>
      </c>
      <c r="H9" s="1">
        <f t="shared" si="0"/>
        <v>190017</v>
      </c>
      <c r="I9" s="1">
        <f t="shared" si="1"/>
        <v>99426</v>
      </c>
    </row>
    <row r="10" spans="1:9" ht="15" thickBot="1" x14ac:dyDescent="0.35">
      <c r="A10" s="36" t="s">
        <v>93</v>
      </c>
      <c r="B10" s="30">
        <f>SUM(B8:B9)</f>
        <v>-27818702.325416666</v>
      </c>
      <c r="C10" s="29">
        <f>SUM(C8:C9)</f>
        <v>-9166565.2850000001</v>
      </c>
      <c r="D10" s="1"/>
      <c r="E10" s="46">
        <v>-28008719.325416666</v>
      </c>
      <c r="F10" s="47">
        <v>-9265991.2850000001</v>
      </c>
      <c r="H10" s="30">
        <f>SUM(H8:H9)</f>
        <v>190017</v>
      </c>
      <c r="I10" s="29">
        <f>SUM(I8:I9)</f>
        <v>99426</v>
      </c>
    </row>
    <row r="11" spans="1:9" x14ac:dyDescent="0.3">
      <c r="A11" s="36"/>
      <c r="B11" s="1"/>
      <c r="C11" s="1"/>
      <c r="D11" s="1"/>
      <c r="E11" s="1"/>
      <c r="F11" s="1"/>
      <c r="H11" s="1"/>
      <c r="I11" s="1"/>
    </row>
    <row r="12" spans="1:9" x14ac:dyDescent="0.3">
      <c r="A12" s="35" t="s">
        <v>87</v>
      </c>
      <c r="B12" s="1"/>
      <c r="C12" s="1"/>
      <c r="D12" s="1"/>
      <c r="E12" s="1"/>
      <c r="F12" s="1"/>
      <c r="H12" s="1"/>
      <c r="I12" s="1"/>
    </row>
    <row r="13" spans="1:9" x14ac:dyDescent="0.3">
      <c r="A13" s="36" t="s">
        <v>115</v>
      </c>
      <c r="B13" s="1">
        <f>AMI!J6</f>
        <v>1269766</v>
      </c>
      <c r="C13" s="1">
        <f>AMI!S6</f>
        <v>402389</v>
      </c>
      <c r="D13" s="1"/>
      <c r="E13" s="1">
        <v>1269766</v>
      </c>
      <c r="F13" s="1">
        <v>402389</v>
      </c>
      <c r="H13" s="1">
        <f t="shared" ref="H13:H18" si="2">B13-E13</f>
        <v>0</v>
      </c>
      <c r="I13" s="1">
        <f t="shared" ref="I13:I18" si="3">C13-F13</f>
        <v>0</v>
      </c>
    </row>
    <row r="14" spans="1:9" x14ac:dyDescent="0.3">
      <c r="A14" s="36" t="s">
        <v>116</v>
      </c>
      <c r="B14" s="1">
        <f>AMI!J7</f>
        <v>-238598</v>
      </c>
      <c r="C14" s="1">
        <f>AMI!S7</f>
        <v>-77412</v>
      </c>
      <c r="D14" s="1"/>
      <c r="E14" s="1">
        <v>-238598</v>
      </c>
      <c r="F14" s="1">
        <v>-77412</v>
      </c>
      <c r="H14" s="1">
        <f t="shared" si="2"/>
        <v>0</v>
      </c>
      <c r="I14" s="1">
        <f t="shared" si="3"/>
        <v>0</v>
      </c>
    </row>
    <row r="15" spans="1:9" x14ac:dyDescent="0.3">
      <c r="A15" s="36" t="s">
        <v>121</v>
      </c>
      <c r="B15" s="1">
        <f>AMI!J11</f>
        <v>21307530.619999997</v>
      </c>
      <c r="C15" s="1">
        <f>AMI!S11</f>
        <v>4410569</v>
      </c>
      <c r="D15" s="1"/>
      <c r="E15" s="1">
        <v>21307530.619999997</v>
      </c>
      <c r="F15" s="1">
        <v>4410569</v>
      </c>
      <c r="H15" s="1">
        <f t="shared" si="2"/>
        <v>0</v>
      </c>
      <c r="I15" s="1">
        <f t="shared" si="3"/>
        <v>0</v>
      </c>
    </row>
    <row r="16" spans="1:9" x14ac:dyDescent="0.3">
      <c r="A16" s="36" t="s">
        <v>117</v>
      </c>
      <c r="B16" s="1">
        <f>AMI!J12</f>
        <v>2378532</v>
      </c>
      <c r="C16" s="1">
        <f>AMI!S12</f>
        <v>867308</v>
      </c>
      <c r="D16" s="1"/>
      <c r="E16" s="1">
        <v>2378532</v>
      </c>
      <c r="F16" s="1">
        <v>867308</v>
      </c>
      <c r="H16" s="1">
        <f t="shared" si="2"/>
        <v>0</v>
      </c>
      <c r="I16" s="1">
        <f t="shared" si="3"/>
        <v>0</v>
      </c>
    </row>
    <row r="17" spans="1:10" x14ac:dyDescent="0.3">
      <c r="A17" s="36" t="s">
        <v>118</v>
      </c>
      <c r="B17" s="1">
        <f>AMI!J13</f>
        <v>30694932.130000003</v>
      </c>
      <c r="C17" s="1">
        <f>AMI!S13</f>
        <v>10117671.609999999</v>
      </c>
      <c r="D17" s="1"/>
      <c r="E17" s="1">
        <v>30884949.130000003</v>
      </c>
      <c r="F17" s="1">
        <v>10217097.609999999</v>
      </c>
      <c r="H17" s="1">
        <f t="shared" si="2"/>
        <v>-190017</v>
      </c>
      <c r="I17" s="1">
        <f t="shared" si="3"/>
        <v>-99426</v>
      </c>
    </row>
    <row r="18" spans="1:10" ht="15" thickBot="1" x14ac:dyDescent="0.35">
      <c r="A18" s="36" t="s">
        <v>119</v>
      </c>
      <c r="B18" s="1">
        <f>AMI!J14</f>
        <v>-2257282</v>
      </c>
      <c r="C18" s="1">
        <f>AMI!S14</f>
        <v>-151495</v>
      </c>
      <c r="D18" s="1"/>
      <c r="E18" s="1">
        <v>-2257282</v>
      </c>
      <c r="F18" s="1">
        <v>-151495</v>
      </c>
      <c r="H18" s="1">
        <f t="shared" si="2"/>
        <v>0</v>
      </c>
      <c r="I18" s="1">
        <f t="shared" si="3"/>
        <v>0</v>
      </c>
    </row>
    <row r="19" spans="1:10" ht="15" thickBot="1" x14ac:dyDescent="0.35">
      <c r="A19" t="s">
        <v>94</v>
      </c>
      <c r="B19" s="30">
        <f>SUM(B13:B18)</f>
        <v>53154880.75</v>
      </c>
      <c r="C19" s="29">
        <f>SUM(C13:C18)</f>
        <v>15569030.609999999</v>
      </c>
      <c r="D19" s="1"/>
      <c r="E19" s="46">
        <v>53344897.75</v>
      </c>
      <c r="F19" s="47">
        <v>15668456.609999999</v>
      </c>
      <c r="H19" s="30">
        <f>SUM(H13:H18)</f>
        <v>-190017</v>
      </c>
      <c r="I19" s="29">
        <f>SUM(I13:I18)</f>
        <v>-99426</v>
      </c>
    </row>
    <row r="20" spans="1:10" x14ac:dyDescent="0.3">
      <c r="B20" s="1"/>
      <c r="C20" s="1"/>
      <c r="D20" s="1"/>
      <c r="E20" s="1"/>
      <c r="F20" s="1"/>
      <c r="H20" s="1"/>
      <c r="I20" s="1"/>
    </row>
    <row r="21" spans="1:10" x14ac:dyDescent="0.3">
      <c r="A21" s="23" t="s">
        <v>88</v>
      </c>
      <c r="B21" s="1"/>
      <c r="C21" s="1"/>
      <c r="D21" s="1"/>
      <c r="E21" s="1"/>
      <c r="F21" s="1"/>
      <c r="H21" s="1"/>
      <c r="I21" s="1"/>
    </row>
    <row r="22" spans="1:10" x14ac:dyDescent="0.3">
      <c r="A22" t="s">
        <v>89</v>
      </c>
      <c r="B22" s="1">
        <v>-3384000</v>
      </c>
      <c r="C22" s="1">
        <v>-1019000</v>
      </c>
      <c r="D22" s="1"/>
      <c r="E22" s="1">
        <v>-3384000</v>
      </c>
      <c r="F22" s="1">
        <v>-1019000</v>
      </c>
      <c r="H22" s="1">
        <f t="shared" ref="H22:H23" si="4">B22-E22</f>
        <v>0</v>
      </c>
      <c r="I22" s="1">
        <f t="shared" ref="I22:I23" si="5">C22-F22</f>
        <v>0</v>
      </c>
    </row>
    <row r="23" spans="1:10" ht="15" thickBot="1" x14ac:dyDescent="0.35">
      <c r="A23" t="s">
        <v>90</v>
      </c>
      <c r="B23" s="1">
        <f>AMI!J15</f>
        <v>-10945979.960000001</v>
      </c>
      <c r="C23" s="1">
        <f>AMI!S15</f>
        <v>-3202722.7</v>
      </c>
      <c r="D23" s="1"/>
      <c r="E23" s="1">
        <v>-10985882.960000001</v>
      </c>
      <c r="F23" s="1">
        <v>-3222130.7</v>
      </c>
      <c r="H23" s="1">
        <f t="shared" si="4"/>
        <v>39903</v>
      </c>
      <c r="I23" s="1">
        <f t="shared" si="5"/>
        <v>19408</v>
      </c>
    </row>
    <row r="24" spans="1:10" ht="15" thickBot="1" x14ac:dyDescent="0.35">
      <c r="A24" t="s">
        <v>95</v>
      </c>
      <c r="B24" s="30">
        <f>SUM(B22:B23)</f>
        <v>-14329979.960000001</v>
      </c>
      <c r="C24" s="29">
        <f>SUM(C22:C23)</f>
        <v>-4221722.7</v>
      </c>
      <c r="D24" s="1"/>
      <c r="E24" s="46">
        <v>-14369882.960000001</v>
      </c>
      <c r="F24" s="47">
        <v>-4241130.7</v>
      </c>
      <c r="H24" s="30">
        <f>SUM(H22:H23)</f>
        <v>39903</v>
      </c>
      <c r="I24" s="29">
        <f>SUM(I22:I23)</f>
        <v>19408</v>
      </c>
    </row>
    <row r="25" spans="1:10" x14ac:dyDescent="0.3">
      <c r="B25" s="1"/>
      <c r="C25" s="1"/>
      <c r="D25" s="1"/>
      <c r="E25" s="1"/>
      <c r="F25" s="1"/>
      <c r="H25" s="1"/>
      <c r="I25" s="1"/>
    </row>
    <row r="26" spans="1:10" ht="15" thickBot="1" x14ac:dyDescent="0.35">
      <c r="A26" t="s">
        <v>91</v>
      </c>
      <c r="B26" s="31">
        <f>SUM(B5,B10,B19,B24)</f>
        <v>87584177.517083317</v>
      </c>
      <c r="C26" s="31">
        <f>SUM(C5,C10,C19,C24)</f>
        <v>32676801.025416661</v>
      </c>
      <c r="D26" s="1"/>
      <c r="E26" s="48">
        <v>92163760.517083317</v>
      </c>
      <c r="F26" s="48">
        <v>35432431.025416657</v>
      </c>
      <c r="H26" s="31">
        <f>SUM(H5,H10,H19,H24)</f>
        <v>-4579583</v>
      </c>
      <c r="I26" s="31">
        <f>SUM(I5,I10,I19,I24)</f>
        <v>-2755630</v>
      </c>
    </row>
    <row r="27" spans="1:10" x14ac:dyDescent="0.3">
      <c r="B27" s="1"/>
      <c r="C27" s="1"/>
      <c r="D27" s="1"/>
      <c r="E27" s="1"/>
      <c r="F27" s="1"/>
      <c r="H27" s="1"/>
      <c r="I27" s="1"/>
    </row>
    <row r="28" spans="1:10" x14ac:dyDescent="0.3">
      <c r="A28" s="23" t="s">
        <v>99</v>
      </c>
      <c r="B28" s="1"/>
      <c r="C28" s="1"/>
      <c r="D28" s="1"/>
      <c r="E28" s="1"/>
      <c r="F28" s="1"/>
      <c r="H28" s="1"/>
      <c r="I28" s="1"/>
    </row>
    <row r="29" spans="1:10" x14ac:dyDescent="0.3">
      <c r="A29" t="s">
        <v>100</v>
      </c>
      <c r="B29" s="32">
        <v>-2832766</v>
      </c>
      <c r="C29" s="32">
        <v>-944255</v>
      </c>
      <c r="D29" s="1"/>
      <c r="E29" s="49">
        <f>-3189057+203250</f>
        <v>-2985807</v>
      </c>
      <c r="F29" s="49">
        <f>-1063019+67750</f>
        <v>-995269</v>
      </c>
      <c r="H29" s="1">
        <f>B29-E29</f>
        <v>153041</v>
      </c>
      <c r="I29" s="1">
        <f>C29-F29</f>
        <v>51014</v>
      </c>
      <c r="J29" t="s">
        <v>150</v>
      </c>
    </row>
    <row r="30" spans="1:10" x14ac:dyDescent="0.3">
      <c r="B30" s="28"/>
      <c r="C30" s="28"/>
      <c r="D30" s="1"/>
      <c r="E30" s="28"/>
      <c r="F30" s="28"/>
      <c r="H30" s="28"/>
      <c r="I30" s="28"/>
    </row>
    <row r="31" spans="1:10" x14ac:dyDescent="0.3">
      <c r="B31" s="1"/>
      <c r="C31" s="1"/>
      <c r="D31" s="1"/>
      <c r="E31" s="1"/>
      <c r="F31" s="1"/>
      <c r="H31" s="1"/>
      <c r="I31" s="1"/>
    </row>
    <row r="32" spans="1:10" x14ac:dyDescent="0.3">
      <c r="A32" t="s">
        <v>96</v>
      </c>
      <c r="B32" s="1"/>
      <c r="C32" s="1"/>
      <c r="D32" s="1"/>
      <c r="E32" s="1"/>
      <c r="F32" s="1"/>
      <c r="H32" s="1"/>
      <c r="I32" s="1"/>
    </row>
    <row r="33" spans="1:9" x14ac:dyDescent="0.3">
      <c r="A33" t="s">
        <v>101</v>
      </c>
      <c r="B33" s="33">
        <f>-AMI!C23</f>
        <v>-736925</v>
      </c>
      <c r="C33" s="1">
        <f>-AMI!L23</f>
        <v>-160830</v>
      </c>
      <c r="D33" s="1"/>
      <c r="E33" s="33">
        <v>-736925</v>
      </c>
      <c r="F33" s="1">
        <v>-160830</v>
      </c>
      <c r="H33" s="1">
        <f t="shared" ref="H33:H34" si="6">B33-E33</f>
        <v>0</v>
      </c>
      <c r="I33" s="1">
        <f t="shared" ref="I33:I34" si="7">C33-F33</f>
        <v>0</v>
      </c>
    </row>
    <row r="34" spans="1:9" x14ac:dyDescent="0.3">
      <c r="A34" t="s">
        <v>102</v>
      </c>
      <c r="B34" s="33">
        <f>AMI!F22</f>
        <v>3063350</v>
      </c>
      <c r="C34" s="33">
        <f>AMI!O22</f>
        <v>998896</v>
      </c>
      <c r="D34" s="1"/>
      <c r="E34" s="33">
        <v>3251840</v>
      </c>
      <c r="F34" s="33">
        <v>1126085</v>
      </c>
      <c r="H34" s="1">
        <f t="shared" si="6"/>
        <v>-188490</v>
      </c>
      <c r="I34" s="1">
        <f t="shared" si="7"/>
        <v>-127189</v>
      </c>
    </row>
    <row r="35" spans="1:9" x14ac:dyDescent="0.3">
      <c r="A35" t="s">
        <v>141</v>
      </c>
      <c r="B35" s="29">
        <f>SUM(B33:B34)</f>
        <v>2326425</v>
      </c>
      <c r="C35" s="29">
        <f>SUM(C33:C34)</f>
        <v>838066</v>
      </c>
      <c r="D35" s="1"/>
      <c r="E35" s="47">
        <v>2514915</v>
      </c>
      <c r="F35" s="47">
        <v>965255</v>
      </c>
      <c r="H35" s="29">
        <f>SUM(H33:H34)</f>
        <v>-188490</v>
      </c>
      <c r="I35" s="29">
        <f>SUM(I33:I34)</f>
        <v>-127189</v>
      </c>
    </row>
    <row r="36" spans="1:9" x14ac:dyDescent="0.3">
      <c r="B36" s="1"/>
      <c r="C36" s="1"/>
      <c r="D36" s="1"/>
      <c r="E36" s="1"/>
      <c r="F36" s="1"/>
      <c r="H36" s="1"/>
      <c r="I36" s="1"/>
    </row>
    <row r="37" spans="1:9" x14ac:dyDescent="0.3">
      <c r="A37" t="s">
        <v>103</v>
      </c>
      <c r="B37" s="1"/>
      <c r="C37" s="1"/>
      <c r="D37" s="1"/>
      <c r="E37" s="1"/>
      <c r="F37" s="1"/>
      <c r="H37" s="1"/>
      <c r="I37" s="1"/>
    </row>
    <row r="38" spans="1:9" x14ac:dyDescent="0.3">
      <c r="A38" t="s">
        <v>104</v>
      </c>
      <c r="B38" s="33">
        <f>AMI!F24</f>
        <v>-97661</v>
      </c>
      <c r="C38" s="1">
        <f>AMI!O24</f>
        <v>-32932</v>
      </c>
      <c r="D38" s="1"/>
      <c r="E38" s="33">
        <v>-98089</v>
      </c>
      <c r="F38" s="1">
        <v>-33054</v>
      </c>
      <c r="H38" s="1">
        <f t="shared" ref="H38:H41" si="8">B38-E38</f>
        <v>428</v>
      </c>
      <c r="I38" s="1">
        <f t="shared" ref="I38:I41" si="9">C38-F38</f>
        <v>122</v>
      </c>
    </row>
    <row r="39" spans="1:9" x14ac:dyDescent="0.3">
      <c r="A39" t="s">
        <v>106</v>
      </c>
      <c r="B39" s="33">
        <f>-AMI!C25</f>
        <v>-752825.36</v>
      </c>
      <c r="C39" s="1">
        <f>-AMI!L25</f>
        <v>-10957.47</v>
      </c>
      <c r="D39" s="1"/>
      <c r="E39" s="33">
        <v>-752825.36</v>
      </c>
      <c r="F39" s="1">
        <v>-10957.47</v>
      </c>
      <c r="H39" s="1">
        <f t="shared" si="8"/>
        <v>0</v>
      </c>
      <c r="I39" s="1">
        <f t="shared" si="9"/>
        <v>0</v>
      </c>
    </row>
    <row r="40" spans="1:9" x14ac:dyDescent="0.3">
      <c r="A40" t="s">
        <v>105</v>
      </c>
      <c r="B40" s="33">
        <f>-AMI!C26</f>
        <v>6697702.71</v>
      </c>
      <c r="C40" s="1">
        <f>-AMI!L26</f>
        <v>2239164.06</v>
      </c>
      <c r="D40" s="1"/>
      <c r="E40" s="33">
        <v>6697702.71</v>
      </c>
      <c r="F40" s="1">
        <v>2239164.06</v>
      </c>
      <c r="H40" s="1">
        <f t="shared" si="8"/>
        <v>0</v>
      </c>
      <c r="I40" s="1">
        <f t="shared" si="9"/>
        <v>0</v>
      </c>
    </row>
    <row r="41" spans="1:9" x14ac:dyDescent="0.3">
      <c r="A41" t="s">
        <v>97</v>
      </c>
      <c r="B41" s="33">
        <f>AMI!J27</f>
        <v>4286653.9090909092</v>
      </c>
      <c r="C41" s="1">
        <f>AMI!S27</f>
        <v>1296172.0791608386</v>
      </c>
      <c r="D41" s="1"/>
      <c r="E41" s="33">
        <v>4286653.9090909092</v>
      </c>
      <c r="F41" s="1">
        <v>1296172.0791608386</v>
      </c>
      <c r="H41" s="1">
        <f t="shared" si="8"/>
        <v>0</v>
      </c>
      <c r="I41" s="1">
        <f t="shared" si="9"/>
        <v>0</v>
      </c>
    </row>
    <row r="42" spans="1:9" x14ac:dyDescent="0.3">
      <c r="A42" t="s">
        <v>107</v>
      </c>
      <c r="B42" s="29">
        <f>SUM(B38:B41)</f>
        <v>10133870.259090908</v>
      </c>
      <c r="C42" s="29">
        <f>SUM(C38:C41)</f>
        <v>3491446.6691608382</v>
      </c>
      <c r="D42" s="1"/>
      <c r="E42" s="47">
        <v>10133442.259090908</v>
      </c>
      <c r="F42" s="47">
        <v>3491324.6691608382</v>
      </c>
      <c r="H42" s="29">
        <f>SUM(H38:H41)</f>
        <v>428</v>
      </c>
      <c r="I42" s="29">
        <f>SUM(I38:I41)</f>
        <v>122</v>
      </c>
    </row>
    <row r="43" spans="1:9" x14ac:dyDescent="0.3">
      <c r="B43" s="1"/>
      <c r="C43" s="1"/>
      <c r="D43" s="1"/>
      <c r="E43" s="1"/>
      <c r="F43" s="1"/>
      <c r="H43" s="1"/>
      <c r="I43" s="1"/>
    </row>
    <row r="44" spans="1:9" ht="15" thickBot="1" x14ac:dyDescent="0.35">
      <c r="A44" t="s">
        <v>98</v>
      </c>
      <c r="B44" s="4">
        <f>SUM(B29,B35,B42)</f>
        <v>9627529.2590909079</v>
      </c>
      <c r="C44" s="4">
        <f>SUM(C29,C35,C42)</f>
        <v>3385257.6691608382</v>
      </c>
      <c r="D44" s="1"/>
      <c r="E44" s="4">
        <f t="shared" ref="E44:F44" si="10">SUM(E29,E35,E42)</f>
        <v>9662550.2590909079</v>
      </c>
      <c r="F44" s="4">
        <f t="shared" si="10"/>
        <v>3461310.6691608382</v>
      </c>
      <c r="H44" s="4">
        <f>SUM(H29,H35,H42)</f>
        <v>-35021</v>
      </c>
      <c r="I44" s="4">
        <f>SUM(I29,I35,I42)</f>
        <v>-76053</v>
      </c>
    </row>
    <row r="45" spans="1:9" x14ac:dyDescent="0.3">
      <c r="B45" s="1"/>
      <c r="C45" s="1"/>
      <c r="D45" s="1"/>
      <c r="E45" s="1"/>
      <c r="F45" s="1"/>
      <c r="H45" s="1"/>
      <c r="I45" s="1"/>
    </row>
    <row r="46" spans="1:9" x14ac:dyDescent="0.3">
      <c r="A46" s="41" t="s">
        <v>146</v>
      </c>
      <c r="B46" s="1"/>
      <c r="C46" s="1"/>
      <c r="D46" s="1"/>
      <c r="E46" s="1"/>
      <c r="F46" s="1"/>
      <c r="H46" s="1"/>
      <c r="I46" s="1"/>
    </row>
    <row r="47" spans="1:9" x14ac:dyDescent="0.3">
      <c r="A47" s="41" t="s">
        <v>147</v>
      </c>
      <c r="B47" s="1">
        <f>B44*-0.21</f>
        <v>-2021781.1444090905</v>
      </c>
      <c r="C47" s="1">
        <f>C44*-0.21</f>
        <v>-710904.11052377603</v>
      </c>
      <c r="D47" s="1"/>
      <c r="E47" s="1">
        <f>E44*-0.21</f>
        <v>-2029135.5544090907</v>
      </c>
      <c r="F47" s="1">
        <f>F44*-0.21</f>
        <v>-726875.24052377604</v>
      </c>
      <c r="H47" s="1">
        <f>H44*-0.21</f>
        <v>7354.41</v>
      </c>
      <c r="I47" s="1">
        <f>I44*-0.21</f>
        <v>15971.13</v>
      </c>
    </row>
    <row r="48" spans="1:9" x14ac:dyDescent="0.3">
      <c r="A48" s="41" t="s">
        <v>148</v>
      </c>
      <c r="B48" s="1">
        <f>B26*B54*-0.21</f>
        <v>-456138.39650896983</v>
      </c>
      <c r="C48" s="1">
        <f>C26*C54*-0.21</f>
        <v>-170180.77974036994</v>
      </c>
      <c r="D48" s="1"/>
      <c r="E48" s="1">
        <f>E26*E54*-0.21</f>
        <v>-479988.86477296986</v>
      </c>
      <c r="F48" s="1">
        <f>F26*F54*-0.21</f>
        <v>-184532.10078036995</v>
      </c>
      <c r="H48" s="1">
        <f>H26*H54*-0.21</f>
        <v>23850.468263999999</v>
      </c>
      <c r="I48" s="1">
        <f>I26*I54*-0.21</f>
        <v>14351.321039999999</v>
      </c>
    </row>
    <row r="49" spans="1:9" ht="15" thickBot="1" x14ac:dyDescent="0.35">
      <c r="A49" s="43" t="s">
        <v>149</v>
      </c>
      <c r="B49" s="45">
        <f>-B44-(B47+B48)</f>
        <v>-7149609.7181728473</v>
      </c>
      <c r="C49" s="45">
        <f>-C44-(C47+C48)</f>
        <v>-2504172.7788966922</v>
      </c>
      <c r="D49" s="1"/>
      <c r="E49" s="50">
        <f>-E44-(E47+E48)</f>
        <v>-7153425.8399088476</v>
      </c>
      <c r="F49" s="50">
        <f>-F44-(F47+F48)</f>
        <v>-2549903.3278566925</v>
      </c>
      <c r="H49" s="1">
        <f>-H44-(H47+H48)</f>
        <v>3816.121736000001</v>
      </c>
      <c r="I49" s="1">
        <f>-I44-(I47+I48)</f>
        <v>45730.54896</v>
      </c>
    </row>
    <row r="50" spans="1:9" ht="15.6" thickTop="1" thickBot="1" x14ac:dyDescent="0.35">
      <c r="B50" s="1"/>
      <c r="C50" s="1"/>
      <c r="D50" s="1"/>
      <c r="E50" s="1"/>
      <c r="F50" s="1"/>
      <c r="H50" s="1"/>
      <c r="I50" s="1"/>
    </row>
    <row r="51" spans="1:9" ht="15" thickBot="1" x14ac:dyDescent="0.35">
      <c r="A51" t="s">
        <v>142</v>
      </c>
      <c r="B51" s="1">
        <f>(B26*B53-B49)/B55</f>
        <v>18081851.712964933</v>
      </c>
      <c r="C51" s="1">
        <f>(C26*C53-C49)/C55</f>
        <v>6529985.8003441701</v>
      </c>
      <c r="D51" s="1"/>
      <c r="E51" s="1">
        <f>(E26*E53-E49)/E55</f>
        <v>18537408.275887452</v>
      </c>
      <c r="F51" s="1">
        <f>(F26*F53-F49)/F55</f>
        <v>6861610.1187685197</v>
      </c>
      <c r="H51" s="30">
        <f>(H26*H53-H49)/H55</f>
        <v>-455556.56292251765</v>
      </c>
      <c r="I51" s="30">
        <f>(I26*I53-I49)/I55</f>
        <v>-331624.31842434866</v>
      </c>
    </row>
    <row r="52" spans="1:9" x14ac:dyDescent="0.3">
      <c r="B52" s="1"/>
      <c r="C52" s="1"/>
      <c r="D52" s="1"/>
      <c r="E52" s="1"/>
      <c r="F52" s="1"/>
      <c r="H52" s="1"/>
      <c r="I52" s="1"/>
    </row>
    <row r="53" spans="1:9" x14ac:dyDescent="0.3">
      <c r="A53" s="41" t="s">
        <v>143</v>
      </c>
      <c r="B53" s="42">
        <v>7.4300000000000005E-2</v>
      </c>
      <c r="C53" s="42">
        <v>7.4300000000000005E-2</v>
      </c>
      <c r="D53" s="1"/>
      <c r="E53" s="42">
        <v>7.4300000000000005E-2</v>
      </c>
      <c r="F53" s="42">
        <v>7.4300000000000005E-2</v>
      </c>
      <c r="H53" s="42">
        <v>7.4300000000000005E-2</v>
      </c>
      <c r="I53" s="42">
        <v>7.4300000000000005E-2</v>
      </c>
    </row>
    <row r="54" spans="1:9" x14ac:dyDescent="0.3">
      <c r="A54" s="41" t="s">
        <v>144</v>
      </c>
      <c r="B54" s="42">
        <v>2.4799999999999999E-2</v>
      </c>
      <c r="C54" s="42">
        <v>2.4799999999999999E-2</v>
      </c>
      <c r="D54" s="1"/>
      <c r="E54" s="42">
        <v>2.4799999999999999E-2</v>
      </c>
      <c r="F54" s="42">
        <v>2.4799999999999999E-2</v>
      </c>
      <c r="H54" s="42">
        <v>2.4799999999999999E-2</v>
      </c>
      <c r="I54" s="42">
        <v>2.4799999999999999E-2</v>
      </c>
    </row>
    <row r="55" spans="1:9" x14ac:dyDescent="0.3">
      <c r="A55" s="41" t="s">
        <v>145</v>
      </c>
      <c r="B55" s="43">
        <v>0.75529400000000002</v>
      </c>
      <c r="C55" s="43">
        <v>0.75529400000000002</v>
      </c>
      <c r="D55" s="1"/>
      <c r="E55" s="43">
        <v>0.75529400000000002</v>
      </c>
      <c r="F55" s="43">
        <v>0.75529400000000002</v>
      </c>
      <c r="H55" s="43">
        <v>0.75529400000000002</v>
      </c>
      <c r="I55" s="43">
        <v>0.75529400000000002</v>
      </c>
    </row>
    <row r="56" spans="1:9" x14ac:dyDescent="0.3">
      <c r="B56" s="1"/>
      <c r="C56" s="1"/>
      <c r="D56" s="1"/>
      <c r="E56" s="1"/>
      <c r="F56" s="1"/>
      <c r="H56" s="1"/>
      <c r="I56" s="1"/>
    </row>
    <row r="57" spans="1:9" x14ac:dyDescent="0.3">
      <c r="B57" s="1"/>
      <c r="C57" s="1"/>
      <c r="D57" s="1"/>
      <c r="E57" s="1"/>
      <c r="F57" s="1"/>
      <c r="H57" s="1"/>
      <c r="I57" s="1"/>
    </row>
    <row r="58" spans="1:9" x14ac:dyDescent="0.3">
      <c r="B58" s="1"/>
      <c r="C58" s="1"/>
      <c r="D58" s="1"/>
      <c r="E58" s="1"/>
      <c r="F58" s="1"/>
      <c r="H58" s="1"/>
      <c r="I58" s="1"/>
    </row>
    <row r="59" spans="1:9" x14ac:dyDescent="0.3">
      <c r="B59" s="1"/>
      <c r="C59" s="1"/>
      <c r="D59" s="1"/>
      <c r="E59" s="1"/>
      <c r="F59" s="1"/>
      <c r="H59" s="1"/>
      <c r="I59" s="1"/>
    </row>
  </sheetData>
  <mergeCells count="3">
    <mergeCell ref="E1:F1"/>
    <mergeCell ref="B1:C1"/>
    <mergeCell ref="H1:I1"/>
  </mergeCells>
  <pageMargins left="0.7" right="0.7" top="0.75" bottom="0.75" header="0.3" footer="0.3"/>
  <pageSetup scale="57" orientation="portrait" r:id="rId1"/>
  <headerFooter>
    <oddFooter>&amp;LAvista
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O23" sqref="O23"/>
    </sheetView>
  </sheetViews>
  <sheetFormatPr defaultRowHeight="14.4" x14ac:dyDescent="0.3"/>
  <cols>
    <col min="1" max="1" width="7" bestFit="1" customWidth="1"/>
    <col min="2" max="2" width="32.33203125" customWidth="1"/>
    <col min="3" max="3" width="12.6640625" style="1" bestFit="1" customWidth="1"/>
    <col min="4" max="4" width="11.5546875" style="1" bestFit="1" customWidth="1"/>
    <col min="5" max="5" width="12.6640625" style="1" bestFit="1" customWidth="1"/>
    <col min="6" max="6" width="13.109375" style="1" bestFit="1" customWidth="1"/>
    <col min="7" max="7" width="12.33203125" style="1" bestFit="1" customWidth="1"/>
    <col min="8" max="8" width="10.44140625" style="1" bestFit="1" customWidth="1"/>
    <col min="9" max="9" width="12.33203125" style="1" bestFit="1" customWidth="1"/>
    <col min="10" max="10" width="12.5546875" style="1" bestFit="1" customWidth="1"/>
    <col min="11" max="11" width="1" style="1" customWidth="1"/>
    <col min="12" max="12" width="12.6640625" style="1" bestFit="1" customWidth="1"/>
    <col min="13" max="13" width="12.5546875" bestFit="1" customWidth="1"/>
    <col min="14" max="14" width="12.33203125" bestFit="1" customWidth="1"/>
    <col min="15" max="15" width="11.6640625" customWidth="1"/>
    <col min="16" max="16" width="12.33203125" bestFit="1" customWidth="1"/>
    <col min="17" max="17" width="10.109375" bestFit="1" customWidth="1"/>
    <col min="18" max="18" width="12" bestFit="1" customWidth="1"/>
    <col min="19" max="19" width="13.109375" bestFit="1" customWidth="1"/>
  </cols>
  <sheetData>
    <row r="1" spans="1:20" ht="16.8" thickBot="1" x14ac:dyDescent="0.5">
      <c r="C1" s="57" t="s">
        <v>12</v>
      </c>
      <c r="D1" s="58"/>
      <c r="E1" s="58"/>
      <c r="F1" s="58"/>
      <c r="G1" s="58"/>
      <c r="H1" s="58"/>
      <c r="I1" s="58"/>
      <c r="J1" s="59"/>
      <c r="K1" s="12"/>
      <c r="L1" s="57" t="s">
        <v>13</v>
      </c>
      <c r="M1" s="58"/>
      <c r="N1" s="58"/>
      <c r="O1" s="58"/>
      <c r="P1" s="58"/>
      <c r="Q1" s="58"/>
      <c r="R1" s="58"/>
      <c r="S1" s="59"/>
    </row>
    <row r="2" spans="1:20" s="10" customFormat="1" ht="28.8" x14ac:dyDescent="0.3">
      <c r="C2" s="10" t="s">
        <v>5</v>
      </c>
      <c r="D2" s="11" t="s">
        <v>19</v>
      </c>
      <c r="E2" s="11" t="s">
        <v>21</v>
      </c>
      <c r="F2" s="11" t="s">
        <v>22</v>
      </c>
      <c r="G2" s="11" t="s">
        <v>23</v>
      </c>
      <c r="H2" s="11" t="s">
        <v>55</v>
      </c>
      <c r="I2" s="11" t="s">
        <v>56</v>
      </c>
      <c r="J2" s="11" t="s">
        <v>20</v>
      </c>
      <c r="K2" s="13"/>
      <c r="L2" s="10" t="s">
        <v>5</v>
      </c>
      <c r="M2" s="10" t="s">
        <v>19</v>
      </c>
      <c r="N2" s="11" t="s">
        <v>21</v>
      </c>
      <c r="O2" s="11" t="s">
        <v>22</v>
      </c>
      <c r="P2" s="11" t="s">
        <v>23</v>
      </c>
      <c r="Q2" s="11" t="s">
        <v>55</v>
      </c>
      <c r="R2" s="10" t="s">
        <v>57</v>
      </c>
      <c r="S2" s="11" t="s">
        <v>20</v>
      </c>
    </row>
    <row r="3" spans="1:20" x14ac:dyDescent="0.3">
      <c r="A3">
        <v>101000</v>
      </c>
      <c r="B3" t="s">
        <v>3</v>
      </c>
      <c r="C3" s="1">
        <v>76766276</v>
      </c>
      <c r="E3" s="1">
        <f>100944477-C3</f>
        <v>24178201</v>
      </c>
      <c r="J3" s="39">
        <f>SUM(C3:I3)</f>
        <v>100944477</v>
      </c>
      <c r="K3" s="14"/>
      <c r="L3" s="1">
        <v>28958728.07</v>
      </c>
      <c r="M3" s="2"/>
      <c r="N3" s="2">
        <f>35763785-$L$3</f>
        <v>6805056.9299999997</v>
      </c>
      <c r="S3" s="40">
        <f>SUM(L3:R3)</f>
        <v>35763785</v>
      </c>
      <c r="T3" t="s">
        <v>151</v>
      </c>
    </row>
    <row r="4" spans="1:20" x14ac:dyDescent="0.3">
      <c r="A4">
        <v>108000</v>
      </c>
      <c r="B4" t="s">
        <v>4</v>
      </c>
      <c r="C4" s="1">
        <v>-9561793</v>
      </c>
      <c r="F4" s="1">
        <f>-30450521-$C$4</f>
        <v>-20888728</v>
      </c>
      <c r="J4" s="39">
        <f t="shared" ref="J4:J15" si="0">SUM(C4:I4)</f>
        <v>-30450521</v>
      </c>
      <c r="K4" s="14"/>
      <c r="L4" s="1">
        <v>-3104782.29</v>
      </c>
      <c r="M4" s="2"/>
      <c r="N4" s="2"/>
      <c r="O4" s="2">
        <f>-10033772-$L$4</f>
        <v>-6928989.71</v>
      </c>
      <c r="S4" s="40">
        <f t="shared" ref="S4:S15" si="1">SUM(L4:R4)</f>
        <v>-10033772</v>
      </c>
      <c r="T4" t="s">
        <v>151</v>
      </c>
    </row>
    <row r="5" spans="1:20" x14ac:dyDescent="0.3">
      <c r="A5">
        <v>282900</v>
      </c>
      <c r="B5" t="s">
        <v>0</v>
      </c>
      <c r="C5" s="1">
        <v>-3960277</v>
      </c>
      <c r="D5" s="1">
        <f>-C5</f>
        <v>3960277</v>
      </c>
      <c r="J5" s="1">
        <f t="shared" si="0"/>
        <v>0</v>
      </c>
      <c r="K5" s="14"/>
      <c r="L5" s="1">
        <v>-1178781</v>
      </c>
      <c r="M5" s="1">
        <v>1178781</v>
      </c>
      <c r="S5" s="2">
        <f t="shared" si="1"/>
        <v>0</v>
      </c>
    </row>
    <row r="6" spans="1:20" x14ac:dyDescent="0.3">
      <c r="A6">
        <v>182332</v>
      </c>
      <c r="B6" t="s">
        <v>1</v>
      </c>
      <c r="C6" s="1">
        <v>1272537.2</v>
      </c>
      <c r="E6" s="1">
        <f>1269766-C6</f>
        <v>-2771.1999999999534</v>
      </c>
      <c r="J6" s="1">
        <f t="shared" si="0"/>
        <v>1269766</v>
      </c>
      <c r="K6" s="14"/>
      <c r="L6" s="1">
        <v>403176.48</v>
      </c>
      <c r="M6" s="2"/>
      <c r="N6" s="2">
        <f>402389-L6</f>
        <v>-787.47999999998137</v>
      </c>
      <c r="S6" s="2">
        <f t="shared" si="1"/>
        <v>402389</v>
      </c>
    </row>
    <row r="7" spans="1:20" x14ac:dyDescent="0.3">
      <c r="A7">
        <v>182318</v>
      </c>
      <c r="B7" t="s">
        <v>2</v>
      </c>
      <c r="C7" s="1">
        <v>-144869.15</v>
      </c>
      <c r="F7" s="1">
        <f>-238598-$C$7</f>
        <v>-93728.85</v>
      </c>
      <c r="J7" s="1">
        <f t="shared" si="0"/>
        <v>-238598</v>
      </c>
      <c r="K7" s="14"/>
      <c r="L7" s="1">
        <v>-47710.23</v>
      </c>
      <c r="M7" s="2"/>
      <c r="N7" s="2"/>
      <c r="O7" s="2">
        <f>-77412-$L$7</f>
        <v>-29701.769999999997</v>
      </c>
      <c r="S7" s="2">
        <f t="shared" si="1"/>
        <v>-77412</v>
      </c>
    </row>
    <row r="8" spans="1:20" x14ac:dyDescent="0.3">
      <c r="A8">
        <v>101000</v>
      </c>
      <c r="B8" t="s">
        <v>6</v>
      </c>
      <c r="C8" s="1">
        <v>12170770.77</v>
      </c>
      <c r="G8" s="1">
        <v>-12170770.77</v>
      </c>
      <c r="J8" s="1">
        <f t="shared" si="0"/>
        <v>0</v>
      </c>
      <c r="K8" s="14"/>
      <c r="L8" s="1">
        <v>3570867.189999999</v>
      </c>
      <c r="M8" s="2"/>
      <c r="P8" s="2">
        <v>-3570867.189999999</v>
      </c>
      <c r="Q8" s="2"/>
      <c r="S8" s="2">
        <f t="shared" si="1"/>
        <v>0</v>
      </c>
    </row>
    <row r="9" spans="1:20" x14ac:dyDescent="0.3">
      <c r="A9">
        <v>108000</v>
      </c>
      <c r="B9" t="s">
        <v>7</v>
      </c>
      <c r="C9" s="1">
        <v>9136759.8499999996</v>
      </c>
      <c r="G9" s="1">
        <v>-9136759.8499999996</v>
      </c>
      <c r="J9" s="1">
        <f t="shared" si="0"/>
        <v>0</v>
      </c>
      <c r="K9" s="14"/>
      <c r="L9" s="1">
        <v>839701.99999999977</v>
      </c>
      <c r="M9" s="2"/>
      <c r="P9" s="2">
        <v>-839701.99999999977</v>
      </c>
      <c r="Q9" s="2"/>
      <c r="S9" s="2">
        <f t="shared" si="1"/>
        <v>0</v>
      </c>
    </row>
    <row r="10" spans="1:20" x14ac:dyDescent="0.3">
      <c r="A10">
        <v>108121</v>
      </c>
      <c r="B10" t="s">
        <v>8</v>
      </c>
      <c r="C10" s="1">
        <v>-11327198</v>
      </c>
      <c r="G10" s="1">
        <v>11327198</v>
      </c>
      <c r="J10" s="1">
        <f t="shared" si="0"/>
        <v>0</v>
      </c>
      <c r="K10" s="14"/>
      <c r="L10" s="1">
        <v>-1725106</v>
      </c>
      <c r="M10" s="2"/>
      <c r="P10" s="2">
        <v>1725106</v>
      </c>
      <c r="Q10" s="2"/>
      <c r="S10" s="2">
        <f t="shared" si="1"/>
        <v>0</v>
      </c>
    </row>
    <row r="11" spans="1:20" x14ac:dyDescent="0.3">
      <c r="A11">
        <v>182331</v>
      </c>
      <c r="B11" t="s">
        <v>15</v>
      </c>
      <c r="C11" s="3">
        <v>11327198</v>
      </c>
      <c r="D11" s="3"/>
      <c r="F11" s="3"/>
      <c r="G11" s="3">
        <f>-(G8+G9+G10)</f>
        <v>9980332.6199999973</v>
      </c>
      <c r="H11" s="3"/>
      <c r="I11" s="3"/>
      <c r="J11" s="1">
        <f t="shared" si="0"/>
        <v>21307530.619999997</v>
      </c>
      <c r="K11" s="15"/>
      <c r="L11" s="3">
        <v>1725106</v>
      </c>
      <c r="M11" s="2"/>
      <c r="P11" s="2">
        <v>2685463</v>
      </c>
      <c r="Q11" s="2"/>
      <c r="S11" s="2">
        <f t="shared" si="1"/>
        <v>4410569</v>
      </c>
    </row>
    <row r="12" spans="1:20" x14ac:dyDescent="0.3">
      <c r="A12">
        <v>182336</v>
      </c>
      <c r="B12" t="s">
        <v>9</v>
      </c>
      <c r="C12" s="3">
        <v>390089.78999999986</v>
      </c>
      <c r="D12" s="3"/>
      <c r="E12" s="3"/>
      <c r="F12" s="3"/>
      <c r="G12" s="3"/>
      <c r="H12" s="3">
        <f>2378532-C12</f>
        <v>1988442.2100000002</v>
      </c>
      <c r="I12" s="3"/>
      <c r="J12" s="1">
        <f t="shared" si="0"/>
        <v>2378532</v>
      </c>
      <c r="K12" s="15"/>
      <c r="L12" s="3">
        <v>133275.12</v>
      </c>
      <c r="M12" s="2"/>
      <c r="Q12" s="3">
        <f>867308-L12</f>
        <v>734032.88</v>
      </c>
      <c r="S12" s="2">
        <f t="shared" si="1"/>
        <v>867308</v>
      </c>
    </row>
    <row r="13" spans="1:20" x14ac:dyDescent="0.3">
      <c r="A13">
        <v>182337</v>
      </c>
      <c r="B13" t="s">
        <v>10</v>
      </c>
      <c r="C13" s="3">
        <v>9712475.2799999993</v>
      </c>
      <c r="D13" s="3"/>
      <c r="E13" s="3"/>
      <c r="F13" s="3">
        <f>-(F4+F7)</f>
        <v>20982456.850000001</v>
      </c>
      <c r="G13" s="3"/>
      <c r="H13" s="3"/>
      <c r="I13" s="3"/>
      <c r="J13" s="1">
        <f t="shared" si="0"/>
        <v>30694932.130000003</v>
      </c>
      <c r="K13" s="15"/>
      <c r="L13" s="3">
        <v>3158980.13</v>
      </c>
      <c r="M13" s="2"/>
      <c r="O13" s="3">
        <f>-(O4+O7)</f>
        <v>6958691.4799999995</v>
      </c>
      <c r="S13" s="2">
        <f t="shared" si="1"/>
        <v>10117671.609999999</v>
      </c>
    </row>
    <row r="14" spans="1:20" x14ac:dyDescent="0.3">
      <c r="A14">
        <v>254332</v>
      </c>
      <c r="B14" t="s">
        <v>11</v>
      </c>
      <c r="C14" s="3">
        <v>-940670.00000000012</v>
      </c>
      <c r="D14" s="3"/>
      <c r="E14" s="3"/>
      <c r="F14" s="3"/>
      <c r="G14" s="3"/>
      <c r="H14" s="3">
        <f>-2257282-C14</f>
        <v>-1316612</v>
      </c>
      <c r="I14" s="3"/>
      <c r="J14" s="1">
        <f t="shared" si="0"/>
        <v>-2257282</v>
      </c>
      <c r="K14" s="15"/>
      <c r="L14" s="3">
        <v>-11732.89</v>
      </c>
      <c r="M14" s="2"/>
      <c r="Q14" s="3">
        <f>-151495-L14</f>
        <v>-139762.10999999999</v>
      </c>
      <c r="S14" s="2">
        <f t="shared" si="1"/>
        <v>-151495</v>
      </c>
    </row>
    <row r="15" spans="1:20" x14ac:dyDescent="0.3">
      <c r="A15">
        <v>283436</v>
      </c>
      <c r="B15" t="s">
        <v>16</v>
      </c>
      <c r="C15" s="5">
        <v>-4302709.57</v>
      </c>
      <c r="D15" s="5">
        <f>-C15-C20</f>
        <v>2378711.6100000003</v>
      </c>
      <c r="E15" s="5"/>
      <c r="F15" s="5"/>
      <c r="G15" s="5"/>
      <c r="H15" s="5"/>
      <c r="I15" s="5">
        <v>-9021982</v>
      </c>
      <c r="J15" s="7">
        <f t="shared" si="0"/>
        <v>-10945979.960000001</v>
      </c>
      <c r="K15" s="16"/>
      <c r="L15" s="5">
        <v>-1051181.97</v>
      </c>
      <c r="M15" s="5">
        <f>-L15-L20</f>
        <v>362272.27</v>
      </c>
      <c r="N15" s="8"/>
      <c r="O15" s="8"/>
      <c r="P15" s="8"/>
      <c r="Q15" s="8"/>
      <c r="R15" s="7">
        <v>-2513813</v>
      </c>
      <c r="S15" s="6">
        <f t="shared" si="1"/>
        <v>-3202722.7</v>
      </c>
    </row>
    <row r="16" spans="1:20" ht="15" thickBot="1" x14ac:dyDescent="0.35">
      <c r="B16" t="s">
        <v>14</v>
      </c>
      <c r="C16" s="4">
        <f>SUM(C3:C15)</f>
        <v>90538590.170000017</v>
      </c>
      <c r="D16" s="4">
        <f t="shared" ref="D16:I16" si="2">SUM(D3:D15)</f>
        <v>6338988.6100000003</v>
      </c>
      <c r="E16" s="4">
        <f t="shared" si="2"/>
        <v>24175429.800000001</v>
      </c>
      <c r="F16" s="4">
        <f t="shared" si="2"/>
        <v>0</v>
      </c>
      <c r="G16" s="4">
        <f t="shared" si="2"/>
        <v>0</v>
      </c>
      <c r="H16" s="4">
        <f t="shared" si="2"/>
        <v>671830.2100000002</v>
      </c>
      <c r="I16" s="4">
        <f t="shared" si="2"/>
        <v>-9021982</v>
      </c>
      <c r="J16" s="4">
        <f>SUM(J3:J15)</f>
        <v>112702856.78999999</v>
      </c>
      <c r="K16" s="14"/>
      <c r="L16" s="4">
        <f>SUM(L3:L15)</f>
        <v>31670540.609999999</v>
      </c>
      <c r="M16" s="4">
        <f t="shared" ref="M16:Q16" si="3">SUM(M3:M15)</f>
        <v>1541053.27</v>
      </c>
      <c r="N16" s="4">
        <f t="shared" si="3"/>
        <v>6804269.4499999993</v>
      </c>
      <c r="O16" s="4">
        <f t="shared" si="3"/>
        <v>0</v>
      </c>
      <c r="P16" s="4">
        <f t="shared" si="3"/>
        <v>-0.18999999854713678</v>
      </c>
      <c r="Q16" s="4">
        <f t="shared" si="3"/>
        <v>594270.77</v>
      </c>
      <c r="R16" s="4">
        <f t="shared" ref="R16" si="4">SUM(R3:R15)</f>
        <v>-2513813</v>
      </c>
      <c r="S16" s="4">
        <f t="shared" ref="S16" si="5">SUM(S3:S15)</f>
        <v>38096320.909999996</v>
      </c>
    </row>
    <row r="17" spans="1:19" x14ac:dyDescent="0.3">
      <c r="K17" s="14"/>
    </row>
    <row r="18" spans="1:19" hidden="1" x14ac:dyDescent="0.3">
      <c r="C18" s="1">
        <f>SUM(C10:C14)</f>
        <v>9161895.0699999984</v>
      </c>
      <c r="J18" s="1">
        <f>SUM(J10:J14)</f>
        <v>52123712.75</v>
      </c>
      <c r="K18" s="14"/>
      <c r="L18" s="1">
        <f>SUM(L10:L14)</f>
        <v>3280522.36</v>
      </c>
      <c r="S18" s="1">
        <f>SUM(S10:S14)</f>
        <v>15244053.609999999</v>
      </c>
    </row>
    <row r="19" spans="1:19" hidden="1" x14ac:dyDescent="0.3">
      <c r="C19" s="9">
        <v>0.21</v>
      </c>
      <c r="J19" s="9">
        <v>0.21</v>
      </c>
      <c r="K19" s="14"/>
      <c r="L19" s="9">
        <v>0.21</v>
      </c>
      <c r="S19" s="9">
        <v>0.21</v>
      </c>
    </row>
    <row r="20" spans="1:19" hidden="1" x14ac:dyDescent="0.3">
      <c r="C20" s="1">
        <f>ROUND(C18*C19,2)</f>
        <v>1923997.96</v>
      </c>
      <c r="J20" s="1">
        <f>ROUND(J18*J19,2)</f>
        <v>10945979.68</v>
      </c>
      <c r="K20" s="14"/>
      <c r="L20" s="1">
        <f>ROUND(L18*L19,2)</f>
        <v>688909.7</v>
      </c>
      <c r="S20" s="1">
        <f>ROUND(S18*S19,2)</f>
        <v>3201251.26</v>
      </c>
    </row>
    <row r="21" spans="1:19" x14ac:dyDescent="0.3">
      <c r="K21" s="14"/>
    </row>
    <row r="22" spans="1:19" x14ac:dyDescent="0.3">
      <c r="A22">
        <v>403</v>
      </c>
      <c r="B22" t="s">
        <v>28</v>
      </c>
      <c r="C22" s="1">
        <f>6671352-99179-77497</f>
        <v>6494676</v>
      </c>
      <c r="F22" s="1">
        <f>-6494676+9558026</f>
        <v>3063350</v>
      </c>
      <c r="J22" s="1">
        <f>SUM(C22:I22)</f>
        <v>9558026</v>
      </c>
      <c r="K22" s="14"/>
      <c r="L22" s="1">
        <f>2228485-33390-23632</f>
        <v>2171463</v>
      </c>
      <c r="O22" s="1">
        <f>-2171463+3170359</f>
        <v>998896</v>
      </c>
      <c r="S22" s="2">
        <f>SUM(L22:R22)</f>
        <v>3170359</v>
      </c>
    </row>
    <row r="23" spans="1:19" x14ac:dyDescent="0.3">
      <c r="A23">
        <v>403</v>
      </c>
      <c r="B23" t="s">
        <v>29</v>
      </c>
      <c r="C23" s="33">
        <v>736925</v>
      </c>
      <c r="G23" s="1">
        <v>-736925</v>
      </c>
      <c r="J23" s="1">
        <f t="shared" ref="J23:J27" si="6">SUM(C23:I23)</f>
        <v>0</v>
      </c>
      <c r="K23" s="14"/>
      <c r="L23" s="1">
        <v>160830</v>
      </c>
      <c r="O23" s="1"/>
      <c r="P23" s="1">
        <v>-160830</v>
      </c>
      <c r="S23" s="2">
        <f t="shared" ref="S23:S27" si="7">SUM(L23:R23)</f>
        <v>0</v>
      </c>
    </row>
    <row r="24" spans="1:19" x14ac:dyDescent="0.3">
      <c r="A24">
        <v>407311</v>
      </c>
      <c r="B24" t="s">
        <v>60</v>
      </c>
      <c r="C24" s="1">
        <f>40558+99179</f>
        <v>139737</v>
      </c>
      <c r="F24" s="33">
        <f>-139737+42076</f>
        <v>-97661</v>
      </c>
      <c r="J24" s="1">
        <f>SUM(C24:I24)</f>
        <v>42076</v>
      </c>
      <c r="K24" s="14"/>
      <c r="L24" s="1">
        <f>12862+33390</f>
        <v>46252</v>
      </c>
      <c r="O24" s="1">
        <f>-46252+13320</f>
        <v>-32932</v>
      </c>
      <c r="S24" s="2">
        <f t="shared" si="7"/>
        <v>13320</v>
      </c>
    </row>
    <row r="25" spans="1:19" x14ac:dyDescent="0.3">
      <c r="A25" t="s">
        <v>24</v>
      </c>
      <c r="B25" t="s">
        <v>25</v>
      </c>
      <c r="C25" s="33">
        <v>752825.36</v>
      </c>
      <c r="F25" s="1">
        <v>-752825</v>
      </c>
      <c r="J25" s="1">
        <f t="shared" si="6"/>
        <v>0.35999999998603016</v>
      </c>
      <c r="K25" s="14"/>
      <c r="L25" s="1">
        <v>10957.47</v>
      </c>
      <c r="O25" s="1">
        <v>-10957</v>
      </c>
      <c r="S25" s="2">
        <f t="shared" si="7"/>
        <v>0.46999999999934516</v>
      </c>
    </row>
    <row r="26" spans="1:19" x14ac:dyDescent="0.3">
      <c r="A26" t="s">
        <v>26</v>
      </c>
      <c r="B26" t="s">
        <v>27</v>
      </c>
      <c r="C26" s="33">
        <v>-6697702.71</v>
      </c>
      <c r="F26" s="1">
        <v>6697703</v>
      </c>
      <c r="J26" s="1">
        <f t="shared" si="6"/>
        <v>0.2900000000372529</v>
      </c>
      <c r="K26" s="14"/>
      <c r="L26" s="1">
        <v>-2239164.06</v>
      </c>
      <c r="O26" s="1">
        <v>2239164</v>
      </c>
      <c r="S26" s="2">
        <f t="shared" si="7"/>
        <v>-6.0000000055879354E-2</v>
      </c>
    </row>
    <row r="27" spans="1:19" x14ac:dyDescent="0.3">
      <c r="B27" t="s">
        <v>30</v>
      </c>
      <c r="F27" s="1">
        <f>Amortization!E56</f>
        <v>4286653.9090909092</v>
      </c>
      <c r="J27" s="33">
        <f t="shared" si="6"/>
        <v>4286653.9090909092</v>
      </c>
      <c r="K27" s="14"/>
      <c r="O27" s="1">
        <f>Amortization!F56</f>
        <v>1296172.0791608386</v>
      </c>
      <c r="S27" s="2">
        <f t="shared" si="7"/>
        <v>1296172.0791608386</v>
      </c>
    </row>
    <row r="28" spans="1:19" ht="15" thickBot="1" x14ac:dyDescent="0.35">
      <c r="B28" t="s">
        <v>14</v>
      </c>
      <c r="C28" s="4">
        <f>SUM(C22:C27)</f>
        <v>1426460.6500000004</v>
      </c>
      <c r="D28" s="4">
        <f t="shared" ref="D28:J28" si="8">SUM(D22:D27)</f>
        <v>0</v>
      </c>
      <c r="E28" s="4">
        <f t="shared" si="8"/>
        <v>0</v>
      </c>
      <c r="F28" s="4">
        <f t="shared" si="8"/>
        <v>13197220.90909091</v>
      </c>
      <c r="G28" s="4">
        <f t="shared" si="8"/>
        <v>-736925</v>
      </c>
      <c r="H28" s="4">
        <f t="shared" si="8"/>
        <v>0</v>
      </c>
      <c r="I28" s="4">
        <f t="shared" si="8"/>
        <v>0</v>
      </c>
      <c r="J28" s="4">
        <f t="shared" si="8"/>
        <v>13886756.559090909</v>
      </c>
      <c r="K28" s="14"/>
      <c r="L28" s="4">
        <f>SUM(L22:L27)</f>
        <v>150338.41000000015</v>
      </c>
      <c r="M28" s="4">
        <f t="shared" ref="M28" si="9">SUM(M22:M27)</f>
        <v>0</v>
      </c>
      <c r="N28" s="4">
        <f t="shared" ref="N28" si="10">SUM(N22:N27)</f>
        <v>0</v>
      </c>
      <c r="O28" s="4">
        <f t="shared" ref="O28" si="11">SUM(O22:O27)</f>
        <v>4490343.0791608384</v>
      </c>
      <c r="P28" s="4">
        <f t="shared" ref="P28" si="12">SUM(P22:P27)</f>
        <v>-160830</v>
      </c>
      <c r="Q28" s="4">
        <f t="shared" ref="Q28" si="13">SUM(Q22:Q27)</f>
        <v>0</v>
      </c>
      <c r="R28" s="4">
        <f t="shared" ref="R28" si="14">SUM(R22:R27)</f>
        <v>0</v>
      </c>
      <c r="S28" s="4">
        <f t="shared" ref="S28" si="15">SUM(S22:S27)</f>
        <v>4479851.4891608385</v>
      </c>
    </row>
    <row r="29" spans="1:19" s="24" customFormat="1" ht="18" customHeight="1" x14ac:dyDescent="0.2">
      <c r="B29" s="24" t="s">
        <v>108</v>
      </c>
      <c r="C29" s="25"/>
      <c r="D29" s="25"/>
      <c r="E29" s="25"/>
      <c r="F29" s="25"/>
      <c r="G29" s="25">
        <f>SUM(F28:G28)</f>
        <v>12460295.90909091</v>
      </c>
      <c r="H29" s="25"/>
      <c r="I29" s="25"/>
      <c r="J29" s="25"/>
      <c r="K29" s="26"/>
      <c r="L29" s="25"/>
      <c r="P29" s="27">
        <f>SUM(O28:P28)</f>
        <v>4329513.0791608384</v>
      </c>
    </row>
    <row r="30" spans="1:19" x14ac:dyDescent="0.3">
      <c r="K30" s="14"/>
    </row>
    <row r="31" spans="1:19" x14ac:dyDescent="0.3">
      <c r="B31" t="s">
        <v>61</v>
      </c>
      <c r="C31" s="1" t="s">
        <v>62</v>
      </c>
      <c r="S31" s="1"/>
    </row>
    <row r="32" spans="1:19" x14ac:dyDescent="0.3">
      <c r="A32">
        <v>101000</v>
      </c>
      <c r="B32" t="s">
        <v>6</v>
      </c>
      <c r="C32" s="1">
        <f>'Old Meters'!H22</f>
        <v>24366497.947500002</v>
      </c>
      <c r="L32" s="1">
        <f>'Old Meters'!L22</f>
        <v>5267726.5995833334</v>
      </c>
      <c r="S32" s="1"/>
    </row>
    <row r="33" spans="1:12" x14ac:dyDescent="0.3">
      <c r="A33">
        <v>108000</v>
      </c>
      <c r="B33" t="s">
        <v>7</v>
      </c>
      <c r="C33" s="1">
        <f>'Old Meters'!I22</f>
        <v>-2631818.6745833331</v>
      </c>
      <c r="L33" s="1">
        <f>'Old Meters'!M22</f>
        <v>-867206.7150000002</v>
      </c>
    </row>
    <row r="34" spans="1:12" x14ac:dyDescent="0.3">
      <c r="A34">
        <v>108121</v>
      </c>
      <c r="B34" t="s">
        <v>8</v>
      </c>
      <c r="C34" s="1">
        <f>'Old Meters'!J22</f>
        <v>-2243368.75</v>
      </c>
      <c r="L34" s="1">
        <f>'Old Meters'!N22</f>
        <v>-530214</v>
      </c>
    </row>
  </sheetData>
  <mergeCells count="2">
    <mergeCell ref="C1:J1"/>
    <mergeCell ref="L1:S1"/>
  </mergeCells>
  <pageMargins left="0.7" right="0.7" top="0.75" bottom="0.75" header="0.3" footer="0.3"/>
  <pageSetup scale="76" fitToWidth="2" orientation="landscape" r:id="rId1"/>
  <headerFooter>
    <oddFooter>&amp;LAvista
&amp;F
&amp;A&amp;RPage &amp;P of &amp;N</oddFooter>
  </headerFooter>
  <colBreaks count="1" manualBreakCount="1">
    <brk id="11" max="2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8"/>
  <sheetViews>
    <sheetView workbookViewId="0"/>
  </sheetViews>
  <sheetFormatPr defaultRowHeight="14.4" x14ac:dyDescent="0.3"/>
  <cols>
    <col min="1" max="1" width="7" bestFit="1" customWidth="1"/>
    <col min="2" max="2" width="53.88671875" customWidth="1"/>
    <col min="3" max="4" width="13.6640625" bestFit="1" customWidth="1"/>
    <col min="5" max="5" width="10.5546875" bestFit="1" customWidth="1"/>
    <col min="6" max="6" width="11.33203125" bestFit="1" customWidth="1"/>
  </cols>
  <sheetData>
    <row r="1" spans="1:6" x14ac:dyDescent="0.3">
      <c r="C1" s="22" t="s">
        <v>58</v>
      </c>
      <c r="D1" s="22" t="s">
        <v>59</v>
      </c>
      <c r="E1" s="22" t="s">
        <v>58</v>
      </c>
      <c r="F1" s="22" t="s">
        <v>59</v>
      </c>
    </row>
    <row r="2" spans="1:6" x14ac:dyDescent="0.3">
      <c r="A2">
        <v>182331</v>
      </c>
      <c r="B2" t="s">
        <v>15</v>
      </c>
      <c r="C2" s="1">
        <v>21307530.619999997</v>
      </c>
      <c r="D2" s="1">
        <v>4410569</v>
      </c>
    </row>
    <row r="3" spans="1:6" x14ac:dyDescent="0.3">
      <c r="A3">
        <v>182336</v>
      </c>
      <c r="B3" t="s">
        <v>9</v>
      </c>
      <c r="C3" s="1">
        <v>2267372</v>
      </c>
      <c r="D3" s="1">
        <v>826169</v>
      </c>
    </row>
    <row r="4" spans="1:6" x14ac:dyDescent="0.3">
      <c r="A4">
        <v>182337</v>
      </c>
      <c r="B4" t="s">
        <v>10</v>
      </c>
      <c r="C4" s="1">
        <v>29765007.130000003</v>
      </c>
      <c r="D4" s="1">
        <v>10360807.609999999</v>
      </c>
    </row>
    <row r="5" spans="1:6" x14ac:dyDescent="0.3">
      <c r="A5">
        <v>254332</v>
      </c>
      <c r="B5" t="s">
        <v>11</v>
      </c>
      <c r="C5" s="1">
        <v>-2257284</v>
      </c>
      <c r="D5" s="1">
        <v>-151495</v>
      </c>
    </row>
    <row r="6" spans="1:6" ht="18.75" customHeight="1" thickBot="1" x14ac:dyDescent="0.35">
      <c r="C6" s="4">
        <f>SUM(C2:C5)</f>
        <v>51082625.75</v>
      </c>
      <c r="D6" s="4">
        <f>SUM(D2:D5)</f>
        <v>15446050.609999999</v>
      </c>
    </row>
    <row r="7" spans="1:6" x14ac:dyDescent="0.3">
      <c r="C7" s="1"/>
      <c r="D7" s="1"/>
    </row>
    <row r="8" spans="1:6" hidden="1" x14ac:dyDescent="0.3">
      <c r="A8">
        <v>1</v>
      </c>
      <c r="B8">
        <v>201809</v>
      </c>
      <c r="C8" s="1"/>
      <c r="D8" s="1"/>
    </row>
    <row r="9" spans="1:6" hidden="1" x14ac:dyDescent="0.3">
      <c r="A9">
        <v>2</v>
      </c>
      <c r="B9">
        <v>201810</v>
      </c>
      <c r="C9" s="1"/>
      <c r="D9" s="1"/>
    </row>
    <row r="10" spans="1:6" hidden="1" x14ac:dyDescent="0.3">
      <c r="A10">
        <v>3</v>
      </c>
      <c r="B10">
        <v>201811</v>
      </c>
      <c r="C10" s="1"/>
      <c r="D10" s="1"/>
    </row>
    <row r="11" spans="1:6" hidden="1" x14ac:dyDescent="0.3">
      <c r="A11">
        <v>4</v>
      </c>
      <c r="B11">
        <v>201812</v>
      </c>
      <c r="C11" s="1"/>
      <c r="D11" s="1"/>
    </row>
    <row r="12" spans="1:6" hidden="1" x14ac:dyDescent="0.3">
      <c r="A12">
        <v>5</v>
      </c>
      <c r="B12">
        <v>201901</v>
      </c>
      <c r="C12" s="1"/>
      <c r="D12" s="1"/>
    </row>
    <row r="13" spans="1:6" hidden="1" x14ac:dyDescent="0.3">
      <c r="A13">
        <v>6</v>
      </c>
      <c r="B13">
        <v>201902</v>
      </c>
      <c r="C13" s="1"/>
      <c r="D13" s="1"/>
    </row>
    <row r="14" spans="1:6" hidden="1" x14ac:dyDescent="0.3">
      <c r="A14">
        <v>7</v>
      </c>
      <c r="B14">
        <v>201903</v>
      </c>
      <c r="C14" s="1"/>
      <c r="D14" s="1"/>
    </row>
    <row r="15" spans="1:6" hidden="1" x14ac:dyDescent="0.3">
      <c r="A15">
        <v>8</v>
      </c>
      <c r="B15">
        <v>201904</v>
      </c>
      <c r="C15" s="1"/>
      <c r="D15" s="1"/>
    </row>
    <row r="16" spans="1:6" hidden="1" x14ac:dyDescent="0.3">
      <c r="A16">
        <v>9</v>
      </c>
      <c r="B16">
        <v>201905</v>
      </c>
      <c r="C16" s="1"/>
      <c r="D16" s="1"/>
    </row>
    <row r="17" spans="1:9" hidden="1" x14ac:dyDescent="0.3">
      <c r="A17">
        <v>10</v>
      </c>
      <c r="B17">
        <v>201906</v>
      </c>
      <c r="C17" s="1"/>
      <c r="D17" s="1"/>
    </row>
    <row r="18" spans="1:9" hidden="1" x14ac:dyDescent="0.3">
      <c r="A18">
        <v>11</v>
      </c>
      <c r="B18">
        <v>201907</v>
      </c>
      <c r="C18" s="1"/>
      <c r="D18" s="1"/>
    </row>
    <row r="19" spans="1:9" hidden="1" x14ac:dyDescent="0.3">
      <c r="A19">
        <v>12</v>
      </c>
      <c r="B19">
        <v>201908</v>
      </c>
      <c r="C19" s="1"/>
      <c r="D19" s="1"/>
    </row>
    <row r="20" spans="1:9" hidden="1" x14ac:dyDescent="0.3">
      <c r="A20">
        <v>13</v>
      </c>
      <c r="B20">
        <v>201909</v>
      </c>
      <c r="C20" s="1"/>
      <c r="D20" s="1"/>
    </row>
    <row r="21" spans="1:9" hidden="1" x14ac:dyDescent="0.3">
      <c r="A21">
        <v>14</v>
      </c>
      <c r="B21">
        <v>201910</v>
      </c>
      <c r="C21" s="1"/>
      <c r="D21" s="1"/>
    </row>
    <row r="22" spans="1:9" hidden="1" x14ac:dyDescent="0.3">
      <c r="A22">
        <v>15</v>
      </c>
      <c r="B22">
        <v>201911</v>
      </c>
      <c r="C22" s="1"/>
      <c r="D22" s="1"/>
    </row>
    <row r="23" spans="1:9" hidden="1" x14ac:dyDescent="0.3">
      <c r="A23">
        <v>16</v>
      </c>
      <c r="B23">
        <v>201912</v>
      </c>
      <c r="C23" s="1"/>
      <c r="D23" s="1"/>
    </row>
    <row r="24" spans="1:9" hidden="1" x14ac:dyDescent="0.3">
      <c r="A24">
        <v>17</v>
      </c>
      <c r="B24">
        <v>202001</v>
      </c>
      <c r="C24" s="1"/>
      <c r="D24" s="1"/>
    </row>
    <row r="25" spans="1:9" hidden="1" x14ac:dyDescent="0.3">
      <c r="A25">
        <v>18</v>
      </c>
      <c r="B25">
        <v>202002</v>
      </c>
      <c r="C25" s="1"/>
      <c r="D25" s="1"/>
    </row>
    <row r="26" spans="1:9" hidden="1" x14ac:dyDescent="0.3">
      <c r="A26">
        <v>19</v>
      </c>
      <c r="B26">
        <v>202003</v>
      </c>
      <c r="C26" s="1"/>
      <c r="D26" s="1"/>
    </row>
    <row r="27" spans="1:9" hidden="1" x14ac:dyDescent="0.3">
      <c r="A27">
        <v>20</v>
      </c>
      <c r="B27">
        <v>202004</v>
      </c>
      <c r="C27" s="1"/>
      <c r="D27" s="1"/>
    </row>
    <row r="28" spans="1:9" hidden="1" x14ac:dyDescent="0.3">
      <c r="A28">
        <v>21</v>
      </c>
      <c r="B28">
        <v>202005</v>
      </c>
      <c r="C28" s="1"/>
      <c r="D28" s="1"/>
    </row>
    <row r="29" spans="1:9" hidden="1" x14ac:dyDescent="0.3">
      <c r="A29">
        <v>22</v>
      </c>
      <c r="B29">
        <v>202006</v>
      </c>
      <c r="C29" s="1"/>
      <c r="D29" s="1"/>
    </row>
    <row r="30" spans="1:9" hidden="1" x14ac:dyDescent="0.3">
      <c r="A30">
        <v>23</v>
      </c>
      <c r="B30">
        <v>202007</v>
      </c>
      <c r="C30" s="1"/>
      <c r="D30" s="1"/>
    </row>
    <row r="31" spans="1:9" hidden="1" x14ac:dyDescent="0.3">
      <c r="A31">
        <v>24</v>
      </c>
      <c r="B31">
        <v>202008</v>
      </c>
      <c r="C31" s="1"/>
      <c r="D31" s="1"/>
    </row>
    <row r="32" spans="1:9" hidden="1" x14ac:dyDescent="0.3">
      <c r="A32">
        <v>25</v>
      </c>
      <c r="B32" s="36">
        <v>202009</v>
      </c>
      <c r="C32" s="1"/>
      <c r="D32" s="1"/>
      <c r="G32" s="37"/>
      <c r="H32" s="38"/>
      <c r="I32" s="38"/>
    </row>
    <row r="33" spans="1:6" hidden="1" x14ac:dyDescent="0.3">
      <c r="A33">
        <v>26</v>
      </c>
      <c r="B33">
        <v>202010</v>
      </c>
      <c r="C33" s="1"/>
      <c r="D33" s="1"/>
    </row>
    <row r="34" spans="1:6" hidden="1" x14ac:dyDescent="0.3">
      <c r="A34">
        <v>27</v>
      </c>
      <c r="B34">
        <v>202011</v>
      </c>
      <c r="C34" s="1"/>
      <c r="D34" s="1"/>
    </row>
    <row r="35" spans="1:6" hidden="1" x14ac:dyDescent="0.3">
      <c r="A35">
        <v>28</v>
      </c>
      <c r="B35">
        <v>202012</v>
      </c>
      <c r="C35" s="1"/>
      <c r="D35" s="1"/>
    </row>
    <row r="36" spans="1:6" hidden="1" x14ac:dyDescent="0.3">
      <c r="A36">
        <v>29</v>
      </c>
      <c r="B36">
        <v>202101</v>
      </c>
      <c r="C36" s="1"/>
      <c r="D36" s="1"/>
    </row>
    <row r="37" spans="1:6" hidden="1" x14ac:dyDescent="0.3">
      <c r="A37">
        <v>30</v>
      </c>
      <c r="B37">
        <v>202102</v>
      </c>
      <c r="C37" s="1"/>
      <c r="D37" s="1"/>
    </row>
    <row r="38" spans="1:6" hidden="1" x14ac:dyDescent="0.3">
      <c r="A38">
        <v>31</v>
      </c>
      <c r="B38">
        <v>202103</v>
      </c>
      <c r="C38" s="1"/>
      <c r="D38" s="1"/>
    </row>
    <row r="39" spans="1:6" hidden="1" x14ac:dyDescent="0.3">
      <c r="A39">
        <v>32</v>
      </c>
      <c r="B39">
        <v>202104</v>
      </c>
      <c r="C39" s="1"/>
      <c r="D39" s="1"/>
    </row>
    <row r="40" spans="1:6" hidden="1" x14ac:dyDescent="0.3">
      <c r="A40">
        <v>33</v>
      </c>
      <c r="B40">
        <v>202105</v>
      </c>
      <c r="C40" s="1"/>
      <c r="D40" s="1"/>
    </row>
    <row r="41" spans="1:6" hidden="1" x14ac:dyDescent="0.3">
      <c r="A41">
        <v>34</v>
      </c>
      <c r="B41">
        <v>202106</v>
      </c>
      <c r="C41" s="1"/>
      <c r="D41" s="1"/>
    </row>
    <row r="42" spans="1:6" hidden="1" x14ac:dyDescent="0.3">
      <c r="A42">
        <v>35</v>
      </c>
      <c r="B42">
        <v>202107</v>
      </c>
      <c r="C42" s="1"/>
      <c r="D42" s="1"/>
    </row>
    <row r="43" spans="1:6" hidden="1" x14ac:dyDescent="0.3">
      <c r="A43">
        <v>36</v>
      </c>
      <c r="B43">
        <v>202108</v>
      </c>
      <c r="C43" s="1"/>
      <c r="D43" s="1"/>
      <c r="E43" s="2"/>
      <c r="F43" s="2"/>
    </row>
    <row r="44" spans="1:6" x14ac:dyDescent="0.3">
      <c r="A44">
        <v>37</v>
      </c>
      <c r="B44">
        <v>202109</v>
      </c>
      <c r="C44" s="1"/>
      <c r="D44" s="1"/>
      <c r="E44" s="2"/>
      <c r="F44" s="2"/>
    </row>
    <row r="45" spans="1:6" x14ac:dyDescent="0.3">
      <c r="A45">
        <v>38</v>
      </c>
      <c r="B45">
        <v>202110</v>
      </c>
      <c r="C45" s="1">
        <f>C6/143</f>
        <v>357221.15909090912</v>
      </c>
      <c r="D45" s="1">
        <f>D6/143</f>
        <v>108014.33993006992</v>
      </c>
    </row>
    <row r="46" spans="1:6" x14ac:dyDescent="0.3">
      <c r="A46">
        <v>39</v>
      </c>
      <c r="B46">
        <v>202111</v>
      </c>
      <c r="C46" s="1">
        <f t="shared" ref="C46:C97" si="0">C45</f>
        <v>357221.15909090912</v>
      </c>
      <c r="D46" s="1">
        <f t="shared" ref="D46:D97" si="1">D45</f>
        <v>108014.33993006992</v>
      </c>
    </row>
    <row r="47" spans="1:6" x14ac:dyDescent="0.3">
      <c r="A47">
        <v>40</v>
      </c>
      <c r="B47">
        <v>202112</v>
      </c>
      <c r="C47" s="1">
        <f t="shared" si="0"/>
        <v>357221.15909090912</v>
      </c>
      <c r="D47" s="1">
        <f t="shared" si="1"/>
        <v>108014.33993006992</v>
      </c>
    </row>
    <row r="48" spans="1:6" x14ac:dyDescent="0.3">
      <c r="A48">
        <v>41</v>
      </c>
      <c r="B48">
        <v>202201</v>
      </c>
      <c r="C48" s="1">
        <f t="shared" si="0"/>
        <v>357221.15909090912</v>
      </c>
      <c r="D48" s="1">
        <f t="shared" si="1"/>
        <v>108014.33993006992</v>
      </c>
    </row>
    <row r="49" spans="1:6" x14ac:dyDescent="0.3">
      <c r="A49">
        <v>42</v>
      </c>
      <c r="B49">
        <v>202202</v>
      </c>
      <c r="C49" s="1">
        <f t="shared" si="0"/>
        <v>357221.15909090912</v>
      </c>
      <c r="D49" s="1">
        <f t="shared" si="1"/>
        <v>108014.33993006992</v>
      </c>
    </row>
    <row r="50" spans="1:6" x14ac:dyDescent="0.3">
      <c r="A50">
        <v>43</v>
      </c>
      <c r="B50">
        <v>202203</v>
      </c>
      <c r="C50" s="1">
        <f t="shared" si="0"/>
        <v>357221.15909090912</v>
      </c>
      <c r="D50" s="1">
        <f t="shared" si="1"/>
        <v>108014.33993006992</v>
      </c>
    </row>
    <row r="51" spans="1:6" x14ac:dyDescent="0.3">
      <c r="A51">
        <v>44</v>
      </c>
      <c r="B51">
        <v>202204</v>
      </c>
      <c r="C51" s="1">
        <f t="shared" si="0"/>
        <v>357221.15909090912</v>
      </c>
      <c r="D51" s="1">
        <f t="shared" si="1"/>
        <v>108014.33993006992</v>
      </c>
    </row>
    <row r="52" spans="1:6" x14ac:dyDescent="0.3">
      <c r="A52">
        <v>45</v>
      </c>
      <c r="B52">
        <v>202205</v>
      </c>
      <c r="C52" s="1">
        <f t="shared" si="0"/>
        <v>357221.15909090912</v>
      </c>
      <c r="D52" s="1">
        <f t="shared" si="1"/>
        <v>108014.33993006992</v>
      </c>
    </row>
    <row r="53" spans="1:6" x14ac:dyDescent="0.3">
      <c r="A53">
        <v>46</v>
      </c>
      <c r="B53">
        <v>202206</v>
      </c>
      <c r="C53" s="1">
        <f t="shared" si="0"/>
        <v>357221.15909090912</v>
      </c>
      <c r="D53" s="1">
        <f t="shared" si="1"/>
        <v>108014.33993006992</v>
      </c>
    </row>
    <row r="54" spans="1:6" x14ac:dyDescent="0.3">
      <c r="A54">
        <v>47</v>
      </c>
      <c r="B54">
        <v>202207</v>
      </c>
      <c r="C54" s="1">
        <f t="shared" si="0"/>
        <v>357221.15909090912</v>
      </c>
      <c r="D54" s="1">
        <f t="shared" si="1"/>
        <v>108014.33993006992</v>
      </c>
    </row>
    <row r="55" spans="1:6" x14ac:dyDescent="0.3">
      <c r="A55">
        <v>48</v>
      </c>
      <c r="B55">
        <v>202208</v>
      </c>
      <c r="C55" s="1">
        <f t="shared" si="0"/>
        <v>357221.15909090912</v>
      </c>
      <c r="D55" s="1">
        <f t="shared" si="1"/>
        <v>108014.33993006992</v>
      </c>
    </row>
    <row r="56" spans="1:6" x14ac:dyDescent="0.3">
      <c r="A56">
        <v>49</v>
      </c>
      <c r="B56">
        <v>202209</v>
      </c>
      <c r="C56" s="1">
        <f t="shared" si="0"/>
        <v>357221.15909090912</v>
      </c>
      <c r="D56" s="1">
        <f t="shared" si="1"/>
        <v>108014.33993006992</v>
      </c>
      <c r="E56" s="2">
        <f>SUM(C45:C56)</f>
        <v>4286653.9090909092</v>
      </c>
      <c r="F56" s="2">
        <f>SUM(D45:D56)</f>
        <v>1296172.0791608386</v>
      </c>
    </row>
    <row r="57" spans="1:6" x14ac:dyDescent="0.3">
      <c r="A57">
        <v>50</v>
      </c>
      <c r="B57">
        <v>202210</v>
      </c>
      <c r="C57" s="1">
        <f t="shared" si="0"/>
        <v>357221.15909090912</v>
      </c>
      <c r="D57" s="1">
        <f t="shared" si="1"/>
        <v>108014.33993006992</v>
      </c>
    </row>
    <row r="58" spans="1:6" x14ac:dyDescent="0.3">
      <c r="A58">
        <v>51</v>
      </c>
      <c r="B58">
        <v>202211</v>
      </c>
      <c r="C58" s="1">
        <f t="shared" si="0"/>
        <v>357221.15909090912</v>
      </c>
      <c r="D58" s="1">
        <f t="shared" si="1"/>
        <v>108014.33993006992</v>
      </c>
    </row>
    <row r="59" spans="1:6" x14ac:dyDescent="0.3">
      <c r="A59">
        <v>52</v>
      </c>
      <c r="B59">
        <v>202212</v>
      </c>
      <c r="C59" s="1">
        <f t="shared" si="0"/>
        <v>357221.15909090912</v>
      </c>
      <c r="D59" s="1">
        <f t="shared" si="1"/>
        <v>108014.33993006992</v>
      </c>
    </row>
    <row r="60" spans="1:6" x14ac:dyDescent="0.3">
      <c r="A60">
        <v>53</v>
      </c>
      <c r="B60">
        <v>202301</v>
      </c>
      <c r="C60" s="1">
        <f t="shared" si="0"/>
        <v>357221.15909090912</v>
      </c>
      <c r="D60" s="1">
        <f t="shared" si="1"/>
        <v>108014.33993006992</v>
      </c>
    </row>
    <row r="61" spans="1:6" x14ac:dyDescent="0.3">
      <c r="A61">
        <v>54</v>
      </c>
      <c r="B61">
        <v>202302</v>
      </c>
      <c r="C61" s="1">
        <f t="shared" si="0"/>
        <v>357221.15909090912</v>
      </c>
      <c r="D61" s="1">
        <f t="shared" si="1"/>
        <v>108014.33993006992</v>
      </c>
    </row>
    <row r="62" spans="1:6" x14ac:dyDescent="0.3">
      <c r="A62">
        <v>55</v>
      </c>
      <c r="B62">
        <v>202303</v>
      </c>
      <c r="C62" s="1">
        <f t="shared" si="0"/>
        <v>357221.15909090912</v>
      </c>
      <c r="D62" s="1">
        <f t="shared" si="1"/>
        <v>108014.33993006992</v>
      </c>
    </row>
    <row r="63" spans="1:6" x14ac:dyDescent="0.3">
      <c r="A63">
        <v>56</v>
      </c>
      <c r="B63">
        <v>202304</v>
      </c>
      <c r="C63" s="1">
        <f t="shared" si="0"/>
        <v>357221.15909090912</v>
      </c>
      <c r="D63" s="1">
        <f t="shared" si="1"/>
        <v>108014.33993006992</v>
      </c>
    </row>
    <row r="64" spans="1:6" x14ac:dyDescent="0.3">
      <c r="A64">
        <v>57</v>
      </c>
      <c r="B64">
        <v>202305</v>
      </c>
      <c r="C64" s="1">
        <f t="shared" si="0"/>
        <v>357221.15909090912</v>
      </c>
      <c r="D64" s="1">
        <f t="shared" si="1"/>
        <v>108014.33993006992</v>
      </c>
    </row>
    <row r="65" spans="1:4" x14ac:dyDescent="0.3">
      <c r="A65">
        <v>58</v>
      </c>
      <c r="B65">
        <v>202306</v>
      </c>
      <c r="C65" s="1">
        <f t="shared" si="0"/>
        <v>357221.15909090912</v>
      </c>
      <c r="D65" s="1">
        <f t="shared" si="1"/>
        <v>108014.33993006992</v>
      </c>
    </row>
    <row r="66" spans="1:4" x14ac:dyDescent="0.3">
      <c r="A66">
        <v>59</v>
      </c>
      <c r="B66">
        <v>202307</v>
      </c>
      <c r="C66" s="1">
        <f t="shared" si="0"/>
        <v>357221.15909090912</v>
      </c>
      <c r="D66" s="1">
        <f t="shared" si="1"/>
        <v>108014.33993006992</v>
      </c>
    </row>
    <row r="67" spans="1:4" x14ac:dyDescent="0.3">
      <c r="A67">
        <v>60</v>
      </c>
      <c r="B67">
        <v>202308</v>
      </c>
      <c r="C67" s="1">
        <f t="shared" si="0"/>
        <v>357221.15909090912</v>
      </c>
      <c r="D67" s="1">
        <f t="shared" si="1"/>
        <v>108014.33993006992</v>
      </c>
    </row>
    <row r="68" spans="1:4" x14ac:dyDescent="0.3">
      <c r="A68">
        <v>61</v>
      </c>
      <c r="B68">
        <v>202309</v>
      </c>
      <c r="C68" s="1">
        <f t="shared" si="0"/>
        <v>357221.15909090912</v>
      </c>
      <c r="D68" s="1">
        <f t="shared" si="1"/>
        <v>108014.33993006992</v>
      </c>
    </row>
    <row r="69" spans="1:4" x14ac:dyDescent="0.3">
      <c r="A69">
        <v>62</v>
      </c>
      <c r="B69">
        <v>202310</v>
      </c>
      <c r="C69" s="1">
        <f t="shared" si="0"/>
        <v>357221.15909090912</v>
      </c>
      <c r="D69" s="1">
        <f t="shared" si="1"/>
        <v>108014.33993006992</v>
      </c>
    </row>
    <row r="70" spans="1:4" x14ac:dyDescent="0.3">
      <c r="A70">
        <v>63</v>
      </c>
      <c r="B70">
        <v>202311</v>
      </c>
      <c r="C70" s="1">
        <f t="shared" si="0"/>
        <v>357221.15909090912</v>
      </c>
      <c r="D70" s="1">
        <f t="shared" si="1"/>
        <v>108014.33993006992</v>
      </c>
    </row>
    <row r="71" spans="1:4" x14ac:dyDescent="0.3">
      <c r="A71">
        <v>64</v>
      </c>
      <c r="B71">
        <v>202312</v>
      </c>
      <c r="C71" s="1">
        <f t="shared" si="0"/>
        <v>357221.15909090912</v>
      </c>
      <c r="D71" s="1">
        <f t="shared" si="1"/>
        <v>108014.33993006992</v>
      </c>
    </row>
    <row r="72" spans="1:4" x14ac:dyDescent="0.3">
      <c r="A72">
        <v>65</v>
      </c>
      <c r="B72">
        <v>202401</v>
      </c>
      <c r="C72" s="1">
        <f t="shared" si="0"/>
        <v>357221.15909090912</v>
      </c>
      <c r="D72" s="1">
        <f t="shared" si="1"/>
        <v>108014.33993006992</v>
      </c>
    </row>
    <row r="73" spans="1:4" x14ac:dyDescent="0.3">
      <c r="A73">
        <v>66</v>
      </c>
      <c r="B73">
        <v>202402</v>
      </c>
      <c r="C73" s="1">
        <f t="shared" si="0"/>
        <v>357221.15909090912</v>
      </c>
      <c r="D73" s="1">
        <f t="shared" si="1"/>
        <v>108014.33993006992</v>
      </c>
    </row>
    <row r="74" spans="1:4" x14ac:dyDescent="0.3">
      <c r="A74">
        <v>67</v>
      </c>
      <c r="B74">
        <v>202403</v>
      </c>
      <c r="C74" s="1">
        <f t="shared" si="0"/>
        <v>357221.15909090912</v>
      </c>
      <c r="D74" s="1">
        <f t="shared" si="1"/>
        <v>108014.33993006992</v>
      </c>
    </row>
    <row r="75" spans="1:4" x14ac:dyDescent="0.3">
      <c r="A75">
        <v>68</v>
      </c>
      <c r="B75">
        <v>202404</v>
      </c>
      <c r="C75" s="1">
        <f t="shared" si="0"/>
        <v>357221.15909090912</v>
      </c>
      <c r="D75" s="1">
        <f t="shared" si="1"/>
        <v>108014.33993006992</v>
      </c>
    </row>
    <row r="76" spans="1:4" x14ac:dyDescent="0.3">
      <c r="A76">
        <v>69</v>
      </c>
      <c r="B76">
        <v>202405</v>
      </c>
      <c r="C76" s="1">
        <f t="shared" si="0"/>
        <v>357221.15909090912</v>
      </c>
      <c r="D76" s="1">
        <f t="shared" si="1"/>
        <v>108014.33993006992</v>
      </c>
    </row>
    <row r="77" spans="1:4" x14ac:dyDescent="0.3">
      <c r="A77">
        <v>70</v>
      </c>
      <c r="B77">
        <v>202406</v>
      </c>
      <c r="C77" s="1">
        <f t="shared" si="0"/>
        <v>357221.15909090912</v>
      </c>
      <c r="D77" s="1">
        <f t="shared" si="1"/>
        <v>108014.33993006992</v>
      </c>
    </row>
    <row r="78" spans="1:4" x14ac:dyDescent="0.3">
      <c r="A78">
        <v>71</v>
      </c>
      <c r="B78">
        <v>202407</v>
      </c>
      <c r="C78" s="1">
        <f t="shared" si="0"/>
        <v>357221.15909090912</v>
      </c>
      <c r="D78" s="1">
        <f t="shared" si="1"/>
        <v>108014.33993006992</v>
      </c>
    </row>
    <row r="79" spans="1:4" x14ac:dyDescent="0.3">
      <c r="A79">
        <v>72</v>
      </c>
      <c r="B79">
        <v>202408</v>
      </c>
      <c r="C79" s="1">
        <f t="shared" si="0"/>
        <v>357221.15909090912</v>
      </c>
      <c r="D79" s="1">
        <f t="shared" si="1"/>
        <v>108014.33993006992</v>
      </c>
    </row>
    <row r="80" spans="1:4" x14ac:dyDescent="0.3">
      <c r="A80">
        <v>73</v>
      </c>
      <c r="B80">
        <v>202409</v>
      </c>
      <c r="C80" s="1">
        <f t="shared" si="0"/>
        <v>357221.15909090912</v>
      </c>
      <c r="D80" s="1">
        <f t="shared" si="1"/>
        <v>108014.33993006992</v>
      </c>
    </row>
    <row r="81" spans="1:4" x14ac:dyDescent="0.3">
      <c r="A81">
        <v>74</v>
      </c>
      <c r="B81">
        <v>202410</v>
      </c>
      <c r="C81" s="1">
        <f t="shared" si="0"/>
        <v>357221.15909090912</v>
      </c>
      <c r="D81" s="1">
        <f t="shared" si="1"/>
        <v>108014.33993006992</v>
      </c>
    </row>
    <row r="82" spans="1:4" x14ac:dyDescent="0.3">
      <c r="A82">
        <v>75</v>
      </c>
      <c r="B82">
        <v>202411</v>
      </c>
      <c r="C82" s="1">
        <f t="shared" si="0"/>
        <v>357221.15909090912</v>
      </c>
      <c r="D82" s="1">
        <f t="shared" si="1"/>
        <v>108014.33993006992</v>
      </c>
    </row>
    <row r="83" spans="1:4" x14ac:dyDescent="0.3">
      <c r="A83">
        <v>76</v>
      </c>
      <c r="B83">
        <v>202412</v>
      </c>
      <c r="C83" s="1">
        <f t="shared" si="0"/>
        <v>357221.15909090912</v>
      </c>
      <c r="D83" s="1">
        <f t="shared" si="1"/>
        <v>108014.33993006992</v>
      </c>
    </row>
    <row r="84" spans="1:4" x14ac:dyDescent="0.3">
      <c r="A84">
        <v>77</v>
      </c>
      <c r="B84">
        <v>202501</v>
      </c>
      <c r="C84" s="1">
        <f t="shared" si="0"/>
        <v>357221.15909090912</v>
      </c>
      <c r="D84" s="1">
        <f t="shared" si="1"/>
        <v>108014.33993006992</v>
      </c>
    </row>
    <row r="85" spans="1:4" x14ac:dyDescent="0.3">
      <c r="A85">
        <v>78</v>
      </c>
      <c r="B85">
        <v>202502</v>
      </c>
      <c r="C85" s="1">
        <f t="shared" si="0"/>
        <v>357221.15909090912</v>
      </c>
      <c r="D85" s="1">
        <f t="shared" si="1"/>
        <v>108014.33993006992</v>
      </c>
    </row>
    <row r="86" spans="1:4" x14ac:dyDescent="0.3">
      <c r="A86">
        <v>79</v>
      </c>
      <c r="B86">
        <v>202503</v>
      </c>
      <c r="C86" s="1">
        <f t="shared" si="0"/>
        <v>357221.15909090912</v>
      </c>
      <c r="D86" s="1">
        <f t="shared" si="1"/>
        <v>108014.33993006992</v>
      </c>
    </row>
    <row r="87" spans="1:4" x14ac:dyDescent="0.3">
      <c r="A87">
        <v>80</v>
      </c>
      <c r="B87">
        <v>202504</v>
      </c>
      <c r="C87" s="1">
        <f t="shared" si="0"/>
        <v>357221.15909090912</v>
      </c>
      <c r="D87" s="1">
        <f t="shared" si="1"/>
        <v>108014.33993006992</v>
      </c>
    </row>
    <row r="88" spans="1:4" x14ac:dyDescent="0.3">
      <c r="A88">
        <v>81</v>
      </c>
      <c r="B88">
        <v>202505</v>
      </c>
      <c r="C88" s="1">
        <f t="shared" si="0"/>
        <v>357221.15909090912</v>
      </c>
      <c r="D88" s="1">
        <f t="shared" si="1"/>
        <v>108014.33993006992</v>
      </c>
    </row>
    <row r="89" spans="1:4" x14ac:dyDescent="0.3">
      <c r="A89">
        <v>82</v>
      </c>
      <c r="B89">
        <v>202506</v>
      </c>
      <c r="C89" s="1">
        <f t="shared" si="0"/>
        <v>357221.15909090912</v>
      </c>
      <c r="D89" s="1">
        <f t="shared" si="1"/>
        <v>108014.33993006992</v>
      </c>
    </row>
    <row r="90" spans="1:4" x14ac:dyDescent="0.3">
      <c r="A90">
        <v>83</v>
      </c>
      <c r="B90">
        <v>202507</v>
      </c>
      <c r="C90" s="1">
        <f t="shared" si="0"/>
        <v>357221.15909090912</v>
      </c>
      <c r="D90" s="1">
        <f t="shared" si="1"/>
        <v>108014.33993006992</v>
      </c>
    </row>
    <row r="91" spans="1:4" x14ac:dyDescent="0.3">
      <c r="A91">
        <v>84</v>
      </c>
      <c r="B91">
        <v>202508</v>
      </c>
      <c r="C91" s="1">
        <f t="shared" si="0"/>
        <v>357221.15909090912</v>
      </c>
      <c r="D91" s="1">
        <f t="shared" si="1"/>
        <v>108014.33993006992</v>
      </c>
    </row>
    <row r="92" spans="1:4" x14ac:dyDescent="0.3">
      <c r="A92">
        <v>85</v>
      </c>
      <c r="B92">
        <v>202509</v>
      </c>
      <c r="C92" s="1">
        <f t="shared" si="0"/>
        <v>357221.15909090912</v>
      </c>
      <c r="D92" s="1">
        <f t="shared" si="1"/>
        <v>108014.33993006992</v>
      </c>
    </row>
    <row r="93" spans="1:4" x14ac:dyDescent="0.3">
      <c r="A93">
        <v>86</v>
      </c>
      <c r="B93">
        <v>202510</v>
      </c>
      <c r="C93" s="1">
        <f t="shared" si="0"/>
        <v>357221.15909090912</v>
      </c>
      <c r="D93" s="1">
        <f t="shared" si="1"/>
        <v>108014.33993006992</v>
      </c>
    </row>
    <row r="94" spans="1:4" x14ac:dyDescent="0.3">
      <c r="A94">
        <v>87</v>
      </c>
      <c r="B94">
        <v>202511</v>
      </c>
      <c r="C94" s="1">
        <f t="shared" si="0"/>
        <v>357221.15909090912</v>
      </c>
      <c r="D94" s="1">
        <f t="shared" si="1"/>
        <v>108014.33993006992</v>
      </c>
    </row>
    <row r="95" spans="1:4" x14ac:dyDescent="0.3">
      <c r="A95">
        <v>88</v>
      </c>
      <c r="B95">
        <v>202512</v>
      </c>
      <c r="C95" s="1">
        <f t="shared" si="0"/>
        <v>357221.15909090912</v>
      </c>
      <c r="D95" s="1">
        <f t="shared" si="1"/>
        <v>108014.33993006992</v>
      </c>
    </row>
    <row r="96" spans="1:4" x14ac:dyDescent="0.3">
      <c r="A96">
        <v>89</v>
      </c>
      <c r="B96">
        <v>202601</v>
      </c>
      <c r="C96" s="1">
        <f t="shared" si="0"/>
        <v>357221.15909090912</v>
      </c>
      <c r="D96" s="1">
        <f t="shared" si="1"/>
        <v>108014.33993006992</v>
      </c>
    </row>
    <row r="97" spans="1:4" x14ac:dyDescent="0.3">
      <c r="A97">
        <v>90</v>
      </c>
      <c r="B97">
        <v>202602</v>
      </c>
      <c r="C97" s="1">
        <f t="shared" si="0"/>
        <v>357221.15909090912</v>
      </c>
      <c r="D97" s="1">
        <f t="shared" si="1"/>
        <v>108014.33993006992</v>
      </c>
    </row>
    <row r="98" spans="1:4" x14ac:dyDescent="0.3">
      <c r="A98">
        <v>91</v>
      </c>
      <c r="B98">
        <v>202603</v>
      </c>
      <c r="C98" s="1">
        <f t="shared" ref="C98:C161" si="2">C97</f>
        <v>357221.15909090912</v>
      </c>
      <c r="D98" s="1">
        <f t="shared" ref="D98:D161" si="3">D97</f>
        <v>108014.33993006992</v>
      </c>
    </row>
    <row r="99" spans="1:4" x14ac:dyDescent="0.3">
      <c r="A99">
        <v>92</v>
      </c>
      <c r="B99">
        <v>202604</v>
      </c>
      <c r="C99" s="1">
        <f t="shared" si="2"/>
        <v>357221.15909090912</v>
      </c>
      <c r="D99" s="1">
        <f t="shared" si="3"/>
        <v>108014.33993006992</v>
      </c>
    </row>
    <row r="100" spans="1:4" x14ac:dyDescent="0.3">
      <c r="A100">
        <v>93</v>
      </c>
      <c r="B100">
        <v>202605</v>
      </c>
      <c r="C100" s="1">
        <f t="shared" si="2"/>
        <v>357221.15909090912</v>
      </c>
      <c r="D100" s="1">
        <f t="shared" si="3"/>
        <v>108014.33993006992</v>
      </c>
    </row>
    <row r="101" spans="1:4" x14ac:dyDescent="0.3">
      <c r="A101">
        <v>94</v>
      </c>
      <c r="B101">
        <v>202606</v>
      </c>
      <c r="C101" s="1">
        <f t="shared" si="2"/>
        <v>357221.15909090912</v>
      </c>
      <c r="D101" s="1">
        <f t="shared" si="3"/>
        <v>108014.33993006992</v>
      </c>
    </row>
    <row r="102" spans="1:4" x14ac:dyDescent="0.3">
      <c r="A102">
        <v>95</v>
      </c>
      <c r="B102">
        <v>202607</v>
      </c>
      <c r="C102" s="1">
        <f t="shared" si="2"/>
        <v>357221.15909090912</v>
      </c>
      <c r="D102" s="1">
        <f t="shared" si="3"/>
        <v>108014.33993006992</v>
      </c>
    </row>
    <row r="103" spans="1:4" x14ac:dyDescent="0.3">
      <c r="A103">
        <v>96</v>
      </c>
      <c r="B103">
        <v>202608</v>
      </c>
      <c r="C103" s="1">
        <f t="shared" si="2"/>
        <v>357221.15909090912</v>
      </c>
      <c r="D103" s="1">
        <f t="shared" si="3"/>
        <v>108014.33993006992</v>
      </c>
    </row>
    <row r="104" spans="1:4" x14ac:dyDescent="0.3">
      <c r="A104">
        <v>97</v>
      </c>
      <c r="B104">
        <v>202609</v>
      </c>
      <c r="C104" s="1">
        <f t="shared" si="2"/>
        <v>357221.15909090912</v>
      </c>
      <c r="D104" s="1">
        <f t="shared" si="3"/>
        <v>108014.33993006992</v>
      </c>
    </row>
    <row r="105" spans="1:4" x14ac:dyDescent="0.3">
      <c r="A105">
        <v>98</v>
      </c>
      <c r="B105">
        <v>202610</v>
      </c>
      <c r="C105" s="1">
        <f t="shared" si="2"/>
        <v>357221.15909090912</v>
      </c>
      <c r="D105" s="1">
        <f t="shared" si="3"/>
        <v>108014.33993006992</v>
      </c>
    </row>
    <row r="106" spans="1:4" x14ac:dyDescent="0.3">
      <c r="A106">
        <v>99</v>
      </c>
      <c r="B106">
        <v>202611</v>
      </c>
      <c r="C106" s="1">
        <f t="shared" si="2"/>
        <v>357221.15909090912</v>
      </c>
      <c r="D106" s="1">
        <f t="shared" si="3"/>
        <v>108014.33993006992</v>
      </c>
    </row>
    <row r="107" spans="1:4" x14ac:dyDescent="0.3">
      <c r="A107">
        <v>100</v>
      </c>
      <c r="B107">
        <v>202612</v>
      </c>
      <c r="C107" s="1">
        <f t="shared" si="2"/>
        <v>357221.15909090912</v>
      </c>
      <c r="D107" s="1">
        <f t="shared" si="3"/>
        <v>108014.33993006992</v>
      </c>
    </row>
    <row r="108" spans="1:4" x14ac:dyDescent="0.3">
      <c r="A108">
        <v>101</v>
      </c>
      <c r="B108">
        <v>202701</v>
      </c>
      <c r="C108" s="1">
        <f t="shared" si="2"/>
        <v>357221.15909090912</v>
      </c>
      <c r="D108" s="1">
        <f t="shared" si="3"/>
        <v>108014.33993006992</v>
      </c>
    </row>
    <row r="109" spans="1:4" x14ac:dyDescent="0.3">
      <c r="A109">
        <v>102</v>
      </c>
      <c r="B109">
        <v>202702</v>
      </c>
      <c r="C109" s="1">
        <f t="shared" si="2"/>
        <v>357221.15909090912</v>
      </c>
      <c r="D109" s="1">
        <f t="shared" si="3"/>
        <v>108014.33993006992</v>
      </c>
    </row>
    <row r="110" spans="1:4" x14ac:dyDescent="0.3">
      <c r="A110">
        <v>103</v>
      </c>
      <c r="B110">
        <v>202703</v>
      </c>
      <c r="C110" s="1">
        <f t="shared" si="2"/>
        <v>357221.15909090912</v>
      </c>
      <c r="D110" s="1">
        <f t="shared" si="3"/>
        <v>108014.33993006992</v>
      </c>
    </row>
    <row r="111" spans="1:4" x14ac:dyDescent="0.3">
      <c r="A111">
        <v>104</v>
      </c>
      <c r="B111">
        <v>202704</v>
      </c>
      <c r="C111" s="1">
        <f t="shared" si="2"/>
        <v>357221.15909090912</v>
      </c>
      <c r="D111" s="1">
        <f t="shared" si="3"/>
        <v>108014.33993006992</v>
      </c>
    </row>
    <row r="112" spans="1:4" x14ac:dyDescent="0.3">
      <c r="A112">
        <v>105</v>
      </c>
      <c r="B112">
        <v>202705</v>
      </c>
      <c r="C112" s="1">
        <f t="shared" si="2"/>
        <v>357221.15909090912</v>
      </c>
      <c r="D112" s="1">
        <f t="shared" si="3"/>
        <v>108014.33993006992</v>
      </c>
    </row>
    <row r="113" spans="1:4" x14ac:dyDescent="0.3">
      <c r="A113">
        <v>106</v>
      </c>
      <c r="B113">
        <v>202706</v>
      </c>
      <c r="C113" s="1">
        <f t="shared" si="2"/>
        <v>357221.15909090912</v>
      </c>
      <c r="D113" s="1">
        <f t="shared" si="3"/>
        <v>108014.33993006992</v>
      </c>
    </row>
    <row r="114" spans="1:4" x14ac:dyDescent="0.3">
      <c r="A114">
        <v>107</v>
      </c>
      <c r="B114">
        <v>202707</v>
      </c>
      <c r="C114" s="1">
        <f t="shared" si="2"/>
        <v>357221.15909090912</v>
      </c>
      <c r="D114" s="1">
        <f t="shared" si="3"/>
        <v>108014.33993006992</v>
      </c>
    </row>
    <row r="115" spans="1:4" x14ac:dyDescent="0.3">
      <c r="A115">
        <v>108</v>
      </c>
      <c r="B115">
        <v>202708</v>
      </c>
      <c r="C115" s="1">
        <f t="shared" si="2"/>
        <v>357221.15909090912</v>
      </c>
      <c r="D115" s="1">
        <f t="shared" si="3"/>
        <v>108014.33993006992</v>
      </c>
    </row>
    <row r="116" spans="1:4" x14ac:dyDescent="0.3">
      <c r="A116">
        <v>109</v>
      </c>
      <c r="B116">
        <v>202709</v>
      </c>
      <c r="C116" s="1">
        <f t="shared" si="2"/>
        <v>357221.15909090912</v>
      </c>
      <c r="D116" s="1">
        <f t="shared" si="3"/>
        <v>108014.33993006992</v>
      </c>
    </row>
    <row r="117" spans="1:4" x14ac:dyDescent="0.3">
      <c r="A117">
        <v>110</v>
      </c>
      <c r="B117">
        <v>202710</v>
      </c>
      <c r="C117" s="1">
        <f t="shared" si="2"/>
        <v>357221.15909090912</v>
      </c>
      <c r="D117" s="1">
        <f t="shared" si="3"/>
        <v>108014.33993006992</v>
      </c>
    </row>
    <row r="118" spans="1:4" x14ac:dyDescent="0.3">
      <c r="A118">
        <v>111</v>
      </c>
      <c r="B118">
        <v>202711</v>
      </c>
      <c r="C118" s="1">
        <f t="shared" si="2"/>
        <v>357221.15909090912</v>
      </c>
      <c r="D118" s="1">
        <f t="shared" si="3"/>
        <v>108014.33993006992</v>
      </c>
    </row>
    <row r="119" spans="1:4" x14ac:dyDescent="0.3">
      <c r="A119">
        <v>112</v>
      </c>
      <c r="B119">
        <v>202712</v>
      </c>
      <c r="C119" s="1">
        <f t="shared" si="2"/>
        <v>357221.15909090912</v>
      </c>
      <c r="D119" s="1">
        <f t="shared" si="3"/>
        <v>108014.33993006992</v>
      </c>
    </row>
    <row r="120" spans="1:4" x14ac:dyDescent="0.3">
      <c r="A120">
        <v>113</v>
      </c>
      <c r="B120">
        <v>202801</v>
      </c>
      <c r="C120" s="1">
        <f t="shared" si="2"/>
        <v>357221.15909090912</v>
      </c>
      <c r="D120" s="1">
        <f t="shared" si="3"/>
        <v>108014.33993006992</v>
      </c>
    </row>
    <row r="121" spans="1:4" x14ac:dyDescent="0.3">
      <c r="A121">
        <v>114</v>
      </c>
      <c r="B121">
        <v>202802</v>
      </c>
      <c r="C121" s="1">
        <f t="shared" si="2"/>
        <v>357221.15909090912</v>
      </c>
      <c r="D121" s="1">
        <f t="shared" si="3"/>
        <v>108014.33993006992</v>
      </c>
    </row>
    <row r="122" spans="1:4" x14ac:dyDescent="0.3">
      <c r="A122">
        <v>115</v>
      </c>
      <c r="B122">
        <v>202803</v>
      </c>
      <c r="C122" s="1">
        <f t="shared" si="2"/>
        <v>357221.15909090912</v>
      </c>
      <c r="D122" s="1">
        <f t="shared" si="3"/>
        <v>108014.33993006992</v>
      </c>
    </row>
    <row r="123" spans="1:4" x14ac:dyDescent="0.3">
      <c r="A123">
        <v>116</v>
      </c>
      <c r="B123">
        <v>202804</v>
      </c>
      <c r="C123" s="1">
        <f t="shared" si="2"/>
        <v>357221.15909090912</v>
      </c>
      <c r="D123" s="1">
        <f t="shared" si="3"/>
        <v>108014.33993006992</v>
      </c>
    </row>
    <row r="124" spans="1:4" x14ac:dyDescent="0.3">
      <c r="A124">
        <v>117</v>
      </c>
      <c r="B124">
        <v>202805</v>
      </c>
      <c r="C124" s="1">
        <f t="shared" si="2"/>
        <v>357221.15909090912</v>
      </c>
      <c r="D124" s="1">
        <f t="shared" si="3"/>
        <v>108014.33993006992</v>
      </c>
    </row>
    <row r="125" spans="1:4" x14ac:dyDescent="0.3">
      <c r="A125">
        <v>118</v>
      </c>
      <c r="B125">
        <v>202806</v>
      </c>
      <c r="C125" s="1">
        <f t="shared" si="2"/>
        <v>357221.15909090912</v>
      </c>
      <c r="D125" s="1">
        <f t="shared" si="3"/>
        <v>108014.33993006992</v>
      </c>
    </row>
    <row r="126" spans="1:4" x14ac:dyDescent="0.3">
      <c r="A126">
        <v>119</v>
      </c>
      <c r="B126">
        <v>202807</v>
      </c>
      <c r="C126" s="1">
        <f t="shared" si="2"/>
        <v>357221.15909090912</v>
      </c>
      <c r="D126" s="1">
        <f t="shared" si="3"/>
        <v>108014.33993006992</v>
      </c>
    </row>
    <row r="127" spans="1:4" x14ac:dyDescent="0.3">
      <c r="A127">
        <v>120</v>
      </c>
      <c r="B127">
        <v>202808</v>
      </c>
      <c r="C127" s="1">
        <f t="shared" si="2"/>
        <v>357221.15909090912</v>
      </c>
      <c r="D127" s="1">
        <f t="shared" si="3"/>
        <v>108014.33993006992</v>
      </c>
    </row>
    <row r="128" spans="1:4" x14ac:dyDescent="0.3">
      <c r="A128">
        <v>121</v>
      </c>
      <c r="B128">
        <v>202809</v>
      </c>
      <c r="C128" s="1">
        <f t="shared" si="2"/>
        <v>357221.15909090912</v>
      </c>
      <c r="D128" s="1">
        <f t="shared" si="3"/>
        <v>108014.33993006992</v>
      </c>
    </row>
    <row r="129" spans="1:4" x14ac:dyDescent="0.3">
      <c r="A129">
        <v>122</v>
      </c>
      <c r="B129">
        <v>202810</v>
      </c>
      <c r="C129" s="1">
        <f t="shared" si="2"/>
        <v>357221.15909090912</v>
      </c>
      <c r="D129" s="1">
        <f t="shared" si="3"/>
        <v>108014.33993006992</v>
      </c>
    </row>
    <row r="130" spans="1:4" x14ac:dyDescent="0.3">
      <c r="A130">
        <v>123</v>
      </c>
      <c r="B130">
        <v>202811</v>
      </c>
      <c r="C130" s="1">
        <f t="shared" si="2"/>
        <v>357221.15909090912</v>
      </c>
      <c r="D130" s="1">
        <f t="shared" si="3"/>
        <v>108014.33993006992</v>
      </c>
    </row>
    <row r="131" spans="1:4" x14ac:dyDescent="0.3">
      <c r="A131">
        <v>124</v>
      </c>
      <c r="B131">
        <v>202812</v>
      </c>
      <c r="C131" s="1">
        <f t="shared" si="2"/>
        <v>357221.15909090912</v>
      </c>
      <c r="D131" s="1">
        <f t="shared" si="3"/>
        <v>108014.33993006992</v>
      </c>
    </row>
    <row r="132" spans="1:4" x14ac:dyDescent="0.3">
      <c r="A132">
        <v>125</v>
      </c>
      <c r="B132">
        <v>202901</v>
      </c>
      <c r="C132" s="1">
        <f t="shared" si="2"/>
        <v>357221.15909090912</v>
      </c>
      <c r="D132" s="1">
        <f t="shared" si="3"/>
        <v>108014.33993006992</v>
      </c>
    </row>
    <row r="133" spans="1:4" x14ac:dyDescent="0.3">
      <c r="A133">
        <v>126</v>
      </c>
      <c r="B133">
        <v>202902</v>
      </c>
      <c r="C133" s="1">
        <f t="shared" si="2"/>
        <v>357221.15909090912</v>
      </c>
      <c r="D133" s="1">
        <f t="shared" si="3"/>
        <v>108014.33993006992</v>
      </c>
    </row>
    <row r="134" spans="1:4" x14ac:dyDescent="0.3">
      <c r="A134">
        <v>127</v>
      </c>
      <c r="B134">
        <v>202903</v>
      </c>
      <c r="C134" s="1">
        <f t="shared" si="2"/>
        <v>357221.15909090912</v>
      </c>
      <c r="D134" s="1">
        <f t="shared" si="3"/>
        <v>108014.33993006992</v>
      </c>
    </row>
    <row r="135" spans="1:4" x14ac:dyDescent="0.3">
      <c r="A135">
        <v>128</v>
      </c>
      <c r="B135">
        <v>202904</v>
      </c>
      <c r="C135" s="1">
        <f t="shared" si="2"/>
        <v>357221.15909090912</v>
      </c>
      <c r="D135" s="1">
        <f t="shared" si="3"/>
        <v>108014.33993006992</v>
      </c>
    </row>
    <row r="136" spans="1:4" x14ac:dyDescent="0.3">
      <c r="A136">
        <v>129</v>
      </c>
      <c r="B136">
        <v>202905</v>
      </c>
      <c r="C136" s="1">
        <f t="shared" si="2"/>
        <v>357221.15909090912</v>
      </c>
      <c r="D136" s="1">
        <f t="shared" si="3"/>
        <v>108014.33993006992</v>
      </c>
    </row>
    <row r="137" spans="1:4" x14ac:dyDescent="0.3">
      <c r="A137">
        <v>130</v>
      </c>
      <c r="B137">
        <v>202906</v>
      </c>
      <c r="C137" s="1">
        <f t="shared" si="2"/>
        <v>357221.15909090912</v>
      </c>
      <c r="D137" s="1">
        <f t="shared" si="3"/>
        <v>108014.33993006992</v>
      </c>
    </row>
    <row r="138" spans="1:4" x14ac:dyDescent="0.3">
      <c r="A138">
        <v>131</v>
      </c>
      <c r="B138">
        <v>202907</v>
      </c>
      <c r="C138" s="1">
        <f t="shared" si="2"/>
        <v>357221.15909090912</v>
      </c>
      <c r="D138" s="1">
        <f t="shared" si="3"/>
        <v>108014.33993006992</v>
      </c>
    </row>
    <row r="139" spans="1:4" x14ac:dyDescent="0.3">
      <c r="A139">
        <v>132</v>
      </c>
      <c r="B139">
        <v>202908</v>
      </c>
      <c r="C139" s="1">
        <f t="shared" si="2"/>
        <v>357221.15909090912</v>
      </c>
      <c r="D139" s="1">
        <f t="shared" si="3"/>
        <v>108014.33993006992</v>
      </c>
    </row>
    <row r="140" spans="1:4" x14ac:dyDescent="0.3">
      <c r="A140">
        <v>133</v>
      </c>
      <c r="B140">
        <v>202909</v>
      </c>
      <c r="C140" s="1">
        <f t="shared" si="2"/>
        <v>357221.15909090912</v>
      </c>
      <c r="D140" s="1">
        <f t="shared" si="3"/>
        <v>108014.33993006992</v>
      </c>
    </row>
    <row r="141" spans="1:4" x14ac:dyDescent="0.3">
      <c r="A141">
        <v>134</v>
      </c>
      <c r="B141">
        <v>202910</v>
      </c>
      <c r="C141" s="1">
        <f t="shared" si="2"/>
        <v>357221.15909090912</v>
      </c>
      <c r="D141" s="1">
        <f t="shared" si="3"/>
        <v>108014.33993006992</v>
      </c>
    </row>
    <row r="142" spans="1:4" x14ac:dyDescent="0.3">
      <c r="A142">
        <v>135</v>
      </c>
      <c r="B142">
        <v>202911</v>
      </c>
      <c r="C142" s="1">
        <f t="shared" si="2"/>
        <v>357221.15909090912</v>
      </c>
      <c r="D142" s="1">
        <f t="shared" si="3"/>
        <v>108014.33993006992</v>
      </c>
    </row>
    <row r="143" spans="1:4" x14ac:dyDescent="0.3">
      <c r="A143">
        <v>136</v>
      </c>
      <c r="B143">
        <v>202912</v>
      </c>
      <c r="C143" s="1">
        <f t="shared" si="2"/>
        <v>357221.15909090912</v>
      </c>
      <c r="D143" s="1">
        <f t="shared" si="3"/>
        <v>108014.33993006992</v>
      </c>
    </row>
    <row r="144" spans="1:4" x14ac:dyDescent="0.3">
      <c r="A144">
        <v>137</v>
      </c>
      <c r="B144">
        <v>203001</v>
      </c>
      <c r="C144" s="1">
        <f t="shared" si="2"/>
        <v>357221.15909090912</v>
      </c>
      <c r="D144" s="1">
        <f t="shared" si="3"/>
        <v>108014.33993006992</v>
      </c>
    </row>
    <row r="145" spans="1:4" x14ac:dyDescent="0.3">
      <c r="A145">
        <v>138</v>
      </c>
      <c r="B145">
        <v>203002</v>
      </c>
      <c r="C145" s="1">
        <f t="shared" si="2"/>
        <v>357221.15909090912</v>
      </c>
      <c r="D145" s="1">
        <f t="shared" si="3"/>
        <v>108014.33993006992</v>
      </c>
    </row>
    <row r="146" spans="1:4" x14ac:dyDescent="0.3">
      <c r="A146">
        <v>139</v>
      </c>
      <c r="B146">
        <v>203003</v>
      </c>
      <c r="C146" s="1">
        <f t="shared" si="2"/>
        <v>357221.15909090912</v>
      </c>
      <c r="D146" s="1">
        <f t="shared" si="3"/>
        <v>108014.33993006992</v>
      </c>
    </row>
    <row r="147" spans="1:4" x14ac:dyDescent="0.3">
      <c r="A147">
        <v>140</v>
      </c>
      <c r="B147">
        <v>203004</v>
      </c>
      <c r="C147" s="1">
        <f t="shared" si="2"/>
        <v>357221.15909090912</v>
      </c>
      <c r="D147" s="1">
        <f t="shared" si="3"/>
        <v>108014.33993006992</v>
      </c>
    </row>
    <row r="148" spans="1:4" x14ac:dyDescent="0.3">
      <c r="A148">
        <v>141</v>
      </c>
      <c r="B148">
        <v>203005</v>
      </c>
      <c r="C148" s="1">
        <f t="shared" si="2"/>
        <v>357221.15909090912</v>
      </c>
      <c r="D148" s="1">
        <f t="shared" si="3"/>
        <v>108014.33993006992</v>
      </c>
    </row>
    <row r="149" spans="1:4" x14ac:dyDescent="0.3">
      <c r="A149">
        <v>142</v>
      </c>
      <c r="B149">
        <v>203006</v>
      </c>
      <c r="C149" s="1">
        <f t="shared" si="2"/>
        <v>357221.15909090912</v>
      </c>
      <c r="D149" s="1">
        <f t="shared" si="3"/>
        <v>108014.33993006992</v>
      </c>
    </row>
    <row r="150" spans="1:4" x14ac:dyDescent="0.3">
      <c r="A150">
        <v>143</v>
      </c>
      <c r="B150">
        <v>203007</v>
      </c>
      <c r="C150" s="1">
        <f t="shared" si="2"/>
        <v>357221.15909090912</v>
      </c>
      <c r="D150" s="1">
        <f t="shared" si="3"/>
        <v>108014.33993006992</v>
      </c>
    </row>
    <row r="151" spans="1:4" x14ac:dyDescent="0.3">
      <c r="A151">
        <v>144</v>
      </c>
      <c r="B151">
        <v>203008</v>
      </c>
      <c r="C151" s="1">
        <f t="shared" si="2"/>
        <v>357221.15909090912</v>
      </c>
      <c r="D151" s="1">
        <f t="shared" si="3"/>
        <v>108014.33993006992</v>
      </c>
    </row>
    <row r="152" spans="1:4" x14ac:dyDescent="0.3">
      <c r="A152">
        <v>145</v>
      </c>
      <c r="B152">
        <v>203009</v>
      </c>
      <c r="C152" s="1">
        <f t="shared" si="2"/>
        <v>357221.15909090912</v>
      </c>
      <c r="D152" s="1">
        <f t="shared" si="3"/>
        <v>108014.33993006992</v>
      </c>
    </row>
    <row r="153" spans="1:4" x14ac:dyDescent="0.3">
      <c r="A153">
        <v>146</v>
      </c>
      <c r="B153">
        <v>203010</v>
      </c>
      <c r="C153" s="1">
        <f t="shared" si="2"/>
        <v>357221.15909090912</v>
      </c>
      <c r="D153" s="1">
        <f t="shared" si="3"/>
        <v>108014.33993006992</v>
      </c>
    </row>
    <row r="154" spans="1:4" x14ac:dyDescent="0.3">
      <c r="A154">
        <v>147</v>
      </c>
      <c r="B154">
        <v>203011</v>
      </c>
      <c r="C154" s="1">
        <f t="shared" si="2"/>
        <v>357221.15909090912</v>
      </c>
      <c r="D154" s="1">
        <f t="shared" si="3"/>
        <v>108014.33993006992</v>
      </c>
    </row>
    <row r="155" spans="1:4" x14ac:dyDescent="0.3">
      <c r="A155">
        <v>148</v>
      </c>
      <c r="B155">
        <v>203012</v>
      </c>
      <c r="C155" s="1">
        <f t="shared" si="2"/>
        <v>357221.15909090912</v>
      </c>
      <c r="D155" s="1">
        <f t="shared" si="3"/>
        <v>108014.33993006992</v>
      </c>
    </row>
    <row r="156" spans="1:4" x14ac:dyDescent="0.3">
      <c r="A156">
        <v>149</v>
      </c>
      <c r="B156">
        <v>203101</v>
      </c>
      <c r="C156" s="1">
        <f t="shared" si="2"/>
        <v>357221.15909090912</v>
      </c>
      <c r="D156" s="1">
        <f t="shared" si="3"/>
        <v>108014.33993006992</v>
      </c>
    </row>
    <row r="157" spans="1:4" x14ac:dyDescent="0.3">
      <c r="A157">
        <v>150</v>
      </c>
      <c r="B157">
        <v>203102</v>
      </c>
      <c r="C157" s="1">
        <f t="shared" si="2"/>
        <v>357221.15909090912</v>
      </c>
      <c r="D157" s="1">
        <f t="shared" si="3"/>
        <v>108014.33993006992</v>
      </c>
    </row>
    <row r="158" spans="1:4" x14ac:dyDescent="0.3">
      <c r="A158">
        <v>151</v>
      </c>
      <c r="B158">
        <v>203103</v>
      </c>
      <c r="C158" s="1">
        <f t="shared" si="2"/>
        <v>357221.15909090912</v>
      </c>
      <c r="D158" s="1">
        <f t="shared" si="3"/>
        <v>108014.33993006992</v>
      </c>
    </row>
    <row r="159" spans="1:4" x14ac:dyDescent="0.3">
      <c r="A159">
        <v>152</v>
      </c>
      <c r="B159">
        <v>203104</v>
      </c>
      <c r="C159" s="1">
        <f t="shared" si="2"/>
        <v>357221.15909090912</v>
      </c>
      <c r="D159" s="1">
        <f t="shared" si="3"/>
        <v>108014.33993006992</v>
      </c>
    </row>
    <row r="160" spans="1:4" x14ac:dyDescent="0.3">
      <c r="A160">
        <v>153</v>
      </c>
      <c r="B160">
        <v>203105</v>
      </c>
      <c r="C160" s="1">
        <f t="shared" si="2"/>
        <v>357221.15909090912</v>
      </c>
      <c r="D160" s="1">
        <f t="shared" si="3"/>
        <v>108014.33993006992</v>
      </c>
    </row>
    <row r="161" spans="1:4" x14ac:dyDescent="0.3">
      <c r="A161">
        <v>154</v>
      </c>
      <c r="B161">
        <v>203106</v>
      </c>
      <c r="C161" s="1">
        <f t="shared" si="2"/>
        <v>357221.15909090912</v>
      </c>
      <c r="D161" s="1">
        <f t="shared" si="3"/>
        <v>108014.33993006992</v>
      </c>
    </row>
    <row r="162" spans="1:4" x14ac:dyDescent="0.3">
      <c r="A162">
        <v>155</v>
      </c>
      <c r="B162">
        <v>203107</v>
      </c>
      <c r="C162" s="1">
        <f t="shared" ref="C162:C187" si="4">C161</f>
        <v>357221.15909090912</v>
      </c>
      <c r="D162" s="1">
        <f t="shared" ref="D162:D187" si="5">D161</f>
        <v>108014.33993006992</v>
      </c>
    </row>
    <row r="163" spans="1:4" x14ac:dyDescent="0.3">
      <c r="A163">
        <v>156</v>
      </c>
      <c r="B163">
        <v>203108</v>
      </c>
      <c r="C163" s="1">
        <f t="shared" si="4"/>
        <v>357221.15909090912</v>
      </c>
      <c r="D163" s="1">
        <f t="shared" si="5"/>
        <v>108014.33993006992</v>
      </c>
    </row>
    <row r="164" spans="1:4" x14ac:dyDescent="0.3">
      <c r="A164">
        <v>157</v>
      </c>
      <c r="B164">
        <v>203109</v>
      </c>
      <c r="C164" s="1">
        <f t="shared" si="4"/>
        <v>357221.15909090912</v>
      </c>
      <c r="D164" s="1">
        <f t="shared" si="5"/>
        <v>108014.33993006992</v>
      </c>
    </row>
    <row r="165" spans="1:4" x14ac:dyDescent="0.3">
      <c r="A165">
        <v>158</v>
      </c>
      <c r="B165">
        <v>203110</v>
      </c>
      <c r="C165" s="1">
        <f t="shared" si="4"/>
        <v>357221.15909090912</v>
      </c>
      <c r="D165" s="1">
        <f t="shared" si="5"/>
        <v>108014.33993006992</v>
      </c>
    </row>
    <row r="166" spans="1:4" x14ac:dyDescent="0.3">
      <c r="A166">
        <v>159</v>
      </c>
      <c r="B166">
        <v>203111</v>
      </c>
      <c r="C166" s="1">
        <f t="shared" si="4"/>
        <v>357221.15909090912</v>
      </c>
      <c r="D166" s="1">
        <f t="shared" si="5"/>
        <v>108014.33993006992</v>
      </c>
    </row>
    <row r="167" spans="1:4" x14ac:dyDescent="0.3">
      <c r="A167">
        <v>160</v>
      </c>
      <c r="B167">
        <v>203112</v>
      </c>
      <c r="C167" s="1">
        <f t="shared" si="4"/>
        <v>357221.15909090912</v>
      </c>
      <c r="D167" s="1">
        <f t="shared" si="5"/>
        <v>108014.33993006992</v>
      </c>
    </row>
    <row r="168" spans="1:4" x14ac:dyDescent="0.3">
      <c r="A168">
        <v>161</v>
      </c>
      <c r="B168">
        <v>203201</v>
      </c>
      <c r="C168" s="1">
        <f t="shared" si="4"/>
        <v>357221.15909090912</v>
      </c>
      <c r="D168" s="1">
        <f t="shared" si="5"/>
        <v>108014.33993006992</v>
      </c>
    </row>
    <row r="169" spans="1:4" x14ac:dyDescent="0.3">
      <c r="A169">
        <v>162</v>
      </c>
      <c r="B169">
        <v>203202</v>
      </c>
      <c r="C169" s="1">
        <f t="shared" si="4"/>
        <v>357221.15909090912</v>
      </c>
      <c r="D169" s="1">
        <f t="shared" si="5"/>
        <v>108014.33993006992</v>
      </c>
    </row>
    <row r="170" spans="1:4" x14ac:dyDescent="0.3">
      <c r="A170">
        <v>163</v>
      </c>
      <c r="B170">
        <v>203203</v>
      </c>
      <c r="C170" s="1">
        <f t="shared" si="4"/>
        <v>357221.15909090912</v>
      </c>
      <c r="D170" s="1">
        <f t="shared" si="5"/>
        <v>108014.33993006992</v>
      </c>
    </row>
    <row r="171" spans="1:4" x14ac:dyDescent="0.3">
      <c r="A171">
        <v>164</v>
      </c>
      <c r="B171">
        <v>203204</v>
      </c>
      <c r="C171" s="1">
        <f t="shared" si="4"/>
        <v>357221.15909090912</v>
      </c>
      <c r="D171" s="1">
        <f t="shared" si="5"/>
        <v>108014.33993006992</v>
      </c>
    </row>
    <row r="172" spans="1:4" x14ac:dyDescent="0.3">
      <c r="A172">
        <v>165</v>
      </c>
      <c r="B172">
        <v>203205</v>
      </c>
      <c r="C172" s="1">
        <f t="shared" si="4"/>
        <v>357221.15909090912</v>
      </c>
      <c r="D172" s="1">
        <f t="shared" si="5"/>
        <v>108014.33993006992</v>
      </c>
    </row>
    <row r="173" spans="1:4" x14ac:dyDescent="0.3">
      <c r="A173">
        <v>166</v>
      </c>
      <c r="B173">
        <v>203206</v>
      </c>
      <c r="C173" s="1">
        <f t="shared" si="4"/>
        <v>357221.15909090912</v>
      </c>
      <c r="D173" s="1">
        <f t="shared" si="5"/>
        <v>108014.33993006992</v>
      </c>
    </row>
    <row r="174" spans="1:4" x14ac:dyDescent="0.3">
      <c r="A174">
        <v>167</v>
      </c>
      <c r="B174">
        <v>203207</v>
      </c>
      <c r="C174" s="1">
        <f t="shared" si="4"/>
        <v>357221.15909090912</v>
      </c>
      <c r="D174" s="1">
        <f t="shared" si="5"/>
        <v>108014.33993006992</v>
      </c>
    </row>
    <row r="175" spans="1:4" x14ac:dyDescent="0.3">
      <c r="A175">
        <v>168</v>
      </c>
      <c r="B175">
        <v>203208</v>
      </c>
      <c r="C175" s="1">
        <f t="shared" si="4"/>
        <v>357221.15909090912</v>
      </c>
      <c r="D175" s="1">
        <f t="shared" si="5"/>
        <v>108014.33993006992</v>
      </c>
    </row>
    <row r="176" spans="1:4" x14ac:dyDescent="0.3">
      <c r="A176">
        <v>169</v>
      </c>
      <c r="B176">
        <v>203209</v>
      </c>
      <c r="C176" s="1">
        <f t="shared" si="4"/>
        <v>357221.15909090912</v>
      </c>
      <c r="D176" s="1">
        <f t="shared" si="5"/>
        <v>108014.33993006992</v>
      </c>
    </row>
    <row r="177" spans="1:4" x14ac:dyDescent="0.3">
      <c r="A177">
        <v>170</v>
      </c>
      <c r="B177">
        <v>203210</v>
      </c>
      <c r="C177" s="1">
        <f t="shared" si="4"/>
        <v>357221.15909090912</v>
      </c>
      <c r="D177" s="1">
        <f t="shared" si="5"/>
        <v>108014.33993006992</v>
      </c>
    </row>
    <row r="178" spans="1:4" x14ac:dyDescent="0.3">
      <c r="A178">
        <v>171</v>
      </c>
      <c r="B178">
        <v>203211</v>
      </c>
      <c r="C178" s="1">
        <f t="shared" si="4"/>
        <v>357221.15909090912</v>
      </c>
      <c r="D178" s="1">
        <f t="shared" si="5"/>
        <v>108014.33993006992</v>
      </c>
    </row>
    <row r="179" spans="1:4" x14ac:dyDescent="0.3">
      <c r="A179">
        <v>172</v>
      </c>
      <c r="B179">
        <v>203212</v>
      </c>
      <c r="C179" s="1">
        <f t="shared" si="4"/>
        <v>357221.15909090912</v>
      </c>
      <c r="D179" s="1">
        <f t="shared" si="5"/>
        <v>108014.33993006992</v>
      </c>
    </row>
    <row r="180" spans="1:4" x14ac:dyDescent="0.3">
      <c r="A180">
        <v>173</v>
      </c>
      <c r="B180">
        <v>203301</v>
      </c>
      <c r="C180" s="1">
        <f t="shared" si="4"/>
        <v>357221.15909090912</v>
      </c>
      <c r="D180" s="1">
        <f t="shared" si="5"/>
        <v>108014.33993006992</v>
      </c>
    </row>
    <row r="181" spans="1:4" x14ac:dyDescent="0.3">
      <c r="A181">
        <v>174</v>
      </c>
      <c r="B181">
        <v>203302</v>
      </c>
      <c r="C181" s="1">
        <f t="shared" si="4"/>
        <v>357221.15909090912</v>
      </c>
      <c r="D181" s="1">
        <f t="shared" si="5"/>
        <v>108014.33993006992</v>
      </c>
    </row>
    <row r="182" spans="1:4" x14ac:dyDescent="0.3">
      <c r="A182">
        <v>175</v>
      </c>
      <c r="B182">
        <v>203303</v>
      </c>
      <c r="C182" s="1">
        <f t="shared" si="4"/>
        <v>357221.15909090912</v>
      </c>
      <c r="D182" s="1">
        <f t="shared" si="5"/>
        <v>108014.33993006992</v>
      </c>
    </row>
    <row r="183" spans="1:4" x14ac:dyDescent="0.3">
      <c r="A183">
        <v>176</v>
      </c>
      <c r="B183">
        <v>203304</v>
      </c>
      <c r="C183" s="1">
        <f t="shared" si="4"/>
        <v>357221.15909090912</v>
      </c>
      <c r="D183" s="1">
        <f t="shared" si="5"/>
        <v>108014.33993006992</v>
      </c>
    </row>
    <row r="184" spans="1:4" x14ac:dyDescent="0.3">
      <c r="A184">
        <v>177</v>
      </c>
      <c r="B184">
        <v>203305</v>
      </c>
      <c r="C184" s="1">
        <f t="shared" si="4"/>
        <v>357221.15909090912</v>
      </c>
      <c r="D184" s="1">
        <f t="shared" si="5"/>
        <v>108014.33993006992</v>
      </c>
    </row>
    <row r="185" spans="1:4" x14ac:dyDescent="0.3">
      <c r="A185">
        <v>178</v>
      </c>
      <c r="B185">
        <v>203306</v>
      </c>
      <c r="C185" s="1">
        <f t="shared" si="4"/>
        <v>357221.15909090912</v>
      </c>
      <c r="D185" s="1">
        <f t="shared" si="5"/>
        <v>108014.33993006992</v>
      </c>
    </row>
    <row r="186" spans="1:4" x14ac:dyDescent="0.3">
      <c r="A186">
        <v>179</v>
      </c>
      <c r="B186">
        <v>203307</v>
      </c>
      <c r="C186" s="1">
        <f t="shared" si="4"/>
        <v>357221.15909090912</v>
      </c>
      <c r="D186" s="1">
        <f t="shared" si="5"/>
        <v>108014.33993006992</v>
      </c>
    </row>
    <row r="187" spans="1:4" x14ac:dyDescent="0.3">
      <c r="A187">
        <v>180</v>
      </c>
      <c r="B187">
        <v>203308</v>
      </c>
      <c r="C187" s="1">
        <f t="shared" si="4"/>
        <v>357221.15909090912</v>
      </c>
      <c r="D187" s="1">
        <f t="shared" si="5"/>
        <v>108014.33993006992</v>
      </c>
    </row>
    <row r="188" spans="1:4" ht="15" thickBot="1" x14ac:dyDescent="0.35">
      <c r="C188" s="4">
        <f>SUM(C32:C187)</f>
        <v>51082625.749999896</v>
      </c>
      <c r="D188" s="4">
        <f>SUM(D32:D187)</f>
        <v>15446050.610000033</v>
      </c>
    </row>
  </sheetData>
  <pageMargins left="0.7" right="0.7" top="0.75" bottom="0.75" header="0.3" footer="0.3"/>
  <pageSetup fitToHeight="16" orientation="landscape" r:id="rId1"/>
  <headerFooter>
    <oddFooter>&amp;LAvista
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workbookViewId="0"/>
  </sheetViews>
  <sheetFormatPr defaultRowHeight="14.4" x14ac:dyDescent="0.3"/>
  <cols>
    <col min="1" max="1" width="11.5546875" bestFit="1" customWidth="1"/>
    <col min="2" max="2" width="12.44140625" customWidth="1"/>
    <col min="3" max="3" width="12" bestFit="1" customWidth="1"/>
    <col min="4" max="4" width="7.33203125" bestFit="1" customWidth="1"/>
    <col min="5" max="5" width="10.88671875" bestFit="1" customWidth="1"/>
    <col min="6" max="6" width="15.33203125" bestFit="1" customWidth="1"/>
    <col min="7" max="7" width="10.33203125" bestFit="1" customWidth="1"/>
    <col min="8" max="8" width="12.5546875" bestFit="1" customWidth="1"/>
    <col min="9" max="9" width="9.5546875" bestFit="1" customWidth="1"/>
    <col min="10" max="10" width="20.44140625" bestFit="1" customWidth="1"/>
    <col min="11" max="11" width="6.109375" bestFit="1" customWidth="1"/>
    <col min="12" max="12" width="10.88671875" customWidth="1"/>
    <col min="13" max="13" width="12.6640625" bestFit="1" customWidth="1"/>
    <col min="14" max="14" width="9.88671875" bestFit="1" customWidth="1"/>
    <col min="15" max="15" width="12.6640625" bestFit="1" customWidth="1"/>
    <col min="16" max="16" width="9.5546875" bestFit="1" customWidth="1"/>
    <col min="17" max="17" width="1.33203125" customWidth="1"/>
    <col min="18" max="18" width="11.5546875" style="1" bestFit="1" customWidth="1"/>
    <col min="19" max="24" width="10.109375" customWidth="1"/>
    <col min="25" max="25" width="10.109375" bestFit="1" customWidth="1"/>
  </cols>
  <sheetData>
    <row r="1" spans="1:25" x14ac:dyDescent="0.3">
      <c r="H1">
        <v>254332</v>
      </c>
      <c r="O1">
        <v>182337</v>
      </c>
      <c r="R1" s="21">
        <v>182336</v>
      </c>
      <c r="Y1" t="s">
        <v>31</v>
      </c>
    </row>
    <row r="2" spans="1:25" s="19" customFormat="1" ht="40.200000000000003" customHeight="1" x14ac:dyDescent="0.3">
      <c r="A2" s="19" t="s">
        <v>39</v>
      </c>
      <c r="B2" s="19" t="s">
        <v>114</v>
      </c>
      <c r="C2" s="19" t="s">
        <v>39</v>
      </c>
      <c r="D2" s="19" t="s">
        <v>40</v>
      </c>
      <c r="E2" s="19" t="s">
        <v>41</v>
      </c>
      <c r="F2" s="19" t="s">
        <v>42</v>
      </c>
      <c r="G2" s="19" t="s">
        <v>43</v>
      </c>
      <c r="H2" s="19" t="s">
        <v>52</v>
      </c>
      <c r="I2" s="19" t="s">
        <v>53</v>
      </c>
      <c r="J2" s="19" t="s">
        <v>54</v>
      </c>
      <c r="L2" s="19" t="s">
        <v>32</v>
      </c>
      <c r="R2" s="20"/>
      <c r="Y2" s="19" t="s">
        <v>33</v>
      </c>
    </row>
    <row r="3" spans="1:25" x14ac:dyDescent="0.3">
      <c r="H3" s="1">
        <v>-940670</v>
      </c>
      <c r="I3" s="2">
        <f>J3-H3</f>
        <v>-32839.729999999981</v>
      </c>
      <c r="J3" s="2">
        <v>-973509.73</v>
      </c>
      <c r="R3" s="1">
        <v>390089.79</v>
      </c>
    </row>
    <row r="4" spans="1:25" x14ac:dyDescent="0.3">
      <c r="A4" s="1">
        <v>12170771</v>
      </c>
      <c r="B4" s="1">
        <f>C4-A4</f>
        <v>-471032.59169550054</v>
      </c>
      <c r="C4" s="1">
        <f>E4*12/D4</f>
        <v>11699738.408304499</v>
      </c>
      <c r="D4" s="17">
        <v>2.8899999999999999E-2</v>
      </c>
      <c r="E4" s="1">
        <v>28176.87</v>
      </c>
      <c r="F4" s="1">
        <v>123300</v>
      </c>
      <c r="G4" s="2">
        <f>E4-F4</f>
        <v>-95123.13</v>
      </c>
      <c r="H4" s="1">
        <f>G4+H3</f>
        <v>-1035793.13</v>
      </c>
      <c r="I4" s="1">
        <f>(J3+G4)*K4/12</f>
        <v>-4417.0158213333325</v>
      </c>
      <c r="J4" s="1">
        <f>J3+G4+I4</f>
        <v>-1073049.8758213331</v>
      </c>
      <c r="K4" s="17">
        <v>4.9599999999999998E-2</v>
      </c>
      <c r="L4" t="s">
        <v>34</v>
      </c>
      <c r="M4" s="1">
        <v>9712475</v>
      </c>
      <c r="N4" s="1">
        <v>694403.88946960005</v>
      </c>
      <c r="O4" s="1">
        <f>SUM(M4:N4)</f>
        <v>10406878.889469599</v>
      </c>
      <c r="P4" s="1">
        <f>O4*K4/12</f>
        <v>43015.099409807677</v>
      </c>
      <c r="Q4" s="1"/>
      <c r="R4" s="1">
        <f>R3+P4+I4-11</f>
        <v>428676.87358847429</v>
      </c>
      <c r="S4" s="1"/>
      <c r="T4" s="1"/>
      <c r="U4" s="1"/>
      <c r="V4" s="1"/>
      <c r="W4" s="1"/>
      <c r="X4" s="1"/>
      <c r="Y4" s="1">
        <v>14002.689999999999</v>
      </c>
    </row>
    <row r="5" spans="1:25" x14ac:dyDescent="0.3">
      <c r="A5" s="1">
        <f>C4</f>
        <v>11699738.408304499</v>
      </c>
      <c r="B5" s="1">
        <f>C5-A5</f>
        <v>-453155.70934256166</v>
      </c>
      <c r="C5" s="1">
        <f>E5*12/D5</f>
        <v>11246582.698961938</v>
      </c>
      <c r="D5" s="17">
        <f>D4</f>
        <v>2.8899999999999999E-2</v>
      </c>
      <c r="E5" s="1">
        <v>27085.52</v>
      </c>
      <c r="F5" s="1">
        <v>123300</v>
      </c>
      <c r="G5" s="2">
        <f t="shared" ref="G5:G24" si="0">E5-F5</f>
        <v>-96214.48</v>
      </c>
      <c r="H5" s="1">
        <f t="shared" ref="H5:H24" si="1">G5+H4</f>
        <v>-1132007.6100000001</v>
      </c>
      <c r="I5" s="1">
        <f>(J4+G5)*K5/12</f>
        <v>-4832.9593373948437</v>
      </c>
      <c r="J5" s="1">
        <f>J4+G5+I5</f>
        <v>-1174097.315158728</v>
      </c>
      <c r="K5" s="17">
        <v>4.9599999999999998E-2</v>
      </c>
      <c r="L5" t="s">
        <v>35</v>
      </c>
      <c r="M5" s="1">
        <f>O4</f>
        <v>10406878.889469599</v>
      </c>
      <c r="N5" s="1">
        <v>711438.62751889997</v>
      </c>
      <c r="O5" s="1">
        <f t="shared" ref="O5:O24" si="2">SUM(M5:N5)</f>
        <v>11118317.516988499</v>
      </c>
      <c r="P5" s="1">
        <f>O5*K5/12</f>
        <v>45955.712403552461</v>
      </c>
      <c r="Q5" s="1"/>
      <c r="R5" s="1">
        <f t="shared" ref="R5:R8" si="3">R4+P5+I5</f>
        <v>469799.62665463187</v>
      </c>
      <c r="S5" s="1"/>
      <c r="T5" s="1"/>
      <c r="U5" s="1"/>
      <c r="V5" s="1"/>
      <c r="W5" s="1"/>
      <c r="X5" s="1"/>
      <c r="Y5" s="1">
        <v>14987.06</v>
      </c>
    </row>
    <row r="6" spans="1:25" x14ac:dyDescent="0.3">
      <c r="A6" s="1">
        <f t="shared" ref="A6:A23" si="4">C5</f>
        <v>11246582.698961938</v>
      </c>
      <c r="B6" s="1">
        <f t="shared" ref="B6:B8" si="5">C6-A6</f>
        <v>-1870970.2422145344</v>
      </c>
      <c r="C6" s="1">
        <f t="shared" ref="C6:C8" si="6">E6*12/D6</f>
        <v>9375612.4567474034</v>
      </c>
      <c r="D6" s="17">
        <f t="shared" ref="D6:D17" si="7">D5</f>
        <v>2.8899999999999999E-2</v>
      </c>
      <c r="E6" s="1">
        <v>22579.599999999999</v>
      </c>
      <c r="F6" s="1">
        <v>123300</v>
      </c>
      <c r="G6" s="2">
        <f t="shared" si="0"/>
        <v>-100720.4</v>
      </c>
      <c r="H6" s="1">
        <f t="shared" si="1"/>
        <v>-1232728.01</v>
      </c>
      <c r="I6" s="1">
        <f t="shared" ref="I6:I24" si="8">(J5+G6)*K6/12</f>
        <v>-5269.246555989409</v>
      </c>
      <c r="J6" s="1">
        <f t="shared" ref="J6:J24" si="9">J5+G6+I6</f>
        <v>-1280086.9617147173</v>
      </c>
      <c r="K6" s="17">
        <v>4.9599999999999998E-2</v>
      </c>
      <c r="L6" t="s">
        <v>36</v>
      </c>
      <c r="M6" s="1">
        <f t="shared" ref="M6:M24" si="10">O5</f>
        <v>11118317.516988499</v>
      </c>
      <c r="N6" s="1">
        <v>726825.57567310007</v>
      </c>
      <c r="O6" s="1">
        <f t="shared" si="2"/>
        <v>11845143.092661599</v>
      </c>
      <c r="P6" s="1">
        <f>O6*K6/12</f>
        <v>48959.924783001276</v>
      </c>
      <c r="Q6" s="1"/>
      <c r="R6" s="1">
        <f t="shared" si="3"/>
        <v>513490.30488164368</v>
      </c>
      <c r="S6" s="1"/>
      <c r="T6" s="1"/>
      <c r="U6" s="1"/>
      <c r="V6" s="1"/>
      <c r="W6" s="1"/>
      <c r="X6" s="1"/>
      <c r="Y6" s="1">
        <v>16000.72</v>
      </c>
    </row>
    <row r="7" spans="1:25" x14ac:dyDescent="0.3">
      <c r="A7" s="1">
        <f t="shared" si="4"/>
        <v>9375612.4567474034</v>
      </c>
      <c r="B7" s="1">
        <f t="shared" si="5"/>
        <v>-1988570.2422145316</v>
      </c>
      <c r="C7" s="1">
        <f t="shared" si="6"/>
        <v>7387042.2145328717</v>
      </c>
      <c r="D7" s="17">
        <f t="shared" si="7"/>
        <v>2.8899999999999999E-2</v>
      </c>
      <c r="E7" s="1">
        <v>17790.46</v>
      </c>
      <c r="F7" s="1">
        <v>65151</v>
      </c>
      <c r="G7" s="2">
        <f t="shared" si="0"/>
        <v>-47360.54</v>
      </c>
      <c r="H7" s="1">
        <f t="shared" si="1"/>
        <v>-1280088.55</v>
      </c>
      <c r="I7" s="1">
        <f t="shared" si="8"/>
        <v>-5254.4796942874227</v>
      </c>
      <c r="J7" s="1">
        <f t="shared" si="9"/>
        <v>-1332701.9814090049</v>
      </c>
      <c r="K7" s="17">
        <v>4.7500000000000001E-2</v>
      </c>
      <c r="L7" t="s">
        <v>37</v>
      </c>
      <c r="M7" s="1">
        <f t="shared" si="10"/>
        <v>11845143.092661599</v>
      </c>
      <c r="N7" s="1">
        <v>734052.95215999999</v>
      </c>
      <c r="O7" s="1">
        <f t="shared" si="2"/>
        <v>12579196.044821599</v>
      </c>
      <c r="P7" s="1">
        <f>O7*K7/12</f>
        <v>49792.651010752161</v>
      </c>
      <c r="Q7" s="1"/>
      <c r="R7" s="1">
        <f t="shared" si="3"/>
        <v>558028.4761981084</v>
      </c>
      <c r="S7" s="1"/>
      <c r="T7" s="1"/>
      <c r="U7" s="1"/>
      <c r="V7" s="1"/>
      <c r="W7" s="1"/>
      <c r="X7" s="1"/>
      <c r="Y7" s="1">
        <v>16305.98</v>
      </c>
    </row>
    <row r="8" spans="1:25" x14ac:dyDescent="0.3">
      <c r="A8" s="1">
        <f t="shared" si="4"/>
        <v>7387042.2145328717</v>
      </c>
      <c r="B8" s="1">
        <f t="shared" si="5"/>
        <v>-616501.03806228377</v>
      </c>
      <c r="C8" s="1">
        <f t="shared" si="6"/>
        <v>6770541.176470588</v>
      </c>
      <c r="D8" s="17">
        <f t="shared" si="7"/>
        <v>2.8899999999999999E-2</v>
      </c>
      <c r="E8" s="1">
        <v>16305.72</v>
      </c>
      <c r="F8" s="1">
        <v>65151</v>
      </c>
      <c r="G8" s="2">
        <f t="shared" si="0"/>
        <v>-48845.279999999999</v>
      </c>
      <c r="H8" s="1">
        <f t="shared" si="1"/>
        <v>-1328933.83</v>
      </c>
      <c r="I8" s="1">
        <f t="shared" si="8"/>
        <v>-5468.6245764106452</v>
      </c>
      <c r="J8" s="1">
        <f t="shared" si="9"/>
        <v>-1387015.8859854157</v>
      </c>
      <c r="K8" s="17">
        <v>4.7500000000000001E-2</v>
      </c>
      <c r="L8" t="s">
        <v>38</v>
      </c>
      <c r="M8" s="1">
        <f t="shared" si="10"/>
        <v>12579196.044821599</v>
      </c>
      <c r="N8" s="1">
        <v>743007.68555109994</v>
      </c>
      <c r="O8" s="1">
        <f t="shared" si="2"/>
        <v>13322203.730372699</v>
      </c>
      <c r="P8" s="1">
        <f>O8*K8/12</f>
        <v>52733.723099391937</v>
      </c>
      <c r="Q8" s="1"/>
      <c r="R8" s="1">
        <f t="shared" si="3"/>
        <v>605293.57472108968</v>
      </c>
      <c r="S8" s="1"/>
      <c r="T8" s="1"/>
      <c r="U8" s="1"/>
      <c r="V8" s="1"/>
      <c r="W8" s="1"/>
      <c r="X8" s="1"/>
      <c r="Y8" s="1">
        <v>17295.54</v>
      </c>
    </row>
    <row r="9" spans="1:25" x14ac:dyDescent="0.3">
      <c r="A9" s="1">
        <f t="shared" si="4"/>
        <v>6770541.176470588</v>
      </c>
      <c r="B9" s="1">
        <f>C8/-7</f>
        <v>-967220.16806722688</v>
      </c>
      <c r="C9" s="2">
        <f>SUM(A9:B9)</f>
        <v>5803321.0084033608</v>
      </c>
      <c r="D9" s="17">
        <f t="shared" si="7"/>
        <v>2.8899999999999999E-2</v>
      </c>
      <c r="E9" s="1">
        <f>C9*D9/12</f>
        <v>13976.331428571428</v>
      </c>
      <c r="F9" s="1">
        <v>65151</v>
      </c>
      <c r="G9" s="2">
        <f t="shared" si="0"/>
        <v>-51174.66857142857</v>
      </c>
      <c r="H9" s="1">
        <f t="shared" si="1"/>
        <v>-1380108.4985714287</v>
      </c>
      <c r="I9" s="1">
        <f t="shared" si="8"/>
        <v>-5692.8376117875086</v>
      </c>
      <c r="J9" s="1">
        <f t="shared" si="9"/>
        <v>-1443883.3921686318</v>
      </c>
      <c r="K9" s="17">
        <v>4.7500000000000001E-2</v>
      </c>
      <c r="L9" t="s">
        <v>44</v>
      </c>
      <c r="M9" s="1">
        <f t="shared" si="10"/>
        <v>13322203.730372699</v>
      </c>
      <c r="N9" s="1">
        <v>732563.3366823867</v>
      </c>
      <c r="O9" s="1">
        <f t="shared" si="2"/>
        <v>14054767.067055086</v>
      </c>
      <c r="P9" s="1">
        <f t="shared" ref="P9:P35" si="11">O9*K9/12</f>
        <v>55633.452973759711</v>
      </c>
      <c r="Q9" s="1"/>
      <c r="R9" s="1">
        <f t="shared" ref="R9:R35" si="12">R8+P9+I9</f>
        <v>655234.19008306193</v>
      </c>
      <c r="S9" s="1"/>
      <c r="T9" s="1"/>
      <c r="U9" s="1"/>
      <c r="V9" s="1"/>
      <c r="W9" s="1"/>
      <c r="X9" s="1"/>
      <c r="Y9" s="1"/>
    </row>
    <row r="10" spans="1:25" x14ac:dyDescent="0.3">
      <c r="A10" s="1">
        <f t="shared" si="4"/>
        <v>5803321.0084033608</v>
      </c>
      <c r="B10" s="2">
        <f>B9</f>
        <v>-967220.16806722688</v>
      </c>
      <c r="C10" s="2">
        <f t="shared" ref="C10:C23" si="13">SUM(A10:B10)</f>
        <v>4836100.8403361337</v>
      </c>
      <c r="D10" s="17">
        <f t="shared" si="7"/>
        <v>2.8899999999999999E-2</v>
      </c>
      <c r="E10" s="1">
        <f t="shared" ref="E10:E17" si="14">C10*D10/12</f>
        <v>11646.942857142856</v>
      </c>
      <c r="F10" s="1">
        <v>65151</v>
      </c>
      <c r="G10" s="2">
        <f t="shared" si="0"/>
        <v>-53504.057142857142</v>
      </c>
      <c r="H10" s="1">
        <f t="shared" si="1"/>
        <v>-1433612.5557142859</v>
      </c>
      <c r="I10" s="1">
        <f t="shared" si="8"/>
        <v>-5927.1586535246433</v>
      </c>
      <c r="J10" s="1">
        <f t="shared" si="9"/>
        <v>-1503314.6079650137</v>
      </c>
      <c r="K10" s="17">
        <f>K9</f>
        <v>4.7500000000000001E-2</v>
      </c>
      <c r="L10" t="s">
        <v>45</v>
      </c>
      <c r="M10" s="1">
        <f t="shared" si="10"/>
        <v>14054767.067055086</v>
      </c>
      <c r="N10" s="1">
        <v>747422.86074861884</v>
      </c>
      <c r="O10" s="1">
        <f t="shared" si="2"/>
        <v>14802189.927803705</v>
      </c>
      <c r="P10" s="1">
        <f t="shared" si="11"/>
        <v>58592.001797556331</v>
      </c>
      <c r="Q10" s="1"/>
      <c r="R10" s="1">
        <f t="shared" si="12"/>
        <v>707899.03322709363</v>
      </c>
    </row>
    <row r="11" spans="1:25" x14ac:dyDescent="0.3">
      <c r="A11" s="1">
        <f t="shared" si="4"/>
        <v>4836100.8403361337</v>
      </c>
      <c r="B11" s="2">
        <f t="shared" ref="B11:B15" si="15">B10</f>
        <v>-967220.16806722688</v>
      </c>
      <c r="C11" s="2">
        <f t="shared" si="13"/>
        <v>3868880.6722689066</v>
      </c>
      <c r="D11" s="17">
        <f t="shared" si="7"/>
        <v>2.8899999999999999E-2</v>
      </c>
      <c r="E11" s="1">
        <f t="shared" si="14"/>
        <v>9317.5542857142827</v>
      </c>
      <c r="F11" s="1">
        <v>65151</v>
      </c>
      <c r="G11" s="2">
        <f t="shared" si="0"/>
        <v>-55833.445714285714</v>
      </c>
      <c r="H11" s="1">
        <f t="shared" si="1"/>
        <v>-1489446.0014285715</v>
      </c>
      <c r="I11" s="1">
        <f t="shared" si="8"/>
        <v>-6171.6277124805601</v>
      </c>
      <c r="J11" s="1">
        <f t="shared" si="9"/>
        <v>-1565319.68139178</v>
      </c>
      <c r="K11" s="17">
        <f t="shared" ref="K11:K36" si="16">K10</f>
        <v>4.7500000000000001E-2</v>
      </c>
      <c r="L11" t="s">
        <v>46</v>
      </c>
      <c r="M11" s="1">
        <f t="shared" si="10"/>
        <v>14802189.927803705</v>
      </c>
      <c r="N11" s="1">
        <v>753108.82756332308</v>
      </c>
      <c r="O11" s="1">
        <f t="shared" si="2"/>
        <v>15555298.755367028</v>
      </c>
      <c r="P11" s="1">
        <f t="shared" si="11"/>
        <v>61573.057573327816</v>
      </c>
      <c r="Q11" s="1"/>
      <c r="R11" s="1">
        <f t="shared" si="12"/>
        <v>763300.46308794082</v>
      </c>
    </row>
    <row r="12" spans="1:25" x14ac:dyDescent="0.3">
      <c r="A12" s="1">
        <f t="shared" si="4"/>
        <v>3868880.6722689066</v>
      </c>
      <c r="B12" s="2">
        <f t="shared" si="15"/>
        <v>-967220.16806722688</v>
      </c>
      <c r="C12" s="2">
        <f t="shared" si="13"/>
        <v>2901660.5042016795</v>
      </c>
      <c r="D12" s="17">
        <f t="shared" si="7"/>
        <v>2.8899999999999999E-2</v>
      </c>
      <c r="E12" s="1">
        <f t="shared" si="14"/>
        <v>6988.1657142857111</v>
      </c>
      <c r="F12" s="1">
        <v>65151</v>
      </c>
      <c r="G12" s="2">
        <f t="shared" si="0"/>
        <v>-58162.834285714285</v>
      </c>
      <c r="H12" s="1">
        <f t="shared" si="1"/>
        <v>-1547608.8357142857</v>
      </c>
      <c r="I12" s="1">
        <f t="shared" si="8"/>
        <v>-6426.2849578900814</v>
      </c>
      <c r="J12" s="1">
        <f t="shared" si="9"/>
        <v>-1629908.8006353844</v>
      </c>
      <c r="K12" s="17">
        <f t="shared" si="16"/>
        <v>4.7500000000000001E-2</v>
      </c>
      <c r="L12" t="s">
        <v>47</v>
      </c>
      <c r="M12" s="1">
        <f t="shared" si="10"/>
        <v>15555298.755367028</v>
      </c>
      <c r="N12" s="1">
        <v>758387.43809722736</v>
      </c>
      <c r="O12" s="1">
        <f t="shared" si="2"/>
        <v>16313686.193464255</v>
      </c>
      <c r="P12" s="1">
        <f t="shared" si="11"/>
        <v>64575.007849129346</v>
      </c>
      <c r="Q12" s="1"/>
      <c r="R12" s="1">
        <f t="shared" si="12"/>
        <v>821449.18597918015</v>
      </c>
    </row>
    <row r="13" spans="1:25" x14ac:dyDescent="0.3">
      <c r="A13" s="1">
        <f t="shared" si="4"/>
        <v>2901660.5042016795</v>
      </c>
      <c r="B13" s="2">
        <f t="shared" si="15"/>
        <v>-967220.16806722688</v>
      </c>
      <c r="C13" s="2">
        <f t="shared" si="13"/>
        <v>1934440.3361344526</v>
      </c>
      <c r="D13" s="17">
        <f t="shared" si="7"/>
        <v>2.8899999999999999E-2</v>
      </c>
      <c r="E13" s="1">
        <f t="shared" si="14"/>
        <v>4658.7771428571396</v>
      </c>
      <c r="F13" s="1">
        <v>65151</v>
      </c>
      <c r="G13" s="2">
        <f t="shared" si="0"/>
        <v>-60492.222857142857</v>
      </c>
      <c r="H13" s="1">
        <f t="shared" si="1"/>
        <v>-1608101.0585714285</v>
      </c>
      <c r="I13" s="1">
        <f t="shared" si="8"/>
        <v>-6691.1707179912528</v>
      </c>
      <c r="J13" s="1">
        <f t="shared" si="9"/>
        <v>-1697092.1942105184</v>
      </c>
      <c r="K13" s="17">
        <f t="shared" si="16"/>
        <v>4.7500000000000001E-2</v>
      </c>
      <c r="L13" t="s">
        <v>48</v>
      </c>
      <c r="M13" s="1">
        <f t="shared" si="10"/>
        <v>16313686.193464255</v>
      </c>
      <c r="N13" s="1">
        <v>763648.11771794781</v>
      </c>
      <c r="O13" s="1">
        <f t="shared" si="2"/>
        <v>17077334.311182201</v>
      </c>
      <c r="P13" s="1">
        <f t="shared" si="11"/>
        <v>67597.781648429547</v>
      </c>
      <c r="Q13" s="1"/>
      <c r="R13" s="1">
        <f t="shared" si="12"/>
        <v>882355.79690961842</v>
      </c>
    </row>
    <row r="14" spans="1:25" x14ac:dyDescent="0.3">
      <c r="A14" s="1">
        <f t="shared" si="4"/>
        <v>1934440.3361344526</v>
      </c>
      <c r="B14" s="2">
        <f t="shared" si="15"/>
        <v>-967220.16806722688</v>
      </c>
      <c r="C14" s="2">
        <f t="shared" si="13"/>
        <v>967220.16806722572</v>
      </c>
      <c r="D14" s="17">
        <f t="shared" si="7"/>
        <v>2.8899999999999999E-2</v>
      </c>
      <c r="E14" s="1">
        <f t="shared" si="14"/>
        <v>2329.3885714285684</v>
      </c>
      <c r="F14" s="1">
        <v>65151</v>
      </c>
      <c r="G14" s="2">
        <f t="shared" si="0"/>
        <v>-62821.611428571428</v>
      </c>
      <c r="H14" s="1">
        <f t="shared" si="1"/>
        <v>-1670922.67</v>
      </c>
      <c r="I14" s="1">
        <f t="shared" si="8"/>
        <v>-6966.3254806547302</v>
      </c>
      <c r="J14" s="1">
        <f t="shared" si="9"/>
        <v>-1766880.1311197446</v>
      </c>
      <c r="K14" s="17">
        <f t="shared" si="16"/>
        <v>4.7500000000000001E-2</v>
      </c>
      <c r="L14" t="s">
        <v>49</v>
      </c>
      <c r="M14" s="1">
        <f t="shared" si="10"/>
        <v>17077334.311182201</v>
      </c>
      <c r="N14" s="1">
        <v>769946.86238573305</v>
      </c>
      <c r="O14" s="1">
        <f t="shared" si="2"/>
        <v>17847281.173567936</v>
      </c>
      <c r="P14" s="1">
        <f t="shared" si="11"/>
        <v>70645.487978706413</v>
      </c>
      <c r="Q14" s="1"/>
      <c r="R14" s="1">
        <f t="shared" si="12"/>
        <v>946034.95940767007</v>
      </c>
    </row>
    <row r="15" spans="1:25" x14ac:dyDescent="0.3">
      <c r="A15" s="1">
        <f t="shared" si="4"/>
        <v>967220.16806722572</v>
      </c>
      <c r="B15" s="2">
        <f t="shared" si="15"/>
        <v>-967220.16806722688</v>
      </c>
      <c r="C15" s="2">
        <f t="shared" si="13"/>
        <v>-1.1641532182693481E-9</v>
      </c>
      <c r="D15" s="17">
        <f t="shared" si="7"/>
        <v>2.8899999999999999E-2</v>
      </c>
      <c r="E15" s="1">
        <f t="shared" si="14"/>
        <v>-2.8036690006653466E-12</v>
      </c>
      <c r="F15" s="1">
        <v>65151</v>
      </c>
      <c r="G15" s="2">
        <f t="shared" si="0"/>
        <v>-65151</v>
      </c>
      <c r="H15" s="1">
        <f t="shared" si="1"/>
        <v>-1736073.67</v>
      </c>
      <c r="I15" s="1">
        <f t="shared" si="8"/>
        <v>-7251.7898940156556</v>
      </c>
      <c r="J15" s="1">
        <f t="shared" si="9"/>
        <v>-1839282.9210137604</v>
      </c>
      <c r="K15" s="17">
        <f t="shared" si="16"/>
        <v>4.7500000000000001E-2</v>
      </c>
      <c r="L15" t="s">
        <v>50</v>
      </c>
      <c r="M15" s="1">
        <f t="shared" si="10"/>
        <v>17847281.173567936</v>
      </c>
      <c r="N15" s="1">
        <v>775784.70647752658</v>
      </c>
      <c r="O15" s="1">
        <f t="shared" si="2"/>
        <v>18623065.880045462</v>
      </c>
      <c r="P15" s="1">
        <f t="shared" si="11"/>
        <v>73716.302441846623</v>
      </c>
      <c r="Q15" s="1"/>
      <c r="R15" s="1">
        <f t="shared" si="12"/>
        <v>1012499.471955501</v>
      </c>
    </row>
    <row r="16" spans="1:25" x14ac:dyDescent="0.3">
      <c r="A16" s="1">
        <f t="shared" si="4"/>
        <v>-1.1641532182693481E-9</v>
      </c>
      <c r="B16" s="2"/>
      <c r="C16" s="2">
        <f t="shared" si="13"/>
        <v>-1.1641532182693481E-9</v>
      </c>
      <c r="D16" s="17">
        <f t="shared" si="7"/>
        <v>2.8899999999999999E-2</v>
      </c>
      <c r="E16" s="1">
        <f t="shared" si="14"/>
        <v>-2.8036690006653466E-12</v>
      </c>
      <c r="F16" s="1">
        <v>65151</v>
      </c>
      <c r="G16" s="2">
        <f t="shared" si="0"/>
        <v>-65151</v>
      </c>
      <c r="H16" s="1">
        <f t="shared" si="1"/>
        <v>-1801224.67</v>
      </c>
      <c r="I16" s="1">
        <f t="shared" si="8"/>
        <v>-7538.3842706794685</v>
      </c>
      <c r="J16" s="1">
        <f t="shared" si="9"/>
        <v>-1911972.3052844398</v>
      </c>
      <c r="K16" s="17">
        <f t="shared" si="16"/>
        <v>4.7500000000000001E-2</v>
      </c>
      <c r="L16" s="18">
        <v>202101</v>
      </c>
      <c r="M16" s="1">
        <f t="shared" si="10"/>
        <v>18623065.880045462</v>
      </c>
      <c r="N16" s="1">
        <v>784846.30049967021</v>
      </c>
      <c r="O16" s="1">
        <f t="shared" si="2"/>
        <v>19407912.180545133</v>
      </c>
      <c r="P16" s="1">
        <f t="shared" si="11"/>
        <v>76822.985714657814</v>
      </c>
      <c r="Q16" s="1"/>
      <c r="R16" s="1">
        <f t="shared" si="12"/>
        <v>1081784.0733994793</v>
      </c>
    </row>
    <row r="17" spans="1:18" x14ac:dyDescent="0.3">
      <c r="A17" s="1">
        <f t="shared" si="4"/>
        <v>-1.1641532182693481E-9</v>
      </c>
      <c r="C17" s="2">
        <f t="shared" si="13"/>
        <v>-1.1641532182693481E-9</v>
      </c>
      <c r="D17" s="17">
        <f t="shared" si="7"/>
        <v>2.8899999999999999E-2</v>
      </c>
      <c r="E17" s="1">
        <f t="shared" si="14"/>
        <v>-2.8036690006653466E-12</v>
      </c>
      <c r="F17" s="1">
        <v>65151</v>
      </c>
      <c r="G17" s="2">
        <f t="shared" si="0"/>
        <v>-65151</v>
      </c>
      <c r="H17" s="1">
        <f t="shared" si="1"/>
        <v>-1866375.67</v>
      </c>
      <c r="I17" s="1">
        <f t="shared" si="8"/>
        <v>-7826.1130834175747</v>
      </c>
      <c r="J17" s="1">
        <f t="shared" si="9"/>
        <v>-1984949.4183678573</v>
      </c>
      <c r="K17" s="17">
        <f t="shared" si="16"/>
        <v>4.7500000000000001E-2</v>
      </c>
      <c r="L17" s="18">
        <v>202102</v>
      </c>
      <c r="M17" s="1">
        <f t="shared" si="10"/>
        <v>19407912.180545133</v>
      </c>
      <c r="N17" s="1">
        <v>793763.91368361562</v>
      </c>
      <c r="O17" s="1">
        <f t="shared" si="2"/>
        <v>20201676.094228748</v>
      </c>
      <c r="P17" s="1">
        <f t="shared" si="11"/>
        <v>79964.967872988796</v>
      </c>
      <c r="Q17" s="1"/>
      <c r="R17" s="1">
        <f t="shared" si="12"/>
        <v>1153922.9281890506</v>
      </c>
    </row>
    <row r="18" spans="1:18" x14ac:dyDescent="0.3">
      <c r="A18" s="1">
        <f t="shared" si="4"/>
        <v>-1.1641532182693481E-9</v>
      </c>
      <c r="C18" s="2">
        <f t="shared" si="13"/>
        <v>-1.1641532182693481E-9</v>
      </c>
      <c r="F18" s="1">
        <v>65151</v>
      </c>
      <c r="G18" s="2">
        <f t="shared" si="0"/>
        <v>-65151</v>
      </c>
      <c r="H18" s="1">
        <f t="shared" si="1"/>
        <v>-1931526.67</v>
      </c>
      <c r="I18" s="1">
        <f t="shared" si="8"/>
        <v>-8114.9808227061012</v>
      </c>
      <c r="J18" s="1">
        <f t="shared" si="9"/>
        <v>-2058215.3991905635</v>
      </c>
      <c r="K18" s="17">
        <f t="shared" si="16"/>
        <v>4.7500000000000001E-2</v>
      </c>
      <c r="L18" s="18">
        <v>202103</v>
      </c>
      <c r="M18" s="1">
        <f t="shared" si="10"/>
        <v>20201676.094228748</v>
      </c>
      <c r="N18" s="1">
        <v>796633.74653360993</v>
      </c>
      <c r="O18" s="1">
        <f t="shared" si="2"/>
        <v>20998309.840762358</v>
      </c>
      <c r="P18" s="1">
        <f t="shared" si="11"/>
        <v>83118.309786351005</v>
      </c>
      <c r="Q18" s="1"/>
      <c r="R18" s="1">
        <f t="shared" si="12"/>
        <v>1228926.2571526954</v>
      </c>
    </row>
    <row r="19" spans="1:18" x14ac:dyDescent="0.3">
      <c r="A19" s="1">
        <f t="shared" si="4"/>
        <v>-1.1641532182693481E-9</v>
      </c>
      <c r="C19" s="2">
        <f t="shared" si="13"/>
        <v>-1.1641532182693481E-9</v>
      </c>
      <c r="F19" s="1">
        <v>65151</v>
      </c>
      <c r="G19" s="2">
        <f t="shared" si="0"/>
        <v>-65151</v>
      </c>
      <c r="H19" s="1">
        <f t="shared" si="1"/>
        <v>-1996677.67</v>
      </c>
      <c r="I19" s="1">
        <f t="shared" si="8"/>
        <v>-8404.9919967959813</v>
      </c>
      <c r="J19" s="1">
        <f t="shared" si="9"/>
        <v>-2131771.3911873596</v>
      </c>
      <c r="K19" s="17">
        <f t="shared" si="16"/>
        <v>4.7500000000000001E-2</v>
      </c>
      <c r="L19" s="18">
        <v>202104</v>
      </c>
      <c r="M19" s="1">
        <f t="shared" si="10"/>
        <v>20998309.840762358</v>
      </c>
      <c r="N19" s="1">
        <v>797579.13908361644</v>
      </c>
      <c r="O19" s="1">
        <f t="shared" si="2"/>
        <v>21795888.979845975</v>
      </c>
      <c r="P19" s="1">
        <f t="shared" si="11"/>
        <v>86275.393878556977</v>
      </c>
      <c r="Q19" s="1"/>
      <c r="R19" s="1">
        <f t="shared" si="12"/>
        <v>1306796.6590344566</v>
      </c>
    </row>
    <row r="20" spans="1:18" x14ac:dyDescent="0.3">
      <c r="A20" s="1">
        <f t="shared" si="4"/>
        <v>-1.1641532182693481E-9</v>
      </c>
      <c r="C20" s="2">
        <f t="shared" si="13"/>
        <v>-1.1641532182693481E-9</v>
      </c>
      <c r="F20" s="1">
        <v>65151</v>
      </c>
      <c r="G20" s="2">
        <f t="shared" si="0"/>
        <v>-65151</v>
      </c>
      <c r="H20" s="1">
        <f t="shared" si="1"/>
        <v>-2061828.67</v>
      </c>
      <c r="I20" s="1">
        <f t="shared" si="8"/>
        <v>-8696.1511317832974</v>
      </c>
      <c r="J20" s="1">
        <f t="shared" si="9"/>
        <v>-2205618.5423191427</v>
      </c>
      <c r="K20" s="17">
        <f t="shared" si="16"/>
        <v>4.7500000000000001E-2</v>
      </c>
      <c r="L20" s="18">
        <v>202105</v>
      </c>
      <c r="M20" s="1">
        <f t="shared" si="10"/>
        <v>21795888.979845975</v>
      </c>
      <c r="N20" s="1">
        <v>797646.69368360937</v>
      </c>
      <c r="O20" s="1">
        <f t="shared" si="2"/>
        <v>22593535.673529584</v>
      </c>
      <c r="P20" s="1">
        <f t="shared" si="11"/>
        <v>89432.745374387945</v>
      </c>
      <c r="Q20" s="1"/>
      <c r="R20" s="1">
        <f t="shared" si="12"/>
        <v>1387533.2532770613</v>
      </c>
    </row>
    <row r="21" spans="1:18" x14ac:dyDescent="0.3">
      <c r="A21" s="1">
        <f t="shared" si="4"/>
        <v>-1.1641532182693481E-9</v>
      </c>
      <c r="C21" s="2">
        <f t="shared" si="13"/>
        <v>-1.1641532182693481E-9</v>
      </c>
      <c r="F21" s="1">
        <v>65151</v>
      </c>
      <c r="G21" s="2">
        <f t="shared" si="0"/>
        <v>-65151</v>
      </c>
      <c r="H21" s="1">
        <f t="shared" si="1"/>
        <v>-2126979.67</v>
      </c>
      <c r="I21" s="1">
        <f t="shared" si="8"/>
        <v>-8988.4627716799405</v>
      </c>
      <c r="J21" s="1">
        <f t="shared" si="9"/>
        <v>-2279758.0050908225</v>
      </c>
      <c r="K21" s="17">
        <f t="shared" si="16"/>
        <v>4.7500000000000001E-2</v>
      </c>
      <c r="L21" s="18">
        <v>202106</v>
      </c>
      <c r="M21" s="1">
        <f t="shared" si="10"/>
        <v>22593535.673529584</v>
      </c>
      <c r="N21" s="1">
        <v>797646.69368361682</v>
      </c>
      <c r="O21" s="1">
        <f t="shared" si="2"/>
        <v>23391182.367213201</v>
      </c>
      <c r="P21" s="1">
        <f t="shared" si="11"/>
        <v>92590.096870218928</v>
      </c>
      <c r="Q21" s="1"/>
      <c r="R21" s="1">
        <f t="shared" si="12"/>
        <v>1471134.8873756002</v>
      </c>
    </row>
    <row r="22" spans="1:18" x14ac:dyDescent="0.3">
      <c r="A22" s="1">
        <f t="shared" si="4"/>
        <v>-1.1641532182693481E-9</v>
      </c>
      <c r="C22" s="2">
        <f t="shared" si="13"/>
        <v>-1.1641532182693481E-9</v>
      </c>
      <c r="F22" s="1">
        <v>65151</v>
      </c>
      <c r="G22" s="2">
        <f t="shared" si="0"/>
        <v>-65151</v>
      </c>
      <c r="H22" s="1">
        <f t="shared" si="1"/>
        <v>-2192130.67</v>
      </c>
      <c r="I22" s="1">
        <f t="shared" si="8"/>
        <v>-9281.9314784845064</v>
      </c>
      <c r="J22" s="1">
        <f t="shared" si="9"/>
        <v>-2354190.936569307</v>
      </c>
      <c r="K22" s="17">
        <f t="shared" si="16"/>
        <v>4.7500000000000001E-2</v>
      </c>
      <c r="L22" s="18">
        <v>202107</v>
      </c>
      <c r="M22" s="1">
        <f t="shared" si="10"/>
        <v>23391182.367213201</v>
      </c>
      <c r="N22" s="1">
        <v>797646.69368360937</v>
      </c>
      <c r="O22" s="1">
        <f t="shared" si="2"/>
        <v>24188829.06089681</v>
      </c>
      <c r="P22" s="1">
        <f t="shared" si="11"/>
        <v>95747.448366049866</v>
      </c>
      <c r="Q22" s="1"/>
      <c r="R22" s="1">
        <f t="shared" si="12"/>
        <v>1557600.4042631655</v>
      </c>
    </row>
    <row r="23" spans="1:18" x14ac:dyDescent="0.3">
      <c r="A23" s="1">
        <f t="shared" si="4"/>
        <v>-1.1641532182693481E-9</v>
      </c>
      <c r="C23" s="2">
        <f t="shared" si="13"/>
        <v>-1.1641532182693481E-9</v>
      </c>
      <c r="F23" s="1">
        <v>65151</v>
      </c>
      <c r="G23" s="2">
        <f t="shared" si="0"/>
        <v>-65151</v>
      </c>
      <c r="H23" s="1">
        <f t="shared" si="1"/>
        <v>-2257281.67</v>
      </c>
      <c r="I23" s="1">
        <f t="shared" si="8"/>
        <v>-9576.5618322535065</v>
      </c>
      <c r="J23" s="1">
        <f t="shared" si="9"/>
        <v>-2428918.4984015604</v>
      </c>
      <c r="K23" s="17">
        <f t="shared" si="16"/>
        <v>4.7500000000000001E-2</v>
      </c>
      <c r="L23" s="18">
        <v>202108</v>
      </c>
      <c r="M23" s="1">
        <f t="shared" si="10"/>
        <v>24188829.06089681</v>
      </c>
      <c r="N23" s="1">
        <v>797646.69368360937</v>
      </c>
      <c r="O23" s="1">
        <f t="shared" si="2"/>
        <v>24986475.75458042</v>
      </c>
      <c r="P23" s="1">
        <f t="shared" si="11"/>
        <v>98904.799861880834</v>
      </c>
      <c r="Q23" s="1"/>
      <c r="R23" s="1">
        <f t="shared" si="12"/>
        <v>1646928.6422927927</v>
      </c>
    </row>
    <row r="24" spans="1:18" x14ac:dyDescent="0.3">
      <c r="F24" s="1"/>
      <c r="G24" s="2">
        <f t="shared" si="0"/>
        <v>0</v>
      </c>
      <c r="H24" s="1">
        <f t="shared" si="1"/>
        <v>-2257281.67</v>
      </c>
      <c r="I24" s="1">
        <f t="shared" si="8"/>
        <v>-9614.4690561728439</v>
      </c>
      <c r="J24" s="1">
        <f t="shared" si="9"/>
        <v>-2438532.9674577331</v>
      </c>
      <c r="K24" s="17">
        <f t="shared" si="16"/>
        <v>4.7500000000000001E-2</v>
      </c>
      <c r="L24" s="18">
        <v>202109</v>
      </c>
      <c r="M24" s="1">
        <f t="shared" si="10"/>
        <v>24986475.75458042</v>
      </c>
      <c r="N24" s="1">
        <v>797646.69368361309</v>
      </c>
      <c r="O24" s="1">
        <f t="shared" si="2"/>
        <v>25784122.448264033</v>
      </c>
      <c r="P24" s="1">
        <f t="shared" si="11"/>
        <v>102062.1513577118</v>
      </c>
      <c r="Q24" s="1"/>
      <c r="R24" s="1">
        <f t="shared" si="12"/>
        <v>1739376.3245943317</v>
      </c>
    </row>
    <row r="25" spans="1:18" x14ac:dyDescent="0.3">
      <c r="A25" s="1">
        <f t="shared" ref="A25" si="17">C24</f>
        <v>0</v>
      </c>
      <c r="C25" s="2">
        <f t="shared" ref="C25" si="18">SUM(A25:B25)</f>
        <v>0</v>
      </c>
      <c r="F25" s="1"/>
      <c r="G25" s="2">
        <f t="shared" ref="G25:G35" si="19">E25-F25</f>
        <v>0</v>
      </c>
      <c r="H25" s="1">
        <f t="shared" ref="H25:H35" si="20">G25+H24</f>
        <v>-2257281.67</v>
      </c>
      <c r="I25" s="1">
        <f t="shared" ref="I25:I35" si="21">(J24+G25)*K25/12</f>
        <v>-9652.526329520193</v>
      </c>
      <c r="J25" s="1">
        <f t="shared" ref="J25:J35" si="22">J24+G25+I25</f>
        <v>-2448185.4937872533</v>
      </c>
      <c r="K25" s="17">
        <f t="shared" si="16"/>
        <v>4.7500000000000001E-2</v>
      </c>
      <c r="L25" s="18">
        <v>202110</v>
      </c>
      <c r="M25" s="1">
        <f t="shared" ref="M25:M35" si="23">O24</f>
        <v>25784122.448264033</v>
      </c>
      <c r="N25" s="1">
        <v>797646.69368361705</v>
      </c>
      <c r="O25" s="1">
        <f t="shared" ref="O25:O35" si="24">SUM(M25:N25)</f>
        <v>26581769.141947649</v>
      </c>
      <c r="P25" s="1">
        <f t="shared" si="11"/>
        <v>105219.50285354278</v>
      </c>
      <c r="Q25" s="1"/>
      <c r="R25" s="1">
        <f t="shared" si="12"/>
        <v>1834943.3011183543</v>
      </c>
    </row>
    <row r="26" spans="1:18" x14ac:dyDescent="0.3">
      <c r="F26" s="1"/>
      <c r="G26" s="2">
        <f t="shared" si="19"/>
        <v>0</v>
      </c>
      <c r="H26" s="1">
        <f t="shared" si="20"/>
        <v>-2257281.67</v>
      </c>
      <c r="I26" s="1">
        <f t="shared" si="21"/>
        <v>-9690.7342462412107</v>
      </c>
      <c r="J26" s="1">
        <f t="shared" si="22"/>
        <v>-2457876.2280334947</v>
      </c>
      <c r="K26" s="17">
        <f t="shared" si="16"/>
        <v>4.7500000000000001E-2</v>
      </c>
      <c r="L26" s="18">
        <v>202111</v>
      </c>
      <c r="M26" s="1">
        <f t="shared" si="23"/>
        <v>26581769.141947649</v>
      </c>
      <c r="N26" s="1">
        <v>797646.69368362101</v>
      </c>
      <c r="O26" s="1">
        <f t="shared" si="24"/>
        <v>27379415.83563127</v>
      </c>
      <c r="P26" s="1">
        <f t="shared" si="11"/>
        <v>108376.85434937378</v>
      </c>
      <c r="Q26" s="1"/>
      <c r="R26" s="1">
        <f t="shared" si="12"/>
        <v>1933629.421221487</v>
      </c>
    </row>
    <row r="27" spans="1:18" x14ac:dyDescent="0.3">
      <c r="A27" s="1">
        <f t="shared" ref="A27" si="25">C26</f>
        <v>0</v>
      </c>
      <c r="C27" s="2">
        <f t="shared" ref="C27" si="26">SUM(A27:B27)</f>
        <v>0</v>
      </c>
      <c r="F27" s="1"/>
      <c r="G27" s="2">
        <f t="shared" si="19"/>
        <v>0</v>
      </c>
      <c r="H27" s="1">
        <f t="shared" si="20"/>
        <v>-2257281.67</v>
      </c>
      <c r="I27" s="1">
        <f t="shared" si="21"/>
        <v>-9729.0934026325831</v>
      </c>
      <c r="J27" s="1">
        <f t="shared" si="22"/>
        <v>-2467605.3214361272</v>
      </c>
      <c r="K27" s="17">
        <f t="shared" si="16"/>
        <v>4.7500000000000001E-2</v>
      </c>
      <c r="L27" s="18">
        <v>202112</v>
      </c>
      <c r="M27" s="1">
        <f t="shared" si="23"/>
        <v>27379415.83563127</v>
      </c>
      <c r="N27" s="1">
        <v>797646.69368362403</v>
      </c>
      <c r="O27" s="1">
        <f t="shared" si="24"/>
        <v>28177062.529314894</v>
      </c>
      <c r="P27" s="1">
        <f t="shared" si="11"/>
        <v>111534.20584520478</v>
      </c>
      <c r="Q27" s="1"/>
      <c r="R27" s="1">
        <f t="shared" si="12"/>
        <v>2035434.5336640594</v>
      </c>
    </row>
    <row r="28" spans="1:18" x14ac:dyDescent="0.3">
      <c r="F28" s="1"/>
      <c r="G28" s="2">
        <f t="shared" si="19"/>
        <v>0</v>
      </c>
      <c r="H28" s="1">
        <f t="shared" si="20"/>
        <v>-2257281.67</v>
      </c>
      <c r="I28" s="1">
        <f t="shared" si="21"/>
        <v>-9767.604397351337</v>
      </c>
      <c r="J28" s="1">
        <f t="shared" si="22"/>
        <v>-2477372.9258334786</v>
      </c>
      <c r="K28" s="17">
        <f t="shared" si="16"/>
        <v>4.7500000000000001E-2</v>
      </c>
      <c r="L28" s="18">
        <v>202201</v>
      </c>
      <c r="M28" s="1">
        <f t="shared" si="23"/>
        <v>28177062.529314894</v>
      </c>
      <c r="N28" s="1">
        <v>797646.69368362799</v>
      </c>
      <c r="O28" s="1">
        <f t="shared" si="24"/>
        <v>28974709.222998522</v>
      </c>
      <c r="P28" s="1">
        <f t="shared" si="11"/>
        <v>114691.55734103582</v>
      </c>
      <c r="Q28" s="1"/>
      <c r="R28" s="1">
        <f t="shared" si="12"/>
        <v>2140358.4866077439</v>
      </c>
    </row>
    <row r="29" spans="1:18" x14ac:dyDescent="0.3">
      <c r="A29" s="1">
        <f t="shared" ref="A29" si="27">C28</f>
        <v>0</v>
      </c>
      <c r="C29" s="2">
        <f t="shared" ref="C29" si="28">SUM(A29:B29)</f>
        <v>0</v>
      </c>
      <c r="F29" s="1"/>
      <c r="G29" s="2">
        <f t="shared" si="19"/>
        <v>0</v>
      </c>
      <c r="H29" s="1">
        <f t="shared" si="20"/>
        <v>-2257281.67</v>
      </c>
      <c r="I29" s="1">
        <f t="shared" si="21"/>
        <v>-9806.2678314241857</v>
      </c>
      <c r="J29" s="1">
        <f t="shared" si="22"/>
        <v>-2487179.1936649028</v>
      </c>
      <c r="K29" s="17">
        <f t="shared" si="16"/>
        <v>4.7500000000000001E-2</v>
      </c>
      <c r="L29" s="18">
        <v>202202</v>
      </c>
      <c r="M29" s="1">
        <f t="shared" si="23"/>
        <v>28974709.222998522</v>
      </c>
      <c r="N29" s="1">
        <v>797646.69368363195</v>
      </c>
      <c r="O29" s="1">
        <f t="shared" si="24"/>
        <v>29772355.916682154</v>
      </c>
      <c r="P29" s="1">
        <f t="shared" si="11"/>
        <v>117848.90883686686</v>
      </c>
      <c r="Q29" s="1"/>
      <c r="R29" s="1">
        <f t="shared" si="12"/>
        <v>2248401.1276131864</v>
      </c>
    </row>
    <row r="30" spans="1:18" x14ac:dyDescent="0.3">
      <c r="F30" s="1"/>
      <c r="G30" s="2">
        <f t="shared" si="19"/>
        <v>0</v>
      </c>
      <c r="H30" s="1">
        <f t="shared" si="20"/>
        <v>-2257281.67</v>
      </c>
      <c r="I30" s="1">
        <f t="shared" si="21"/>
        <v>-9845.0843082569063</v>
      </c>
      <c r="J30" s="1">
        <f t="shared" si="22"/>
        <v>-2497024.2779731597</v>
      </c>
      <c r="K30" s="17">
        <f t="shared" si="16"/>
        <v>4.7500000000000001E-2</v>
      </c>
      <c r="L30" s="18">
        <v>202203</v>
      </c>
      <c r="M30" s="1">
        <f t="shared" si="23"/>
        <v>29772355.916682154</v>
      </c>
      <c r="N30" s="1">
        <v>797646.69368363498</v>
      </c>
      <c r="O30" s="1">
        <f t="shared" si="24"/>
        <v>30570002.610365789</v>
      </c>
      <c r="P30" s="1">
        <f t="shared" si="11"/>
        <v>121006.26033269793</v>
      </c>
      <c r="Q30" s="1"/>
      <c r="R30" s="1">
        <f t="shared" si="12"/>
        <v>2359562.3036376275</v>
      </c>
    </row>
    <row r="31" spans="1:18" x14ac:dyDescent="0.3">
      <c r="A31" s="1">
        <f t="shared" ref="A31" si="29">C30</f>
        <v>0</v>
      </c>
      <c r="C31" s="2">
        <f t="shared" ref="C31" si="30">SUM(A31:B31)</f>
        <v>0</v>
      </c>
      <c r="F31" s="1"/>
      <c r="G31" s="2">
        <f t="shared" si="19"/>
        <v>0</v>
      </c>
      <c r="H31" s="1">
        <f t="shared" si="20"/>
        <v>-2257281.67</v>
      </c>
      <c r="I31" s="1">
        <f t="shared" si="21"/>
        <v>-9884.0544336437579</v>
      </c>
      <c r="J31" s="1">
        <f t="shared" si="22"/>
        <v>-2506908.3324068035</v>
      </c>
      <c r="K31" s="17">
        <f t="shared" si="16"/>
        <v>4.7500000000000001E-2</v>
      </c>
      <c r="L31" s="18">
        <v>202204</v>
      </c>
      <c r="M31" s="1">
        <f t="shared" si="23"/>
        <v>30570002.610365789</v>
      </c>
      <c r="N31" s="1">
        <v>797646.69368363905</v>
      </c>
      <c r="O31" s="1">
        <f t="shared" si="24"/>
        <v>31367649.304049429</v>
      </c>
      <c r="P31" s="1">
        <f t="shared" si="11"/>
        <v>124163.61182852898</v>
      </c>
      <c r="Q31" s="1"/>
      <c r="R31" s="1">
        <f t="shared" si="12"/>
        <v>2473841.8610325125</v>
      </c>
    </row>
    <row r="32" spans="1:18" x14ac:dyDescent="0.3">
      <c r="F32" s="1"/>
      <c r="G32" s="2">
        <f t="shared" si="19"/>
        <v>0</v>
      </c>
      <c r="H32" s="1">
        <f t="shared" si="20"/>
        <v>-2257281.67</v>
      </c>
      <c r="I32" s="1">
        <f t="shared" si="21"/>
        <v>-9923.1788157769315</v>
      </c>
      <c r="J32" s="1">
        <f t="shared" si="22"/>
        <v>-2516831.5112225804</v>
      </c>
      <c r="K32" s="17">
        <f t="shared" si="16"/>
        <v>4.7500000000000001E-2</v>
      </c>
      <c r="L32" s="18">
        <v>202205</v>
      </c>
      <c r="M32" s="1">
        <f t="shared" si="23"/>
        <v>31367649.304049429</v>
      </c>
      <c r="N32" s="1">
        <v>797646.69368364301</v>
      </c>
      <c r="O32" s="1">
        <f t="shared" si="24"/>
        <v>32165295.997733071</v>
      </c>
      <c r="P32" s="1">
        <f t="shared" si="11"/>
        <v>127320.96332436008</v>
      </c>
      <c r="Q32" s="1"/>
      <c r="R32" s="1">
        <f t="shared" si="12"/>
        <v>2591239.6455410956</v>
      </c>
    </row>
    <row r="33" spans="1:18" x14ac:dyDescent="0.3">
      <c r="A33" s="1">
        <f t="shared" ref="A33" si="31">C32</f>
        <v>0</v>
      </c>
      <c r="C33" s="2">
        <f t="shared" ref="C33" si="32">SUM(A33:B33)</f>
        <v>0</v>
      </c>
      <c r="F33" s="1"/>
      <c r="G33" s="2">
        <f t="shared" si="19"/>
        <v>0</v>
      </c>
      <c r="H33" s="1">
        <f t="shared" si="20"/>
        <v>-2257281.67</v>
      </c>
      <c r="I33" s="1">
        <f t="shared" si="21"/>
        <v>-9962.4580652560471</v>
      </c>
      <c r="J33" s="1">
        <f t="shared" si="22"/>
        <v>-2526793.9692878365</v>
      </c>
      <c r="K33" s="17">
        <f t="shared" si="16"/>
        <v>4.7500000000000001E-2</v>
      </c>
      <c r="L33" s="18">
        <v>202206</v>
      </c>
      <c r="M33" s="1">
        <f t="shared" si="23"/>
        <v>32165295.997733071</v>
      </c>
      <c r="N33" s="1">
        <v>797646.69368364697</v>
      </c>
      <c r="O33" s="1">
        <f t="shared" si="24"/>
        <v>32962942.691416718</v>
      </c>
      <c r="P33" s="1">
        <f t="shared" si="11"/>
        <v>130478.31482019118</v>
      </c>
      <c r="Q33" s="1"/>
      <c r="R33" s="1">
        <f t="shared" si="12"/>
        <v>2711755.502296031</v>
      </c>
    </row>
    <row r="34" spans="1:18" x14ac:dyDescent="0.3">
      <c r="F34" s="1"/>
      <c r="G34" s="2">
        <f t="shared" si="19"/>
        <v>0</v>
      </c>
      <c r="H34" s="1">
        <f t="shared" si="20"/>
        <v>-2257281.67</v>
      </c>
      <c r="I34" s="1">
        <f t="shared" si="21"/>
        <v>-10001.892795097685</v>
      </c>
      <c r="J34" s="1">
        <f t="shared" si="22"/>
        <v>-2536795.862082934</v>
      </c>
      <c r="K34" s="17">
        <f t="shared" si="16"/>
        <v>4.7500000000000001E-2</v>
      </c>
      <c r="L34" s="18">
        <v>202207</v>
      </c>
      <c r="M34" s="1">
        <f t="shared" si="23"/>
        <v>32962942.691416718</v>
      </c>
      <c r="N34" s="1">
        <v>797646.69368365</v>
      </c>
      <c r="O34" s="1">
        <f t="shared" si="24"/>
        <v>33760589.385100365</v>
      </c>
      <c r="P34" s="1">
        <f t="shared" si="11"/>
        <v>133635.66631602228</v>
      </c>
      <c r="Q34" s="1"/>
      <c r="R34" s="1">
        <f t="shared" si="12"/>
        <v>2835389.2758169556</v>
      </c>
    </row>
    <row r="35" spans="1:18" x14ac:dyDescent="0.3">
      <c r="A35" s="1">
        <f t="shared" ref="A35" si="33">C34</f>
        <v>0</v>
      </c>
      <c r="C35" s="2">
        <f t="shared" ref="C35" si="34">SUM(A35:B35)</f>
        <v>0</v>
      </c>
      <c r="F35" s="1"/>
      <c r="G35" s="2">
        <f t="shared" si="19"/>
        <v>0</v>
      </c>
      <c r="H35" s="1">
        <f t="shared" si="20"/>
        <v>-2257281.67</v>
      </c>
      <c r="I35" s="1">
        <f t="shared" si="21"/>
        <v>-10041.483620744946</v>
      </c>
      <c r="J35" s="1">
        <f t="shared" si="22"/>
        <v>-2546837.3457036791</v>
      </c>
      <c r="K35" s="17">
        <f t="shared" si="16"/>
        <v>4.7500000000000001E-2</v>
      </c>
      <c r="L35" s="18">
        <v>202208</v>
      </c>
      <c r="M35" s="1">
        <f t="shared" si="23"/>
        <v>33760589.385100365</v>
      </c>
      <c r="N35" s="1">
        <v>797646.69368365395</v>
      </c>
      <c r="O35" s="1">
        <f t="shared" si="24"/>
        <v>34558236.078784019</v>
      </c>
      <c r="P35" s="1">
        <f t="shared" si="11"/>
        <v>136793.01781185341</v>
      </c>
      <c r="Q35" s="1"/>
      <c r="R35" s="1">
        <f t="shared" si="12"/>
        <v>2962140.8100080639</v>
      </c>
    </row>
    <row r="36" spans="1:18" x14ac:dyDescent="0.3">
      <c r="A36" s="1"/>
      <c r="C36" s="2"/>
      <c r="F36" s="1"/>
      <c r="G36" s="2">
        <f t="shared" ref="G36" si="35">E36-F36</f>
        <v>0</v>
      </c>
      <c r="H36" s="1">
        <f t="shared" ref="H36" si="36">G36+H35</f>
        <v>-2257281.67</v>
      </c>
      <c r="I36" s="1">
        <f t="shared" ref="I36" si="37">(J35+G36)*K36/12</f>
        <v>-10081.231160077064</v>
      </c>
      <c r="J36" s="1">
        <f t="shared" ref="J36" si="38">J35+G36+I36</f>
        <v>-2556918.5768637564</v>
      </c>
      <c r="K36" s="17">
        <f t="shared" si="16"/>
        <v>4.7500000000000001E-2</v>
      </c>
      <c r="L36" s="18">
        <v>202209</v>
      </c>
      <c r="M36" s="1">
        <f t="shared" ref="M36" si="39">O35</f>
        <v>34558236.078784019</v>
      </c>
      <c r="N36" s="1">
        <v>797647.69368365395</v>
      </c>
      <c r="O36" s="1">
        <f t="shared" ref="O36" si="40">SUM(M36:N36)</f>
        <v>35355883.772467673</v>
      </c>
      <c r="P36" s="1">
        <f t="shared" ref="P36" si="41">O36*K36/12</f>
        <v>139950.37326601788</v>
      </c>
      <c r="Q36" s="1"/>
      <c r="R36" s="1">
        <f t="shared" ref="R36" si="42">R35+P36+I36</f>
        <v>3092009.9521140046</v>
      </c>
    </row>
    <row r="37" spans="1:18" x14ac:dyDescent="0.3">
      <c r="F37" s="1"/>
      <c r="G37" s="2"/>
      <c r="H37" s="1"/>
      <c r="I37" s="1"/>
      <c r="J37" s="1"/>
      <c r="K37" s="17"/>
      <c r="L37" s="18"/>
      <c r="M37" s="1"/>
      <c r="N37" s="1"/>
      <c r="O37" s="1"/>
    </row>
    <row r="38" spans="1:18" x14ac:dyDescent="0.3">
      <c r="H38" s="1">
        <f>(((H24+H36)/2)+H25+H26+H27+H28+H29+H30+H31+H32+H33+H34+H35)/12</f>
        <v>-2257281.6700000004</v>
      </c>
      <c r="M38" s="1">
        <f t="shared" ref="M38" si="43">O37</f>
        <v>0</v>
      </c>
      <c r="O38" s="1">
        <f>(((O24+O36)/2)+O25+O26+O27+O28+O29+O30+O31+O32+O33+O34+O35)/12</f>
        <v>30570002.652032476</v>
      </c>
      <c r="R38" s="1">
        <f>(((R24+R36)/2)+R25+R26+R27+R28+R29+R30+R31+R32+R33+R34+R35)/12</f>
        <v>2378532.4505759403</v>
      </c>
    </row>
  </sheetData>
  <pageMargins left="0.7" right="0.7" top="0.75" bottom="0.75" header="0.3" footer="0.3"/>
  <pageSetup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workbookViewId="0"/>
  </sheetViews>
  <sheetFormatPr defaultRowHeight="14.4" x14ac:dyDescent="0.3"/>
  <cols>
    <col min="1" max="1" width="11" bestFit="1" customWidth="1"/>
    <col min="2" max="2" width="11.6640625" bestFit="1" customWidth="1"/>
    <col min="3" max="3" width="11.5546875" bestFit="1" customWidth="1"/>
    <col min="4" max="4" width="11" bestFit="1" customWidth="1"/>
    <col min="5" max="5" width="10.109375" bestFit="1" customWidth="1"/>
    <col min="6" max="6" width="11.6640625" customWidth="1"/>
    <col min="7" max="7" width="9.109375" bestFit="1" customWidth="1"/>
    <col min="8" max="8" width="12.5546875" customWidth="1"/>
    <col min="9" max="9" width="9.109375" customWidth="1"/>
    <col min="10" max="10" width="10.33203125" bestFit="1" customWidth="1"/>
    <col min="12" max="12" width="15.6640625" bestFit="1" customWidth="1"/>
    <col min="13" max="13" width="12.33203125" bestFit="1" customWidth="1"/>
    <col min="14" max="14" width="12" bestFit="1" customWidth="1"/>
    <col min="15" max="15" width="12.33203125" bestFit="1" customWidth="1"/>
    <col min="16" max="16" width="11" customWidth="1"/>
    <col min="17" max="17" width="10.109375" customWidth="1"/>
    <col min="18" max="18" width="11.109375" bestFit="1" customWidth="1"/>
  </cols>
  <sheetData>
    <row r="1" spans="1:18" x14ac:dyDescent="0.3">
      <c r="H1">
        <v>254332</v>
      </c>
      <c r="O1">
        <v>182337</v>
      </c>
      <c r="R1" s="21">
        <v>182336</v>
      </c>
    </row>
    <row r="2" spans="1:18" s="19" customFormat="1" ht="49.2" customHeight="1" x14ac:dyDescent="0.3">
      <c r="A2" s="19" t="s">
        <v>39</v>
      </c>
      <c r="B2" s="19" t="s">
        <v>51</v>
      </c>
      <c r="C2" s="19" t="s">
        <v>39</v>
      </c>
      <c r="D2" s="19" t="s">
        <v>40</v>
      </c>
      <c r="E2" s="19" t="s">
        <v>41</v>
      </c>
      <c r="F2" s="19" t="s">
        <v>42</v>
      </c>
      <c r="G2" s="19" t="s">
        <v>43</v>
      </c>
      <c r="H2" s="19" t="s">
        <v>52</v>
      </c>
      <c r="I2" s="19" t="s">
        <v>53</v>
      </c>
      <c r="L2" s="19" t="s">
        <v>32</v>
      </c>
    </row>
    <row r="3" spans="1:18" x14ac:dyDescent="0.3">
      <c r="H3" s="1">
        <v>-11733</v>
      </c>
      <c r="I3" s="2">
        <f>J3-H3</f>
        <v>-347</v>
      </c>
      <c r="J3" s="2">
        <v>-12080</v>
      </c>
      <c r="R3" s="1">
        <v>133275.12</v>
      </c>
    </row>
    <row r="4" spans="1:18" x14ac:dyDescent="0.3">
      <c r="A4" s="1">
        <v>3570867</v>
      </c>
      <c r="B4" s="1">
        <v>-206945</v>
      </c>
      <c r="C4" s="1">
        <f>SUM(A4:B4)</f>
        <v>3363922</v>
      </c>
      <c r="D4" s="17">
        <v>3.09E-2</v>
      </c>
      <c r="E4" s="1">
        <f>129459.96*0.1</f>
        <v>12945.996000000001</v>
      </c>
      <c r="F4" s="1">
        <f>141805*0.1</f>
        <v>14180.5</v>
      </c>
      <c r="G4" s="2">
        <f>E4-F4</f>
        <v>-1234.503999999999</v>
      </c>
      <c r="H4" s="1">
        <f>G4+H3</f>
        <v>-12967.503999999999</v>
      </c>
      <c r="I4" s="1">
        <f>(J3+G4)*K4/12</f>
        <v>-55.033283199999993</v>
      </c>
      <c r="J4" s="1">
        <f>J3+G4+I4</f>
        <v>-13369.537283199999</v>
      </c>
      <c r="K4" s="17">
        <v>4.9599999999999998E-2</v>
      </c>
      <c r="L4" t="s">
        <v>34</v>
      </c>
      <c r="M4" s="1">
        <v>3158980</v>
      </c>
      <c r="N4" s="1">
        <v>238800.82942240001</v>
      </c>
      <c r="O4" s="1">
        <f>SUM(M4:N4)</f>
        <v>3397780.8294223999</v>
      </c>
      <c r="P4" s="1">
        <f>O4*K4/12</f>
        <v>14044.160761612586</v>
      </c>
      <c r="Q4" s="1"/>
      <c r="R4" s="1">
        <f>R3+P4+I4+11</f>
        <v>147275.24747841258</v>
      </c>
    </row>
    <row r="5" spans="1:18" x14ac:dyDescent="0.3">
      <c r="A5" s="1">
        <f>C4</f>
        <v>3363922</v>
      </c>
      <c r="B5" s="1">
        <v>-233958</v>
      </c>
      <c r="C5" s="1">
        <f t="shared" ref="C5:C9" si="0">SUM(A5:B5)</f>
        <v>3129964</v>
      </c>
      <c r="D5" s="17">
        <f>D4</f>
        <v>3.09E-2</v>
      </c>
      <c r="E5" s="1">
        <f>131360.03*0.1</f>
        <v>13136.003000000001</v>
      </c>
      <c r="F5" s="1">
        <f t="shared" ref="F5:F6" si="1">141805*0.1</f>
        <v>14180.5</v>
      </c>
      <c r="G5" s="2">
        <f t="shared" ref="G5:G24" si="2">E5-F5</f>
        <v>-1044.4969999999994</v>
      </c>
      <c r="H5" s="1">
        <f t="shared" ref="H5" si="3">G5+H4</f>
        <v>-14012.000999999998</v>
      </c>
      <c r="I5" s="1">
        <f>(J4+G5)*K5/12</f>
        <v>-59.578008370559992</v>
      </c>
      <c r="J5" s="1">
        <f>J4+G5+I5</f>
        <v>-14473.612291570558</v>
      </c>
      <c r="K5" s="17">
        <v>4.9599999999999998E-2</v>
      </c>
      <c r="L5" t="s">
        <v>35</v>
      </c>
      <c r="M5" s="1">
        <f>O4</f>
        <v>3397780.8294223999</v>
      </c>
      <c r="N5" s="1">
        <v>242534.26798230002</v>
      </c>
      <c r="O5" s="1">
        <f t="shared" ref="O5:O8" si="4">SUM(M5:N5)</f>
        <v>3640315.0974046998</v>
      </c>
      <c r="P5" s="1">
        <f>O5*K5/12</f>
        <v>15046.635735939424</v>
      </c>
      <c r="Q5" s="1"/>
      <c r="R5" s="1">
        <f t="shared" ref="R5:R8" si="5">R4+P5+I5</f>
        <v>162262.30520598145</v>
      </c>
    </row>
    <row r="6" spans="1:18" x14ac:dyDescent="0.3">
      <c r="A6" s="1">
        <f t="shared" ref="A6:A9" si="6">C5</f>
        <v>3129964</v>
      </c>
      <c r="B6" s="1">
        <v>-1058803</v>
      </c>
      <c r="C6" s="1">
        <f t="shared" si="0"/>
        <v>2071161</v>
      </c>
      <c r="D6" s="17">
        <f t="shared" ref="D6:D18" si="7">D5</f>
        <v>3.09E-2</v>
      </c>
      <c r="E6" s="1">
        <f>129669.84*0.1</f>
        <v>12966.984</v>
      </c>
      <c r="F6" s="1">
        <f t="shared" si="1"/>
        <v>14180.5</v>
      </c>
      <c r="G6" s="2">
        <f t="shared" si="2"/>
        <v>-1213.5159999999996</v>
      </c>
      <c r="H6" s="1">
        <f t="shared" ref="H6:H24" si="8">G6+H5</f>
        <v>-15225.516999999998</v>
      </c>
      <c r="I6" s="1">
        <f t="shared" ref="I6:I24" si="9">(J5+G6)*K6/12</f>
        <v>-64.840130271824975</v>
      </c>
      <c r="J6" s="1">
        <f t="shared" ref="J6:J24" si="10">J5+G6+I6</f>
        <v>-15751.968421842383</v>
      </c>
      <c r="K6" s="17">
        <v>4.9599999999999998E-2</v>
      </c>
      <c r="L6" t="s">
        <v>36</v>
      </c>
      <c r="M6" s="1">
        <f t="shared" ref="M6:M38" si="11">O5</f>
        <v>3640315.0974046998</v>
      </c>
      <c r="N6" s="1">
        <v>246513.09207369998</v>
      </c>
      <c r="O6" s="1">
        <f t="shared" si="4"/>
        <v>3886828.1894783997</v>
      </c>
      <c r="P6" s="1">
        <f>O6*K6/12</f>
        <v>16065.556516510718</v>
      </c>
      <c r="Q6" s="1"/>
      <c r="R6" s="1">
        <f t="shared" si="5"/>
        <v>178263.02159222035</v>
      </c>
    </row>
    <row r="7" spans="1:18" x14ac:dyDescent="0.3">
      <c r="A7" s="1">
        <f t="shared" si="6"/>
        <v>2071161</v>
      </c>
      <c r="B7" s="1">
        <v>-135637</v>
      </c>
      <c r="C7" s="1">
        <f t="shared" si="0"/>
        <v>1935524</v>
      </c>
      <c r="D7" s="17">
        <f t="shared" si="7"/>
        <v>3.09E-2</v>
      </c>
      <c r="E7" s="1">
        <f>128063.49*0.1</f>
        <v>12806.349000000002</v>
      </c>
      <c r="F7" s="1">
        <f>131220*0.1</f>
        <v>13122</v>
      </c>
      <c r="G7" s="2">
        <f t="shared" si="2"/>
        <v>-315.65099999999802</v>
      </c>
      <c r="H7" s="1">
        <f t="shared" si="8"/>
        <v>-15541.167999999996</v>
      </c>
      <c r="I7" s="1">
        <f t="shared" si="9"/>
        <v>-63.600993544792765</v>
      </c>
      <c r="J7" s="1">
        <f t="shared" si="10"/>
        <v>-16131.220415387173</v>
      </c>
      <c r="K7" s="17">
        <v>4.7500000000000001E-2</v>
      </c>
      <c r="L7" t="s">
        <v>37</v>
      </c>
      <c r="M7" s="1">
        <f t="shared" si="11"/>
        <v>3886828.1894783997</v>
      </c>
      <c r="N7" s="1">
        <v>248644.39300399998</v>
      </c>
      <c r="O7" s="1">
        <f t="shared" si="4"/>
        <v>4135472.5824823999</v>
      </c>
      <c r="P7" s="1">
        <f>O7*K7/12</f>
        <v>16369.578972326168</v>
      </c>
      <c r="Q7" s="1"/>
      <c r="R7" s="1">
        <f t="shared" si="5"/>
        <v>194568.99957100171</v>
      </c>
    </row>
    <row r="8" spans="1:18" x14ac:dyDescent="0.3">
      <c r="A8" s="1">
        <f t="shared" si="6"/>
        <v>1935524</v>
      </c>
      <c r="B8" s="1">
        <f>A8/-11</f>
        <v>-175956.72727272726</v>
      </c>
      <c r="C8" s="1">
        <f t="shared" si="0"/>
        <v>1759567.2727272727</v>
      </c>
      <c r="D8" s="17">
        <f t="shared" si="7"/>
        <v>3.09E-2</v>
      </c>
      <c r="E8" s="1">
        <f>128315.83*0.1</f>
        <v>12831.583000000001</v>
      </c>
      <c r="F8" s="1">
        <f t="shared" ref="F8:F23" si="12">131220*0.1</f>
        <v>13122</v>
      </c>
      <c r="G8" s="2">
        <f t="shared" si="2"/>
        <v>-290.41699999999946</v>
      </c>
      <c r="H8" s="1">
        <f t="shared" si="8"/>
        <v>-15831.584999999995</v>
      </c>
      <c r="I8" s="1">
        <f t="shared" si="9"/>
        <v>-65.002314769240897</v>
      </c>
      <c r="J8" s="1">
        <f t="shared" si="10"/>
        <v>-16486.639730156414</v>
      </c>
      <c r="K8" s="17">
        <v>4.7500000000000001E-2</v>
      </c>
      <c r="L8" t="s">
        <v>38</v>
      </c>
      <c r="M8" s="1">
        <f t="shared" si="11"/>
        <v>4135472.5824823999</v>
      </c>
      <c r="N8" s="1">
        <v>250346.46151009999</v>
      </c>
      <c r="O8" s="1">
        <f t="shared" si="4"/>
        <v>4385819.0439924998</v>
      </c>
      <c r="P8" s="1">
        <f>O8*K8/12</f>
        <v>17360.533715803645</v>
      </c>
      <c r="Q8" s="1"/>
      <c r="R8" s="1">
        <f t="shared" si="5"/>
        <v>211864.53097203613</v>
      </c>
    </row>
    <row r="9" spans="1:18" x14ac:dyDescent="0.3">
      <c r="A9" s="1">
        <f t="shared" si="6"/>
        <v>1759567.2727272727</v>
      </c>
      <c r="B9" s="2">
        <f>B8</f>
        <v>-175956.72727272726</v>
      </c>
      <c r="C9" s="1">
        <f t="shared" si="0"/>
        <v>1583610.5454545454</v>
      </c>
      <c r="D9" s="17">
        <f t="shared" si="7"/>
        <v>3.09E-2</v>
      </c>
      <c r="E9" s="1">
        <f>C9*D9*0.25</f>
        <v>12233.391463636364</v>
      </c>
      <c r="F9" s="1">
        <f t="shared" si="12"/>
        <v>13122</v>
      </c>
      <c r="G9" s="2">
        <f t="shared" si="2"/>
        <v>-888.60853636363572</v>
      </c>
      <c r="H9" s="1">
        <f t="shared" si="8"/>
        <v>-16720.193536363629</v>
      </c>
      <c r="I9" s="1">
        <f t="shared" si="9"/>
        <v>-68.777024388308533</v>
      </c>
      <c r="J9" s="1">
        <f t="shared" si="10"/>
        <v>-17444.025290908361</v>
      </c>
      <c r="K9" s="17">
        <v>4.7500000000000001E-2</v>
      </c>
      <c r="L9" t="s">
        <v>44</v>
      </c>
      <c r="M9" s="1">
        <f t="shared" si="11"/>
        <v>4385819.0439924998</v>
      </c>
      <c r="N9" s="1">
        <v>246736.1781414682</v>
      </c>
      <c r="O9" s="1">
        <f t="shared" ref="O9:O35" si="13">SUM(M9:N9)</f>
        <v>4632555.222133968</v>
      </c>
      <c r="P9" s="1">
        <f t="shared" ref="P9:P35" si="14">O9*K9/12</f>
        <v>18337.197754280289</v>
      </c>
      <c r="Q9" s="1"/>
      <c r="R9" s="1">
        <f t="shared" ref="R9:R35" si="15">R8+P9+I9</f>
        <v>230132.9517019281</v>
      </c>
    </row>
    <row r="10" spans="1:18" x14ac:dyDescent="0.3">
      <c r="A10" s="1">
        <f t="shared" ref="A10:A18" si="16">C9</f>
        <v>1583610.5454545454</v>
      </c>
      <c r="B10" s="2">
        <f t="shared" ref="B10:B18" si="17">B9</f>
        <v>-175956.72727272726</v>
      </c>
      <c r="C10" s="1">
        <f t="shared" ref="C10:C18" si="18">SUM(A10:B10)</f>
        <v>1407653.8181818181</v>
      </c>
      <c r="D10" s="17">
        <f t="shared" si="7"/>
        <v>3.09E-2</v>
      </c>
      <c r="E10" s="1">
        <f t="shared" ref="E10:E17" si="19">C10*D10*0.25</f>
        <v>10874.125745454545</v>
      </c>
      <c r="F10" s="1">
        <f t="shared" si="12"/>
        <v>13122</v>
      </c>
      <c r="G10" s="2">
        <f t="shared" si="2"/>
        <v>-2247.8742545454552</v>
      </c>
      <c r="H10" s="1">
        <f t="shared" si="8"/>
        <v>-18968.067790909085</v>
      </c>
      <c r="I10" s="1">
        <f t="shared" si="9"/>
        <v>-77.947102367421351</v>
      </c>
      <c r="J10" s="1">
        <f t="shared" si="10"/>
        <v>-19769.846647821236</v>
      </c>
      <c r="K10" s="17">
        <f>K9</f>
        <v>4.7500000000000001E-2</v>
      </c>
      <c r="L10" t="s">
        <v>45</v>
      </c>
      <c r="M10" s="1">
        <f t="shared" si="11"/>
        <v>4632555.222133968</v>
      </c>
      <c r="N10">
        <v>252868.25964466482</v>
      </c>
      <c r="O10" s="1">
        <f t="shared" si="13"/>
        <v>4885423.4817786328</v>
      </c>
      <c r="P10" s="1">
        <f t="shared" si="14"/>
        <v>19338.134615373754</v>
      </c>
      <c r="Q10" s="1"/>
      <c r="R10" s="1">
        <f t="shared" si="15"/>
        <v>249393.13921493443</v>
      </c>
    </row>
    <row r="11" spans="1:18" x14ac:dyDescent="0.3">
      <c r="A11" s="1">
        <f t="shared" si="16"/>
        <v>1407653.8181818181</v>
      </c>
      <c r="B11" s="2">
        <f t="shared" si="17"/>
        <v>-175956.72727272726</v>
      </c>
      <c r="C11" s="1">
        <f t="shared" si="18"/>
        <v>1231697.0909090908</v>
      </c>
      <c r="D11" s="17">
        <f t="shared" si="7"/>
        <v>3.09E-2</v>
      </c>
      <c r="E11" s="1">
        <f t="shared" si="19"/>
        <v>9514.8600272727272</v>
      </c>
      <c r="F11" s="1">
        <f t="shared" si="12"/>
        <v>13122</v>
      </c>
      <c r="G11" s="2">
        <f t="shared" si="2"/>
        <v>-3607.1399727272728</v>
      </c>
      <c r="H11" s="1">
        <f t="shared" si="8"/>
        <v>-22575.207763636357</v>
      </c>
      <c r="I11" s="1">
        <f t="shared" si="9"/>
        <v>-92.533905373004515</v>
      </c>
      <c r="J11" s="1">
        <f t="shared" si="10"/>
        <v>-23469.520525921514</v>
      </c>
      <c r="K11" s="17">
        <f t="shared" ref="K11:K36" si="20">K10</f>
        <v>4.7500000000000001E-2</v>
      </c>
      <c r="L11" t="s">
        <v>46</v>
      </c>
      <c r="M11" s="1">
        <f t="shared" si="11"/>
        <v>4885423.4817786328</v>
      </c>
      <c r="N11">
        <v>258847.10614532512</v>
      </c>
      <c r="O11" s="1">
        <f t="shared" si="13"/>
        <v>5144270.587923958</v>
      </c>
      <c r="P11" s="1">
        <f t="shared" si="14"/>
        <v>20362.737743865666</v>
      </c>
      <c r="Q11" s="1"/>
      <c r="R11" s="1">
        <f t="shared" si="15"/>
        <v>269663.34305342706</v>
      </c>
    </row>
    <row r="12" spans="1:18" x14ac:dyDescent="0.3">
      <c r="A12" s="1">
        <f t="shared" si="16"/>
        <v>1231697.0909090908</v>
      </c>
      <c r="B12" s="2">
        <f t="shared" si="17"/>
        <v>-175956.72727272726</v>
      </c>
      <c r="C12" s="1">
        <f t="shared" si="18"/>
        <v>1055740.3636363635</v>
      </c>
      <c r="D12" s="17">
        <f t="shared" si="7"/>
        <v>3.09E-2</v>
      </c>
      <c r="E12" s="1">
        <f t="shared" si="19"/>
        <v>8155.5943090909086</v>
      </c>
      <c r="F12" s="1">
        <f t="shared" si="12"/>
        <v>13122</v>
      </c>
      <c r="G12" s="2">
        <f t="shared" si="2"/>
        <v>-4966.4056909090914</v>
      </c>
      <c r="H12" s="1">
        <f t="shared" si="8"/>
        <v>-27541.613454545448</v>
      </c>
      <c r="I12" s="1">
        <f t="shared" si="9"/>
        <v>-112.55887460828781</v>
      </c>
      <c r="J12" s="1">
        <f t="shared" si="10"/>
        <v>-28548.485091438892</v>
      </c>
      <c r="K12" s="17">
        <f t="shared" si="20"/>
        <v>4.7500000000000001E-2</v>
      </c>
      <c r="L12" t="s">
        <v>47</v>
      </c>
      <c r="M12" s="1">
        <f t="shared" si="11"/>
        <v>5144270.587923958</v>
      </c>
      <c r="N12">
        <v>264790.14531195071</v>
      </c>
      <c r="O12" s="1">
        <f t="shared" si="13"/>
        <v>5409060.7332359087</v>
      </c>
      <c r="P12" s="1">
        <f t="shared" si="14"/>
        <v>21410.865402392137</v>
      </c>
      <c r="Q12" s="1"/>
      <c r="R12" s="1">
        <f t="shared" si="15"/>
        <v>290961.64958121086</v>
      </c>
    </row>
    <row r="13" spans="1:18" x14ac:dyDescent="0.3">
      <c r="A13" s="1">
        <f t="shared" si="16"/>
        <v>1055740.3636363635</v>
      </c>
      <c r="B13" s="2">
        <f t="shared" si="17"/>
        <v>-175956.72727272726</v>
      </c>
      <c r="C13" s="1">
        <f t="shared" si="18"/>
        <v>879783.63636363624</v>
      </c>
      <c r="D13" s="17">
        <f t="shared" si="7"/>
        <v>3.09E-2</v>
      </c>
      <c r="E13" s="1">
        <f t="shared" si="19"/>
        <v>6796.3285909090901</v>
      </c>
      <c r="F13" s="1">
        <f t="shared" si="12"/>
        <v>13122</v>
      </c>
      <c r="G13" s="2">
        <f t="shared" si="2"/>
        <v>-6325.6714090909099</v>
      </c>
      <c r="H13" s="1">
        <f t="shared" si="8"/>
        <v>-33867.284863636356</v>
      </c>
      <c r="I13" s="1">
        <f t="shared" si="9"/>
        <v>-138.04353614793047</v>
      </c>
      <c r="J13" s="1">
        <f t="shared" si="10"/>
        <v>-35012.200036677736</v>
      </c>
      <c r="K13" s="17">
        <f t="shared" si="20"/>
        <v>4.7500000000000001E-2</v>
      </c>
      <c r="L13" t="s">
        <v>48</v>
      </c>
      <c r="M13" s="1">
        <f t="shared" si="11"/>
        <v>5409060.7332359087</v>
      </c>
      <c r="N13">
        <v>270938.31429023575</v>
      </c>
      <c r="O13" s="1">
        <f t="shared" si="13"/>
        <v>5679999.0475261444</v>
      </c>
      <c r="P13" s="1">
        <f t="shared" si="14"/>
        <v>22483.329563124324</v>
      </c>
      <c r="Q13" s="1"/>
      <c r="R13" s="1">
        <f t="shared" si="15"/>
        <v>313306.93560818728</v>
      </c>
    </row>
    <row r="14" spans="1:18" x14ac:dyDescent="0.3">
      <c r="A14" s="1">
        <f t="shared" si="16"/>
        <v>879783.63636363624</v>
      </c>
      <c r="B14" s="2">
        <f t="shared" si="17"/>
        <v>-175956.72727272726</v>
      </c>
      <c r="C14" s="1">
        <f t="shared" si="18"/>
        <v>703826.90909090894</v>
      </c>
      <c r="D14" s="17">
        <f t="shared" si="7"/>
        <v>3.09E-2</v>
      </c>
      <c r="E14" s="1">
        <f t="shared" si="19"/>
        <v>5437.0628727272715</v>
      </c>
      <c r="F14" s="1">
        <f t="shared" si="12"/>
        <v>13122</v>
      </c>
      <c r="G14" s="2">
        <f t="shared" si="2"/>
        <v>-7684.9371272727285</v>
      </c>
      <c r="H14" s="1">
        <f t="shared" si="8"/>
        <v>-41552.221990909085</v>
      </c>
      <c r="I14" s="1">
        <f t="shared" si="9"/>
        <v>-169.00950127397059</v>
      </c>
      <c r="J14" s="1">
        <f t="shared" si="10"/>
        <v>-42866.146665224434</v>
      </c>
      <c r="K14" s="17">
        <f t="shared" si="20"/>
        <v>4.7500000000000001E-2</v>
      </c>
      <c r="L14" t="s">
        <v>49</v>
      </c>
      <c r="M14" s="1">
        <f t="shared" si="11"/>
        <v>5679999.0475261444</v>
      </c>
      <c r="N14">
        <v>276574.00884683244</v>
      </c>
      <c r="O14" s="1">
        <f t="shared" si="13"/>
        <v>5956573.0563729769</v>
      </c>
      <c r="P14" s="1">
        <f t="shared" si="14"/>
        <v>23578.101681476368</v>
      </c>
      <c r="Q14" s="1"/>
      <c r="R14" s="1">
        <f t="shared" si="15"/>
        <v>336716.02778838965</v>
      </c>
    </row>
    <row r="15" spans="1:18" x14ac:dyDescent="0.3">
      <c r="A15" s="1">
        <f t="shared" si="16"/>
        <v>703826.90909090894</v>
      </c>
      <c r="B15" s="2">
        <f t="shared" si="17"/>
        <v>-175956.72727272726</v>
      </c>
      <c r="C15" s="1">
        <f t="shared" si="18"/>
        <v>527870.18181818165</v>
      </c>
      <c r="D15" s="17">
        <f t="shared" si="7"/>
        <v>3.09E-2</v>
      </c>
      <c r="E15" s="1">
        <f t="shared" si="19"/>
        <v>4077.7971545454534</v>
      </c>
      <c r="F15" s="1">
        <f t="shared" si="12"/>
        <v>13122</v>
      </c>
      <c r="G15" s="2">
        <f t="shared" si="2"/>
        <v>-9044.2028454545471</v>
      </c>
      <c r="H15" s="1">
        <f t="shared" si="8"/>
        <v>-50596.424836363629</v>
      </c>
      <c r="I15" s="1">
        <f t="shared" si="9"/>
        <v>-205.47846681310429</v>
      </c>
      <c r="J15" s="1">
        <f t="shared" si="10"/>
        <v>-52115.827977492081</v>
      </c>
      <c r="K15" s="17">
        <f t="shared" si="20"/>
        <v>4.7500000000000001E-2</v>
      </c>
      <c r="L15" t="s">
        <v>50</v>
      </c>
      <c r="M15" s="1">
        <f t="shared" si="11"/>
        <v>5956573.0563729769</v>
      </c>
      <c r="N15">
        <v>282542.64841946308</v>
      </c>
      <c r="O15" s="1">
        <f t="shared" si="13"/>
        <v>6239115.7047924399</v>
      </c>
      <c r="P15" s="1">
        <f t="shared" si="14"/>
        <v>24696.49966480341</v>
      </c>
      <c r="Q15" s="1"/>
      <c r="R15" s="1">
        <f t="shared" si="15"/>
        <v>361207.04898637993</v>
      </c>
    </row>
    <row r="16" spans="1:18" x14ac:dyDescent="0.3">
      <c r="A16" s="1">
        <f t="shared" si="16"/>
        <v>527870.18181818165</v>
      </c>
      <c r="B16" s="2">
        <f t="shared" si="17"/>
        <v>-175956.72727272726</v>
      </c>
      <c r="C16" s="1">
        <f t="shared" si="18"/>
        <v>351913.45454545435</v>
      </c>
      <c r="D16" s="17">
        <f t="shared" si="7"/>
        <v>3.09E-2</v>
      </c>
      <c r="E16" s="1">
        <f t="shared" si="19"/>
        <v>2718.5314363636348</v>
      </c>
      <c r="F16" s="1">
        <f t="shared" si="12"/>
        <v>13122</v>
      </c>
      <c r="G16" s="2">
        <f t="shared" si="2"/>
        <v>-10403.468563636365</v>
      </c>
      <c r="H16" s="1">
        <f t="shared" si="8"/>
        <v>-60999.893399999994</v>
      </c>
      <c r="I16" s="1">
        <f t="shared" si="9"/>
        <v>-247.47221547530012</v>
      </c>
      <c r="J16" s="1">
        <f t="shared" si="10"/>
        <v>-62766.768756603749</v>
      </c>
      <c r="K16" s="17">
        <f t="shared" si="20"/>
        <v>4.7500000000000001E-2</v>
      </c>
      <c r="L16" s="18">
        <v>202101</v>
      </c>
      <c r="M16" s="1">
        <f t="shared" si="11"/>
        <v>6239115.7047924399</v>
      </c>
      <c r="N16">
        <v>286411.48842735123</v>
      </c>
      <c r="O16" s="1">
        <f t="shared" si="13"/>
        <v>6525527.1932197912</v>
      </c>
      <c r="P16" s="1">
        <f t="shared" si="14"/>
        <v>25830.211806495008</v>
      </c>
      <c r="Q16" s="1"/>
      <c r="R16" s="1">
        <f t="shared" si="15"/>
        <v>386789.78857739968</v>
      </c>
    </row>
    <row r="17" spans="1:18" x14ac:dyDescent="0.3">
      <c r="A17" s="1">
        <f t="shared" si="16"/>
        <v>351913.45454545435</v>
      </c>
      <c r="B17" s="2">
        <f t="shared" si="17"/>
        <v>-175956.72727272726</v>
      </c>
      <c r="C17" s="1">
        <f t="shared" si="18"/>
        <v>175956.72727272709</v>
      </c>
      <c r="D17" s="17">
        <f t="shared" si="7"/>
        <v>3.09E-2</v>
      </c>
      <c r="E17" s="1">
        <f t="shared" si="19"/>
        <v>1359.2657181818167</v>
      </c>
      <c r="F17" s="1">
        <f t="shared" si="12"/>
        <v>13122</v>
      </c>
      <c r="G17" s="2">
        <f t="shared" si="2"/>
        <v>-11762.734281818182</v>
      </c>
      <c r="H17" s="1">
        <f t="shared" si="8"/>
        <v>-72762.62768181818</v>
      </c>
      <c r="I17" s="1">
        <f t="shared" si="9"/>
        <v>-295.01261619375344</v>
      </c>
      <c r="J17" s="1">
        <f t="shared" si="10"/>
        <v>-74824.51565461568</v>
      </c>
      <c r="K17" s="17">
        <f t="shared" si="20"/>
        <v>4.7500000000000001E-2</v>
      </c>
      <c r="L17" s="18">
        <v>202102</v>
      </c>
      <c r="M17" s="1">
        <f t="shared" si="11"/>
        <v>6525527.1932197912</v>
      </c>
      <c r="N17">
        <v>287197.24398291018</v>
      </c>
      <c r="O17" s="1">
        <f t="shared" si="13"/>
        <v>6812724.4372027013</v>
      </c>
      <c r="P17" s="1">
        <f t="shared" si="14"/>
        <v>26967.034230594028</v>
      </c>
      <c r="Q17" s="1"/>
      <c r="R17" s="1">
        <f t="shared" si="15"/>
        <v>413461.8101918</v>
      </c>
    </row>
    <row r="18" spans="1:18" x14ac:dyDescent="0.3">
      <c r="A18" s="1">
        <f t="shared" si="16"/>
        <v>175956.72727272709</v>
      </c>
      <c r="B18" s="2">
        <f t="shared" si="17"/>
        <v>-175956.72727272726</v>
      </c>
      <c r="C18" s="1">
        <f t="shared" si="18"/>
        <v>0</v>
      </c>
      <c r="D18" s="17">
        <f t="shared" si="7"/>
        <v>3.09E-2</v>
      </c>
      <c r="E18" s="1">
        <f t="shared" ref="E18" si="21">C18*D18*0.1</f>
        <v>0</v>
      </c>
      <c r="F18" s="1">
        <f t="shared" si="12"/>
        <v>13122</v>
      </c>
      <c r="G18" s="2">
        <f t="shared" si="2"/>
        <v>-13122</v>
      </c>
      <c r="H18" s="1">
        <f t="shared" si="8"/>
        <v>-85884.62768181818</v>
      </c>
      <c r="I18" s="1">
        <f t="shared" si="9"/>
        <v>-348.12162446618709</v>
      </c>
      <c r="J18" s="1">
        <f t="shared" si="10"/>
        <v>-88294.637279081871</v>
      </c>
      <c r="K18" s="17">
        <f t="shared" si="20"/>
        <v>4.7500000000000001E-2</v>
      </c>
      <c r="L18" s="18">
        <v>202103</v>
      </c>
      <c r="M18" s="1">
        <f t="shared" si="11"/>
        <v>6812724.4372027013</v>
      </c>
      <c r="N18">
        <v>287688.16898290906</v>
      </c>
      <c r="O18" s="1">
        <f t="shared" si="13"/>
        <v>7100412.6061856104</v>
      </c>
      <c r="P18" s="1">
        <f t="shared" si="14"/>
        <v>28105.799899484711</v>
      </c>
      <c r="Q18" s="1"/>
      <c r="R18" s="1">
        <f t="shared" si="15"/>
        <v>441219.48846681853</v>
      </c>
    </row>
    <row r="19" spans="1:18" x14ac:dyDescent="0.3">
      <c r="F19" s="1">
        <f t="shared" si="12"/>
        <v>13122</v>
      </c>
      <c r="G19" s="2">
        <f t="shared" si="2"/>
        <v>-13122</v>
      </c>
      <c r="H19" s="1">
        <f t="shared" si="8"/>
        <v>-99006.62768181818</v>
      </c>
      <c r="I19" s="1">
        <f t="shared" si="9"/>
        <v>-401.44085589636575</v>
      </c>
      <c r="J19" s="1">
        <f t="shared" si="10"/>
        <v>-101818.07813497823</v>
      </c>
      <c r="K19" s="17">
        <f t="shared" si="20"/>
        <v>4.7500000000000001E-2</v>
      </c>
      <c r="L19" s="18">
        <v>202104</v>
      </c>
      <c r="M19" s="1">
        <f t="shared" si="11"/>
        <v>7100412.6061856104</v>
      </c>
      <c r="N19">
        <v>287732.21064957324</v>
      </c>
      <c r="O19" s="1">
        <f t="shared" si="13"/>
        <v>7388144.8168351837</v>
      </c>
      <c r="P19" s="1">
        <f t="shared" si="14"/>
        <v>29244.739899972603</v>
      </c>
      <c r="Q19" s="1"/>
      <c r="R19" s="1">
        <f t="shared" si="15"/>
        <v>470062.78751089476</v>
      </c>
    </row>
    <row r="20" spans="1:18" x14ac:dyDescent="0.3">
      <c r="F20" s="1">
        <f t="shared" si="12"/>
        <v>13122</v>
      </c>
      <c r="G20" s="2">
        <f t="shared" si="2"/>
        <v>-13122</v>
      </c>
      <c r="H20" s="1">
        <f t="shared" si="8"/>
        <v>-112128.62768181818</v>
      </c>
      <c r="I20" s="1">
        <f t="shared" si="9"/>
        <v>-454.97114261762221</v>
      </c>
      <c r="J20" s="1">
        <f t="shared" si="10"/>
        <v>-115395.04927759586</v>
      </c>
      <c r="K20" s="17">
        <f t="shared" si="20"/>
        <v>4.7500000000000001E-2</v>
      </c>
      <c r="L20" s="18">
        <v>202105</v>
      </c>
      <c r="M20" s="1">
        <f t="shared" si="11"/>
        <v>7388144.8168351837</v>
      </c>
      <c r="N20">
        <v>287732.21064957418</v>
      </c>
      <c r="O20" s="1">
        <f t="shared" si="13"/>
        <v>7675877.0274847578</v>
      </c>
      <c r="P20" s="1">
        <f t="shared" si="14"/>
        <v>30383.679900460498</v>
      </c>
      <c r="Q20" s="1"/>
      <c r="R20" s="1">
        <f t="shared" si="15"/>
        <v>499991.4962687376</v>
      </c>
    </row>
    <row r="21" spans="1:18" x14ac:dyDescent="0.3">
      <c r="F21" s="1">
        <f t="shared" si="12"/>
        <v>13122</v>
      </c>
      <c r="G21" s="2">
        <f t="shared" si="2"/>
        <v>-13122</v>
      </c>
      <c r="H21" s="1">
        <f t="shared" si="8"/>
        <v>-125250.62768181818</v>
      </c>
      <c r="I21" s="1">
        <f t="shared" si="9"/>
        <v>-508.71332005715027</v>
      </c>
      <c r="J21" s="1">
        <f t="shared" si="10"/>
        <v>-129025.76259765301</v>
      </c>
      <c r="K21" s="17">
        <f t="shared" si="20"/>
        <v>4.7500000000000001E-2</v>
      </c>
      <c r="L21" s="18">
        <v>202106</v>
      </c>
      <c r="M21" s="1">
        <f t="shared" si="11"/>
        <v>7675877.0274847578</v>
      </c>
      <c r="N21">
        <v>287732.21064957604</v>
      </c>
      <c r="O21" s="1">
        <f t="shared" si="13"/>
        <v>7963609.2381343339</v>
      </c>
      <c r="P21" s="1">
        <f t="shared" si="14"/>
        <v>31522.619900948408</v>
      </c>
      <c r="Q21" s="1"/>
      <c r="R21" s="1">
        <f t="shared" si="15"/>
        <v>531005.40284962882</v>
      </c>
    </row>
    <row r="22" spans="1:18" x14ac:dyDescent="0.3">
      <c r="F22" s="1">
        <f t="shared" si="12"/>
        <v>13122</v>
      </c>
      <c r="G22" s="2">
        <f t="shared" si="2"/>
        <v>-13122</v>
      </c>
      <c r="H22" s="1">
        <f t="shared" si="8"/>
        <v>-138372.62768181818</v>
      </c>
      <c r="I22" s="1">
        <f t="shared" si="9"/>
        <v>-562.66822694904329</v>
      </c>
      <c r="J22" s="1">
        <f t="shared" si="10"/>
        <v>-142710.43082460208</v>
      </c>
      <c r="K22" s="17">
        <f t="shared" si="20"/>
        <v>4.7500000000000001E-2</v>
      </c>
      <c r="L22" s="18">
        <v>202107</v>
      </c>
      <c r="M22" s="1">
        <f t="shared" si="11"/>
        <v>7963609.2381343339</v>
      </c>
      <c r="N22">
        <v>287732.21064957511</v>
      </c>
      <c r="O22" s="1">
        <f t="shared" si="13"/>
        <v>8251341.448783909</v>
      </c>
      <c r="P22" s="1">
        <f t="shared" si="14"/>
        <v>32661.559901436307</v>
      </c>
      <c r="Q22" s="1"/>
      <c r="R22" s="1">
        <f t="shared" si="15"/>
        <v>563104.29452411609</v>
      </c>
    </row>
    <row r="23" spans="1:18" x14ac:dyDescent="0.3">
      <c r="F23" s="1">
        <f t="shared" si="12"/>
        <v>13122</v>
      </c>
      <c r="G23" s="2">
        <f t="shared" si="2"/>
        <v>-13122</v>
      </c>
      <c r="H23" s="1">
        <f t="shared" si="8"/>
        <v>-151494.62768181818</v>
      </c>
      <c r="I23" s="1">
        <f t="shared" si="9"/>
        <v>-616.83670534738326</v>
      </c>
      <c r="J23" s="1">
        <f t="shared" si="10"/>
        <v>-156449.26752994946</v>
      </c>
      <c r="K23" s="17">
        <f t="shared" si="20"/>
        <v>4.7500000000000001E-2</v>
      </c>
      <c r="L23" s="18">
        <v>202108</v>
      </c>
      <c r="M23" s="1">
        <f t="shared" si="11"/>
        <v>8251341.448783909</v>
      </c>
      <c r="N23">
        <v>287732.21064957604</v>
      </c>
      <c r="O23" s="1">
        <f t="shared" si="13"/>
        <v>8539073.6594334841</v>
      </c>
      <c r="P23" s="1">
        <f t="shared" si="14"/>
        <v>33800.49990192421</v>
      </c>
      <c r="Q23" s="1"/>
      <c r="R23" s="1">
        <f t="shared" si="15"/>
        <v>596287.95772069285</v>
      </c>
    </row>
    <row r="24" spans="1:18" x14ac:dyDescent="0.3">
      <c r="F24" s="1"/>
      <c r="G24" s="2">
        <f t="shared" si="2"/>
        <v>0</v>
      </c>
      <c r="H24" s="1">
        <f t="shared" si="8"/>
        <v>-151494.62768181818</v>
      </c>
      <c r="I24" s="1">
        <f t="shared" si="9"/>
        <v>-619.27835063938335</v>
      </c>
      <c r="J24" s="1">
        <f t="shared" si="10"/>
        <v>-157068.54588058885</v>
      </c>
      <c r="K24" s="17">
        <f t="shared" si="20"/>
        <v>4.7500000000000001E-2</v>
      </c>
      <c r="L24" s="18">
        <v>202109</v>
      </c>
      <c r="M24" s="1">
        <f t="shared" si="11"/>
        <v>8539073.6594334841</v>
      </c>
      <c r="N24">
        <v>287732.21064957045</v>
      </c>
      <c r="O24" s="1">
        <f t="shared" si="13"/>
        <v>8826805.8700830545</v>
      </c>
      <c r="P24" s="1">
        <f t="shared" si="14"/>
        <v>34939.439902412087</v>
      </c>
      <c r="Q24" s="1"/>
      <c r="R24" s="1">
        <f>R23+P24+I24</f>
        <v>630608.11927246558</v>
      </c>
    </row>
    <row r="25" spans="1:18" x14ac:dyDescent="0.3">
      <c r="F25" s="1"/>
      <c r="G25" s="2">
        <f t="shared" ref="G25:G35" si="22">E25-F25</f>
        <v>0</v>
      </c>
      <c r="H25" s="1">
        <f t="shared" ref="H25:H35" si="23">G25+H24</f>
        <v>-151494.62768181818</v>
      </c>
      <c r="I25" s="1">
        <f t="shared" ref="I25:I35" si="24">(J24+G25)*K25/12</f>
        <v>-621.72966077733088</v>
      </c>
      <c r="J25" s="1">
        <f t="shared" ref="J25:J35" si="25">J24+G25+I25</f>
        <v>-157690.27554136617</v>
      </c>
      <c r="K25" s="17">
        <f t="shared" si="20"/>
        <v>4.7500000000000001E-2</v>
      </c>
      <c r="L25" s="18">
        <v>202110</v>
      </c>
      <c r="M25" s="1">
        <f t="shared" si="11"/>
        <v>8826805.8700830545</v>
      </c>
      <c r="N25">
        <v>287732.21064957604</v>
      </c>
      <c r="O25" s="1">
        <f t="shared" si="13"/>
        <v>9114538.0807326306</v>
      </c>
      <c r="P25" s="1">
        <f t="shared" si="14"/>
        <v>36078.3799029</v>
      </c>
      <c r="Q25" s="1"/>
      <c r="R25" s="1">
        <f t="shared" si="15"/>
        <v>666064.76951458817</v>
      </c>
    </row>
    <row r="26" spans="1:18" x14ac:dyDescent="0.3">
      <c r="F26" s="1"/>
      <c r="G26" s="2">
        <f t="shared" si="22"/>
        <v>0</v>
      </c>
      <c r="H26" s="1">
        <f t="shared" si="23"/>
        <v>-151494.62768181818</v>
      </c>
      <c r="I26" s="1">
        <f t="shared" si="24"/>
        <v>-624.19067401790778</v>
      </c>
      <c r="J26" s="1">
        <f t="shared" si="25"/>
        <v>-158314.46621538408</v>
      </c>
      <c r="K26" s="17">
        <f t="shared" si="20"/>
        <v>4.7500000000000001E-2</v>
      </c>
      <c r="L26" s="18">
        <v>202111</v>
      </c>
      <c r="M26" s="1">
        <f t="shared" si="11"/>
        <v>9114538.0807326306</v>
      </c>
      <c r="N26">
        <v>287732.21064957604</v>
      </c>
      <c r="O26" s="1">
        <f t="shared" si="13"/>
        <v>9402270.2913822066</v>
      </c>
      <c r="P26" s="1">
        <f t="shared" si="14"/>
        <v>37217.319903387899</v>
      </c>
      <c r="Q26" s="1"/>
      <c r="R26" s="1">
        <f t="shared" si="15"/>
        <v>702657.89874395821</v>
      </c>
    </row>
    <row r="27" spans="1:18" x14ac:dyDescent="0.3">
      <c r="F27" s="1"/>
      <c r="G27" s="2">
        <f t="shared" si="22"/>
        <v>0</v>
      </c>
      <c r="H27" s="1">
        <f t="shared" si="23"/>
        <v>-151494.62768181818</v>
      </c>
      <c r="I27" s="1">
        <f t="shared" si="24"/>
        <v>-626.66142876922868</v>
      </c>
      <c r="J27" s="1">
        <f t="shared" si="25"/>
        <v>-158941.12764415331</v>
      </c>
      <c r="K27" s="17">
        <f t="shared" si="20"/>
        <v>4.7500000000000001E-2</v>
      </c>
      <c r="L27" s="18">
        <v>202112</v>
      </c>
      <c r="M27" s="1">
        <f t="shared" si="11"/>
        <v>9402270.2913822066</v>
      </c>
      <c r="N27">
        <v>287732.21064957604</v>
      </c>
      <c r="O27" s="1">
        <f t="shared" si="13"/>
        <v>9690002.5020317826</v>
      </c>
      <c r="P27" s="1">
        <f t="shared" si="14"/>
        <v>38356.259903875805</v>
      </c>
      <c r="Q27" s="1"/>
      <c r="R27" s="1">
        <f t="shared" si="15"/>
        <v>740387.49721906474</v>
      </c>
    </row>
    <row r="28" spans="1:18" x14ac:dyDescent="0.3">
      <c r="F28" s="1"/>
      <c r="G28" s="2">
        <f t="shared" si="22"/>
        <v>0</v>
      </c>
      <c r="H28" s="1">
        <f t="shared" si="23"/>
        <v>-151494.62768181818</v>
      </c>
      <c r="I28" s="1">
        <f t="shared" si="24"/>
        <v>-629.14196359144023</v>
      </c>
      <c r="J28" s="1">
        <f t="shared" si="25"/>
        <v>-159570.26960774476</v>
      </c>
      <c r="K28" s="17">
        <f t="shared" si="20"/>
        <v>4.7500000000000001E-2</v>
      </c>
      <c r="L28" s="18">
        <v>202201</v>
      </c>
      <c r="M28" s="1">
        <f t="shared" si="11"/>
        <v>9690002.5020317826</v>
      </c>
      <c r="N28">
        <v>287732.21064957418</v>
      </c>
      <c r="O28" s="1">
        <f t="shared" si="13"/>
        <v>9977734.7126813568</v>
      </c>
      <c r="P28" s="1">
        <f t="shared" si="14"/>
        <v>39495.199904363704</v>
      </c>
      <c r="Q28" s="1"/>
      <c r="R28" s="1">
        <f t="shared" si="15"/>
        <v>779253.55515983701</v>
      </c>
    </row>
    <row r="29" spans="1:18" x14ac:dyDescent="0.3">
      <c r="F29" s="1"/>
      <c r="G29" s="2">
        <f t="shared" si="22"/>
        <v>0</v>
      </c>
      <c r="H29" s="1">
        <f t="shared" si="23"/>
        <v>-151494.62768181818</v>
      </c>
      <c r="I29" s="1">
        <f t="shared" si="24"/>
        <v>-631.632317197323</v>
      </c>
      <c r="J29" s="1">
        <f t="shared" si="25"/>
        <v>-160201.9019249421</v>
      </c>
      <c r="K29" s="17">
        <f t="shared" si="20"/>
        <v>4.7500000000000001E-2</v>
      </c>
      <c r="L29" s="18">
        <v>202202</v>
      </c>
      <c r="M29" s="1">
        <f t="shared" si="11"/>
        <v>9977734.7126813568</v>
      </c>
      <c r="N29">
        <v>287732.21064957231</v>
      </c>
      <c r="O29" s="1">
        <f t="shared" si="13"/>
        <v>10265466.923330929</v>
      </c>
      <c r="P29" s="1">
        <f t="shared" si="14"/>
        <v>40634.139904851596</v>
      </c>
      <c r="Q29" s="1"/>
      <c r="R29" s="1">
        <f t="shared" si="15"/>
        <v>819256.06274749129</v>
      </c>
    </row>
    <row r="30" spans="1:18" x14ac:dyDescent="0.3">
      <c r="F30" s="1"/>
      <c r="G30" s="2">
        <f t="shared" si="22"/>
        <v>0</v>
      </c>
      <c r="H30" s="1">
        <f t="shared" si="23"/>
        <v>-151494.62768181818</v>
      </c>
      <c r="I30" s="1">
        <f t="shared" si="24"/>
        <v>-634.13252845289583</v>
      </c>
      <c r="J30" s="1">
        <f t="shared" si="25"/>
        <v>-160836.034453395</v>
      </c>
      <c r="K30" s="17">
        <f t="shared" si="20"/>
        <v>4.7500000000000001E-2</v>
      </c>
      <c r="L30" s="18">
        <v>202203</v>
      </c>
      <c r="M30" s="1">
        <f t="shared" si="11"/>
        <v>10265466.923330929</v>
      </c>
      <c r="N30">
        <v>287732.21064957604</v>
      </c>
      <c r="O30" s="1">
        <f t="shared" si="13"/>
        <v>10553199.133980505</v>
      </c>
      <c r="P30" s="1">
        <f t="shared" si="14"/>
        <v>41773.079905339502</v>
      </c>
      <c r="Q30" s="1"/>
      <c r="R30" s="1">
        <f t="shared" si="15"/>
        <v>860395.01012437791</v>
      </c>
    </row>
    <row r="31" spans="1:18" x14ac:dyDescent="0.3">
      <c r="F31" s="1"/>
      <c r="G31" s="2">
        <f t="shared" si="22"/>
        <v>0</v>
      </c>
      <c r="H31" s="1">
        <f t="shared" si="23"/>
        <v>-151494.62768181818</v>
      </c>
      <c r="I31" s="1">
        <f t="shared" si="24"/>
        <v>-636.64263637802185</v>
      </c>
      <c r="J31" s="1">
        <f t="shared" si="25"/>
        <v>-161472.67708977303</v>
      </c>
      <c r="K31" s="17">
        <f t="shared" si="20"/>
        <v>4.7500000000000001E-2</v>
      </c>
      <c r="L31" s="18">
        <v>202204</v>
      </c>
      <c r="M31" s="1">
        <f t="shared" si="11"/>
        <v>10553199.133980505</v>
      </c>
      <c r="N31">
        <v>287732.21064957604</v>
      </c>
      <c r="O31" s="1">
        <f t="shared" si="13"/>
        <v>10840931.344630081</v>
      </c>
      <c r="P31" s="1">
        <f t="shared" si="14"/>
        <v>42912.019905827408</v>
      </c>
      <c r="Q31" s="1"/>
      <c r="R31" s="1">
        <f t="shared" si="15"/>
        <v>902670.3873938272</v>
      </c>
    </row>
    <row r="32" spans="1:18" x14ac:dyDescent="0.3">
      <c r="F32" s="1"/>
      <c r="G32" s="2">
        <f t="shared" si="22"/>
        <v>0</v>
      </c>
      <c r="H32" s="1">
        <f t="shared" si="23"/>
        <v>-151494.62768181818</v>
      </c>
      <c r="I32" s="1">
        <f t="shared" si="24"/>
        <v>-639.16268014701825</v>
      </c>
      <c r="J32" s="1">
        <f t="shared" si="25"/>
        <v>-162111.83976992004</v>
      </c>
      <c r="K32" s="17">
        <f t="shared" si="20"/>
        <v>4.7500000000000001E-2</v>
      </c>
      <c r="L32" s="18">
        <v>202205</v>
      </c>
      <c r="M32" s="1">
        <f t="shared" si="11"/>
        <v>10840931.344630081</v>
      </c>
      <c r="N32">
        <v>287732.21064957418</v>
      </c>
      <c r="O32" s="1">
        <f t="shared" si="13"/>
        <v>11128663.555279655</v>
      </c>
      <c r="P32" s="1">
        <f t="shared" si="14"/>
        <v>44050.959906315307</v>
      </c>
      <c r="Q32" s="1"/>
      <c r="R32" s="1">
        <f t="shared" si="15"/>
        <v>946082.18461999553</v>
      </c>
    </row>
    <row r="33" spans="6:18" x14ac:dyDescent="0.3">
      <c r="F33" s="1"/>
      <c r="G33" s="2">
        <f t="shared" si="22"/>
        <v>0</v>
      </c>
      <c r="H33" s="1">
        <f t="shared" si="23"/>
        <v>-151494.62768181818</v>
      </c>
      <c r="I33" s="1">
        <f t="shared" si="24"/>
        <v>-641.69269908926685</v>
      </c>
      <c r="J33" s="1">
        <f t="shared" si="25"/>
        <v>-162753.53246900931</v>
      </c>
      <c r="K33" s="17">
        <f t="shared" si="20"/>
        <v>4.7500000000000001E-2</v>
      </c>
      <c r="L33" s="18">
        <v>202206</v>
      </c>
      <c r="M33" s="1">
        <f t="shared" si="11"/>
        <v>11128663.555279655</v>
      </c>
      <c r="N33">
        <v>287732.21064957418</v>
      </c>
      <c r="O33" s="1">
        <f t="shared" si="13"/>
        <v>11416395.76592923</v>
      </c>
      <c r="P33" s="1">
        <f t="shared" si="14"/>
        <v>45189.899906803206</v>
      </c>
      <c r="Q33" s="1"/>
      <c r="R33" s="1">
        <f t="shared" si="15"/>
        <v>990630.39182770939</v>
      </c>
    </row>
    <row r="34" spans="6:18" x14ac:dyDescent="0.3">
      <c r="F34" s="1"/>
      <c r="G34" s="2">
        <f t="shared" si="22"/>
        <v>0</v>
      </c>
      <c r="H34" s="1">
        <f t="shared" si="23"/>
        <v>-151494.62768181818</v>
      </c>
      <c r="I34" s="1">
        <f t="shared" si="24"/>
        <v>-644.23273268982859</v>
      </c>
      <c r="J34" s="1">
        <f t="shared" si="25"/>
        <v>-163397.76520169913</v>
      </c>
      <c r="K34" s="17">
        <f t="shared" si="20"/>
        <v>4.7500000000000001E-2</v>
      </c>
      <c r="L34" s="18">
        <v>202207</v>
      </c>
      <c r="M34" s="1">
        <f t="shared" si="11"/>
        <v>11416395.76592923</v>
      </c>
      <c r="N34">
        <v>287732.21064957418</v>
      </c>
      <c r="O34" s="1">
        <f t="shared" si="13"/>
        <v>11704127.976578804</v>
      </c>
      <c r="P34" s="1">
        <f t="shared" si="14"/>
        <v>46328.839907291105</v>
      </c>
      <c r="Q34" s="1"/>
      <c r="R34" s="1">
        <f t="shared" si="15"/>
        <v>1036314.9990023107</v>
      </c>
    </row>
    <row r="35" spans="6:18" x14ac:dyDescent="0.3">
      <c r="F35" s="1"/>
      <c r="G35" s="2">
        <f t="shared" si="22"/>
        <v>0</v>
      </c>
      <c r="H35" s="1">
        <f t="shared" si="23"/>
        <v>-151494.62768181818</v>
      </c>
      <c r="I35" s="1">
        <f t="shared" si="24"/>
        <v>-646.78282059005903</v>
      </c>
      <c r="J35" s="1">
        <f t="shared" si="25"/>
        <v>-164044.54802228921</v>
      </c>
      <c r="K35" s="17">
        <f t="shared" si="20"/>
        <v>4.7500000000000001E-2</v>
      </c>
      <c r="L35" s="18">
        <v>202208</v>
      </c>
      <c r="M35" s="1">
        <f t="shared" si="11"/>
        <v>11704127.976578804</v>
      </c>
      <c r="N35">
        <v>287732.21064957604</v>
      </c>
      <c r="O35" s="1">
        <f t="shared" si="13"/>
        <v>11991860.18722838</v>
      </c>
      <c r="P35" s="1">
        <f t="shared" si="14"/>
        <v>47467.779907779004</v>
      </c>
      <c r="Q35" s="1"/>
      <c r="R35" s="1">
        <f t="shared" si="15"/>
        <v>1083135.9960894997</v>
      </c>
    </row>
    <row r="36" spans="6:18" x14ac:dyDescent="0.3">
      <c r="F36" s="1"/>
      <c r="G36" s="2">
        <f t="shared" ref="G36" si="26">E36-F36</f>
        <v>0</v>
      </c>
      <c r="H36" s="1">
        <f t="shared" ref="H36" si="27">G36+H35</f>
        <v>-151494.62768181818</v>
      </c>
      <c r="I36" s="1">
        <f t="shared" ref="I36" si="28">(J35+G36)*K36/12</f>
        <v>-649.34300258822816</v>
      </c>
      <c r="J36" s="1">
        <f t="shared" ref="J36" si="29">J35+G36+I36</f>
        <v>-164693.89102487743</v>
      </c>
      <c r="K36" s="17">
        <f t="shared" si="20"/>
        <v>4.7500000000000001E-2</v>
      </c>
      <c r="L36" s="18">
        <v>202209</v>
      </c>
      <c r="M36" s="1">
        <f t="shared" ref="M36" si="30">O35</f>
        <v>11991860.18722838</v>
      </c>
      <c r="N36">
        <v>287733.21064957598</v>
      </c>
      <c r="O36" s="1">
        <f t="shared" ref="O36" si="31">SUM(M36:N36)</f>
        <v>12279593.397877956</v>
      </c>
      <c r="P36" s="1">
        <f t="shared" ref="P36" si="32">O36*K36/12</f>
        <v>48606.723866600245</v>
      </c>
      <c r="Q36" s="1"/>
      <c r="R36" s="1">
        <f t="shared" ref="R36" si="33">R35+P36+I36</f>
        <v>1131093.3769535117</v>
      </c>
    </row>
    <row r="37" spans="6:18" x14ac:dyDescent="0.3">
      <c r="F37" s="1"/>
      <c r="G37" s="2"/>
      <c r="H37" s="1"/>
      <c r="I37" s="1"/>
      <c r="J37" s="1"/>
      <c r="K37" s="17"/>
      <c r="L37" s="18"/>
      <c r="M37" s="1"/>
    </row>
    <row r="38" spans="6:18" x14ac:dyDescent="0.3">
      <c r="H38" s="1">
        <f>(((H24+H36)/2)+H25+H26+H27+H28+H29+H30+H31+H32+H33+H34+H35)/12</f>
        <v>-151494.62768181815</v>
      </c>
      <c r="M38" s="1">
        <f t="shared" si="11"/>
        <v>0</v>
      </c>
      <c r="O38" s="1">
        <f>(((O24+O36)/2)+O25+O26+O27+O28+O29+O30+O31+O32+O33+O34+O35)/12</f>
        <v>10553199.175647171</v>
      </c>
      <c r="R38" s="1">
        <f>(((R24+R36)/2)+R25+R26+R27+R28+R29+R30+R31+R32+R33+R34+R35)/12</f>
        <v>867308.29171297082</v>
      </c>
    </row>
  </sheetData>
  <pageMargins left="0.7" right="0.7" top="0.75" bottom="0.75" header="0.3" footer="0.3"/>
  <pageSetup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6:S32"/>
  <sheetViews>
    <sheetView workbookViewId="0"/>
  </sheetViews>
  <sheetFormatPr defaultRowHeight="14.4" x14ac:dyDescent="0.3"/>
  <cols>
    <col min="4" max="4" width="13.6640625" bestFit="1" customWidth="1"/>
    <col min="5" max="5" width="13.33203125" bestFit="1" customWidth="1"/>
    <col min="8" max="8" width="13.6640625" bestFit="1" customWidth="1"/>
    <col min="9" max="9" width="13.33203125" bestFit="1" customWidth="1"/>
    <col min="10" max="10" width="12.33203125" bestFit="1" customWidth="1"/>
    <col min="11" max="11" width="10.5546875" bestFit="1" customWidth="1"/>
    <col min="12" max="12" width="11.5546875" bestFit="1" customWidth="1"/>
    <col min="13" max="13" width="13.33203125" bestFit="1" customWidth="1"/>
    <col min="14" max="16" width="13.33203125" customWidth="1"/>
    <col min="18" max="18" width="11.33203125" bestFit="1" customWidth="1"/>
  </cols>
  <sheetData>
    <row r="6" spans="3:19" x14ac:dyDescent="0.3">
      <c r="H6" s="22">
        <v>101000</v>
      </c>
      <c r="I6" s="22">
        <v>108000</v>
      </c>
      <c r="J6" s="22">
        <v>108121</v>
      </c>
      <c r="K6" s="22"/>
      <c r="L6" s="22">
        <v>101000</v>
      </c>
      <c r="M6" s="22">
        <v>108000</v>
      </c>
      <c r="N6" s="22">
        <v>108121</v>
      </c>
      <c r="R6">
        <v>108121</v>
      </c>
      <c r="S6">
        <v>108121</v>
      </c>
    </row>
    <row r="7" spans="3:19" x14ac:dyDescent="0.3">
      <c r="D7" t="s">
        <v>17</v>
      </c>
      <c r="E7" t="s">
        <v>18</v>
      </c>
      <c r="H7" s="22" t="s">
        <v>76</v>
      </c>
      <c r="I7" s="22" t="s">
        <v>77</v>
      </c>
      <c r="J7" s="22" t="s">
        <v>80</v>
      </c>
      <c r="K7" s="22"/>
      <c r="L7" s="22" t="s">
        <v>78</v>
      </c>
      <c r="M7" s="22" t="s">
        <v>79</v>
      </c>
      <c r="N7" s="22" t="s">
        <v>84</v>
      </c>
      <c r="R7" t="s">
        <v>81</v>
      </c>
      <c r="S7" t="s">
        <v>82</v>
      </c>
    </row>
    <row r="8" spans="3:19" x14ac:dyDescent="0.3">
      <c r="C8" t="s">
        <v>3</v>
      </c>
      <c r="D8" s="1">
        <v>27052487</v>
      </c>
      <c r="E8" s="1">
        <v>5993953</v>
      </c>
      <c r="G8" t="s">
        <v>63</v>
      </c>
      <c r="H8" s="1">
        <v>27052486.870000001</v>
      </c>
      <c r="I8" s="1">
        <v>-5517335.5800000001</v>
      </c>
      <c r="J8" s="1"/>
      <c r="K8" s="1"/>
      <c r="L8" s="1">
        <v>5993953</v>
      </c>
      <c r="M8" s="1">
        <v>-1696871</v>
      </c>
      <c r="N8" s="1"/>
      <c r="O8" s="1"/>
      <c r="P8" s="1"/>
      <c r="Q8" s="1"/>
      <c r="R8" s="1"/>
    </row>
    <row r="9" spans="3:19" x14ac:dyDescent="0.3">
      <c r="C9" t="s">
        <v>4</v>
      </c>
      <c r="D9" s="1">
        <v>-5517336</v>
      </c>
      <c r="E9" s="1">
        <v>-1696871</v>
      </c>
      <c r="G9" t="s">
        <v>64</v>
      </c>
      <c r="H9" s="1">
        <v>27040062.440000001</v>
      </c>
      <c r="I9" s="1">
        <v>-5555741.7199999997</v>
      </c>
      <c r="J9" s="1"/>
      <c r="K9" s="1"/>
      <c r="L9" s="1">
        <v>5988030.7400000002</v>
      </c>
      <c r="M9" s="1">
        <v>-1707055.49</v>
      </c>
      <c r="N9" s="1"/>
      <c r="O9" s="1"/>
      <c r="P9" s="1"/>
      <c r="Q9" s="1"/>
      <c r="R9" s="1"/>
    </row>
    <row r="10" spans="3:19" ht="15" thickBot="1" x14ac:dyDescent="0.35">
      <c r="D10" s="4">
        <f>SUM(D8:D9)</f>
        <v>21535151</v>
      </c>
      <c r="E10" s="4">
        <f>SUM(E8:E9)</f>
        <v>4297082</v>
      </c>
      <c r="G10" t="s">
        <v>65</v>
      </c>
      <c r="H10" s="1">
        <v>27077273.629999999</v>
      </c>
      <c r="I10" s="1">
        <v>-5583013.8499999996</v>
      </c>
      <c r="J10" s="1"/>
      <c r="K10" s="1"/>
      <c r="L10" s="1">
        <v>5974508.8399999999</v>
      </c>
      <c r="M10" s="1">
        <v>-1709668.48</v>
      </c>
      <c r="N10" s="1"/>
      <c r="O10" s="1"/>
      <c r="P10" s="1"/>
      <c r="Q10" s="1"/>
      <c r="R10" s="1"/>
    </row>
    <row r="11" spans="3:19" x14ac:dyDescent="0.3">
      <c r="D11" s="1"/>
      <c r="E11" s="1"/>
      <c r="G11" t="s">
        <v>66</v>
      </c>
      <c r="H11" s="1">
        <v>27136751.66</v>
      </c>
      <c r="I11" s="1">
        <v>-5508275.0999999996</v>
      </c>
      <c r="J11" s="1"/>
      <c r="K11" s="1"/>
      <c r="L11" s="1">
        <v>6089459.8899999997</v>
      </c>
      <c r="M11" s="1">
        <v>-1715683.77</v>
      </c>
      <c r="N11" s="1"/>
      <c r="O11" s="1"/>
      <c r="P11" s="1"/>
      <c r="Q11" s="1"/>
      <c r="R11" s="1"/>
    </row>
    <row r="12" spans="3:19" x14ac:dyDescent="0.3">
      <c r="G12" t="s">
        <v>67</v>
      </c>
      <c r="H12" s="1">
        <v>26863945.68</v>
      </c>
      <c r="I12" s="1">
        <v>-5251309.6100000003</v>
      </c>
      <c r="J12" s="1">
        <v>-182464</v>
      </c>
      <c r="K12" s="1"/>
      <c r="L12" s="1">
        <v>6063308.5199999996</v>
      </c>
      <c r="M12" s="1">
        <v>-1705089.71</v>
      </c>
      <c r="N12" s="1"/>
      <c r="O12" s="1"/>
      <c r="P12" s="1"/>
      <c r="Q12" s="1"/>
      <c r="R12" s="1">
        <v>-182464</v>
      </c>
    </row>
    <row r="13" spans="3:19" x14ac:dyDescent="0.3">
      <c r="G13" t="s">
        <v>68</v>
      </c>
      <c r="H13" s="1">
        <v>26407447.079999998</v>
      </c>
      <c r="I13" s="1">
        <v>-4766508.25</v>
      </c>
      <c r="J13" s="1">
        <f>J12+R13</f>
        <v>-520627</v>
      </c>
      <c r="L13" s="1">
        <v>5902985.9199999999</v>
      </c>
      <c r="M13" s="1">
        <v>-1410937.78</v>
      </c>
      <c r="N13" s="1">
        <f>K12+S13</f>
        <v>-111895</v>
      </c>
      <c r="O13" s="1"/>
      <c r="P13" s="1"/>
      <c r="Q13" s="1"/>
      <c r="R13" s="1">
        <v>-338163</v>
      </c>
      <c r="S13">
        <v>-111895</v>
      </c>
    </row>
    <row r="14" spans="3:19" x14ac:dyDescent="0.3">
      <c r="G14" t="s">
        <v>69</v>
      </c>
      <c r="H14" s="1">
        <v>25706678.579999998</v>
      </c>
      <c r="I14" s="1">
        <v>-3983308.15</v>
      </c>
      <c r="J14" s="1">
        <f t="shared" ref="J14:J20" si="0">J13+R14</f>
        <v>-1381334</v>
      </c>
      <c r="L14" s="1">
        <v>5687728.5</v>
      </c>
      <c r="M14" s="1">
        <v>-1210370.9500000002</v>
      </c>
      <c r="N14" s="1">
        <f t="shared" ref="N14:N20" si="1">N13+S14</f>
        <v>-373749</v>
      </c>
      <c r="O14" s="1"/>
      <c r="P14" s="1"/>
      <c r="Q14" s="1"/>
      <c r="R14" s="1">
        <v>-860707</v>
      </c>
      <c r="S14">
        <v>-261854</v>
      </c>
    </row>
    <row r="15" spans="3:19" x14ac:dyDescent="0.3">
      <c r="G15" t="s">
        <v>70</v>
      </c>
      <c r="H15" s="1">
        <v>24349717.16</v>
      </c>
      <c r="I15" s="1">
        <v>-2634002.9300000002</v>
      </c>
      <c r="J15" s="1">
        <f t="shared" si="0"/>
        <v>-2197051</v>
      </c>
      <c r="L15" s="1">
        <v>5314318.51</v>
      </c>
      <c r="M15" s="1">
        <v>-850333.4700000002</v>
      </c>
      <c r="N15" s="1">
        <f t="shared" si="1"/>
        <v>-528636</v>
      </c>
      <c r="O15" s="1"/>
      <c r="P15" s="1"/>
      <c r="Q15" s="1"/>
      <c r="R15" s="1">
        <v>-815717</v>
      </c>
      <c r="S15">
        <v>-154887</v>
      </c>
    </row>
    <row r="16" spans="3:19" x14ac:dyDescent="0.3">
      <c r="G16" t="s">
        <v>71</v>
      </c>
      <c r="H16" s="1">
        <v>23490704.489999998</v>
      </c>
      <c r="I16" s="1">
        <v>-1664898.63</v>
      </c>
      <c r="J16" s="1">
        <f t="shared" si="0"/>
        <v>-2956758</v>
      </c>
      <c r="L16" s="1">
        <v>4917282.3999999994</v>
      </c>
      <c r="M16" s="1">
        <v>-465706.12000000023</v>
      </c>
      <c r="N16" s="1">
        <f t="shared" si="1"/>
        <v>-528636</v>
      </c>
      <c r="O16" s="1"/>
      <c r="P16" s="1"/>
      <c r="Q16" s="1"/>
      <c r="R16" s="1">
        <v>-759707</v>
      </c>
    </row>
    <row r="17" spans="7:19" x14ac:dyDescent="0.3">
      <c r="G17" t="s">
        <v>72</v>
      </c>
      <c r="H17" s="1">
        <v>22531058.050000001</v>
      </c>
      <c r="I17" s="1">
        <v>-706444.21</v>
      </c>
      <c r="J17" s="1">
        <f t="shared" si="0"/>
        <v>-3708434</v>
      </c>
      <c r="L17" s="1">
        <v>4544256.8299999991</v>
      </c>
      <c r="M17" s="1">
        <v>-104147.98000000021</v>
      </c>
      <c r="N17" s="1">
        <f t="shared" si="1"/>
        <v>-1056820</v>
      </c>
      <c r="O17" s="1"/>
      <c r="P17" s="1"/>
      <c r="Q17" s="1"/>
      <c r="R17" s="1">
        <v>-751676</v>
      </c>
      <c r="S17">
        <v>-528184</v>
      </c>
    </row>
    <row r="18" spans="7:19" x14ac:dyDescent="0.3">
      <c r="G18" t="s">
        <v>73</v>
      </c>
      <c r="H18" s="1">
        <v>21516223.829999998</v>
      </c>
      <c r="I18" s="1">
        <v>689482.55</v>
      </c>
      <c r="J18" s="1">
        <f t="shared" si="0"/>
        <v>-4808802</v>
      </c>
      <c r="L18" s="1">
        <v>4129596.6399999992</v>
      </c>
      <c r="M18" s="1">
        <v>300091.16999999981</v>
      </c>
      <c r="N18" s="1">
        <f t="shared" si="1"/>
        <v>-1343670</v>
      </c>
      <c r="O18" s="1"/>
      <c r="P18" s="1"/>
      <c r="Q18" s="1"/>
      <c r="R18" s="1">
        <v>-1100368</v>
      </c>
      <c r="S18">
        <v>-286850</v>
      </c>
    </row>
    <row r="19" spans="7:19" x14ac:dyDescent="0.3">
      <c r="G19" t="s">
        <v>74</v>
      </c>
      <c r="H19" s="1">
        <v>20666483.949999999</v>
      </c>
      <c r="I19" s="1">
        <v>1572483.67</v>
      </c>
      <c r="J19" s="1">
        <f t="shared" si="0"/>
        <v>-5501356</v>
      </c>
      <c r="L19" s="1">
        <v>3818832.3099999991</v>
      </c>
      <c r="M19" s="1">
        <v>601006.49999999977</v>
      </c>
      <c r="N19" s="1">
        <f t="shared" si="1"/>
        <v>-1556609</v>
      </c>
      <c r="O19" s="1"/>
      <c r="P19" s="1"/>
      <c r="Q19" s="1"/>
      <c r="R19" s="1">
        <v>-692554</v>
      </c>
      <c r="S19">
        <v>-212939</v>
      </c>
    </row>
    <row r="20" spans="7:19" x14ac:dyDescent="0.3">
      <c r="G20" t="s">
        <v>75</v>
      </c>
      <c r="H20" s="1">
        <v>12170770.77</v>
      </c>
      <c r="I20" s="1">
        <v>9136759.8499999996</v>
      </c>
      <c r="J20" s="1">
        <f t="shared" si="0"/>
        <v>-11327198</v>
      </c>
      <c r="L20" s="1">
        <v>3570867.189999999</v>
      </c>
      <c r="M20" s="1">
        <v>839701.99999999977</v>
      </c>
      <c r="N20" s="1">
        <f t="shared" si="1"/>
        <v>-1725106</v>
      </c>
      <c r="O20" s="1"/>
      <c r="P20" s="1"/>
      <c r="Q20" s="1"/>
      <c r="R20" s="1">
        <v>-5825842</v>
      </c>
      <c r="S20">
        <v>-168497</v>
      </c>
    </row>
    <row r="21" spans="7:19" x14ac:dyDescent="0.3">
      <c r="H21" s="1"/>
      <c r="I21" s="1"/>
      <c r="J21" s="1"/>
      <c r="L21" s="1"/>
      <c r="M21" s="1"/>
      <c r="N21" s="1"/>
      <c r="O21" s="1"/>
      <c r="P21" s="1"/>
      <c r="Q21" s="1"/>
      <c r="R21" s="1"/>
    </row>
    <row r="22" spans="7:19" x14ac:dyDescent="0.3">
      <c r="G22" t="s">
        <v>83</v>
      </c>
      <c r="H22" s="1">
        <f>(((H8+H20)/2)+H9+H10+H11+H12+H13+H14+H15+H16+H17+H18+H19)/12</f>
        <v>24366497.947500002</v>
      </c>
      <c r="I22" s="1">
        <f>(((I8+I20)/2)+I9+I10+I11+I12+I13+I14+I15+I16+I17+I18+I19)/12</f>
        <v>-2631818.6745833331</v>
      </c>
      <c r="J22" s="1">
        <f>(((J8+J20)/2)+J9+J10+J11+J12+J13+J14+J15+J16+J17+J18+J19)/12</f>
        <v>-2243368.75</v>
      </c>
      <c r="L22" s="1">
        <f>(((L8+L20)/2)+L9+L10+L11+L12+L13+L14+L15+L16+L17+L18+L19)/12</f>
        <v>5267726.5995833334</v>
      </c>
      <c r="M22" s="1">
        <f>(((M8+M20)/2)+M9+M10+M11+M12+M13+M14+M15+M16+M17+M18+M19)/12</f>
        <v>-867206.7150000002</v>
      </c>
      <c r="N22" s="1">
        <f>(((K8+N20)/2)+K9+K10+K11+K12+N13+N14+N15+N16+N17+N18+N19)/12</f>
        <v>-530214</v>
      </c>
      <c r="O22" s="1"/>
      <c r="P22" s="1"/>
      <c r="Q22" s="1"/>
      <c r="R22" s="1"/>
    </row>
    <row r="23" spans="7:19" x14ac:dyDescent="0.3"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7:19" x14ac:dyDescent="0.3"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7:19" x14ac:dyDescent="0.3"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7:19" x14ac:dyDescent="0.3"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7:19" x14ac:dyDescent="0.3"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7:19" x14ac:dyDescent="0.3"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7:19" x14ac:dyDescent="0.3"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7:19" x14ac:dyDescent="0.3"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7:19" x14ac:dyDescent="0.3"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7:19" x14ac:dyDescent="0.3"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</sheetData>
  <pageMargins left="0.7" right="0.7" top="0.75" bottom="0.75" header="0.3" footer="0.3"/>
  <pageSetup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16"/>
  <sheetViews>
    <sheetView workbookViewId="0">
      <selection activeCell="F6" sqref="F6"/>
    </sheetView>
  </sheetViews>
  <sheetFormatPr defaultRowHeight="14.4" x14ac:dyDescent="0.3"/>
  <cols>
    <col min="3" max="3" width="10.44140625" bestFit="1" customWidth="1"/>
    <col min="4" max="5" width="12.5546875" bestFit="1" customWidth="1"/>
    <col min="6" max="6" width="10.5546875" bestFit="1" customWidth="1"/>
  </cols>
  <sheetData>
    <row r="5" spans="2:7" x14ac:dyDescent="0.3">
      <c r="F5" s="44" t="s">
        <v>139</v>
      </c>
    </row>
    <row r="7" spans="2:7" x14ac:dyDescent="0.3">
      <c r="D7" s="22" t="s">
        <v>111</v>
      </c>
      <c r="E7" s="22" t="s">
        <v>112</v>
      </c>
      <c r="F7" s="22" t="s">
        <v>113</v>
      </c>
    </row>
    <row r="8" spans="2:7" x14ac:dyDescent="0.3">
      <c r="B8" t="s">
        <v>17</v>
      </c>
      <c r="C8" t="s">
        <v>109</v>
      </c>
      <c r="D8" s="1">
        <f>1273813-5852</f>
        <v>1267961</v>
      </c>
      <c r="E8" s="1">
        <v>3874853</v>
      </c>
      <c r="F8" s="32">
        <f>E8-D8</f>
        <v>2606892</v>
      </c>
      <c r="G8" s="1"/>
    </row>
    <row r="9" spans="2:7" x14ac:dyDescent="0.3">
      <c r="C9" t="s">
        <v>110</v>
      </c>
      <c r="D9" s="1">
        <v>5226715</v>
      </c>
      <c r="E9" s="1">
        <f>1352652+4330521</f>
        <v>5683173</v>
      </c>
      <c r="F9" s="32">
        <f>E9-D9</f>
        <v>456458</v>
      </c>
      <c r="G9" s="1"/>
    </row>
    <row r="10" spans="2:7" ht="15" thickBot="1" x14ac:dyDescent="0.35">
      <c r="D10" s="4">
        <f>SUM(D8:D9)</f>
        <v>6494676</v>
      </c>
      <c r="E10" s="4">
        <f>SUM(E8:E9)</f>
        <v>9558026</v>
      </c>
      <c r="F10" s="34">
        <f>SUM(F8:F9)</f>
        <v>3063350</v>
      </c>
      <c r="G10" s="1"/>
    </row>
    <row r="14" spans="2:7" x14ac:dyDescent="0.3">
      <c r="B14" t="s">
        <v>18</v>
      </c>
      <c r="C14" t="s">
        <v>109</v>
      </c>
      <c r="D14" s="1">
        <f>667168+48-5625</f>
        <v>661591</v>
      </c>
      <c r="E14" s="1">
        <v>1598747</v>
      </c>
      <c r="F14" s="32">
        <f>E14-D14</f>
        <v>937156</v>
      </c>
    </row>
    <row r="15" spans="2:7" x14ac:dyDescent="0.3">
      <c r="C15" t="s">
        <v>110</v>
      </c>
      <c r="D15" s="1">
        <v>1509872</v>
      </c>
      <c r="E15" s="1">
        <f>367860+1217017</f>
        <v>1584877</v>
      </c>
      <c r="F15" s="32">
        <f>E15-D15</f>
        <v>75005</v>
      </c>
    </row>
    <row r="16" spans="2:7" ht="15" thickBot="1" x14ac:dyDescent="0.35">
      <c r="D16" s="4">
        <f>SUM(D14:D15)</f>
        <v>2171463</v>
      </c>
      <c r="E16" s="4">
        <f>SUM(E14:E15)</f>
        <v>3183624</v>
      </c>
      <c r="F16" s="34">
        <f>SUM(F14:F15)</f>
        <v>1012161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Date1 xmlns="dc463f71-b30c-4ab2-9473-d307f9d35888">2021-08-06T07:00:00+00:00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91FF316-64FC-40A0-8633-9C3DC020451B}"/>
</file>

<file path=customXml/itemProps2.xml><?xml version="1.0" encoding="utf-8"?>
<ds:datastoreItem xmlns:ds="http://schemas.openxmlformats.org/officeDocument/2006/customXml" ds:itemID="{8AFBD3CE-48AA-4615-A3AD-EBC16335C7AE}"/>
</file>

<file path=customXml/itemProps3.xml><?xml version="1.0" encoding="utf-8"?>
<ds:datastoreItem xmlns:ds="http://schemas.openxmlformats.org/officeDocument/2006/customXml" ds:itemID="{6F8487CF-21B6-48AD-BBCD-C54BED5B38B9}"/>
</file>

<file path=customXml/itemProps4.xml><?xml version="1.0" encoding="utf-8"?>
<ds:datastoreItem xmlns:ds="http://schemas.openxmlformats.org/officeDocument/2006/customXml" ds:itemID="{C135FE5C-9F92-4D69-B5E7-34C100A4FD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Adjustment -compare to rebuttal</vt:lpstr>
      <vt:lpstr>Instructions</vt:lpstr>
      <vt:lpstr>Adjustment-compare to filed</vt:lpstr>
      <vt:lpstr>AMI</vt:lpstr>
      <vt:lpstr>Amortization</vt:lpstr>
      <vt:lpstr>Electric-Old meter deferral</vt:lpstr>
      <vt:lpstr>Gas-Old meter deferral</vt:lpstr>
      <vt:lpstr>Old Meters</vt:lpstr>
      <vt:lpstr>Deprec Ex ADJ by Func</vt:lpstr>
      <vt:lpstr>AMI!Print_Area</vt:lpstr>
      <vt:lpstr>'Deprec Ex ADJ by Func'!Print_Area</vt:lpstr>
      <vt:lpstr>'Electric-Old meter deferral'!Print_Area</vt:lpstr>
      <vt:lpstr>'Old Meters'!Print_Area</vt:lpstr>
      <vt:lpstr>AMI!Print_Titles</vt:lpstr>
      <vt:lpstr>Amortization!Print_Titles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2020-10-06T14:15:25Z</cp:lastPrinted>
  <dcterms:created xsi:type="dcterms:W3CDTF">2020-03-23T17:56:33Z</dcterms:created>
  <dcterms:modified xsi:type="dcterms:W3CDTF">2021-08-05T18:08:40Z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