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F14" i="18" l="1"/>
  <c r="E19" i="3" l="1"/>
  <c r="D19" i="3"/>
  <c r="D22" i="10" l="1"/>
  <c r="E54" i="13"/>
  <c r="D54" i="10" s="1"/>
  <c r="D53" i="13"/>
  <c r="C53" i="13"/>
  <c r="E52" i="13"/>
  <c r="D52" i="10" s="1"/>
  <c r="E51" i="13"/>
  <c r="D51" i="10" s="1"/>
  <c r="E50" i="13"/>
  <c r="E53" i="13" s="1"/>
  <c r="E48" i="13"/>
  <c r="D48" i="10" s="1"/>
  <c r="E47" i="13"/>
  <c r="D47" i="10" s="1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5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50" i="10" l="1"/>
  <c r="D21" i="10"/>
  <c r="E24" i="13"/>
  <c r="E36" i="13"/>
  <c r="D16" i="10"/>
  <c r="D25" i="13"/>
  <c r="D32" i="10"/>
  <c r="E15" i="13"/>
  <c r="D9" i="10"/>
  <c r="C31" i="13"/>
  <c r="C41" i="13" s="1"/>
  <c r="C56" i="13"/>
  <c r="C55" i="13"/>
  <c r="E25" i="13" l="1"/>
  <c r="D30" i="13"/>
  <c r="E28" i="13"/>
  <c r="C57" i="13"/>
  <c r="C49" i="13"/>
  <c r="C58" i="13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I37" i="12" s="1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I32" i="12" s="1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E25" i="1" s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C15" i="10" l="1"/>
  <c r="C25" i="10" s="1"/>
  <c r="D20" i="3"/>
  <c r="D21" i="3" s="1"/>
  <c r="C31" i="1"/>
  <c r="C41" i="1" s="1"/>
  <c r="G46" i="5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H45" i="2"/>
  <c r="I45" i="2" s="1"/>
  <c r="F45" i="5" s="1"/>
  <c r="F46" i="5" s="1"/>
  <c r="C49" i="1"/>
  <c r="C58" i="1"/>
  <c r="C57" i="1"/>
  <c r="H46" i="2"/>
  <c r="H48" i="2" s="1"/>
  <c r="D34" i="2"/>
  <c r="D41" i="10"/>
  <c r="G48" i="2"/>
  <c r="B48" i="2"/>
  <c r="B46" i="5"/>
  <c r="G48" i="5"/>
  <c r="B25" i="5"/>
  <c r="C48" i="5"/>
  <c r="F48" i="5" l="1"/>
  <c r="C21" i="16"/>
  <c r="D49" i="10"/>
  <c r="C24" i="16"/>
  <c r="F15" i="18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C25" i="16" l="1"/>
  <c r="E56" i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<sst xmlns="http://schemas.openxmlformats.org/spreadsheetml/2006/main" count="643" uniqueCount="269">
  <si>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</si>
  <si>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</si>
  <si>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</si>
  <si>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</si>
  <si>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</si>
  <si>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</si>
  <si>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</si>
  <si>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</si>
  <si>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</si>
  <si>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</si>
  <si>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</si>
  <si>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</si>
  <si>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</si>
  <si>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</si>
  <si>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</si>
  <si>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</si>
  <si>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</si>
  <si>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</si>
  <si>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</si>
  <si>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</si>
  <si>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</si>
  <si>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</si>
  <si>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</si>
  <si>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</si>
  <si>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</si>
  <si>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</si>
  <si>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</si>
  <si>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</si>
  <si>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</si>
  <si>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</si>
  <si>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</si>
  <si>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</si>
  <si>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</si>
  <si>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</si>
  <si>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</si>
  <si>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</si>
  <si>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</si>
  <si>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</si>
  <si>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</si>
  <si>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</si>
  <si>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</si>
  <si>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</si>
  <si>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</si>
  <si>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</si>
  <si>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</si>
  <si>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</si>
  <si>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</si>
  <si>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</si>
  <si>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</si>
  <si>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</si>
  <si>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</si>
  <si>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</si>
  <si>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</si>
  <si>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</si>
  <si>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</si>
  <si>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</si>
  <si>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</si>
  <si>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</si>
  <si>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</si>
  <si>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</si>
  <si>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</si>
  <si>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</si>
  <si>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</si>
  <si>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</si>
  <si>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</si>
  <si>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</si>
  <si>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</si>
  <si>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</si>
  <si>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</si>
  <si>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</si>
  <si>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</si>
  <si>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</si>
  <si>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</si>
  <si>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</si>
  <si>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</si>
  <si>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</si>
  <si>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</si>
  <si>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</si>
  <si>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</si>
  <si>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</si>
  <si>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</si>
  <si>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</si>
  <si>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</si>
  <si>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</si>
  <si>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</si>
  <si>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</si>
  <si>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</si>
  <si>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</si>
  <si>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</si>
  <si>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</si>
  <si>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</si>
  <si>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</si>
  <si>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</si>
  <si>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</si>
  <si>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</si>
  <si>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</si>
  <si>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</si>
  <si>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</si>
  <si>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</si>
  <si>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</si>
  <si>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</si>
  <si>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</si>
  <si>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</si>
  <si>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</si>
  <si>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</si>
  <si>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</si>
  <si>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</si>
  <si>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</si>
  <si>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</si>
  <si>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</si>
  <si>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</si>
  <si>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</si>
  <si>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</si>
  <si>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</si>
  <si>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</si>
  <si>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</si>
  <si>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</si>
  <si>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</si>
  <si>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</si>
  <si>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</si>
  <si>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</si>
  <si>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</si>
  <si>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</si>
  <si>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</si>
  <si>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</si>
  <si>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</si>
  <si>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</si>
  <si>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</si>
  <si>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</si>
  <si>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</si>
  <si>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</si>
  <si>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</si>
  <si>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</si>
  <si>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</si>
  <si>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</si>
  <si>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</si>
  <si>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</si>
  <si>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</si>
  <si>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</si>
  <si>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</si>
  <si>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</si>
  <si>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</si>
  <si>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</si>
  <si>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</si>
  <si>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</si>
  <si>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</si>
  <si>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</si>
  <si>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</si>
  <si>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</si>
  <si>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</si>
  <si>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</si>
  <si>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</si>
  <si>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</si>
  <si>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</si>
  <si>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</si>
  <si>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</si>
  <si>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</si>
  <si>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</si>
  <si>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</si>
  <si>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</si>
  <si>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</si>
  <si>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</si>
  <si>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</si>
  <si>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</si>
  <si>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</si>
  <si>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</si>
  <si>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</si>
  <si>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</si>
  <si>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</si>
  <si>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</si>
  <si>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</si>
  <si>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</si>
  <si>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</si>
  <si>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</si>
  <si>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</si>
  <si>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</si>
  <si>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</si>
  <si>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</si>
  <si>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</si>
  <si>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</si>
  <si>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</si>
  <si>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</si>
  <si>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</si>
  <si>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</si>
  <si>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</si>
  <si>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</si>
  <si>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</si>
  <si>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</si>
  <si>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</si>
  <si>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</si>
  <si>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</si>
  <si>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</si>
  <si>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</si>
  <si>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</si>
  <si>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</si>
  <si>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</si>
  <si>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</si>
  <si>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</si>
  <si>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</si>
  <si>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</si>
  <si>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</si>
  <si>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</si>
  <si>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</si>
  <si>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</si>
  <si>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</si>
  <si>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</si>
  <si>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</si>
  <si>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</si>
  <si>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</si>
  <si>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</si>
  <si>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</si>
  <si>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</si>
  <si>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</si>
  <si>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</si>
  <si>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</si>
  <si>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</si>
  <si>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</si>
  <si>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</si>
  <si>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</si>
  <si>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</si>
  <si>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</si>
  <si>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</si>
  <si>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</si>
  <si>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</si>
  <si>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</si>
  <si>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</si>
  <si>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</si>
  <si>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</si>
  <si>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</si>
  <si>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</si>
  <si>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</si>
  <si>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</si>
  <si>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</si>
  <si>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</si>
  <si>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</si>
  <si>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</si>
  <si>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</si>
  <si>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</si>
  <si>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</si>
  <si>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</si>
  <si>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</si>
  <si>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</si>
  <si>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</si>
  <si>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</si>
  <si>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</si>
  <si>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</si>
  <si>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</si>
  <si>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</si>
  <si>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</si>
  <si>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</si>
  <si>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</si>
  <si>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</si>
  <si>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</si>
  <si>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</si>
  <si>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</si>
  <si>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</si>
  <si>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</si>
  <si>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</si>
  <si>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</si>
  <si>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</si>
  <si>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</si>
  <si>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</si>
  <si>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</si>
  <si>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</si>
  <si>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</si>
  <si>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</si>
  <si>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</si>
  <si>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</si>
  <si>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Lewis River Telephone Co., Inc. d/b/a TDS Telecom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</si>
</sst>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3:E17"/>
  <sheetViews>
    <sheetView tabSelected="1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19" t="s">
        <v>263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E35"/>
  <sheetViews>
    <sheetView zoomScaleNormal="100" workbookViewId="0"/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268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384053.63</v>
      </c>
      <c r="E9" s="56">
        <v>383070.02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150846.79999999999</v>
      </c>
      <c r="E11" s="53">
        <v>177863.41999999998</v>
      </c>
    </row>
    <row r="12" spans="1:5" x14ac:dyDescent="0.25">
      <c r="A12" s="11" t="s">
        <v>217</v>
      </c>
      <c r="B12" s="18" t="s">
        <v>260</v>
      </c>
      <c r="C12" s="11"/>
      <c r="D12" s="53">
        <v>202360.05</v>
      </c>
      <c r="E12" s="53">
        <v>364117.42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48963.97</v>
      </c>
      <c r="E14" s="53">
        <v>64646.66</v>
      </c>
    </row>
    <row r="15" spans="1:5" x14ac:dyDescent="0.25">
      <c r="A15" s="11" t="s">
        <v>219</v>
      </c>
      <c r="B15" s="18" t="s">
        <v>169</v>
      </c>
      <c r="C15" s="11"/>
      <c r="D15" s="53">
        <v>286526</v>
      </c>
      <c r="E15" s="53">
        <v>356911.42</v>
      </c>
    </row>
    <row r="16" spans="1:5" x14ac:dyDescent="0.25">
      <c r="A16" s="11">
        <v>4</v>
      </c>
      <c r="B16" s="18" t="s">
        <v>259</v>
      </c>
      <c r="C16" s="11" t="s">
        <v>171</v>
      </c>
      <c r="D16" s="53">
        <v>652115</v>
      </c>
      <c r="E16" s="53">
        <v>399593</v>
      </c>
    </row>
    <row r="17" spans="1:5" x14ac:dyDescent="0.25">
      <c r="A17" s="11">
        <v>5</v>
      </c>
      <c r="B17" s="18" t="s">
        <v>241</v>
      </c>
      <c r="C17" s="11"/>
      <c r="D17" s="53">
        <v>0</v>
      </c>
      <c r="E17" s="53">
        <v>45909.87</v>
      </c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1724865.45</v>
      </c>
      <c r="E19" s="36">
        <f>E9+E11+E12+E14+E15+E16+E17+E18</f>
        <v>1792111.81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1724865.4499999997</v>
      </c>
      <c r="E20" s="38">
        <f>IncomeStmtSummary!D10</f>
        <v>1792111.8099999998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4:C21"/>
  <sheetViews>
    <sheetView zoomScaleNormal="100" workbookViewId="0"/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245</v>
      </c>
      <c r="B4" s="120" t="s">
        <v>233</v>
      </c>
      <c r="C4" s="120"/>
    </row>
    <row r="5" spans="1:3" x14ac:dyDescent="0.25">
      <c r="B5" s="48" t="s">
        <v>243</v>
      </c>
      <c r="C5" s="48" t="s">
        <v>244</v>
      </c>
    </row>
    <row r="6" spans="1:3" x14ac:dyDescent="0.25">
      <c r="A6" t="s">
        <v>234</v>
      </c>
    </row>
    <row r="11" spans="1:3" x14ac:dyDescent="0.25">
      <c r="A11" t="s">
        <v>235</v>
      </c>
    </row>
    <row r="16" spans="1:3" x14ac:dyDescent="0.25">
      <c r="A16" t="s">
        <v>236</v>
      </c>
    </row>
    <row r="21" spans="1:1" x14ac:dyDescent="0.25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3:G38"/>
  <sheetViews>
    <sheetView zoomScaleNormal="100" workbookViewId="0"/>
  </sheetViews>
  <sheetFormatPr defaultRowHeight="15" x14ac:dyDescent="0.25"/>
  <cols>
    <col min="1" max="1" width="5.85546875" style="75" customWidth="1"/>
    <col min="2" max="2" width="40.5703125" style="75" customWidth="1"/>
    <col min="3" max="3" width="13.85546875" style="75" customWidth="1"/>
    <col min="4" max="16384" width="9.140625" style="75"/>
  </cols>
  <sheetData>
    <row r="3" spans="1:3" x14ac:dyDescent="0.25">
      <c r="B3" s="75" t="s">
        <v>191</v>
      </c>
    </row>
    <row r="4" spans="1:3" x14ac:dyDescent="0.25">
      <c r="B4" s="59" t="s">
        <v>268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266</v>
      </c>
      <c r="C10" s="87">
        <f>'RateBase '!D15</f>
        <v>3616157.0899999929</v>
      </c>
    </row>
    <row r="11" spans="1:3" x14ac:dyDescent="0.25">
      <c r="A11" s="78">
        <v>2</v>
      </c>
      <c r="B11" s="83" t="s">
        <v>206</v>
      </c>
      <c r="C11" s="105">
        <f>'RateBase '!E15</f>
        <v>2989908.8299999968</v>
      </c>
    </row>
    <row r="12" spans="1:3" x14ac:dyDescent="0.25">
      <c r="A12" s="78">
        <v>3</v>
      </c>
      <c r="B12" s="98" t="s">
        <v>207</v>
      </c>
      <c r="C12" s="85">
        <f>(C10+C11)/2</f>
        <v>3303032.9599999948</v>
      </c>
    </row>
    <row r="13" spans="1:3" x14ac:dyDescent="0.25">
      <c r="A13" s="78">
        <v>4</v>
      </c>
      <c r="B13" s="83" t="s">
        <v>208</v>
      </c>
      <c r="C13" s="60">
        <f>IncomeStmtSummary!D31</f>
        <v>68412.989999999496</v>
      </c>
    </row>
    <row r="14" spans="1:3" x14ac:dyDescent="0.25">
      <c r="A14" s="78">
        <v>5</v>
      </c>
      <c r="B14" s="83" t="s">
        <v>267</v>
      </c>
      <c r="C14" s="54"/>
    </row>
    <row r="15" spans="1:3" x14ac:dyDescent="0.25">
      <c r="A15" s="78">
        <v>6</v>
      </c>
      <c r="B15" s="99" t="s">
        <v>212</v>
      </c>
      <c r="C15" s="85">
        <f>C13+C14</f>
        <v>68412.989999999496</v>
      </c>
    </row>
    <row r="16" spans="1:3" x14ac:dyDescent="0.25">
      <c r="A16" s="78">
        <v>7</v>
      </c>
      <c r="B16" s="98" t="s">
        <v>209</v>
      </c>
      <c r="C16" s="86">
        <f>C15/C12</f>
        <v>2.0712172972079456E-2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v>4670097000</v>
      </c>
    </row>
    <row r="20" spans="1:7" x14ac:dyDescent="0.25">
      <c r="A20" s="78">
        <v>9</v>
      </c>
      <c r="B20" s="83" t="s">
        <v>214</v>
      </c>
      <c r="C20" s="88">
        <v>4455011000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4562554000</v>
      </c>
    </row>
    <row r="22" spans="1:7" x14ac:dyDescent="0.25">
      <c r="A22" s="78">
        <v>11</v>
      </c>
      <c r="B22" s="83" t="s">
        <v>215</v>
      </c>
      <c r="C22" s="53">
        <v>-147292000</v>
      </c>
    </row>
    <row r="23" spans="1:7" x14ac:dyDescent="0.25">
      <c r="A23" s="78">
        <v>12</v>
      </c>
      <c r="B23" s="83" t="s">
        <v>238</v>
      </c>
      <c r="C23" s="54"/>
    </row>
    <row r="24" spans="1:7" x14ac:dyDescent="0.25">
      <c r="A24" s="78">
        <v>13</v>
      </c>
      <c r="B24" s="99" t="s">
        <v>220</v>
      </c>
      <c r="C24" s="85">
        <f>C22+C23</f>
        <v>-147292000</v>
      </c>
    </row>
    <row r="25" spans="1:7" x14ac:dyDescent="0.25">
      <c r="A25" s="95">
        <v>14</v>
      </c>
      <c r="B25" s="102" t="s">
        <v>211</v>
      </c>
      <c r="C25" s="89">
        <f>C24/C21</f>
        <v>-3.228279599540082E-2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262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I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1265460.05</v>
      </c>
      <c r="C10" s="57"/>
      <c r="D10" s="60">
        <f>SUM(B10:C10)</f>
        <v>1265460.05</v>
      </c>
      <c r="E10" s="18"/>
      <c r="F10" s="18" t="s">
        <v>78</v>
      </c>
      <c r="G10" s="53">
        <v>654545.46</v>
      </c>
      <c r="H10" s="57"/>
      <c r="I10" s="60">
        <f>SUM(G10:H10)</f>
        <v>654545.46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12841.72</v>
      </c>
      <c r="H12" s="57"/>
      <c r="I12" s="60">
        <f t="shared" si="0"/>
        <v>12841.72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13217.09</v>
      </c>
      <c r="C14" s="57"/>
      <c r="D14" s="60">
        <f t="shared" ref="D14:D15" si="1">SUM(B14:C14)</f>
        <v>13217.09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449791.85</v>
      </c>
      <c r="C17" s="57"/>
      <c r="D17" s="60">
        <f>SUM(B17:C17)</f>
        <v>449791.85</v>
      </c>
      <c r="E17" s="19"/>
      <c r="F17" s="18" t="s">
        <v>87</v>
      </c>
      <c r="G17" s="53">
        <v>175284</v>
      </c>
      <c r="H17" s="57"/>
      <c r="I17" s="60">
        <f t="shared" si="0"/>
        <v>175284</v>
      </c>
    </row>
    <row r="18" spans="1:9" x14ac:dyDescent="0.25">
      <c r="A18" s="18" t="s">
        <v>47</v>
      </c>
      <c r="B18" s="53">
        <v>126893.12000000001</v>
      </c>
      <c r="C18" s="57"/>
      <c r="D18" s="60">
        <f t="shared" ref="D18:D24" si="2">SUM(B18:C18)</f>
        <v>126893.12000000001</v>
      </c>
      <c r="E18" s="18"/>
      <c r="F18" s="18" t="s">
        <v>88</v>
      </c>
      <c r="G18" s="53">
        <v>33665.68</v>
      </c>
      <c r="H18" s="57"/>
      <c r="I18" s="60">
        <f t="shared" si="0"/>
        <v>33665.68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27685.410000000003</v>
      </c>
      <c r="H19" s="67"/>
      <c r="I19" s="61">
        <f t="shared" si="0"/>
        <v>27685.410000000003</v>
      </c>
    </row>
    <row r="20" spans="1:9" x14ac:dyDescent="0.25">
      <c r="A20" s="18" t="s">
        <v>48</v>
      </c>
      <c r="B20" s="53">
        <v>145.44</v>
      </c>
      <c r="C20" s="57"/>
      <c r="D20" s="60">
        <f t="shared" si="2"/>
        <v>145.44</v>
      </c>
      <c r="E20" s="18"/>
      <c r="F20" s="18" t="s">
        <v>120</v>
      </c>
      <c r="G20" s="60">
        <f>SUM(G10:G19)</f>
        <v>904022.27</v>
      </c>
      <c r="H20" s="60">
        <f>SUM(H10:H19)</f>
        <v>0</v>
      </c>
      <c r="I20" s="60">
        <f t="shared" ref="I20" si="3">SUM(I10:I19)</f>
        <v>904022.27</v>
      </c>
    </row>
    <row r="21" spans="1:9" x14ac:dyDescent="0.25">
      <c r="A21" s="18" t="s">
        <v>49</v>
      </c>
      <c r="B21" s="53">
        <v>68931.86</v>
      </c>
      <c r="C21" s="55"/>
      <c r="D21" s="60">
        <f t="shared" si="2"/>
        <v>68931.86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0</v>
      </c>
      <c r="C23" s="57"/>
      <c r="D23" s="60">
        <f t="shared" si="2"/>
        <v>0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1924439.4100000004</v>
      </c>
      <c r="C25" s="60">
        <f>C10+C11+C13+C14+C15+C17+C18+C19+C20+C21+C22+C23+C24</f>
        <v>0</v>
      </c>
      <c r="D25" s="60">
        <f t="shared" ref="D25" si="5">D10+D11+D13+D14+D15+D17+D18+D19+D20+D21+D22+D23+D24</f>
        <v>1924439.4100000004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9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51641.34</v>
      </c>
      <c r="C34" s="72">
        <f>-1*(C25+C29+C30+C32+C33+C35+C36+C37+C46)</f>
        <v>95691</v>
      </c>
      <c r="D34" s="60">
        <f t="shared" si="7"/>
        <v>147332.34</v>
      </c>
      <c r="E34" s="18"/>
      <c r="F34" s="18" t="s">
        <v>103</v>
      </c>
      <c r="G34" s="53">
        <v>-179261.65</v>
      </c>
      <c r="H34" s="57"/>
      <c r="I34" s="60">
        <f>SUM(G34:H34)</f>
        <v>-179261.65</v>
      </c>
    </row>
    <row r="35" spans="1:9" x14ac:dyDescent="0.25">
      <c r="A35" s="18" t="s">
        <v>62</v>
      </c>
      <c r="B35" s="53">
        <v>0</v>
      </c>
      <c r="C35" s="57"/>
      <c r="D35" s="60">
        <f t="shared" si="7"/>
        <v>0</v>
      </c>
      <c r="E35" s="18"/>
      <c r="F35" s="18" t="s">
        <v>151</v>
      </c>
      <c r="G35" s="53">
        <v>396356.17</v>
      </c>
      <c r="H35" s="53">
        <v>0</v>
      </c>
      <c r="I35" s="60">
        <f t="shared" ref="I35:I36" si="8">SUM(G35:H35)</f>
        <v>396356.17</v>
      </c>
    </row>
    <row r="36" spans="1:9" x14ac:dyDescent="0.25">
      <c r="A36" s="18" t="s">
        <v>63</v>
      </c>
      <c r="B36" s="53">
        <v>7078.13</v>
      </c>
      <c r="C36" s="57"/>
      <c r="D36" s="60">
        <f t="shared" si="7"/>
        <v>7078.13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9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217094.52</v>
      </c>
      <c r="H37" s="60">
        <f t="shared" ref="H37:I37" si="9">SUM(H34:H36)</f>
        <v>0</v>
      </c>
      <c r="I37" s="60">
        <f t="shared" si="9"/>
        <v>217094.52</v>
      </c>
    </row>
    <row r="38" spans="1:9" x14ac:dyDescent="0.25">
      <c r="A38" s="18" t="s">
        <v>65</v>
      </c>
      <c r="B38" s="60">
        <f>B29+B30+B32+B33+B34+B35+B36+B37</f>
        <v>58719.469999999994</v>
      </c>
      <c r="C38" s="60">
        <f>C29+C30+C32+C33+C34+C35+C36+C37</f>
        <v>95691</v>
      </c>
      <c r="D38" s="60">
        <f t="shared" ref="D38" si="10">D29+D30+D32+D33+D34+D35+D36+D37</f>
        <v>154410.47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35000</v>
      </c>
      <c r="H39" s="23"/>
      <c r="I39" s="60">
        <f>SUM(G39:H39)</f>
        <v>35000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1388282.68</v>
      </c>
      <c r="H40" s="23"/>
      <c r="I40" s="60">
        <f t="shared" ref="I40:I45" si="11">SUM(G40:H40)</f>
        <v>1388282.68</v>
      </c>
    </row>
    <row r="41" spans="1:9" x14ac:dyDescent="0.25">
      <c r="A41" s="18" t="s">
        <v>190</v>
      </c>
      <c r="B41" s="53">
        <v>20929486.199999996</v>
      </c>
      <c r="C41" s="53">
        <v>-268861</v>
      </c>
      <c r="D41" s="60">
        <f>SUM(B41:C41)</f>
        <v>20660625.199999996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9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9" x14ac:dyDescent="0.25">
      <c r="A43" s="18" t="s">
        <v>69</v>
      </c>
      <c r="B43" s="53">
        <v>344375.98</v>
      </c>
      <c r="C43" s="53"/>
      <c r="D43" s="60">
        <f t="shared" si="12"/>
        <v>344375.98</v>
      </c>
      <c r="E43" s="18"/>
      <c r="F43" s="18" t="s">
        <v>111</v>
      </c>
      <c r="G43" s="53">
        <v>96424.89</v>
      </c>
      <c r="H43" s="23"/>
      <c r="I43" s="60">
        <f t="shared" si="11"/>
        <v>96424.89</v>
      </c>
    </row>
    <row r="44" spans="1:9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9" x14ac:dyDescent="0.25">
      <c r="A45" s="18" t="s">
        <v>121</v>
      </c>
      <c r="B45" s="54">
        <v>-16970837.970000003</v>
      </c>
      <c r="C45" s="54">
        <v>173170</v>
      </c>
      <c r="D45" s="61">
        <f t="shared" si="12"/>
        <v>-16797667.970000003</v>
      </c>
      <c r="E45" s="18"/>
      <c r="F45" s="18" t="s">
        <v>181</v>
      </c>
      <c r="G45" s="54">
        <v>3645358.7299999995</v>
      </c>
      <c r="H45" s="106">
        <f>-1*(H20+H32+H37)</f>
        <v>0</v>
      </c>
      <c r="I45" s="61">
        <f t="shared" si="11"/>
        <v>3645358.7299999995</v>
      </c>
    </row>
    <row r="46" spans="1:9" x14ac:dyDescent="0.25">
      <c r="A46" s="18" t="s">
        <v>71</v>
      </c>
      <c r="B46" s="60">
        <f>B41+B42+B43+B44+B45</f>
        <v>4303024.2099999934</v>
      </c>
      <c r="C46" s="60">
        <f t="shared" ref="C46:D46" si="13">C41+C42+C43+C44+C45</f>
        <v>-95691</v>
      </c>
      <c r="D46" s="60">
        <f t="shared" si="13"/>
        <v>4207333.2099999934</v>
      </c>
      <c r="E46" s="18"/>
      <c r="F46" s="18" t="s">
        <v>114</v>
      </c>
      <c r="G46" s="60">
        <f>SUM(G39:G45)</f>
        <v>5165066.2999999989</v>
      </c>
      <c r="H46" s="63">
        <f t="shared" ref="H46:I46" si="14">SUM(H39:H45)</f>
        <v>0</v>
      </c>
      <c r="I46" s="60">
        <f t="shared" si="14"/>
        <v>5165066.2999999989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247</v>
      </c>
      <c r="B48" s="62">
        <f>B25+B38+B46</f>
        <v>6286183.0899999943</v>
      </c>
      <c r="C48" s="62">
        <f t="shared" ref="C48:D48" si="15">C25+C38+C46</f>
        <v>0</v>
      </c>
      <c r="D48" s="62">
        <f t="shared" si="15"/>
        <v>6286183.0899999943</v>
      </c>
      <c r="E48" s="18"/>
      <c r="F48" s="22" t="s">
        <v>115</v>
      </c>
      <c r="G48" s="62">
        <f>G20+G32+G37+G46</f>
        <v>6286183.0899999989</v>
      </c>
      <c r="H48" s="62">
        <f t="shared" ref="H48:I48" si="16">H20+H32+H37+H46</f>
        <v>0</v>
      </c>
      <c r="I48" s="62">
        <f t="shared" si="16"/>
        <v>6286183.0899999989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K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1282254.3600000001</v>
      </c>
      <c r="C10" s="57"/>
      <c r="D10" s="60">
        <f>SUM(B10:C10)</f>
        <v>1282254.3600000001</v>
      </c>
      <c r="E10" s="18"/>
      <c r="F10" s="18" t="s">
        <v>78</v>
      </c>
      <c r="G10" s="53">
        <v>468695.78</v>
      </c>
      <c r="H10" s="57"/>
      <c r="I10" s="60">
        <f>SUM(G10:H10)</f>
        <v>468695.78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18143.46</v>
      </c>
      <c r="H12" s="57"/>
      <c r="I12" s="60">
        <f t="shared" si="0"/>
        <v>18143.46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101995.71</v>
      </c>
      <c r="C14" s="57"/>
      <c r="D14" s="60">
        <f t="shared" ref="D14:D15" si="1">SUM(B14:C14)</f>
        <v>101995.71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441468.47</v>
      </c>
      <c r="C17" s="57"/>
      <c r="D17" s="60">
        <f>SUM(B17:C17)</f>
        <v>441468.47</v>
      </c>
      <c r="E17" s="19"/>
      <c r="F17" s="18" t="s">
        <v>87</v>
      </c>
      <c r="G17" s="53">
        <v>14243</v>
      </c>
      <c r="H17" s="57"/>
      <c r="I17" s="60">
        <f t="shared" si="0"/>
        <v>14243</v>
      </c>
    </row>
    <row r="18" spans="1:9" x14ac:dyDescent="0.25">
      <c r="A18" s="18" t="s">
        <v>47</v>
      </c>
      <c r="B18" s="53">
        <v>200907.39</v>
      </c>
      <c r="C18" s="57"/>
      <c r="D18" s="60">
        <f t="shared" ref="D18:D24" si="2">SUM(B18:C18)</f>
        <v>200907.39</v>
      </c>
      <c r="E18" s="18"/>
      <c r="F18" s="18" t="s">
        <v>88</v>
      </c>
      <c r="G18" s="53">
        <v>33181.839999999997</v>
      </c>
      <c r="H18" s="57"/>
      <c r="I18" s="60">
        <f t="shared" si="0"/>
        <v>33181.839999999997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27501.579999999994</v>
      </c>
      <c r="H19" s="67"/>
      <c r="I19" s="61">
        <f t="shared" si="0"/>
        <v>27501.579999999994</v>
      </c>
    </row>
    <row r="20" spans="1:9" x14ac:dyDescent="0.25">
      <c r="A20" s="18" t="s">
        <v>48</v>
      </c>
      <c r="B20" s="53">
        <v>135.28</v>
      </c>
      <c r="C20" s="57"/>
      <c r="D20" s="60">
        <f t="shared" si="2"/>
        <v>135.28</v>
      </c>
      <c r="E20" s="18"/>
      <c r="F20" s="18" t="s">
        <v>120</v>
      </c>
      <c r="G20" s="60">
        <f>SUM(G10:G19)</f>
        <v>561765.66</v>
      </c>
      <c r="H20" s="60">
        <f>SUM(H10:H19)</f>
        <v>0</v>
      </c>
      <c r="I20" s="60">
        <f t="shared" ref="I20" si="3">SUM(I10:I19)</f>
        <v>561765.66</v>
      </c>
    </row>
    <row r="21" spans="1:9" x14ac:dyDescent="0.25">
      <c r="A21" s="18" t="s">
        <v>49</v>
      </c>
      <c r="B21" s="53">
        <v>74207.19</v>
      </c>
      <c r="C21" s="55"/>
      <c r="D21" s="60">
        <f t="shared" si="2"/>
        <v>74207.19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0</v>
      </c>
      <c r="C23" s="57"/>
      <c r="D23" s="60">
        <f t="shared" si="2"/>
        <v>0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2100968.4000000004</v>
      </c>
      <c r="C25" s="60">
        <f>C10+C11+C13+C14+C15+C17+C18+C19+C20+C21+C22+C23+C24</f>
        <v>0</v>
      </c>
      <c r="D25" s="60">
        <f t="shared" ref="D25" si="5">D10+D11+D13+D14+D15+D17+D18+D19+D20+D21+D22+D23+D24</f>
        <v>2100968.4000000004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11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24512.160000000003</v>
      </c>
      <c r="C34" s="72">
        <f>-1*(C25+C29+C30+C32+C33+C35+C36+C37+C46)</f>
        <v>55020</v>
      </c>
      <c r="D34" s="60">
        <f t="shared" si="7"/>
        <v>79532.160000000003</v>
      </c>
      <c r="E34" s="18"/>
      <c r="F34" s="18" t="s">
        <v>103</v>
      </c>
      <c r="G34" s="53">
        <v>-229502.68</v>
      </c>
      <c r="H34" s="57"/>
      <c r="I34" s="60">
        <f>SUM(G34:H34)</f>
        <v>-229502.68</v>
      </c>
    </row>
    <row r="35" spans="1:11" x14ac:dyDescent="0.25">
      <c r="A35" s="18" t="s">
        <v>62</v>
      </c>
      <c r="B35" s="53">
        <v>0</v>
      </c>
      <c r="C35" s="57"/>
      <c r="D35" s="60">
        <f t="shared" si="7"/>
        <v>0</v>
      </c>
      <c r="E35" s="18"/>
      <c r="F35" s="18" t="s">
        <v>151</v>
      </c>
      <c r="G35" s="53">
        <v>366069.05</v>
      </c>
      <c r="H35" s="53">
        <v>0</v>
      </c>
      <c r="I35" s="60">
        <f t="shared" ref="I35:I36" si="8">SUM(G35:H35)</f>
        <v>366069.05</v>
      </c>
    </row>
    <row r="36" spans="1:11" x14ac:dyDescent="0.25">
      <c r="A36" s="18" t="s">
        <v>63</v>
      </c>
      <c r="B36" s="53">
        <v>10845.63</v>
      </c>
      <c r="C36" s="57"/>
      <c r="D36" s="60">
        <f t="shared" si="7"/>
        <v>10845.63</v>
      </c>
      <c r="E36" s="18"/>
      <c r="F36" s="18" t="s">
        <v>104</v>
      </c>
      <c r="G36" s="54">
        <v>0</v>
      </c>
      <c r="H36" s="67"/>
      <c r="I36" s="61">
        <f t="shared" si="8"/>
        <v>0</v>
      </c>
    </row>
    <row r="37" spans="1:11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136566.37</v>
      </c>
      <c r="H37" s="60">
        <f t="shared" ref="H37:I37" si="9">SUM(H34:H36)</f>
        <v>0</v>
      </c>
      <c r="I37" s="60">
        <f t="shared" si="9"/>
        <v>136566.37</v>
      </c>
    </row>
    <row r="38" spans="1:11" x14ac:dyDescent="0.25">
      <c r="A38" s="18" t="s">
        <v>65</v>
      </c>
      <c r="B38" s="60">
        <f>B29+B30+B32+B33+B34+B35+B36+B37</f>
        <v>35357.79</v>
      </c>
      <c r="C38" s="60">
        <f>C29+C30+C32+C33+C34+C35+C36+C37</f>
        <v>55020</v>
      </c>
      <c r="D38" s="60">
        <f t="shared" ref="D38" si="10">D29+D30+D32+D33+D34+D35+D36+D37</f>
        <v>90377.790000000008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35000</v>
      </c>
      <c r="H39" s="23"/>
      <c r="I39" s="60">
        <f>SUM(G39:H39)</f>
        <v>35000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1388282.68</v>
      </c>
      <c r="H40" s="23"/>
      <c r="I40" s="60">
        <f t="shared" ref="I40:I45" si="11">SUM(G40:H40)</f>
        <v>1388282.68</v>
      </c>
    </row>
    <row r="41" spans="1:11" x14ac:dyDescent="0.25">
      <c r="A41" s="18" t="s">
        <v>190</v>
      </c>
      <c r="B41" s="53">
        <v>20160393.839999996</v>
      </c>
      <c r="C41" s="53">
        <v>-142357</v>
      </c>
      <c r="D41" s="60">
        <f>SUM(B41:C41)</f>
        <v>20018036.839999996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11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11" x14ac:dyDescent="0.25">
      <c r="A43" s="18" t="s">
        <v>69</v>
      </c>
      <c r="B43" s="53">
        <v>71904.430000000051</v>
      </c>
      <c r="C43" s="53"/>
      <c r="D43" s="60">
        <f t="shared" si="12"/>
        <v>71904.430000000051</v>
      </c>
      <c r="E43" s="18"/>
      <c r="F43" s="18" t="s">
        <v>111</v>
      </c>
      <c r="G43" s="53">
        <v>119133.94</v>
      </c>
      <c r="H43" s="23"/>
      <c r="I43" s="60">
        <f t="shared" si="11"/>
        <v>119133.94</v>
      </c>
      <c r="K43" s="68"/>
    </row>
    <row r="44" spans="1:11" x14ac:dyDescent="0.25">
      <c r="A44" s="18" t="s">
        <v>70</v>
      </c>
      <c r="B44" s="53">
        <v>315006.53000000003</v>
      </c>
      <c r="C44" s="53"/>
      <c r="D44" s="60">
        <f t="shared" si="12"/>
        <v>315006.53000000003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11" x14ac:dyDescent="0.25">
      <c r="A45" s="18" t="s">
        <v>121</v>
      </c>
      <c r="B45" s="54">
        <v>-16715121.199999999</v>
      </c>
      <c r="C45" s="54">
        <v>87337</v>
      </c>
      <c r="D45" s="61">
        <f t="shared" si="12"/>
        <v>-16627784.199999999</v>
      </c>
      <c r="E45" s="18"/>
      <c r="F45" s="18" t="s">
        <v>181</v>
      </c>
      <c r="G45" s="54">
        <v>3727761.1399999997</v>
      </c>
      <c r="H45" s="106">
        <f>-1*(H20+H32+H37)</f>
        <v>0</v>
      </c>
      <c r="I45" s="61">
        <f t="shared" si="11"/>
        <v>3727761.1399999997</v>
      </c>
    </row>
    <row r="46" spans="1:11" x14ac:dyDescent="0.25">
      <c r="A46" s="18" t="s">
        <v>71</v>
      </c>
      <c r="B46" s="60">
        <f>B41+B42+B43+B44+B45</f>
        <v>3832183.5999999978</v>
      </c>
      <c r="C46" s="60">
        <f t="shared" ref="C46:D46" si="13">C41+C42+C43+C44+C45</f>
        <v>-55020</v>
      </c>
      <c r="D46" s="60">
        <f t="shared" si="13"/>
        <v>3777163.5999999978</v>
      </c>
      <c r="E46" s="18"/>
      <c r="F46" s="18" t="s">
        <v>114</v>
      </c>
      <c r="G46" s="60">
        <f>SUM(G39:G45)</f>
        <v>5270177.76</v>
      </c>
      <c r="H46" s="63">
        <f t="shared" ref="H46:I46" si="14">SUM(H39:H45)</f>
        <v>0</v>
      </c>
      <c r="I46" s="60">
        <f t="shared" si="14"/>
        <v>5270177.76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247</v>
      </c>
      <c r="B48" s="62">
        <f>B25+B38+B46</f>
        <v>5968509.7899999982</v>
      </c>
      <c r="C48" s="62">
        <f t="shared" ref="C48:D48" si="15">C25+C38+C46</f>
        <v>0</v>
      </c>
      <c r="D48" s="62">
        <f t="shared" si="15"/>
        <v>5968509.7899999982</v>
      </c>
      <c r="E48" s="18"/>
      <c r="F48" s="22" t="s">
        <v>115</v>
      </c>
      <c r="G48" s="62">
        <f>G20+G32+G37+G46</f>
        <v>5968509.79</v>
      </c>
      <c r="H48" s="62">
        <f t="shared" ref="H48:I48" si="16">H20+H32+H37+H46</f>
        <v>0</v>
      </c>
      <c r="I48" s="62">
        <f t="shared" si="16"/>
        <v>5968509.79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G60"/>
  <sheetViews>
    <sheetView zoomScaleNormal="100" workbookViewId="0"/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268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1265460.05</v>
      </c>
      <c r="C10" s="33">
        <f>'CurrentYearBalanceSheet '!D10</f>
        <v>1282254.3600000001</v>
      </c>
      <c r="D10" s="18"/>
      <c r="E10" s="18" t="s">
        <v>78</v>
      </c>
      <c r="F10" s="33">
        <f>PriorYearBalanceSheet!I10</f>
        <v>654545.46</v>
      </c>
      <c r="G10" s="33">
        <f>'CurrentYearBalanceSheet '!I10</f>
        <v>468695.78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12841.72</v>
      </c>
      <c r="G12" s="33">
        <f>'CurrentYearBalanceSheet '!I12</f>
        <v>18143.46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13217.09</v>
      </c>
      <c r="C14" s="33">
        <f>'CurrentYearBalanceSheet '!D14</f>
        <v>101995.71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449791.85</v>
      </c>
      <c r="C17" s="33">
        <f>'CurrentYearBalanceSheet '!D17</f>
        <v>441468.47</v>
      </c>
      <c r="D17" s="18"/>
      <c r="E17" s="18" t="s">
        <v>87</v>
      </c>
      <c r="F17" s="33">
        <f>PriorYearBalanceSheet!I17</f>
        <v>175284</v>
      </c>
      <c r="G17" s="33">
        <f>'CurrentYearBalanceSheet '!I17</f>
        <v>14243</v>
      </c>
    </row>
    <row r="18" spans="1:7" x14ac:dyDescent="0.25">
      <c r="A18" s="18" t="s">
        <v>47</v>
      </c>
      <c r="B18" s="33">
        <f>PriorYearBalanceSheet!D18</f>
        <v>126893.12000000001</v>
      </c>
      <c r="C18" s="33">
        <f>'CurrentYearBalanceSheet '!D18</f>
        <v>200907.39</v>
      </c>
      <c r="D18" s="18"/>
      <c r="E18" s="18" t="s">
        <v>88</v>
      </c>
      <c r="F18" s="33">
        <f>PriorYearBalanceSheet!I18</f>
        <v>33665.68</v>
      </c>
      <c r="G18" s="33">
        <f>'CurrentYearBalanceSheet '!I18</f>
        <v>33181.839999999997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27685.410000000003</v>
      </c>
      <c r="G19" s="33">
        <f>'CurrentYearBalanceSheet '!I19</f>
        <v>27501.579999999994</v>
      </c>
    </row>
    <row r="20" spans="1:7" x14ac:dyDescent="0.25">
      <c r="A20" s="18" t="s">
        <v>48</v>
      </c>
      <c r="B20" s="33">
        <f>PriorYearBalanceSheet!D20</f>
        <v>145.44</v>
      </c>
      <c r="C20" s="33">
        <f>'CurrentYearBalanceSheet '!D20</f>
        <v>135.28</v>
      </c>
      <c r="D20" s="18"/>
      <c r="E20" s="18" t="s">
        <v>90</v>
      </c>
      <c r="F20" s="37">
        <f>SUM(F10:F19)</f>
        <v>904022.27</v>
      </c>
      <c r="G20" s="36">
        <f>SUM(G10:G19)</f>
        <v>561765.66</v>
      </c>
    </row>
    <row r="21" spans="1:7" x14ac:dyDescent="0.25">
      <c r="A21" s="18" t="s">
        <v>49</v>
      </c>
      <c r="B21" s="33">
        <f>PriorYearBalanceSheet!D21</f>
        <v>68931.86</v>
      </c>
      <c r="C21" s="33">
        <f>'CurrentYearBalanceSheet '!D21</f>
        <v>74207.19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1924439.4100000004</v>
      </c>
      <c r="C25" s="33">
        <f>C10+C11+C13+C14+C15+C17+C18+C19+C20+C21+C22+C23+C24</f>
        <v>2100968.4000000004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147332.34</v>
      </c>
      <c r="C34" s="33">
        <f>'CurrentYearBalanceSheet '!D34</f>
        <v>79532.160000000003</v>
      </c>
      <c r="D34" s="18"/>
      <c r="E34" s="18" t="s">
        <v>103</v>
      </c>
      <c r="F34" s="33">
        <f>PriorYearBalanceSheet!I34</f>
        <v>-179261.65</v>
      </c>
      <c r="G34" s="33">
        <f>'CurrentYearBalanceSheet '!I34</f>
        <v>-229502.68</v>
      </c>
    </row>
    <row r="35" spans="1:7" x14ac:dyDescent="0.25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222</v>
      </c>
      <c r="F35" s="33">
        <f>PriorYearBalanceSheet!I35</f>
        <v>396356.17</v>
      </c>
      <c r="G35" s="33">
        <f>'CurrentYearBalanceSheet '!I35</f>
        <v>366069.05</v>
      </c>
    </row>
    <row r="36" spans="1:7" x14ac:dyDescent="0.25">
      <c r="A36" s="18" t="s">
        <v>63</v>
      </c>
      <c r="B36" s="33">
        <f>PriorYearBalanceSheet!D36</f>
        <v>7078.13</v>
      </c>
      <c r="C36" s="33">
        <f>'CurrentYearBalanceSheet '!D36</f>
        <v>10845.63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217094.52</v>
      </c>
      <c r="G37" s="33">
        <f>SUM(G34:G36)</f>
        <v>136566.37</v>
      </c>
    </row>
    <row r="38" spans="1:7" x14ac:dyDescent="0.25">
      <c r="A38" s="18" t="s">
        <v>65</v>
      </c>
      <c r="B38" s="33">
        <f>B29+B30+B32+B33+B34+B35+B36+B37</f>
        <v>154410.47</v>
      </c>
      <c r="C38" s="33">
        <f>C29+C30+C32+C33+C34+C35+C36+C37</f>
        <v>90377.790000000008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35000</v>
      </c>
      <c r="G39" s="33">
        <f>'CurrentYearBalanceSheet '!I39</f>
        <v>35000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1388282.68</v>
      </c>
      <c r="G40" s="33">
        <f>'CurrentYearBalanceSheet '!I40</f>
        <v>1388282.68</v>
      </c>
    </row>
    <row r="41" spans="1:7" x14ac:dyDescent="0.25">
      <c r="A41" s="18" t="s">
        <v>67</v>
      </c>
      <c r="B41" s="33">
        <f>PriorYearBalanceSheet!D41</f>
        <v>20660625.199999996</v>
      </c>
      <c r="C41" s="33">
        <f>'CurrentYearBalanceSheet '!D41</f>
        <v>20018036.839999996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344375.98</v>
      </c>
      <c r="C43" s="33">
        <f>'CurrentYearBalanceSheet '!D43</f>
        <v>71904.430000000051</v>
      </c>
      <c r="D43" s="18"/>
      <c r="E43" s="18" t="s">
        <v>111</v>
      </c>
      <c r="F43" s="33">
        <f>PriorYearBalanceSheet!I43</f>
        <v>96424.89</v>
      </c>
      <c r="G43" s="33">
        <f>'CurrentYearBalanceSheet '!I43</f>
        <v>119133.94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315006.53000000003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-16797667.970000003</v>
      </c>
      <c r="C45" s="34">
        <f>'CurrentYearBalanceSheet '!D45</f>
        <v>-16627784.199999999</v>
      </c>
      <c r="D45" s="18"/>
      <c r="E45" s="18" t="s">
        <v>113</v>
      </c>
      <c r="F45" s="34">
        <f>PriorYearBalanceSheet!I45</f>
        <v>3645358.7299999995</v>
      </c>
      <c r="G45" s="34">
        <f>'CurrentYearBalanceSheet '!I45</f>
        <v>3727761.1399999997</v>
      </c>
    </row>
    <row r="46" spans="1:7" x14ac:dyDescent="0.25">
      <c r="A46" s="18" t="s">
        <v>71</v>
      </c>
      <c r="B46" s="33">
        <f>SUM(B41:B45)</f>
        <v>4207333.2099999934</v>
      </c>
      <c r="C46" s="33">
        <f>SUM(C41:C45)</f>
        <v>3777163.5999999978</v>
      </c>
      <c r="D46" s="18"/>
      <c r="E46" s="18" t="s">
        <v>114</v>
      </c>
      <c r="F46" s="33">
        <f>SUM(F39:F45)</f>
        <v>5165066.2999999989</v>
      </c>
      <c r="G46" s="33">
        <f>SUM(G39:G45)</f>
        <v>5270177.76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247</v>
      </c>
      <c r="B48" s="35">
        <f>B25+B38+B46</f>
        <v>6286183.0899999943</v>
      </c>
      <c r="C48" s="35">
        <f>C25+C38+C46</f>
        <v>5968509.7899999982</v>
      </c>
      <c r="D48" s="18"/>
      <c r="E48" s="22" t="s">
        <v>115</v>
      </c>
      <c r="F48" s="35">
        <f>F20+F32+F37+F46</f>
        <v>6286183.0899999989</v>
      </c>
      <c r="G48" s="35">
        <f>G20+G32+G37+G46</f>
        <v>5968509.79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F30"/>
  <sheetViews>
    <sheetView zoomScaleNormal="100" workbookViewId="0"/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20660625.199999996</v>
      </c>
      <c r="E10" s="60">
        <f>'BalanceSheet(Summary)'!C41</f>
        <v>20018036.839999996</v>
      </c>
      <c r="F10" s="60">
        <f>(D10+E10)/2</f>
        <v>20339331.019999996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-16797667.970000003</v>
      </c>
      <c r="E12" s="60">
        <f>'BalanceSheet(Summary)'!C45</f>
        <v>-16627784.199999999</v>
      </c>
      <c r="F12" s="60">
        <f t="shared" ref="F12:F15" si="0">(D12+E12)/2</f>
        <v>-16712726.085000001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68931.86</v>
      </c>
      <c r="E13" s="60">
        <f>'BalanceSheet(Summary)'!C21</f>
        <v>74207.19</v>
      </c>
      <c r="F13" s="60">
        <f t="shared" si="0"/>
        <v>71569.524999999994</v>
      </c>
    </row>
    <row r="14" spans="1:6" x14ac:dyDescent="0.25">
      <c r="A14" s="11">
        <v>5</v>
      </c>
      <c r="B14" s="18" t="s">
        <v>132</v>
      </c>
      <c r="C14" s="20"/>
      <c r="D14" s="53">
        <v>-315732</v>
      </c>
      <c r="E14" s="53">
        <v>-474551</v>
      </c>
      <c r="F14" s="60">
        <f t="shared" si="0"/>
        <v>-395141.5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3616157.0899999929</v>
      </c>
      <c r="E15" s="64">
        <f>SUM(E10:E14)</f>
        <v>2989908.8299999968</v>
      </c>
      <c r="F15" s="65">
        <f t="shared" si="0"/>
        <v>3303032.9599999948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F29"/>
  <sheetViews>
    <sheetView zoomScaleNormal="100" workbookViewId="0"/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4051</v>
      </c>
      <c r="D10" s="53">
        <v>3984</v>
      </c>
      <c r="E10" s="33">
        <f>D10-C10</f>
        <v>-67</v>
      </c>
      <c r="F10" s="39">
        <f>E10/C10</f>
        <v>-1.6539126141693408E-2</v>
      </c>
    </row>
    <row r="11" spans="1:6" x14ac:dyDescent="0.25">
      <c r="A11" s="11">
        <v>2</v>
      </c>
      <c r="B11" s="20" t="s">
        <v>140</v>
      </c>
      <c r="C11" s="53">
        <v>492</v>
      </c>
      <c r="D11" s="53">
        <v>457</v>
      </c>
      <c r="E11" s="33">
        <f>D11-C11</f>
        <v>-35</v>
      </c>
      <c r="F11" s="39">
        <f t="shared" ref="F11:F12" si="0">E11/C11</f>
        <v>-7.113821138211382E-2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4543</v>
      </c>
      <c r="D12" s="35">
        <f t="shared" ref="D12:E12" si="1">SUM(D10:D11)</f>
        <v>4441</v>
      </c>
      <c r="E12" s="35">
        <f t="shared" si="1"/>
        <v>-102</v>
      </c>
      <c r="F12" s="40">
        <f t="shared" si="0"/>
        <v>-2.2452124147039402E-2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J81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4" t="s">
        <v>1</v>
      </c>
      <c r="C9" s="56">
        <v>1348657.75</v>
      </c>
      <c r="D9" s="53"/>
      <c r="E9" s="60">
        <f>SUM(C9:D9)</f>
        <v>1348657.75</v>
      </c>
    </row>
    <row r="10" spans="1:6" x14ac:dyDescent="0.25">
      <c r="A10" s="11">
        <v>2</v>
      </c>
      <c r="B10" s="15" t="s">
        <v>2</v>
      </c>
      <c r="C10" s="53">
        <v>1724865.4499999997</v>
      </c>
      <c r="D10" s="53"/>
      <c r="E10" s="60">
        <f t="shared" ref="E10:E14" si="0">SUM(C10:D10)</f>
        <v>1724865.4499999997</v>
      </c>
    </row>
    <row r="11" spans="1:6" x14ac:dyDescent="0.25">
      <c r="A11" s="11">
        <v>3</v>
      </c>
      <c r="B11" s="15" t="s">
        <v>3</v>
      </c>
      <c r="C11" s="53">
        <v>33.56</v>
      </c>
      <c r="D11" s="53"/>
      <c r="E11" s="60">
        <f t="shared" si="0"/>
        <v>33.56</v>
      </c>
    </row>
    <row r="12" spans="1:6" x14ac:dyDescent="0.25">
      <c r="A12" s="11">
        <v>4</v>
      </c>
      <c r="B12" s="15" t="s">
        <v>4</v>
      </c>
      <c r="C12" s="53">
        <v>121519.44</v>
      </c>
      <c r="D12" s="53"/>
      <c r="E12" s="60">
        <f t="shared" si="0"/>
        <v>121519.44</v>
      </c>
    </row>
    <row r="13" spans="1:6" x14ac:dyDescent="0.25">
      <c r="A13" s="11">
        <v>5</v>
      </c>
      <c r="B13" s="15" t="s">
        <v>5</v>
      </c>
      <c r="C13" s="53">
        <v>233666.73000000004</v>
      </c>
      <c r="D13" s="53"/>
      <c r="E13" s="60">
        <f t="shared" si="0"/>
        <v>233666.73000000004</v>
      </c>
    </row>
    <row r="14" spans="1:6" x14ac:dyDescent="0.25">
      <c r="A14" s="11">
        <v>6</v>
      </c>
      <c r="B14" s="15" t="s">
        <v>159</v>
      </c>
      <c r="C14" s="53">
        <v>-14627.49</v>
      </c>
      <c r="D14" s="53"/>
      <c r="E14" s="60">
        <f t="shared" si="0"/>
        <v>-14627.49</v>
      </c>
    </row>
    <row r="15" spans="1:6" x14ac:dyDescent="0.25">
      <c r="A15" s="11">
        <v>7</v>
      </c>
      <c r="B15" s="97" t="s">
        <v>158</v>
      </c>
      <c r="C15" s="109">
        <f>SUM(C9:C14)</f>
        <v>3414115.4399999995</v>
      </c>
      <c r="D15" s="109">
        <f t="shared" ref="D15:E15" si="1">SUM(D9:D14)</f>
        <v>0</v>
      </c>
      <c r="E15" s="109">
        <f t="shared" si="1"/>
        <v>3414115.4399999995</v>
      </c>
      <c r="F15" s="1"/>
    </row>
    <row r="16" spans="1:6" x14ac:dyDescent="0.25">
      <c r="A16" s="11">
        <v>8</v>
      </c>
      <c r="B16" s="15" t="s">
        <v>6</v>
      </c>
      <c r="C16" s="53">
        <v>711216.71999999986</v>
      </c>
      <c r="D16" s="53">
        <v>-42715</v>
      </c>
      <c r="E16" s="42">
        <f>SUM(C16:D16)</f>
        <v>668501.71999999986</v>
      </c>
    </row>
    <row r="17" spans="1:6" x14ac:dyDescent="0.25">
      <c r="A17" s="11">
        <v>9</v>
      </c>
      <c r="B17" s="15" t="s">
        <v>40</v>
      </c>
      <c r="C17" s="53">
        <v>612473.41999999993</v>
      </c>
      <c r="D17" s="53">
        <v>-34283</v>
      </c>
      <c r="E17" s="42">
        <f t="shared" ref="E17:E21" si="2">SUM(C17:D17)</f>
        <v>578190.41999999993</v>
      </c>
    </row>
    <row r="18" spans="1:6" x14ac:dyDescent="0.25">
      <c r="A18" s="11">
        <v>10</v>
      </c>
      <c r="B18" s="15" t="s">
        <v>7</v>
      </c>
      <c r="C18" s="53">
        <v>966156.85</v>
      </c>
      <c r="D18" s="53">
        <v>-104888</v>
      </c>
      <c r="E18" s="42">
        <f t="shared" si="2"/>
        <v>861268.85</v>
      </c>
    </row>
    <row r="19" spans="1:6" x14ac:dyDescent="0.25">
      <c r="A19" s="11">
        <v>11</v>
      </c>
      <c r="B19" s="15" t="s">
        <v>8</v>
      </c>
      <c r="C19" s="53">
        <v>70755.51999999999</v>
      </c>
      <c r="D19" s="53">
        <v>-10416</v>
      </c>
      <c r="E19" s="42">
        <f t="shared" si="2"/>
        <v>60339.51999999999</v>
      </c>
    </row>
    <row r="20" spans="1:6" x14ac:dyDescent="0.25">
      <c r="A20" s="11">
        <v>12</v>
      </c>
      <c r="B20" s="15" t="s">
        <v>9</v>
      </c>
      <c r="C20" s="53">
        <v>515966.92</v>
      </c>
      <c r="D20" s="53">
        <v>-33867</v>
      </c>
      <c r="E20" s="42">
        <f t="shared" si="2"/>
        <v>482099.92</v>
      </c>
    </row>
    <row r="21" spans="1:6" x14ac:dyDescent="0.25">
      <c r="A21" s="11">
        <v>13</v>
      </c>
      <c r="B21" s="15" t="s">
        <v>10</v>
      </c>
      <c r="C21" s="53">
        <v>891103.8</v>
      </c>
      <c r="D21" s="53">
        <v>-46163</v>
      </c>
      <c r="E21" s="42">
        <f t="shared" si="2"/>
        <v>844940.80000000005</v>
      </c>
    </row>
    <row r="22" spans="1:6" x14ac:dyDescent="0.25">
      <c r="A22" s="11" t="s">
        <v>154</v>
      </c>
      <c r="B22" s="15" t="s">
        <v>160</v>
      </c>
      <c r="C22" s="110"/>
      <c r="D22" s="110"/>
      <c r="E22" s="88">
        <v>0</v>
      </c>
      <c r="F22" s="48" t="s">
        <v>248</v>
      </c>
    </row>
    <row r="23" spans="1:6" x14ac:dyDescent="0.25">
      <c r="A23" s="11" t="s">
        <v>155</v>
      </c>
      <c r="B23" s="13" t="s">
        <v>156</v>
      </c>
      <c r="C23" s="85">
        <f>SUM(C21:C22)</f>
        <v>891103.8</v>
      </c>
      <c r="D23" s="60">
        <f t="shared" ref="D23:E23" si="3">SUM(D21:D22)</f>
        <v>-46163</v>
      </c>
      <c r="E23" s="87">
        <f t="shared" si="3"/>
        <v>844940.80000000005</v>
      </c>
    </row>
    <row r="24" spans="1:6" x14ac:dyDescent="0.25">
      <c r="A24" s="11">
        <v>14</v>
      </c>
      <c r="B24" s="92" t="s">
        <v>157</v>
      </c>
      <c r="C24" s="109">
        <f>C16+C17+C18+C19+C20+C23</f>
        <v>3767673.2299999995</v>
      </c>
      <c r="D24" s="109">
        <f t="shared" ref="D24:E24" si="4">D16+D17+D18+D19+D20+D23</f>
        <v>-272332</v>
      </c>
      <c r="E24" s="111">
        <f t="shared" si="4"/>
        <v>3495341.2299999995</v>
      </c>
      <c r="F24" s="1"/>
    </row>
    <row r="25" spans="1:6" x14ac:dyDescent="0.25">
      <c r="A25" s="11">
        <v>15</v>
      </c>
      <c r="B25" s="15" t="s">
        <v>14</v>
      </c>
      <c r="C25" s="60">
        <f>C15-C24</f>
        <v>-353557.79000000004</v>
      </c>
      <c r="D25" s="60">
        <f t="shared" ref="D25:E25" si="5">D15-D24</f>
        <v>272332</v>
      </c>
      <c r="E25" s="60">
        <f t="shared" si="5"/>
        <v>-81225.790000000037</v>
      </c>
    </row>
    <row r="26" spans="1:6" x14ac:dyDescent="0.25">
      <c r="A26" s="11">
        <v>16</v>
      </c>
      <c r="B26" s="15" t="s">
        <v>161</v>
      </c>
      <c r="C26" s="53">
        <v>0</v>
      </c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>
        <v>0</v>
      </c>
      <c r="D27" s="53">
        <v>0</v>
      </c>
      <c r="E27" s="60">
        <f t="shared" ref="E27:E29" si="6">SUM(C27:D27)</f>
        <v>0</v>
      </c>
    </row>
    <row r="28" spans="1:6" x14ac:dyDescent="0.25">
      <c r="A28" s="11">
        <v>18</v>
      </c>
      <c r="B28" s="15" t="s">
        <v>242</v>
      </c>
      <c r="C28" s="53">
        <v>-181614</v>
      </c>
      <c r="D28" s="108">
        <v>99266</v>
      </c>
      <c r="E28" s="60">
        <f t="shared" si="6"/>
        <v>-82348</v>
      </c>
    </row>
    <row r="29" spans="1:6" x14ac:dyDescent="0.25">
      <c r="A29" s="11">
        <v>19</v>
      </c>
      <c r="B29" s="15" t="s">
        <v>13</v>
      </c>
      <c r="C29" s="53">
        <v>165512.63</v>
      </c>
      <c r="D29" s="53">
        <v>-11284</v>
      </c>
      <c r="E29" s="60">
        <f t="shared" si="6"/>
        <v>154228.63</v>
      </c>
    </row>
    <row r="30" spans="1:6" x14ac:dyDescent="0.25">
      <c r="A30" s="11">
        <v>20</v>
      </c>
      <c r="B30" s="97" t="s">
        <v>12</v>
      </c>
      <c r="C30" s="85">
        <f>SUM(C27:C29)</f>
        <v>-16101.369999999995</v>
      </c>
      <c r="D30" s="85">
        <f t="shared" ref="D30:E30" si="7">SUM(D27:D29)</f>
        <v>87982</v>
      </c>
      <c r="E30" s="112">
        <f t="shared" si="7"/>
        <v>71880.63</v>
      </c>
    </row>
    <row r="31" spans="1:6" x14ac:dyDescent="0.25">
      <c r="A31" s="11">
        <v>21</v>
      </c>
      <c r="B31" s="97" t="s">
        <v>23</v>
      </c>
      <c r="C31" s="85">
        <f>C25+C26-C30</f>
        <v>-337456.42000000004</v>
      </c>
      <c r="D31" s="85">
        <f>D25+D26-D30</f>
        <v>184350</v>
      </c>
      <c r="E31" s="112">
        <f>E25+E26-E30</f>
        <v>-153106.42000000004</v>
      </c>
    </row>
    <row r="32" spans="1:6" x14ac:dyDescent="0.25">
      <c r="A32" s="11">
        <v>22</v>
      </c>
      <c r="B32" s="15" t="s">
        <v>15</v>
      </c>
      <c r="C32" s="53">
        <v>0</v>
      </c>
      <c r="D32" s="57"/>
      <c r="E32" s="60">
        <f>SUM(C32:D32)</f>
        <v>0</v>
      </c>
    </row>
    <row r="33" spans="1:10" x14ac:dyDescent="0.25">
      <c r="A33" s="11">
        <v>23</v>
      </c>
      <c r="B33" s="15" t="s">
        <v>16</v>
      </c>
      <c r="C33" s="53">
        <v>0</v>
      </c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0</v>
      </c>
      <c r="D34" s="57"/>
      <c r="E34" s="60">
        <f t="shared" si="8"/>
        <v>0</v>
      </c>
    </row>
    <row r="35" spans="1:10" x14ac:dyDescent="0.25">
      <c r="A35" s="11">
        <v>25</v>
      </c>
      <c r="B35" s="15" t="s">
        <v>175</v>
      </c>
      <c r="C35" s="53">
        <v>0</v>
      </c>
      <c r="D35" s="57"/>
      <c r="E35" s="61">
        <f t="shared" si="8"/>
        <v>0</v>
      </c>
    </row>
    <row r="36" spans="1:10" x14ac:dyDescent="0.25">
      <c r="A36" s="11">
        <v>26</v>
      </c>
      <c r="B36" s="97" t="s">
        <v>18</v>
      </c>
      <c r="C36" s="85">
        <f>SUM(C32:C35)</f>
        <v>0</v>
      </c>
      <c r="D36" s="113">
        <f t="shared" ref="D36" si="9">SUM(D32:D35)</f>
        <v>0</v>
      </c>
      <c r="E36" s="85">
        <f>SUM(E32:E35)</f>
        <v>0</v>
      </c>
    </row>
    <row r="37" spans="1:10" x14ac:dyDescent="0.25">
      <c r="A37" s="11">
        <v>27</v>
      </c>
      <c r="B37" s="15" t="s">
        <v>19</v>
      </c>
      <c r="C37" s="53">
        <v>505.23</v>
      </c>
      <c r="D37" s="57"/>
      <c r="E37" s="33">
        <f>SUM(C37:D37)</f>
        <v>505.23</v>
      </c>
    </row>
    <row r="38" spans="1:10" x14ac:dyDescent="0.25">
      <c r="A38" s="11">
        <v>28</v>
      </c>
      <c r="B38" s="15" t="s">
        <v>20</v>
      </c>
      <c r="C38" s="53">
        <v>0</v>
      </c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>
        <v>0</v>
      </c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810370.75999999966</v>
      </c>
      <c r="D40" s="72">
        <f>-1*(D31-D36)</f>
        <v>-184350</v>
      </c>
      <c r="E40" s="33">
        <f t="shared" si="10"/>
        <v>626020.75999999966</v>
      </c>
    </row>
    <row r="41" spans="1:10" x14ac:dyDescent="0.25">
      <c r="A41" s="11">
        <v>31</v>
      </c>
      <c r="B41" s="97" t="s">
        <v>22</v>
      </c>
      <c r="C41" s="85">
        <f>C31-C36+C37+C38+C39+C40</f>
        <v>473419.5699999996</v>
      </c>
      <c r="D41" s="85">
        <f t="shared" ref="D41:E41" si="11">D31-D36+D37+D38+D39+D40</f>
        <v>0</v>
      </c>
      <c r="E41" s="85">
        <f t="shared" si="11"/>
        <v>473419.5699999996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4529939.16</v>
      </c>
      <c r="D43" s="57"/>
      <c r="E43" s="60">
        <f t="shared" ref="E43:E48" si="12">SUM(C43:D43)</f>
        <v>4529939.16</v>
      </c>
    </row>
    <row r="44" spans="1:10" x14ac:dyDescent="0.25">
      <c r="A44" s="11">
        <v>34</v>
      </c>
      <c r="B44" s="15" t="s">
        <v>26</v>
      </c>
      <c r="C44" s="53">
        <v>0</v>
      </c>
      <c r="D44" s="57"/>
      <c r="E44" s="60">
        <f t="shared" si="12"/>
        <v>0</v>
      </c>
    </row>
    <row r="45" spans="1:10" x14ac:dyDescent="0.25">
      <c r="A45" s="11">
        <v>35</v>
      </c>
      <c r="B45" s="15" t="s">
        <v>27</v>
      </c>
      <c r="C45" s="53">
        <v>1358000</v>
      </c>
      <c r="D45" s="57"/>
      <c r="E45" s="60">
        <f t="shared" si="12"/>
        <v>1358000</v>
      </c>
    </row>
    <row r="46" spans="1:10" x14ac:dyDescent="0.25">
      <c r="A46" s="11">
        <v>36</v>
      </c>
      <c r="B46" s="15" t="s">
        <v>28</v>
      </c>
      <c r="C46" s="53">
        <v>0</v>
      </c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>
        <v>0</v>
      </c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>
        <v>0</v>
      </c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258</v>
      </c>
      <c r="C49" s="85">
        <f>(C41+C43+C44)-(C45+C46+C47+C48)</f>
        <v>3645358.7299999995</v>
      </c>
      <c r="D49" s="113">
        <f t="shared" ref="D49:E49" si="13">(D41+D43+D44)-(D45+D46+D47+D48)</f>
        <v>0</v>
      </c>
      <c r="E49" s="112">
        <f t="shared" si="13"/>
        <v>3645358.7299999995</v>
      </c>
    </row>
    <row r="50" spans="1:7" x14ac:dyDescent="0.25">
      <c r="A50" s="11">
        <v>40</v>
      </c>
      <c r="B50" s="15" t="s">
        <v>32</v>
      </c>
      <c r="C50" s="53">
        <v>0</v>
      </c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>
        <v>0</v>
      </c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>
        <v>0</v>
      </c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>
        <v>0</v>
      </c>
      <c r="D54" s="115"/>
      <c r="E54" s="33">
        <f>C54</f>
        <v>0</v>
      </c>
    </row>
    <row r="55" spans="1:7" x14ac:dyDescent="0.25">
      <c r="A55" s="11">
        <v>45</v>
      </c>
      <c r="B55" s="15" t="s">
        <v>36</v>
      </c>
      <c r="C55" s="116">
        <f>((C24+C30-C18-C19)/C15)</f>
        <v>0.79512820749845525</v>
      </c>
      <c r="D55" s="116" t="e">
        <f>((D24+D30-D18-D19)/D15)</f>
        <v>#DIV/0!</v>
      </c>
      <c r="E55" s="116">
        <f>((E24+E30-E18-E19)/E15)</f>
        <v>0.77490452109609964</v>
      </c>
    </row>
    <row r="56" spans="1:7" x14ac:dyDescent="0.25">
      <c r="A56" s="11">
        <v>46</v>
      </c>
      <c r="B56" s="15" t="s">
        <v>37</v>
      </c>
      <c r="C56" s="116">
        <f>((C24+C30+C36)/C15)</f>
        <v>1.0988415377073484</v>
      </c>
      <c r="D56" s="116" t="e">
        <f>((D24+D30+D36)/D15)</f>
        <v>#DIV/0!</v>
      </c>
      <c r="E56" s="116">
        <f>((E24+E30+E36)/E15)</f>
        <v>1.0448451209956744</v>
      </c>
    </row>
    <row r="57" spans="1:7" x14ac:dyDescent="0.25">
      <c r="A57" s="11">
        <v>47</v>
      </c>
      <c r="B57" s="15" t="s">
        <v>38</v>
      </c>
      <c r="C57" s="116" t="e">
        <f>((C41+C36)/C36)</f>
        <v>#DIV/0!</v>
      </c>
      <c r="D57" s="116" t="e">
        <f t="shared" ref="D57:E57" si="16">((D41+D36)/D36)</f>
        <v>#DIV/0!</v>
      </c>
      <c r="E57" s="116" t="e">
        <f t="shared" si="16"/>
        <v>#DIV/0!</v>
      </c>
    </row>
    <row r="58" spans="1:7" x14ac:dyDescent="0.25">
      <c r="A58" s="11">
        <v>48</v>
      </c>
      <c r="B58" s="15" t="s">
        <v>39</v>
      </c>
      <c r="C58" s="116" t="e">
        <f>(C41+C36+C18+C19)/C54</f>
        <v>#DIV/0!</v>
      </c>
      <c r="D58" s="116" t="e">
        <f t="shared" ref="D58:E58" si="17">(D41+D36+D18+D19)/D54</f>
        <v>#DIV/0!</v>
      </c>
      <c r="E58" s="116" t="e">
        <f t="shared" si="17"/>
        <v>#DIV/0!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253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G80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25">
      <c r="A9" s="10">
        <v>1</v>
      </c>
      <c r="B9" s="7" t="s">
        <v>1</v>
      </c>
      <c r="C9" s="56">
        <v>1285427.5899999999</v>
      </c>
      <c r="D9" s="53"/>
      <c r="E9" s="33">
        <f>SUM(C9:D9)</f>
        <v>1285427.5899999999</v>
      </c>
    </row>
    <row r="10" spans="1:6" x14ac:dyDescent="0.25">
      <c r="A10" s="11">
        <v>2</v>
      </c>
      <c r="B10" s="18" t="s">
        <v>2</v>
      </c>
      <c r="C10" s="53">
        <v>1792111.8099999998</v>
      </c>
      <c r="D10" s="53"/>
      <c r="E10" s="33">
        <f t="shared" ref="E10:E14" si="0">SUM(C10:D10)</f>
        <v>1792111.8099999998</v>
      </c>
    </row>
    <row r="11" spans="1:6" x14ac:dyDescent="0.25">
      <c r="A11" s="11">
        <v>3</v>
      </c>
      <c r="B11" s="18" t="s">
        <v>3</v>
      </c>
      <c r="C11" s="53">
        <v>-122.27</v>
      </c>
      <c r="D11" s="53"/>
      <c r="E11" s="33">
        <f t="shared" si="0"/>
        <v>-122.27</v>
      </c>
    </row>
    <row r="12" spans="1:6" x14ac:dyDescent="0.25">
      <c r="A12" s="11">
        <v>4</v>
      </c>
      <c r="B12" s="18" t="s">
        <v>4</v>
      </c>
      <c r="C12" s="53">
        <v>110076.90999999999</v>
      </c>
      <c r="D12" s="53"/>
      <c r="E12" s="33">
        <f t="shared" si="0"/>
        <v>110076.90999999999</v>
      </c>
    </row>
    <row r="13" spans="1:6" x14ac:dyDescent="0.25">
      <c r="A13" s="11">
        <v>5</v>
      </c>
      <c r="B13" s="18" t="s">
        <v>5</v>
      </c>
      <c r="C13" s="53">
        <v>92489.24</v>
      </c>
      <c r="D13" s="53"/>
      <c r="E13" s="33">
        <f t="shared" si="0"/>
        <v>92489.24</v>
      </c>
    </row>
    <row r="14" spans="1:6" x14ac:dyDescent="0.25">
      <c r="A14" s="11">
        <v>6</v>
      </c>
      <c r="B14" s="18" t="s">
        <v>159</v>
      </c>
      <c r="C14" s="53">
        <v>1033.05</v>
      </c>
      <c r="D14" s="53"/>
      <c r="E14" s="33">
        <f t="shared" si="0"/>
        <v>1033.05</v>
      </c>
    </row>
    <row r="15" spans="1:6" x14ac:dyDescent="0.25">
      <c r="A15" s="11">
        <v>7</v>
      </c>
      <c r="B15" s="92" t="s">
        <v>158</v>
      </c>
      <c r="C15" s="41">
        <f>SUM(C9:C14)</f>
        <v>3281016.3299999996</v>
      </c>
      <c r="D15" s="41">
        <f t="shared" ref="D15:E15" si="1">SUM(D9:D14)</f>
        <v>0</v>
      </c>
      <c r="E15" s="41">
        <f t="shared" si="1"/>
        <v>3281016.3299999996</v>
      </c>
      <c r="F15" s="1"/>
    </row>
    <row r="16" spans="1:6" x14ac:dyDescent="0.25">
      <c r="A16" s="11">
        <v>8</v>
      </c>
      <c r="B16" s="18" t="s">
        <v>6</v>
      </c>
      <c r="C16" s="53">
        <v>674682.13000000012</v>
      </c>
      <c r="D16" s="53">
        <v>-73018</v>
      </c>
      <c r="E16" s="42">
        <f>SUM(C16:D16)</f>
        <v>601664.13000000012</v>
      </c>
    </row>
    <row r="17" spans="1:6" x14ac:dyDescent="0.25">
      <c r="A17" s="11">
        <v>9</v>
      </c>
      <c r="B17" s="18" t="s">
        <v>40</v>
      </c>
      <c r="C17" s="53">
        <v>596262.65</v>
      </c>
      <c r="D17" s="53">
        <v>-37533</v>
      </c>
      <c r="E17" s="42">
        <f t="shared" ref="E17:E21" si="2">SUM(C17:D17)</f>
        <v>558729.65</v>
      </c>
    </row>
    <row r="18" spans="1:6" x14ac:dyDescent="0.25">
      <c r="A18" s="11">
        <v>10</v>
      </c>
      <c r="B18" s="18" t="s">
        <v>7</v>
      </c>
      <c r="C18" s="53">
        <v>796121.27</v>
      </c>
      <c r="D18" s="53">
        <v>-118099</v>
      </c>
      <c r="E18" s="42">
        <f t="shared" si="2"/>
        <v>678022.27</v>
      </c>
    </row>
    <row r="19" spans="1:6" x14ac:dyDescent="0.25">
      <c r="A19" s="11">
        <v>11</v>
      </c>
      <c r="B19" s="18" t="s">
        <v>8</v>
      </c>
      <c r="C19" s="53">
        <v>78983.08</v>
      </c>
      <c r="D19" s="53">
        <v>-11448</v>
      </c>
      <c r="E19" s="42">
        <f t="shared" si="2"/>
        <v>67535.08</v>
      </c>
    </row>
    <row r="20" spans="1:6" x14ac:dyDescent="0.25">
      <c r="A20" s="11">
        <v>12</v>
      </c>
      <c r="B20" s="18" t="s">
        <v>9</v>
      </c>
      <c r="C20" s="53">
        <v>420271.15</v>
      </c>
      <c r="D20" s="53">
        <v>-28744</v>
      </c>
      <c r="E20" s="42">
        <f t="shared" si="2"/>
        <v>391527.15</v>
      </c>
    </row>
    <row r="21" spans="1:6" x14ac:dyDescent="0.25">
      <c r="A21" s="11">
        <v>13</v>
      </c>
      <c r="B21" s="18" t="s">
        <v>10</v>
      </c>
      <c r="C21" s="53">
        <v>846106.84000000008</v>
      </c>
      <c r="D21" s="53">
        <v>-57691</v>
      </c>
      <c r="E21" s="42">
        <f t="shared" si="2"/>
        <v>788415.84000000008</v>
      </c>
    </row>
    <row r="22" spans="1:6" x14ac:dyDescent="0.25">
      <c r="A22" s="11" t="s">
        <v>154</v>
      </c>
      <c r="B22" s="18" t="s">
        <v>160</v>
      </c>
      <c r="C22" s="103"/>
      <c r="D22" s="103"/>
      <c r="E22" s="88">
        <v>0</v>
      </c>
      <c r="F22" s="48" t="s">
        <v>248</v>
      </c>
    </row>
    <row r="23" spans="1:6" x14ac:dyDescent="0.25">
      <c r="A23" s="11" t="s">
        <v>155</v>
      </c>
      <c r="B23" s="18" t="s">
        <v>156</v>
      </c>
      <c r="C23" s="33">
        <f>SUM(C21:C22)</f>
        <v>846106.84000000008</v>
      </c>
      <c r="D23" s="33">
        <f t="shared" ref="D23:E23" si="3">SUM(D21:D22)</f>
        <v>-57691</v>
      </c>
      <c r="E23" s="42">
        <f t="shared" si="3"/>
        <v>788415.84000000008</v>
      </c>
    </row>
    <row r="24" spans="1:6" x14ac:dyDescent="0.25">
      <c r="A24" s="11">
        <v>14</v>
      </c>
      <c r="B24" s="92" t="s">
        <v>157</v>
      </c>
      <c r="C24" s="41">
        <f>C16+C17+C18+C19+C20+C23</f>
        <v>3412427.12</v>
      </c>
      <c r="D24" s="41">
        <f t="shared" ref="D24:E24" si="4">D16+D17+D18+D19+D20+D23</f>
        <v>-326533</v>
      </c>
      <c r="E24" s="43">
        <f t="shared" si="4"/>
        <v>3085894.12</v>
      </c>
      <c r="F24" s="1"/>
    </row>
    <row r="25" spans="1:6" x14ac:dyDescent="0.25">
      <c r="A25" s="11">
        <v>15</v>
      </c>
      <c r="B25" s="18" t="s">
        <v>14</v>
      </c>
      <c r="C25" s="33">
        <f>C15-C24</f>
        <v>-131410.7900000005</v>
      </c>
      <c r="D25" s="33">
        <f t="shared" ref="D25:E25" si="5">D15-D24</f>
        <v>326533</v>
      </c>
      <c r="E25" s="33">
        <f t="shared" si="5"/>
        <v>195122.2099999995</v>
      </c>
    </row>
    <row r="26" spans="1:6" x14ac:dyDescent="0.25">
      <c r="A26" s="11">
        <v>16</v>
      </c>
      <c r="B26" s="18" t="s">
        <v>161</v>
      </c>
      <c r="C26" s="53">
        <v>0</v>
      </c>
      <c r="D26" s="53">
        <v>59336</v>
      </c>
      <c r="E26" s="33">
        <f>SUM(C26:D26)</f>
        <v>59336</v>
      </c>
    </row>
    <row r="27" spans="1:6" x14ac:dyDescent="0.25">
      <c r="A27" s="11">
        <v>17</v>
      </c>
      <c r="B27" s="18" t="s">
        <v>11</v>
      </c>
      <c r="C27" s="53">
        <v>0</v>
      </c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242</v>
      </c>
      <c r="C28" s="53">
        <v>-102741</v>
      </c>
      <c r="D28" s="108">
        <v>139623</v>
      </c>
      <c r="E28" s="33">
        <f t="shared" si="6"/>
        <v>36882</v>
      </c>
    </row>
    <row r="29" spans="1:6" x14ac:dyDescent="0.25">
      <c r="A29" s="11">
        <v>19</v>
      </c>
      <c r="B29" s="18" t="s">
        <v>13</v>
      </c>
      <c r="C29" s="53">
        <v>162217.22</v>
      </c>
      <c r="D29" s="53">
        <v>-13054</v>
      </c>
      <c r="E29" s="33">
        <f t="shared" si="6"/>
        <v>149163.22</v>
      </c>
    </row>
    <row r="30" spans="1:6" x14ac:dyDescent="0.25">
      <c r="A30" s="11">
        <v>20</v>
      </c>
      <c r="B30" s="92" t="s">
        <v>12</v>
      </c>
      <c r="C30" s="38">
        <f>SUM(C27:C29)</f>
        <v>59476.22</v>
      </c>
      <c r="D30" s="38">
        <f t="shared" ref="D30:E30" si="7">SUM(D27:D29)</f>
        <v>126569</v>
      </c>
      <c r="E30" s="44">
        <f t="shared" si="7"/>
        <v>186045.22</v>
      </c>
    </row>
    <row r="31" spans="1:6" x14ac:dyDescent="0.25">
      <c r="A31" s="11">
        <v>21</v>
      </c>
      <c r="B31" s="92" t="s">
        <v>23</v>
      </c>
      <c r="C31" s="38">
        <f>C25+C26-C30</f>
        <v>-190887.0100000005</v>
      </c>
      <c r="D31" s="38">
        <f>D25+D26-D30</f>
        <v>259300</v>
      </c>
      <c r="E31" s="44">
        <f>E25+E26-E30</f>
        <v>68412.989999999496</v>
      </c>
    </row>
    <row r="32" spans="1:6" x14ac:dyDescent="0.25">
      <c r="A32" s="11">
        <v>22</v>
      </c>
      <c r="B32" s="18" t="s">
        <v>15</v>
      </c>
      <c r="C32" s="53">
        <v>0</v>
      </c>
      <c r="D32" s="57"/>
      <c r="E32" s="33">
        <f>SUM(C32:D32)</f>
        <v>0</v>
      </c>
    </row>
    <row r="33" spans="1:5" x14ac:dyDescent="0.25">
      <c r="A33" s="11">
        <v>23</v>
      </c>
      <c r="B33" s="18" t="s">
        <v>16</v>
      </c>
      <c r="C33" s="53">
        <v>0</v>
      </c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0</v>
      </c>
      <c r="D34" s="57"/>
      <c r="E34" s="33">
        <f t="shared" si="8"/>
        <v>0</v>
      </c>
    </row>
    <row r="35" spans="1:5" x14ac:dyDescent="0.25">
      <c r="A35" s="11">
        <v>25</v>
      </c>
      <c r="B35" s="18" t="s">
        <v>175</v>
      </c>
      <c r="C35" s="53">
        <v>0</v>
      </c>
      <c r="D35" s="57"/>
      <c r="E35" s="34">
        <f t="shared" si="8"/>
        <v>0</v>
      </c>
    </row>
    <row r="36" spans="1:5" x14ac:dyDescent="0.25">
      <c r="A36" s="11">
        <v>26</v>
      </c>
      <c r="B36" s="92" t="s">
        <v>18</v>
      </c>
      <c r="C36" s="38">
        <f>SUM(C32:C35)</f>
        <v>0</v>
      </c>
      <c r="D36" s="66">
        <f t="shared" ref="D36" si="9">SUM(D32:D35)</f>
        <v>0</v>
      </c>
      <c r="E36" s="38">
        <f>SUM(E32:E35)</f>
        <v>0</v>
      </c>
    </row>
    <row r="37" spans="1:5" x14ac:dyDescent="0.25">
      <c r="A37" s="11">
        <v>27</v>
      </c>
      <c r="B37" s="18" t="s">
        <v>19</v>
      </c>
      <c r="C37" s="53">
        <v>-25647.879999999997</v>
      </c>
      <c r="D37" s="57"/>
      <c r="E37" s="33">
        <f>SUM(C37:D37)</f>
        <v>-25647.879999999997</v>
      </c>
    </row>
    <row r="38" spans="1:5" x14ac:dyDescent="0.25">
      <c r="A38" s="11">
        <v>28</v>
      </c>
      <c r="B38" s="18" t="s">
        <v>20</v>
      </c>
      <c r="C38" s="53">
        <v>0</v>
      </c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>
        <v>0</v>
      </c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855937.30000000016</v>
      </c>
      <c r="D40" s="72">
        <f>-1*(D31-D36)</f>
        <v>-259300</v>
      </c>
      <c r="E40" s="33">
        <f t="shared" si="10"/>
        <v>596637.30000000016</v>
      </c>
    </row>
    <row r="41" spans="1:5" x14ac:dyDescent="0.25">
      <c r="A41" s="11">
        <v>31</v>
      </c>
      <c r="B41" s="92" t="s">
        <v>22</v>
      </c>
      <c r="C41" s="38">
        <f>C31-C36+C37+C38+C39+C40</f>
        <v>639402.40999999968</v>
      </c>
      <c r="D41" s="38">
        <f t="shared" ref="D41:E41" si="11">D31-D36+D37+D38+D39+D40</f>
        <v>0</v>
      </c>
      <c r="E41" s="38">
        <f t="shared" si="11"/>
        <v>639402.40999999968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3645358.73</v>
      </c>
      <c r="D43" s="57"/>
      <c r="E43" s="33">
        <f t="shared" ref="E43:E48" si="12">SUM(C43:D43)</f>
        <v>3645358.73</v>
      </c>
    </row>
    <row r="44" spans="1:5" x14ac:dyDescent="0.25">
      <c r="A44" s="11">
        <v>34</v>
      </c>
      <c r="B44" s="18" t="s">
        <v>26</v>
      </c>
      <c r="C44" s="53">
        <v>0</v>
      </c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>
        <v>557000</v>
      </c>
      <c r="D45" s="57"/>
      <c r="E45" s="33">
        <f t="shared" si="12"/>
        <v>557000</v>
      </c>
    </row>
    <row r="46" spans="1:5" x14ac:dyDescent="0.25">
      <c r="A46" s="11">
        <v>36</v>
      </c>
      <c r="B46" s="18" t="s">
        <v>28</v>
      </c>
      <c r="C46" s="53">
        <v>0</v>
      </c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>
        <v>0</v>
      </c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>
        <v>0</v>
      </c>
      <c r="D48" s="57"/>
      <c r="E48" s="33">
        <f t="shared" si="12"/>
        <v>0</v>
      </c>
    </row>
    <row r="49" spans="1:7" x14ac:dyDescent="0.25">
      <c r="A49" s="11">
        <v>39</v>
      </c>
      <c r="B49" s="92" t="s">
        <v>258</v>
      </c>
      <c r="C49" s="38">
        <f>(C41+C43+C44)-(C45+C46+C47+C48)</f>
        <v>3727761.1399999997</v>
      </c>
      <c r="D49" s="66">
        <f t="shared" ref="D49:E49" si="13">(D41+D43+D44)-(D45+D46+D47+D48)</f>
        <v>0</v>
      </c>
      <c r="E49" s="44">
        <f t="shared" si="13"/>
        <v>3727761.1399999997</v>
      </c>
    </row>
    <row r="50" spans="1:7" x14ac:dyDescent="0.25">
      <c r="A50" s="11">
        <v>40</v>
      </c>
      <c r="B50" s="18" t="s">
        <v>32</v>
      </c>
      <c r="C50" s="53">
        <v>0</v>
      </c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>
        <v>0</v>
      </c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>
        <v>0</v>
      </c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0</v>
      </c>
      <c r="D54" s="107"/>
      <c r="E54" s="33">
        <f>C54</f>
        <v>0</v>
      </c>
    </row>
    <row r="55" spans="1:7" x14ac:dyDescent="0.25">
      <c r="A55" s="11">
        <v>45</v>
      </c>
      <c r="B55" s="18" t="s">
        <v>36</v>
      </c>
      <c r="C55" s="47">
        <f>((C24+C30-C18-C19)/C15)</f>
        <v>0.79146176940850532</v>
      </c>
      <c r="D55" s="47" t="e">
        <f>((D24+D30-D18-D19)/D15)</f>
        <v>#DIV/0!</v>
      </c>
      <c r="E55" s="47">
        <f>((E24+E30-E18-E19)/E15)</f>
        <v>0.76999982197589378</v>
      </c>
    </row>
    <row r="56" spans="1:7" x14ac:dyDescent="0.25">
      <c r="A56" s="11">
        <v>46</v>
      </c>
      <c r="B56" s="18" t="s">
        <v>37</v>
      </c>
      <c r="C56" s="47">
        <f>((C24+C30+C36)/C15)</f>
        <v>1.0581792319211043</v>
      </c>
      <c r="D56" s="47" t="e">
        <f>((D24+D30+D36)/D15)</f>
        <v>#DIV/0!</v>
      </c>
      <c r="E56" s="47">
        <f>((E24+E30+E36)/E15)</f>
        <v>0.99723348222408903</v>
      </c>
    </row>
    <row r="57" spans="1:7" x14ac:dyDescent="0.25">
      <c r="A57" s="11">
        <v>47</v>
      </c>
      <c r="B57" s="18" t="s">
        <v>38</v>
      </c>
      <c r="C57" s="47" t="e">
        <f>((C41+C36)/C36)</f>
        <v>#DIV/0!</v>
      </c>
      <c r="D57" s="47" t="e">
        <f t="shared" ref="D57:E57" si="16">((D41+D36)/D36)</f>
        <v>#DIV/0!</v>
      </c>
      <c r="E57" s="47" t="e">
        <f t="shared" si="16"/>
        <v>#DIV/0!</v>
      </c>
    </row>
    <row r="58" spans="1:7" x14ac:dyDescent="0.25">
      <c r="A58" s="11">
        <v>48</v>
      </c>
      <c r="B58" s="18" t="s">
        <v>39</v>
      </c>
      <c r="C58" s="47" t="e">
        <f>(C41+C36+C18+C19)/C54</f>
        <v>#DIV/0!</v>
      </c>
      <c r="D58" s="47" t="e">
        <f t="shared" ref="D58:E58" si="17">(D41+D36+D18+D19)/D54</f>
        <v>#DIV/0!</v>
      </c>
      <c r="E58" s="47" t="e">
        <f t="shared" si="17"/>
        <v>#DIV/0!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255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H73"/>
  <sheetViews>
    <sheetView zoomScaleNormal="100" workbookViewId="0"/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268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1348657.75</v>
      </c>
      <c r="D9" s="42">
        <f>'CurrentYearIncomeStmt '!E9</f>
        <v>1285427.5899999999</v>
      </c>
    </row>
    <row r="10" spans="1:5" x14ac:dyDescent="0.25">
      <c r="A10" s="11">
        <v>2</v>
      </c>
      <c r="B10" s="18" t="s">
        <v>2</v>
      </c>
      <c r="C10" s="33">
        <f>PriorYearIncomeStmt!E10</f>
        <v>1724865.4499999997</v>
      </c>
      <c r="D10" s="42">
        <f>'CurrentYearIncomeStmt '!E10</f>
        <v>1792111.8099999998</v>
      </c>
    </row>
    <row r="11" spans="1:5" x14ac:dyDescent="0.25">
      <c r="A11" s="11">
        <v>3</v>
      </c>
      <c r="B11" s="18" t="s">
        <v>3</v>
      </c>
      <c r="C11" s="33">
        <f>PriorYearIncomeStmt!E11</f>
        <v>33.56</v>
      </c>
      <c r="D11" s="42">
        <f>'CurrentYearIncomeStmt '!E11</f>
        <v>-122.27</v>
      </c>
    </row>
    <row r="12" spans="1:5" x14ac:dyDescent="0.25">
      <c r="A12" s="11">
        <v>4</v>
      </c>
      <c r="B12" s="18" t="s">
        <v>4</v>
      </c>
      <c r="C12" s="33">
        <f>PriorYearIncomeStmt!E12</f>
        <v>121519.44</v>
      </c>
      <c r="D12" s="42">
        <f>'CurrentYearIncomeStmt '!E12</f>
        <v>110076.90999999999</v>
      </c>
    </row>
    <row r="13" spans="1:5" x14ac:dyDescent="0.25">
      <c r="A13" s="11">
        <v>5</v>
      </c>
      <c r="B13" s="18" t="s">
        <v>5</v>
      </c>
      <c r="C13" s="33">
        <f>PriorYearIncomeStmt!E13</f>
        <v>233666.73000000004</v>
      </c>
      <c r="D13" s="42">
        <f>'CurrentYearIncomeStmt '!E13</f>
        <v>92489.24</v>
      </c>
    </row>
    <row r="14" spans="1:5" x14ac:dyDescent="0.25">
      <c r="A14" s="11">
        <v>6</v>
      </c>
      <c r="B14" s="18" t="s">
        <v>159</v>
      </c>
      <c r="C14" s="33">
        <f>PriorYearIncomeStmt!E14</f>
        <v>-14627.49</v>
      </c>
      <c r="D14" s="42">
        <f>'CurrentYearIncomeStmt '!E14</f>
        <v>1033.05</v>
      </c>
    </row>
    <row r="15" spans="1:5" x14ac:dyDescent="0.25">
      <c r="A15" s="11">
        <v>7</v>
      </c>
      <c r="B15" s="92" t="s">
        <v>158</v>
      </c>
      <c r="C15" s="41">
        <f>SUM(C9:C14)</f>
        <v>3414115.4399999995</v>
      </c>
      <c r="D15" s="43">
        <f t="shared" ref="D15" si="0">SUM(D9:D14)</f>
        <v>3281016.3299999996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668501.71999999986</v>
      </c>
      <c r="D16" s="42">
        <f>'CurrentYearIncomeStmt '!E16</f>
        <v>601664.13000000012</v>
      </c>
    </row>
    <row r="17" spans="1:5" x14ac:dyDescent="0.25">
      <c r="A17" s="11">
        <v>9</v>
      </c>
      <c r="B17" s="18" t="s">
        <v>40</v>
      </c>
      <c r="C17" s="33">
        <f>PriorYearIncomeStmt!E17</f>
        <v>578190.41999999993</v>
      </c>
      <c r="D17" s="42">
        <f>'CurrentYearIncomeStmt '!E17</f>
        <v>558729.65</v>
      </c>
    </row>
    <row r="18" spans="1:5" x14ac:dyDescent="0.25">
      <c r="A18" s="11">
        <v>10</v>
      </c>
      <c r="B18" s="18" t="s">
        <v>7</v>
      </c>
      <c r="C18" s="33">
        <f>PriorYearIncomeStmt!E18</f>
        <v>861268.85</v>
      </c>
      <c r="D18" s="42">
        <f>'CurrentYearIncomeStmt '!E18</f>
        <v>678022.27</v>
      </c>
    </row>
    <row r="19" spans="1:5" x14ac:dyDescent="0.25">
      <c r="A19" s="11">
        <v>11</v>
      </c>
      <c r="B19" s="18" t="s">
        <v>8</v>
      </c>
      <c r="C19" s="33">
        <f>PriorYearIncomeStmt!E19</f>
        <v>60339.51999999999</v>
      </c>
      <c r="D19" s="42">
        <f>'CurrentYearIncomeStmt '!E19</f>
        <v>67535.08</v>
      </c>
    </row>
    <row r="20" spans="1:5" x14ac:dyDescent="0.25">
      <c r="A20" s="11">
        <v>12</v>
      </c>
      <c r="B20" s="18" t="s">
        <v>9</v>
      </c>
      <c r="C20" s="33">
        <f>PriorYearIncomeStmt!E20</f>
        <v>482099.92</v>
      </c>
      <c r="D20" s="42">
        <f>'CurrentYearIncomeStmt '!E20</f>
        <v>391527.15</v>
      </c>
    </row>
    <row r="21" spans="1:5" x14ac:dyDescent="0.25">
      <c r="A21" s="11">
        <v>13</v>
      </c>
      <c r="B21" s="18" t="s">
        <v>10</v>
      </c>
      <c r="C21" s="33">
        <f>PriorYearIncomeStmt!E21</f>
        <v>844940.80000000005</v>
      </c>
      <c r="D21" s="42">
        <f>'CurrentYearIncomeStmt '!E21</f>
        <v>788415.84000000008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844940.80000000005</v>
      </c>
      <c r="D23" s="42">
        <f t="shared" ref="D23" si="1">SUM(D21:D22)</f>
        <v>788415.84000000008</v>
      </c>
    </row>
    <row r="24" spans="1:5" x14ac:dyDescent="0.25">
      <c r="A24" s="11">
        <v>14</v>
      </c>
      <c r="B24" s="92" t="s">
        <v>157</v>
      </c>
      <c r="C24" s="41">
        <f>C16+C17+C18+C19+C20+C23</f>
        <v>3495341.2299999995</v>
      </c>
      <c r="D24" s="43">
        <f t="shared" ref="D24" si="2">D16+D17+D18+D19+D20+D23</f>
        <v>3085894.12</v>
      </c>
      <c r="E24" s="1"/>
    </row>
    <row r="25" spans="1:5" x14ac:dyDescent="0.25">
      <c r="A25" s="11">
        <v>15</v>
      </c>
      <c r="B25" s="18" t="s">
        <v>14</v>
      </c>
      <c r="C25" s="33">
        <f>C15-C24</f>
        <v>-81225.790000000037</v>
      </c>
      <c r="D25" s="42">
        <f t="shared" ref="D25" si="3">D15-D24</f>
        <v>195122.2099999995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59336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-82348</v>
      </c>
      <c r="D28" s="42">
        <f>'CurrentYearIncomeStmt '!E28</f>
        <v>36882</v>
      </c>
    </row>
    <row r="29" spans="1:5" x14ac:dyDescent="0.25">
      <c r="A29" s="11">
        <v>19</v>
      </c>
      <c r="B29" s="18" t="s">
        <v>13</v>
      </c>
      <c r="C29" s="33">
        <f>PriorYearIncomeStmt!E29</f>
        <v>154228.63</v>
      </c>
      <c r="D29" s="42">
        <f>'CurrentYearIncomeStmt '!E29</f>
        <v>149163.22</v>
      </c>
    </row>
    <row r="30" spans="1:5" x14ac:dyDescent="0.25">
      <c r="A30" s="11">
        <v>20</v>
      </c>
      <c r="B30" s="92" t="s">
        <v>12</v>
      </c>
      <c r="C30" s="38">
        <f>SUM(C27:C29)</f>
        <v>71880.63</v>
      </c>
      <c r="D30" s="44">
        <f t="shared" ref="D30" si="4">SUM(D27:D29)</f>
        <v>186045.22</v>
      </c>
    </row>
    <row r="31" spans="1:5" x14ac:dyDescent="0.25">
      <c r="A31" s="11">
        <v>21</v>
      </c>
      <c r="B31" s="92" t="s">
        <v>23</v>
      </c>
      <c r="C31" s="38">
        <f>C25+C26-C30</f>
        <v>-153106.42000000004</v>
      </c>
      <c r="D31" s="44">
        <f>D25+D26-D30</f>
        <v>68412.989999999496</v>
      </c>
    </row>
    <row r="32" spans="1:5" x14ac:dyDescent="0.25">
      <c r="A32" s="11">
        <v>22</v>
      </c>
      <c r="B32" s="18" t="s">
        <v>15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0</v>
      </c>
      <c r="D34" s="42">
        <f>'CurrentYearIncomeStmt '!E34</f>
        <v>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92" t="s">
        <v>18</v>
      </c>
      <c r="C36" s="38">
        <f>SUM(C32:C35)</f>
        <v>0</v>
      </c>
      <c r="D36" s="44">
        <f t="shared" ref="D36" si="5">SUM(D32:D35)</f>
        <v>0</v>
      </c>
    </row>
    <row r="37" spans="1:4" x14ac:dyDescent="0.25">
      <c r="A37" s="11">
        <v>27</v>
      </c>
      <c r="B37" s="18" t="s">
        <v>19</v>
      </c>
      <c r="C37" s="33">
        <f>PriorYearIncomeStmt!E37</f>
        <v>505.23</v>
      </c>
      <c r="D37" s="42">
        <f>'CurrentYearIncomeStmt '!E37</f>
        <v>-25647.879999999997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626020.75999999966</v>
      </c>
      <c r="D40" s="42">
        <f>'CurrentYearIncomeStmt '!E40</f>
        <v>596637.30000000016</v>
      </c>
    </row>
    <row r="41" spans="1:4" x14ac:dyDescent="0.25">
      <c r="A41" s="11">
        <v>31</v>
      </c>
      <c r="B41" s="92" t="s">
        <v>22</v>
      </c>
      <c r="C41" s="38">
        <f>C31-C36+C37+C38+C39+C40</f>
        <v>473419.5699999996</v>
      </c>
      <c r="D41" s="44">
        <f t="shared" ref="D41" si="6">D31-D36+D37+D38+D39+D40</f>
        <v>639402.40999999968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4529939.16</v>
      </c>
      <c r="D43" s="42">
        <f>'CurrentYearIncomeStmt '!E43</f>
        <v>3645358.73</v>
      </c>
    </row>
    <row r="44" spans="1:4" x14ac:dyDescent="0.25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1358000</v>
      </c>
      <c r="D45" s="42">
        <f>'CurrentYearIncomeStmt '!E45</f>
        <v>557000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3645358.7299999995</v>
      </c>
      <c r="D49" s="44">
        <f t="shared" ref="D49" si="7">(D41+D43+D44)-(D45+D46+D47+D48)</f>
        <v>3727761.1399999997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0</v>
      </c>
      <c r="D54" s="42">
        <f>'CurrentYearIncomeStmt '!E54</f>
        <v>0</v>
      </c>
    </row>
    <row r="55" spans="1:8" x14ac:dyDescent="0.25">
      <c r="A55" s="11">
        <v>45</v>
      </c>
      <c r="B55" s="18" t="s">
        <v>36</v>
      </c>
      <c r="C55" s="50">
        <f>((C24+C30-C18-C19)/C15)</f>
        <v>0.77490452109609964</v>
      </c>
      <c r="D55" s="50">
        <f>((D24+D30-D18-D19)/D15)</f>
        <v>0.76999982197589378</v>
      </c>
    </row>
    <row r="56" spans="1:8" x14ac:dyDescent="0.25">
      <c r="A56" s="11">
        <v>46</v>
      </c>
      <c r="B56" s="18" t="s">
        <v>37</v>
      </c>
      <c r="C56" s="50">
        <f>((C24+C30+C36)/C15)</f>
        <v>1.0448451209956744</v>
      </c>
      <c r="D56" s="50">
        <f>((D24+D30+D36)/D15)</f>
        <v>0.99723348222408903</v>
      </c>
    </row>
    <row r="57" spans="1:8" x14ac:dyDescent="0.25">
      <c r="A57" s="11">
        <v>47</v>
      </c>
      <c r="B57" s="18" t="s">
        <v>38</v>
      </c>
      <c r="C57" s="50" t="e">
        <f>((C41+C36)/C36)</f>
        <v>#DIV/0!</v>
      </c>
      <c r="D57" s="50" t="e">
        <f t="shared" ref="D57" si="9">((D41+D36)/D36)</f>
        <v>#DIV/0!</v>
      </c>
    </row>
    <row r="58" spans="1:8" x14ac:dyDescent="0.25">
      <c r="A58" s="11">
        <v>48</v>
      </c>
      <c r="B58" s="18" t="s">
        <v>39</v>
      </c>
      <c r="C58" s="46" t="e">
        <f>(C41+C36+C18+C19)/C54</f>
        <v>#DIV/0!</v>
      </c>
      <c r="D58" s="50" t="e">
        <f t="shared" ref="D58" si="10">(D41+D36+D18+D19)/D54</f>
        <v>#DIV/0!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261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2015-08-28T07:00:00+00:00</Date1>
    <IsDocumentOrder xmlns="dc463f71-b30c-4ab2-9473-d307f9d35888" xsi:nil="true"/>
    <IsHighlyConfidential xmlns="dc463f71-b30c-4ab2-9473-d307f9d35888">false</IsHighlyConfidential>
    <CaseCompanyNames xmlns="dc463f71-b30c-4ab2-9473-d307f9d35888">Lewis River Telephone Company, Inc.</CaseCompanyNames>
    <DocketNumber xmlns="dc463f71-b30c-4ab2-9473-d307f9d35888">151587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CC473AAB7CA1D409892BE31B4E32D89" ma:contentTypeVersion="119" ma:contentTypeDescription="" ma:contentTypeScope="" ma:versionID="befdd5828f86f18e9c1ce16eebc84d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AA4FD1-071E-4D3D-87E6-BDCF1EF9190B}"/>
</file>

<file path=customXml/itemProps2.xml><?xml version="1.0" encoding="utf-8"?>
<ds:datastoreItem xmlns:ds="http://schemas.openxmlformats.org/officeDocument/2006/customXml" ds:itemID="{33D619B2-9208-463D-A7D4-3465A9EBC12F}"/>
</file>

<file path=customXml/itemProps3.xml><?xml version="1.0" encoding="utf-8"?>
<ds:datastoreItem xmlns:ds="http://schemas.openxmlformats.org/officeDocument/2006/customXml" ds:itemID="{6D6F2B5D-2BB2-4D68-9269-4A032EBE9F22}"/>
</file>

<file path=customXml/itemProps4.xml><?xml version="1.0" encoding="utf-8"?>
<ds:datastoreItem xmlns:ds="http://schemas.openxmlformats.org/officeDocument/2006/customXml" ds:itemID="{4B314B8A-AE4B-47F9-BE8D-68A5882A5B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usrdud</cp:lastModifiedBy>
  <cp:lastPrinted>2015-07-31T15:49:20Z</cp:lastPrinted>
  <dcterms:created xsi:type="dcterms:W3CDTF">2014-05-21T17:51:51Z</dcterms:created>
  <dcterms:modified xsi:type="dcterms:W3CDTF">2015-08-27T15:21:32Z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0x0101006E56B4D1795A2E4DB2F0B01679ED314A008CC473AAB7CA1D409892BE31B4E32D89</vt:lpwstr>
  </property>
  <property fmtid="{D5CDD505-2E9C-101B-9397-08002B2CF9AE}" pid="3" name="_docset_NoMedatataSyncRequired">
    <vt:lpwstr>False</vt:lpwstr>
  </property>
</Properties>
</file>