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90" yWindow="-195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C24" i="16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48" i="5" l="1"/>
  <c r="C21" i="16"/>
  <c r="C25" i="16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<sst xmlns="http://schemas.openxmlformats.org/spreadsheetml/2006/main" count="643" uniqueCount="269">
  <si>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</si>
  <si>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</si>
  <si>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</si>
  <si>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</si>
  <si>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</si>
  <si>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</si>
  <si>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</si>
  <si>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</si>
  <si>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</si>
  <si>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</si>
  <si>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</si>
  <si>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</si>
  <si>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</si>
  <si>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</si>
  <si>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</si>
  <si>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</si>
  <si>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</si>
  <si>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</si>
  <si>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</si>
  <si>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</si>
  <si>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</si>
  <si>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</si>
  <si>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</si>
  <si>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</si>
  <si>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</si>
  <si>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</si>
  <si>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</si>
  <si>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</si>
  <si>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</si>
  <si>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</si>
  <si>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</si>
  <si>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</si>
  <si>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</si>
  <si>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</si>
  <si>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</si>
  <si>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</si>
  <si>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</si>
  <si>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</si>
  <si>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</si>
  <si>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</si>
  <si>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</si>
  <si>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</si>
  <si>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</si>
  <si>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</si>
  <si>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</si>
  <si>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</si>
  <si>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</si>
  <si>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</si>
  <si>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</si>
  <si>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</si>
  <si>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</si>
  <si>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</si>
  <si>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</si>
  <si>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</si>
  <si>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</si>
  <si>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</si>
  <si>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</si>
  <si>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</si>
  <si>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</si>
  <si>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</si>
  <si>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</si>
  <si>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</si>
  <si>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</si>
  <si>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</si>
  <si>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</si>
  <si>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</si>
  <si>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</si>
  <si>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</si>
  <si>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</si>
  <si>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</si>
  <si>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</si>
  <si>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</si>
  <si>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</si>
  <si>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</si>
  <si>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</si>
  <si>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</si>
  <si>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</si>
  <si>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</si>
  <si>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</si>
  <si>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</si>
  <si>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</si>
  <si>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</si>
  <si>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</si>
  <si>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</si>
  <si>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</si>
  <si>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</si>
  <si>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</si>
  <si>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</si>
  <si>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</si>
  <si>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</si>
  <si>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</si>
  <si>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</si>
  <si>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</si>
  <si>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</si>
  <si>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</si>
  <si>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</si>
  <si>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</si>
  <si>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</si>
  <si>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</si>
  <si>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</si>
  <si>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</si>
  <si>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</si>
  <si>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</si>
  <si>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</si>
  <si>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</si>
  <si>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</si>
  <si>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</si>
  <si>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</si>
  <si>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</si>
  <si>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</si>
  <si>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</si>
  <si>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</si>
  <si>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</si>
  <si>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</si>
  <si>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</si>
  <si>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</si>
  <si>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</si>
  <si>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</si>
  <si>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</si>
  <si>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</si>
  <si>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</si>
  <si>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</si>
  <si>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</si>
  <si>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</si>
  <si>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</si>
  <si>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</si>
  <si>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</si>
  <si>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</si>
  <si>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</si>
  <si>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</si>
  <si>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</si>
  <si>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</si>
  <si>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</si>
  <si>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</si>
  <si>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</si>
  <si>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</si>
  <si>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</si>
  <si>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</si>
  <si>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</si>
  <si>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</si>
  <si>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</si>
  <si>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</si>
  <si>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</si>
  <si>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</si>
  <si>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</si>
  <si>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</si>
  <si>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</si>
  <si>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</si>
  <si>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</si>
  <si>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</si>
  <si>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</si>
  <si>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</si>
  <si>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</si>
  <si>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</si>
  <si>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</si>
  <si>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</si>
  <si>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</si>
  <si>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</si>
  <si>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</si>
  <si>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</si>
  <si>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</si>
  <si>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</si>
  <si>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</si>
  <si>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</si>
  <si>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</si>
  <si>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</si>
  <si>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</si>
  <si>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</si>
  <si>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</si>
  <si>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</si>
  <si>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</si>
  <si>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</si>
  <si>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</si>
  <si>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</si>
  <si>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</si>
  <si>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</si>
  <si>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</si>
  <si>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</si>
  <si>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</si>
  <si>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</si>
  <si>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</si>
  <si>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</si>
  <si>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</si>
  <si>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</si>
  <si>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</si>
  <si>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</si>
  <si>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</si>
  <si>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</si>
  <si>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</si>
  <si>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</si>
  <si>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</si>
  <si>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</si>
  <si>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</si>
  <si>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</si>
  <si>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</si>
  <si>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</si>
  <si>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</si>
  <si>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</si>
  <si>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</si>
  <si>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</si>
  <si>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</si>
  <si>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</si>
  <si>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</si>
  <si>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</si>
  <si>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</si>
  <si>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</si>
  <si>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</si>
  <si>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</si>
  <si>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</si>
  <si>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</si>
  <si>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</si>
  <si>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</si>
  <si>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</si>
  <si>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</si>
  <si>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</si>
  <si>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</si>
  <si>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</si>
  <si>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</si>
  <si>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</si>
  <si>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</si>
  <si>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</si>
  <si>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</si>
  <si>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</si>
  <si>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</si>
  <si>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</si>
  <si>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</si>
  <si>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</si>
  <si>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</si>
  <si>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</si>
  <si>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</si>
  <si>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</si>
  <si>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</si>
  <si>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</si>
  <si>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</si>
  <si>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</si>
  <si>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</si>
  <si>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</si>
  <si>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</si>
  <si>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</si>
  <si>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</si>
  <si>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</si>
  <si>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</si>
  <si>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</si>
  <si>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</si>
  <si>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</si>
  <si>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</si>
  <si>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</si>
  <si>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</si>
  <si>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</si>
  <si>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</si>
  <si>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</si>
  <si>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</si>
  <si>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</si>
  <si>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</si>
  <si>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</si>
  <si>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</si>
  <si>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</si>
  <si>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</si>
  <si>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</si>
  <si>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</si>
  <si>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</si>
  <si>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</si>
  <si>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</si>
  <si>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</si>
  <si>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</si>
  <si>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</si>
  <si>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</si>
  <si>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</si>
  <si>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Asotin Telephone Co.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</si>
</sst>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91176.78</v>
      </c>
      <c r="E9" s="56">
        <v>93037.180000000008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108390.14000000001</v>
      </c>
      <c r="E11" s="53">
        <v>23880.270000000004</v>
      </c>
    </row>
    <row r="12" spans="1:5" x14ac:dyDescent="0.25">
      <c r="A12" s="11" t="s">
        <v>217</v>
      </c>
      <c r="B12" s="18" t="s">
        <v>260</v>
      </c>
      <c r="C12" s="11"/>
      <c r="D12" s="53">
        <v>83985.36</v>
      </c>
      <c r="E12" s="53">
        <v>171237.65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21383.39</v>
      </c>
      <c r="E14" s="53">
        <v>14605.509999999998</v>
      </c>
    </row>
    <row r="15" spans="1:5" x14ac:dyDescent="0.25">
      <c r="A15" s="11" t="s">
        <v>219</v>
      </c>
      <c r="B15" s="18" t="s">
        <v>169</v>
      </c>
      <c r="C15" s="11"/>
      <c r="D15" s="53">
        <v>66735</v>
      </c>
      <c r="E15" s="53">
        <v>124820.6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401108</v>
      </c>
      <c r="E16" s="53">
        <v>238981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64184.56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772778.67</v>
      </c>
      <c r="E19" s="36">
        <f>E9+E11+E12+E14+E15+E16+E17+E18</f>
        <v>730746.77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772778.67</v>
      </c>
      <c r="E20" s="38">
        <f>IncomeStmtSummary!D10</f>
        <v>730746.77000000014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1364331.8900000001</v>
      </c>
    </row>
    <row r="11" spans="1:3" x14ac:dyDescent="0.25">
      <c r="A11" s="78">
        <v>2</v>
      </c>
      <c r="B11" s="83" t="s">
        <v>206</v>
      </c>
      <c r="C11" s="105">
        <f>'RateBase '!E15</f>
        <v>1182483.6599999992</v>
      </c>
    </row>
    <row r="12" spans="1:3" x14ac:dyDescent="0.25">
      <c r="A12" s="78">
        <v>3</v>
      </c>
      <c r="B12" s="98" t="s">
        <v>207</v>
      </c>
      <c r="C12" s="85">
        <f>(C10+C11)/2</f>
        <v>1273407.7749999997</v>
      </c>
    </row>
    <row r="13" spans="1:3" x14ac:dyDescent="0.25">
      <c r="A13" s="78">
        <v>4</v>
      </c>
      <c r="B13" s="83" t="s">
        <v>208</v>
      </c>
      <c r="C13" s="60">
        <f>IncomeStmtSummary!D31</f>
        <v>58962.720000000088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58962.720000000088</v>
      </c>
    </row>
    <row r="16" spans="1:3" x14ac:dyDescent="0.25">
      <c r="A16" s="78">
        <v>7</v>
      </c>
      <c r="B16" s="98" t="s">
        <v>209</v>
      </c>
      <c r="C16" s="86">
        <f>C15/C12</f>
        <v>4.6303094073695365E-2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v>4670097000</v>
      </c>
    </row>
    <row r="20" spans="1:7" x14ac:dyDescent="0.25">
      <c r="A20" s="78">
        <v>9</v>
      </c>
      <c r="B20" s="83" t="s">
        <v>214</v>
      </c>
      <c r="C20" s="88">
        <v>4455011000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4562554000</v>
      </c>
    </row>
    <row r="22" spans="1:7" x14ac:dyDescent="0.25">
      <c r="A22" s="78">
        <v>11</v>
      </c>
      <c r="B22" s="83" t="s">
        <v>215</v>
      </c>
      <c r="C22" s="53">
        <v>-147292000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-147292000</v>
      </c>
    </row>
    <row r="25" spans="1:7" x14ac:dyDescent="0.25">
      <c r="A25" s="95">
        <v>14</v>
      </c>
      <c r="B25" s="102" t="s">
        <v>211</v>
      </c>
      <c r="C25" s="89">
        <f>C24/C21</f>
        <v>-3.228279599540082E-2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792876.27</v>
      </c>
      <c r="C10" s="57"/>
      <c r="D10" s="60">
        <f>SUM(B10:C10)</f>
        <v>792876.27</v>
      </c>
      <c r="E10" s="18"/>
      <c r="F10" s="18" t="s">
        <v>78</v>
      </c>
      <c r="G10" s="53">
        <v>188124.97</v>
      </c>
      <c r="H10" s="57"/>
      <c r="I10" s="60">
        <f>SUM(G10:H10)</f>
        <v>188124.97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11048.98</v>
      </c>
      <c r="H12" s="57"/>
      <c r="I12" s="60">
        <f t="shared" si="0"/>
        <v>11048.98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42986.19</v>
      </c>
      <c r="C14" s="57"/>
      <c r="D14" s="60">
        <f t="shared" ref="D14:D15" si="1">SUM(B14:C14)</f>
        <v>42986.19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51597.87000000001</v>
      </c>
      <c r="C17" s="57"/>
      <c r="D17" s="60">
        <f>SUM(B17:C17)</f>
        <v>51597.87000000001</v>
      </c>
      <c r="E17" s="19"/>
      <c r="F17" s="18" t="s">
        <v>87</v>
      </c>
      <c r="G17" s="53">
        <v>-1468.05</v>
      </c>
      <c r="H17" s="57"/>
      <c r="I17" s="60">
        <f t="shared" si="0"/>
        <v>-1468.05</v>
      </c>
    </row>
    <row r="18" spans="1:9" x14ac:dyDescent="0.25">
      <c r="A18" s="18" t="s">
        <v>47</v>
      </c>
      <c r="B18" s="53">
        <v>95184.799999999988</v>
      </c>
      <c r="C18" s="57"/>
      <c r="D18" s="60">
        <f t="shared" ref="D18:D24" si="2">SUM(B18:C18)</f>
        <v>95184.799999999988</v>
      </c>
      <c r="E18" s="18"/>
      <c r="F18" s="18" t="s">
        <v>88</v>
      </c>
      <c r="G18" s="53">
        <v>8013.4699999999993</v>
      </c>
      <c r="H18" s="57"/>
      <c r="I18" s="60">
        <f t="shared" si="0"/>
        <v>8013.4699999999993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4949.2299999999996</v>
      </c>
      <c r="H19" s="67"/>
      <c r="I19" s="61">
        <f t="shared" si="0"/>
        <v>4949.2299999999996</v>
      </c>
    </row>
    <row r="20" spans="1:9" x14ac:dyDescent="0.25">
      <c r="A20" s="18" t="s">
        <v>48</v>
      </c>
      <c r="B20" s="53">
        <v>127.24</v>
      </c>
      <c r="C20" s="57"/>
      <c r="D20" s="60">
        <f t="shared" si="2"/>
        <v>127.24</v>
      </c>
      <c r="E20" s="18"/>
      <c r="F20" s="18" t="s">
        <v>120</v>
      </c>
      <c r="G20" s="60">
        <f>SUM(G10:G19)</f>
        <v>210668.60000000003</v>
      </c>
      <c r="H20" s="60">
        <f>SUM(H10:H19)</f>
        <v>0</v>
      </c>
      <c r="I20" s="60">
        <f t="shared" ref="I20" si="3">SUM(I10:I19)</f>
        <v>210668.60000000003</v>
      </c>
    </row>
    <row r="21" spans="1:9" x14ac:dyDescent="0.25">
      <c r="A21" s="18" t="s">
        <v>49</v>
      </c>
      <c r="B21" s="53">
        <v>12496.88</v>
      </c>
      <c r="C21" s="57"/>
      <c r="D21" s="60">
        <f t="shared" si="2"/>
        <v>12496.88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1924.75</v>
      </c>
      <c r="C23" s="57"/>
      <c r="D23" s="60">
        <f t="shared" si="2"/>
        <v>1924.75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997193.99999999988</v>
      </c>
      <c r="C25" s="60">
        <f>C10+C11+C13+C14+C15+C17+C18+C19+C20+C21+C22+C23+C24</f>
        <v>0</v>
      </c>
      <c r="D25" s="60">
        <f t="shared" ref="D25" si="5">D10+D11+D13+D14+D15+D17+D18+D19+D20+D21+D22+D23+D24</f>
        <v>997193.99999999988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0</v>
      </c>
      <c r="C34" s="72">
        <f>-1*(C25+C29+C30+C32+C33+C35+C36+C37+C46)</f>
        <v>7908</v>
      </c>
      <c r="D34" s="60">
        <f t="shared" si="7"/>
        <v>7908</v>
      </c>
      <c r="E34" s="18"/>
      <c r="F34" s="18" t="s">
        <v>103</v>
      </c>
      <c r="G34" s="53">
        <v>-70891.240000000005</v>
      </c>
      <c r="H34" s="57"/>
      <c r="I34" s="60">
        <f>SUM(G34:H34)</f>
        <v>-70891.240000000005</v>
      </c>
    </row>
    <row r="35" spans="1:9" x14ac:dyDescent="0.25">
      <c r="A35" s="18" t="s">
        <v>62</v>
      </c>
      <c r="B35" s="53">
        <v>26675.309999999998</v>
      </c>
      <c r="C35" s="57"/>
      <c r="D35" s="60">
        <f t="shared" si="7"/>
        <v>26675.309999999998</v>
      </c>
      <c r="E35" s="18"/>
      <c r="F35" s="18" t="s">
        <v>151</v>
      </c>
      <c r="G35" s="53">
        <v>155502.01999999999</v>
      </c>
      <c r="H35" s="53">
        <v>0</v>
      </c>
      <c r="I35" s="60">
        <f t="shared" ref="I35:I36" si="8">SUM(G35:H35)</f>
        <v>155502.01999999999</v>
      </c>
    </row>
    <row r="36" spans="1:9" x14ac:dyDescent="0.25">
      <c r="A36" s="18" t="s">
        <v>63</v>
      </c>
      <c r="B36" s="53">
        <v>87.49</v>
      </c>
      <c r="C36" s="57"/>
      <c r="D36" s="60">
        <f t="shared" si="7"/>
        <v>87.49</v>
      </c>
      <c r="E36" s="18"/>
      <c r="F36" s="18" t="s">
        <v>104</v>
      </c>
      <c r="G36" s="54">
        <v>448.82</v>
      </c>
      <c r="H36" s="67"/>
      <c r="I36" s="61">
        <f t="shared" si="8"/>
        <v>448.82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85059.599999999991</v>
      </c>
      <c r="H37" s="60">
        <f t="shared" ref="H37:I37" si="9">SUM(H34:H36)</f>
        <v>0</v>
      </c>
      <c r="I37" s="60">
        <f t="shared" si="9"/>
        <v>85059.599999999991</v>
      </c>
    </row>
    <row r="38" spans="1:9" x14ac:dyDescent="0.25">
      <c r="A38" s="18" t="s">
        <v>65</v>
      </c>
      <c r="B38" s="60">
        <f>B29+B30+B32+B33+B34+B35+B36+B37</f>
        <v>26762.799999999999</v>
      </c>
      <c r="C38" s="60">
        <f>C29+C30+C32+C33+C34+C35+C36+C37</f>
        <v>7908</v>
      </c>
      <c r="D38" s="60">
        <f t="shared" ref="D38" si="10">D29+D30+D32+D33+D34+D35+D36+D37</f>
        <v>34670.799999999996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25809.17</v>
      </c>
      <c r="H39" s="23"/>
      <c r="I39" s="60">
        <f>SUM(G39:H39)</f>
        <v>25809.17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317382.58</v>
      </c>
      <c r="H40" s="23"/>
      <c r="I40" s="60">
        <f t="shared" ref="I40:I45" si="11">SUM(G40:H40)</f>
        <v>317382.58</v>
      </c>
    </row>
    <row r="41" spans="1:9" x14ac:dyDescent="0.25">
      <c r="A41" s="18" t="s">
        <v>190</v>
      </c>
      <c r="B41" s="53">
        <v>8091368.8300000001</v>
      </c>
      <c r="C41" s="53">
        <v>-18617</v>
      </c>
      <c r="D41" s="60">
        <f>SUM(B41:C41)</f>
        <v>8072751.8300000001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115375.36999999997</v>
      </c>
      <c r="C43" s="53"/>
      <c r="D43" s="60">
        <f t="shared" si="12"/>
        <v>115375.36999999997</v>
      </c>
      <c r="E43" s="18"/>
      <c r="F43" s="18" t="s">
        <v>111</v>
      </c>
      <c r="G43" s="53">
        <v>33064.44</v>
      </c>
      <c r="H43" s="23"/>
      <c r="I43" s="60">
        <f t="shared" si="11"/>
        <v>33064.44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-6602203.5499999998</v>
      </c>
      <c r="C45" s="54">
        <v>10709</v>
      </c>
      <c r="D45" s="61">
        <f t="shared" si="12"/>
        <v>-6591494.5499999998</v>
      </c>
      <c r="E45" s="18"/>
      <c r="F45" s="18" t="s">
        <v>181</v>
      </c>
      <c r="G45" s="54">
        <v>1956512.6200000003</v>
      </c>
      <c r="H45" s="106">
        <f>-1*(H20+H32+H37)</f>
        <v>0</v>
      </c>
      <c r="I45" s="61">
        <f t="shared" si="11"/>
        <v>1956512.6200000003</v>
      </c>
    </row>
    <row r="46" spans="1:9" x14ac:dyDescent="0.25">
      <c r="A46" s="18" t="s">
        <v>71</v>
      </c>
      <c r="B46" s="60">
        <f>B41+B42+B43+B44+B45</f>
        <v>1604540.6500000004</v>
      </c>
      <c r="C46" s="60">
        <f t="shared" ref="C46:D46" si="13">C41+C42+C43+C44+C45</f>
        <v>-7908</v>
      </c>
      <c r="D46" s="60">
        <f t="shared" si="13"/>
        <v>1596632.6500000004</v>
      </c>
      <c r="E46" s="18"/>
      <c r="F46" s="18" t="s">
        <v>114</v>
      </c>
      <c r="G46" s="60">
        <f>SUM(G39:G45)</f>
        <v>2332768.8100000005</v>
      </c>
      <c r="H46" s="63">
        <f t="shared" ref="H46:I46" si="14">SUM(H39:H45)</f>
        <v>0</v>
      </c>
      <c r="I46" s="60">
        <f t="shared" si="14"/>
        <v>2332768.8100000005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2628497.4500000002</v>
      </c>
      <c r="C48" s="62">
        <f t="shared" ref="C48:D48" si="15">C25+C38+C46</f>
        <v>0</v>
      </c>
      <c r="D48" s="62">
        <f t="shared" si="15"/>
        <v>2628497.4500000002</v>
      </c>
      <c r="E48" s="18"/>
      <c r="F48" s="22" t="s">
        <v>115</v>
      </c>
      <c r="G48" s="62">
        <f>G20+G32+G37+G46</f>
        <v>2628497.0100000007</v>
      </c>
      <c r="H48" s="62">
        <f t="shared" ref="H48:I48" si="16">H20+H32+H37+H46</f>
        <v>0</v>
      </c>
      <c r="I48" s="62">
        <f t="shared" si="16"/>
        <v>2628497.0100000007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831198.78999999992</v>
      </c>
      <c r="C10" s="57"/>
      <c r="D10" s="60">
        <f>SUM(B10:C10)</f>
        <v>831198.78999999992</v>
      </c>
      <c r="E10" s="18"/>
      <c r="F10" s="18" t="s">
        <v>78</v>
      </c>
      <c r="G10" s="53">
        <v>129840.01000000002</v>
      </c>
      <c r="H10" s="57"/>
      <c r="I10" s="60">
        <f>SUM(G10:H10)</f>
        <v>129840.01000000002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11062.4</v>
      </c>
      <c r="H12" s="57"/>
      <c r="I12" s="60">
        <f t="shared" si="0"/>
        <v>11062.4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78315.19</v>
      </c>
      <c r="C14" s="57"/>
      <c r="D14" s="60">
        <f t="shared" ref="D14:D15" si="1">SUM(B14:C14)</f>
        <v>78315.19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49555.39</v>
      </c>
      <c r="C17" s="57"/>
      <c r="D17" s="60">
        <f>SUM(B17:C17)</f>
        <v>49555.39</v>
      </c>
      <c r="E17" s="19"/>
      <c r="F17" s="18" t="s">
        <v>87</v>
      </c>
      <c r="G17" s="53">
        <v>-1051.98</v>
      </c>
      <c r="H17" s="57"/>
      <c r="I17" s="60">
        <f t="shared" si="0"/>
        <v>-1051.98</v>
      </c>
    </row>
    <row r="18" spans="1:9" x14ac:dyDescent="0.25">
      <c r="A18" s="18" t="s">
        <v>47</v>
      </c>
      <c r="B18" s="53">
        <v>158643.32</v>
      </c>
      <c r="C18" s="57"/>
      <c r="D18" s="60">
        <f t="shared" ref="D18:D24" si="2">SUM(B18:C18)</f>
        <v>158643.32</v>
      </c>
      <c r="E18" s="18"/>
      <c r="F18" s="18" t="s">
        <v>88</v>
      </c>
      <c r="G18" s="53">
        <v>7462.0300000000007</v>
      </c>
      <c r="H18" s="57"/>
      <c r="I18" s="60">
        <f t="shared" si="0"/>
        <v>7462.0300000000007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6536.3200000000006</v>
      </c>
      <c r="H19" s="67"/>
      <c r="I19" s="61">
        <f t="shared" si="0"/>
        <v>6536.3200000000006</v>
      </c>
    </row>
    <row r="20" spans="1:9" x14ac:dyDescent="0.25">
      <c r="A20" s="18" t="s">
        <v>48</v>
      </c>
      <c r="B20" s="53">
        <v>118.1</v>
      </c>
      <c r="C20" s="57"/>
      <c r="D20" s="60">
        <f t="shared" si="2"/>
        <v>118.1</v>
      </c>
      <c r="E20" s="18"/>
      <c r="F20" s="18" t="s">
        <v>120</v>
      </c>
      <c r="G20" s="60">
        <f>SUM(G10:G19)</f>
        <v>153848.78000000003</v>
      </c>
      <c r="H20" s="60">
        <f>SUM(H10:H19)</f>
        <v>0</v>
      </c>
      <c r="I20" s="60">
        <f t="shared" ref="I20" si="3">SUM(I10:I19)</f>
        <v>153848.78000000003</v>
      </c>
    </row>
    <row r="21" spans="1:9" x14ac:dyDescent="0.25">
      <c r="A21" s="18" t="s">
        <v>49</v>
      </c>
      <c r="B21" s="53">
        <v>10455.61</v>
      </c>
      <c r="C21" s="55"/>
      <c r="D21" s="60">
        <f t="shared" si="2"/>
        <v>10455.61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1920.64</v>
      </c>
      <c r="C23" s="57"/>
      <c r="D23" s="60">
        <f t="shared" si="2"/>
        <v>1920.64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1130207.04</v>
      </c>
      <c r="C25" s="60">
        <f>C10+C11+C13+C14+C15+C17+C18+C19+C20+C21+C22+C23+C24</f>
        <v>0</v>
      </c>
      <c r="D25" s="60">
        <f t="shared" ref="D25" si="5">D10+D11+D13+D14+D15+D17+D18+D19+D20+D21+D22+D23+D24</f>
        <v>1130207.04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0</v>
      </c>
      <c r="C34" s="72">
        <f>-1*(C25+C29+C30+C32+C33+C35+C36+C37+C46)</f>
        <v>6928</v>
      </c>
      <c r="D34" s="60">
        <f t="shared" si="7"/>
        <v>6928</v>
      </c>
      <c r="E34" s="18"/>
      <c r="F34" s="18" t="s">
        <v>103</v>
      </c>
      <c r="G34" s="53">
        <v>-85670.290000000008</v>
      </c>
      <c r="H34" s="57"/>
      <c r="I34" s="60">
        <f>SUM(G34:H34)</f>
        <v>-85670.290000000008</v>
      </c>
    </row>
    <row r="35" spans="1:11" x14ac:dyDescent="0.25">
      <c r="A35" s="18" t="s">
        <v>62</v>
      </c>
      <c r="B35" s="53">
        <v>25234.63</v>
      </c>
      <c r="C35" s="57"/>
      <c r="D35" s="60">
        <f t="shared" si="7"/>
        <v>25234.63</v>
      </c>
      <c r="E35" s="18"/>
      <c r="F35" s="18" t="s">
        <v>151</v>
      </c>
      <c r="G35" s="53">
        <v>132806.43999999997</v>
      </c>
      <c r="H35" s="53">
        <v>0</v>
      </c>
      <c r="I35" s="60">
        <f t="shared" ref="I35:I36" si="8">SUM(G35:H35)</f>
        <v>132806.43999999997</v>
      </c>
    </row>
    <row r="36" spans="1:11" x14ac:dyDescent="0.25">
      <c r="A36" s="18" t="s">
        <v>63</v>
      </c>
      <c r="B36" s="53">
        <v>87.3</v>
      </c>
      <c r="C36" s="57"/>
      <c r="D36" s="60">
        <f t="shared" si="7"/>
        <v>87.3</v>
      </c>
      <c r="E36" s="18"/>
      <c r="F36" s="18" t="s">
        <v>104</v>
      </c>
      <c r="G36" s="54">
        <v>292.45999999999998</v>
      </c>
      <c r="H36" s="67"/>
      <c r="I36" s="61">
        <f t="shared" si="8"/>
        <v>292.45999999999998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47428.609999999964</v>
      </c>
      <c r="H37" s="60">
        <f t="shared" ref="H37:I37" si="9">SUM(H34:H36)</f>
        <v>0</v>
      </c>
      <c r="I37" s="60">
        <f t="shared" si="9"/>
        <v>47428.609999999964</v>
      </c>
    </row>
    <row r="38" spans="1:11" x14ac:dyDescent="0.25">
      <c r="A38" s="18" t="s">
        <v>65</v>
      </c>
      <c r="B38" s="60">
        <f>B29+B30+B32+B33+B34+B35+B36+B37</f>
        <v>25321.93</v>
      </c>
      <c r="C38" s="60">
        <f>C29+C30+C32+C33+C34+C35+C36+C37</f>
        <v>6928</v>
      </c>
      <c r="D38" s="60">
        <f t="shared" ref="D38" si="10">D29+D30+D32+D33+D34+D35+D36+D37</f>
        <v>32249.93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25754.080000000002</v>
      </c>
      <c r="H39" s="23"/>
      <c r="I39" s="60">
        <f>SUM(G39:H39)</f>
        <v>25754.080000000002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316705.14</v>
      </c>
      <c r="H40" s="23"/>
      <c r="I40" s="60">
        <f t="shared" ref="I40:I45" si="11">SUM(G40:H40)</f>
        <v>316705.14</v>
      </c>
    </row>
    <row r="41" spans="1:11" x14ac:dyDescent="0.25">
      <c r="A41" s="18" t="s">
        <v>190</v>
      </c>
      <c r="B41" s="53">
        <v>8194664.6999999993</v>
      </c>
      <c r="C41" s="53">
        <v>-17779</v>
      </c>
      <c r="D41" s="60">
        <f>SUM(B41:C41)</f>
        <v>8176885.6999999993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484.70999999999185</v>
      </c>
      <c r="C43" s="53"/>
      <c r="D43" s="60">
        <f t="shared" si="12"/>
        <v>484.70999999999185</v>
      </c>
      <c r="E43" s="18"/>
      <c r="F43" s="18" t="s">
        <v>111</v>
      </c>
      <c r="G43" s="53">
        <v>38649.050000000003</v>
      </c>
      <c r="H43" s="23"/>
      <c r="I43" s="60">
        <f t="shared" si="11"/>
        <v>38649.050000000003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-6913586.79</v>
      </c>
      <c r="C45" s="54">
        <v>10851</v>
      </c>
      <c r="D45" s="61">
        <f t="shared" si="12"/>
        <v>-6902735.79</v>
      </c>
      <c r="E45" s="18"/>
      <c r="F45" s="18" t="s">
        <v>181</v>
      </c>
      <c r="G45" s="54">
        <v>1854705.9300000037</v>
      </c>
      <c r="H45" s="106">
        <f>-1*(H20+H32+H37)</f>
        <v>0</v>
      </c>
      <c r="I45" s="61">
        <f t="shared" si="11"/>
        <v>1854705.9300000037</v>
      </c>
    </row>
    <row r="46" spans="1:11" x14ac:dyDescent="0.25">
      <c r="A46" s="18" t="s">
        <v>71</v>
      </c>
      <c r="B46" s="60">
        <f>B41+B42+B43+B44+B45</f>
        <v>1281562.6199999992</v>
      </c>
      <c r="C46" s="60">
        <f t="shared" ref="C46:D46" si="13">C41+C42+C43+C44+C45</f>
        <v>-6928</v>
      </c>
      <c r="D46" s="60">
        <f t="shared" si="13"/>
        <v>1274634.6199999992</v>
      </c>
      <c r="E46" s="18"/>
      <c r="F46" s="18" t="s">
        <v>114</v>
      </c>
      <c r="G46" s="60">
        <f>SUM(G39:G45)</f>
        <v>2235814.2000000039</v>
      </c>
      <c r="H46" s="63">
        <f t="shared" ref="H46:I46" si="14">SUM(H39:H45)</f>
        <v>0</v>
      </c>
      <c r="I46" s="60">
        <f t="shared" si="14"/>
        <v>2235814.2000000039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2437091.5899999989</v>
      </c>
      <c r="C48" s="62">
        <f t="shared" ref="C48:D48" si="15">C25+C38+C46</f>
        <v>0</v>
      </c>
      <c r="D48" s="62">
        <f t="shared" si="15"/>
        <v>2437091.5899999989</v>
      </c>
      <c r="E48" s="18"/>
      <c r="F48" s="22" t="s">
        <v>115</v>
      </c>
      <c r="G48" s="62">
        <f>G20+G32+G37+G46</f>
        <v>2437091.590000004</v>
      </c>
      <c r="H48" s="62">
        <f t="shared" ref="H48:I48" si="16">H20+H32+H37+H46</f>
        <v>0</v>
      </c>
      <c r="I48" s="62">
        <f t="shared" si="16"/>
        <v>2437091.590000004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792876.27</v>
      </c>
      <c r="C10" s="33">
        <f>'CurrentYearBalanceSheet '!D10</f>
        <v>831198.78999999992</v>
      </c>
      <c r="D10" s="18"/>
      <c r="E10" s="18" t="s">
        <v>78</v>
      </c>
      <c r="F10" s="33">
        <f>PriorYearBalanceSheet!I10</f>
        <v>188124.97</v>
      </c>
      <c r="G10" s="33">
        <f>'CurrentYearBalanceSheet '!I10</f>
        <v>129840.01000000002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11048.98</v>
      </c>
      <c r="G12" s="33">
        <f>'CurrentYearBalanceSheet '!I12</f>
        <v>11062.4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42986.19</v>
      </c>
      <c r="C14" s="33">
        <f>'CurrentYearBalanceSheet '!D14</f>
        <v>78315.19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51597.87000000001</v>
      </c>
      <c r="C17" s="33">
        <f>'CurrentYearBalanceSheet '!D17</f>
        <v>49555.39</v>
      </c>
      <c r="D17" s="18"/>
      <c r="E17" s="18" t="s">
        <v>87</v>
      </c>
      <c r="F17" s="33">
        <f>PriorYearBalanceSheet!I17</f>
        <v>-1468.05</v>
      </c>
      <c r="G17" s="33">
        <f>'CurrentYearBalanceSheet '!I17</f>
        <v>-1051.98</v>
      </c>
    </row>
    <row r="18" spans="1:7" x14ac:dyDescent="0.25">
      <c r="A18" s="18" t="s">
        <v>47</v>
      </c>
      <c r="B18" s="33">
        <f>PriorYearBalanceSheet!D18</f>
        <v>95184.799999999988</v>
      </c>
      <c r="C18" s="33">
        <f>'CurrentYearBalanceSheet '!D18</f>
        <v>158643.32</v>
      </c>
      <c r="D18" s="18"/>
      <c r="E18" s="18" t="s">
        <v>88</v>
      </c>
      <c r="F18" s="33">
        <f>PriorYearBalanceSheet!I18</f>
        <v>8013.4699999999993</v>
      </c>
      <c r="G18" s="33">
        <f>'CurrentYearBalanceSheet '!I18</f>
        <v>7462.0300000000007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4949.2299999999996</v>
      </c>
      <c r="G19" s="33">
        <f>'CurrentYearBalanceSheet '!I19</f>
        <v>6536.3200000000006</v>
      </c>
    </row>
    <row r="20" spans="1:7" x14ac:dyDescent="0.25">
      <c r="A20" s="18" t="s">
        <v>48</v>
      </c>
      <c r="B20" s="33">
        <f>PriorYearBalanceSheet!D20</f>
        <v>127.24</v>
      </c>
      <c r="C20" s="33">
        <f>'CurrentYearBalanceSheet '!D20</f>
        <v>118.1</v>
      </c>
      <c r="D20" s="18"/>
      <c r="E20" s="18" t="s">
        <v>90</v>
      </c>
      <c r="F20" s="37">
        <f>SUM(F10:F19)</f>
        <v>210668.60000000003</v>
      </c>
      <c r="G20" s="36">
        <f>SUM(G10:G19)</f>
        <v>153848.78000000003</v>
      </c>
    </row>
    <row r="21" spans="1:7" x14ac:dyDescent="0.25">
      <c r="A21" s="18" t="s">
        <v>49</v>
      </c>
      <c r="B21" s="33">
        <f>PriorYearBalanceSheet!D21</f>
        <v>12496.88</v>
      </c>
      <c r="C21" s="33">
        <f>'CurrentYearBalanceSheet '!D21</f>
        <v>10455.61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1924.75</v>
      </c>
      <c r="C23" s="33">
        <f>'CurrentYearBalanceSheet '!D23</f>
        <v>1920.64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997193.99999999988</v>
      </c>
      <c r="C25" s="33">
        <f>C10+C11+C13+C14+C15+C17+C18+C19+C20+C21+C22+C23+C24</f>
        <v>1130207.04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7908</v>
      </c>
      <c r="C34" s="33">
        <f>'CurrentYearBalanceSheet '!D34</f>
        <v>6928</v>
      </c>
      <c r="D34" s="18"/>
      <c r="E34" s="18" t="s">
        <v>103</v>
      </c>
      <c r="F34" s="33">
        <f>PriorYearBalanceSheet!I34</f>
        <v>-70891.240000000005</v>
      </c>
      <c r="G34" s="33">
        <f>'CurrentYearBalanceSheet '!I34</f>
        <v>-85670.290000000008</v>
      </c>
    </row>
    <row r="35" spans="1:7" x14ac:dyDescent="0.25">
      <c r="A35" s="18" t="s">
        <v>62</v>
      </c>
      <c r="B35" s="33">
        <f>PriorYearBalanceSheet!D35</f>
        <v>26675.309999999998</v>
      </c>
      <c r="C35" s="33">
        <f>'CurrentYearBalanceSheet '!D35</f>
        <v>25234.63</v>
      </c>
      <c r="D35" s="18"/>
      <c r="E35" s="18" t="s">
        <v>222</v>
      </c>
      <c r="F35" s="33">
        <f>PriorYearBalanceSheet!I35</f>
        <v>155502.01999999999</v>
      </c>
      <c r="G35" s="33">
        <f>'CurrentYearBalanceSheet '!I35</f>
        <v>132806.43999999997</v>
      </c>
    </row>
    <row r="36" spans="1:7" x14ac:dyDescent="0.25">
      <c r="A36" s="18" t="s">
        <v>63</v>
      </c>
      <c r="B36" s="33">
        <f>PriorYearBalanceSheet!D36</f>
        <v>87.49</v>
      </c>
      <c r="C36" s="33">
        <f>'CurrentYearBalanceSheet '!D36</f>
        <v>87.3</v>
      </c>
      <c r="D36" s="18"/>
      <c r="E36" s="18" t="s">
        <v>104</v>
      </c>
      <c r="F36" s="34">
        <f>PriorYearBalanceSheet!I36</f>
        <v>448.82</v>
      </c>
      <c r="G36" s="34">
        <f>'CurrentYearBalanceSheet '!I36</f>
        <v>292.45999999999998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85059.599999999991</v>
      </c>
      <c r="G37" s="33">
        <f>SUM(G34:G36)</f>
        <v>47428.609999999964</v>
      </c>
    </row>
    <row r="38" spans="1:7" x14ac:dyDescent="0.25">
      <c r="A38" s="18" t="s">
        <v>65</v>
      </c>
      <c r="B38" s="33">
        <f>B29+B30+B32+B33+B34+B35+B36+B37</f>
        <v>34670.799999999996</v>
      </c>
      <c r="C38" s="33">
        <f>C29+C30+C32+C33+C34+C35+C36+C37</f>
        <v>32249.93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25809.17</v>
      </c>
      <c r="G39" s="33">
        <f>'CurrentYearBalanceSheet '!I39</f>
        <v>25754.080000000002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317382.58</v>
      </c>
      <c r="G40" s="33">
        <f>'CurrentYearBalanceSheet '!I40</f>
        <v>316705.14</v>
      </c>
    </row>
    <row r="41" spans="1:7" x14ac:dyDescent="0.25">
      <c r="A41" s="18" t="s">
        <v>67</v>
      </c>
      <c r="B41" s="33">
        <f>PriorYearBalanceSheet!D41</f>
        <v>8072751.8300000001</v>
      </c>
      <c r="C41" s="33">
        <f>'CurrentYearBalanceSheet '!D41</f>
        <v>8176885.6999999993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115375.36999999997</v>
      </c>
      <c r="C43" s="33">
        <f>'CurrentYearBalanceSheet '!D43</f>
        <v>484.70999999999185</v>
      </c>
      <c r="D43" s="18"/>
      <c r="E43" s="18" t="s">
        <v>111</v>
      </c>
      <c r="F43" s="33">
        <f>PriorYearBalanceSheet!I43</f>
        <v>33064.44</v>
      </c>
      <c r="G43" s="33">
        <f>'CurrentYearBalanceSheet '!I43</f>
        <v>38649.050000000003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-6591494.5499999998</v>
      </c>
      <c r="C45" s="34">
        <f>'CurrentYearBalanceSheet '!D45</f>
        <v>-6902735.79</v>
      </c>
      <c r="D45" s="18"/>
      <c r="E45" s="18" t="s">
        <v>113</v>
      </c>
      <c r="F45" s="34">
        <f>PriorYearBalanceSheet!I45</f>
        <v>1956512.6200000003</v>
      </c>
      <c r="G45" s="34">
        <f>'CurrentYearBalanceSheet '!I45</f>
        <v>1854705.9300000037</v>
      </c>
    </row>
    <row r="46" spans="1:7" x14ac:dyDescent="0.25">
      <c r="A46" s="18" t="s">
        <v>71</v>
      </c>
      <c r="B46" s="33">
        <f>SUM(B41:B45)</f>
        <v>1596632.6500000004</v>
      </c>
      <c r="C46" s="33">
        <f>SUM(C41:C45)</f>
        <v>1274634.6199999992</v>
      </c>
      <c r="D46" s="18"/>
      <c r="E46" s="18" t="s">
        <v>114</v>
      </c>
      <c r="F46" s="33">
        <f>SUM(F39:F45)</f>
        <v>2332768.8100000005</v>
      </c>
      <c r="G46" s="33">
        <f>SUM(G39:G45)</f>
        <v>2235814.2000000039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2628497.4500000002</v>
      </c>
      <c r="C48" s="35">
        <f>C25+C38+C46</f>
        <v>2437091.5899999989</v>
      </c>
      <c r="D48" s="18"/>
      <c r="E48" s="22" t="s">
        <v>115</v>
      </c>
      <c r="F48" s="35">
        <f>F20+F32+F37+F46</f>
        <v>2628497.0100000007</v>
      </c>
      <c r="G48" s="35">
        <f>G20+G32+G37+G46</f>
        <v>2437091.590000004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8072751.8300000001</v>
      </c>
      <c r="E10" s="60">
        <f>'BalanceSheet(Summary)'!C41</f>
        <v>8176885.6999999993</v>
      </c>
      <c r="F10" s="60">
        <f>(D10+E10)/2</f>
        <v>8124818.7649999997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-6591494.5499999998</v>
      </c>
      <c r="E12" s="60">
        <f>'BalanceSheet(Summary)'!C45</f>
        <v>-6902735.79</v>
      </c>
      <c r="F12" s="60">
        <f t="shared" ref="F12:F15" si="0">(D12+E12)/2</f>
        <v>-6747115.1699999999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12496.88</v>
      </c>
      <c r="E13" s="60">
        <f>'BalanceSheet(Summary)'!C21</f>
        <v>10455.61</v>
      </c>
      <c r="F13" s="60">
        <f t="shared" si="0"/>
        <v>11476.244999999999</v>
      </c>
    </row>
    <row r="14" spans="1:6" x14ac:dyDescent="0.25">
      <c r="A14" s="11">
        <v>5</v>
      </c>
      <c r="B14" s="18" t="s">
        <v>132</v>
      </c>
      <c r="C14" s="20"/>
      <c r="D14" s="53">
        <v>-129422.26999999999</v>
      </c>
      <c r="E14" s="53">
        <v>-102121.86</v>
      </c>
      <c r="F14" s="60">
        <f t="shared" si="0"/>
        <v>-115772.065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1364331.8900000001</v>
      </c>
      <c r="E15" s="64">
        <f>SUM(E10:E14)</f>
        <v>1182483.6599999992</v>
      </c>
      <c r="F15" s="65">
        <f t="shared" si="0"/>
        <v>1273407.7749999997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855</v>
      </c>
      <c r="D10" s="53">
        <v>804</v>
      </c>
      <c r="E10" s="33">
        <f>D10-C10</f>
        <v>-51</v>
      </c>
      <c r="F10" s="39">
        <f>E10/C10</f>
        <v>-5.9649122807017542E-2</v>
      </c>
    </row>
    <row r="11" spans="1:6" x14ac:dyDescent="0.25">
      <c r="A11" s="11">
        <v>2</v>
      </c>
      <c r="B11" s="20" t="s">
        <v>140</v>
      </c>
      <c r="C11" s="53">
        <v>156</v>
      </c>
      <c r="D11" s="53">
        <v>160</v>
      </c>
      <c r="E11" s="33">
        <f>D11-C11</f>
        <v>4</v>
      </c>
      <c r="F11" s="39">
        <f t="shared" ref="F11:F12" si="0">E11/C11</f>
        <v>2.564102564102564E-2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1011</v>
      </c>
      <c r="D12" s="35">
        <f t="shared" ref="D12:E12" si="1">SUM(D10:D11)</f>
        <v>964</v>
      </c>
      <c r="E12" s="35">
        <f t="shared" si="1"/>
        <v>-47</v>
      </c>
      <c r="F12" s="40">
        <f t="shared" si="0"/>
        <v>-4.6488625123639958E-2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311633.12000000017</v>
      </c>
      <c r="D9" s="53"/>
      <c r="E9" s="60">
        <f>SUM(C9:D9)</f>
        <v>311633.12000000017</v>
      </c>
    </row>
    <row r="10" spans="1:6" x14ac:dyDescent="0.25">
      <c r="A10" s="11">
        <v>2</v>
      </c>
      <c r="B10" s="15" t="s">
        <v>2</v>
      </c>
      <c r="C10" s="53">
        <v>772778.67</v>
      </c>
      <c r="D10" s="53"/>
      <c r="E10" s="60">
        <f t="shared" ref="E10:E14" si="0">SUM(C10:D10)</f>
        <v>772778.67</v>
      </c>
    </row>
    <row r="11" spans="1:6" x14ac:dyDescent="0.25">
      <c r="A11" s="11">
        <v>3</v>
      </c>
      <c r="B11" s="15" t="s">
        <v>3</v>
      </c>
      <c r="C11" s="53">
        <v>6.81</v>
      </c>
      <c r="D11" s="53"/>
      <c r="E11" s="60">
        <f t="shared" si="0"/>
        <v>6.81</v>
      </c>
    </row>
    <row r="12" spans="1:6" x14ac:dyDescent="0.25">
      <c r="A12" s="11">
        <v>4</v>
      </c>
      <c r="B12" s="15" t="s">
        <v>4</v>
      </c>
      <c r="C12" s="53">
        <v>36889.240000000005</v>
      </c>
      <c r="D12" s="53"/>
      <c r="E12" s="60">
        <f t="shared" si="0"/>
        <v>36889.240000000005</v>
      </c>
    </row>
    <row r="13" spans="1:6" x14ac:dyDescent="0.25">
      <c r="A13" s="11">
        <v>5</v>
      </c>
      <c r="B13" s="15" t="s">
        <v>5</v>
      </c>
      <c r="C13" s="53">
        <v>19259.730000000003</v>
      </c>
      <c r="D13" s="53"/>
      <c r="E13" s="60">
        <f t="shared" si="0"/>
        <v>19259.730000000003</v>
      </c>
    </row>
    <row r="14" spans="1:6" x14ac:dyDescent="0.25">
      <c r="A14" s="11">
        <v>6</v>
      </c>
      <c r="B14" s="15" t="s">
        <v>159</v>
      </c>
      <c r="C14" s="53">
        <v>569.67999999999984</v>
      </c>
      <c r="D14" s="53"/>
      <c r="E14" s="60">
        <f t="shared" si="0"/>
        <v>569.67999999999984</v>
      </c>
    </row>
    <row r="15" spans="1:6" x14ac:dyDescent="0.25">
      <c r="A15" s="11">
        <v>7</v>
      </c>
      <c r="B15" s="97" t="s">
        <v>158</v>
      </c>
      <c r="C15" s="109">
        <f>SUM(C9:C14)</f>
        <v>1141137.2500000002</v>
      </c>
      <c r="D15" s="109">
        <f t="shared" ref="D15:E15" si="1">SUM(D9:D14)</f>
        <v>0</v>
      </c>
      <c r="E15" s="109">
        <f t="shared" si="1"/>
        <v>1141137.2500000002</v>
      </c>
      <c r="F15" s="1"/>
    </row>
    <row r="16" spans="1:6" x14ac:dyDescent="0.25">
      <c r="A16" s="11">
        <v>8</v>
      </c>
      <c r="B16" s="15" t="s">
        <v>6</v>
      </c>
      <c r="C16" s="53">
        <v>276135.78000000003</v>
      </c>
      <c r="D16" s="53">
        <v>-31866</v>
      </c>
      <c r="E16" s="42">
        <f>SUM(C16:D16)</f>
        <v>244269.78000000003</v>
      </c>
    </row>
    <row r="17" spans="1:6" x14ac:dyDescent="0.25">
      <c r="A17" s="11">
        <v>9</v>
      </c>
      <c r="B17" s="15" t="s">
        <v>40</v>
      </c>
      <c r="C17" s="53">
        <v>123989.18000000001</v>
      </c>
      <c r="D17" s="53">
        <v>-12628</v>
      </c>
      <c r="E17" s="42">
        <f t="shared" ref="E17:E21" si="2">SUM(C17:D17)</f>
        <v>111361.18000000001</v>
      </c>
    </row>
    <row r="18" spans="1:6" x14ac:dyDescent="0.25">
      <c r="A18" s="11">
        <v>10</v>
      </c>
      <c r="B18" s="15" t="s">
        <v>7</v>
      </c>
      <c r="C18" s="53">
        <v>366717.51</v>
      </c>
      <c r="D18" s="53">
        <v>-55230</v>
      </c>
      <c r="E18" s="42">
        <f t="shared" si="2"/>
        <v>311487.51</v>
      </c>
    </row>
    <row r="19" spans="1:6" x14ac:dyDescent="0.25">
      <c r="A19" s="11">
        <v>11</v>
      </c>
      <c r="B19" s="15" t="s">
        <v>8</v>
      </c>
      <c r="C19" s="53">
        <v>15016.9</v>
      </c>
      <c r="D19" s="53">
        <v>-1781</v>
      </c>
      <c r="E19" s="42">
        <f t="shared" si="2"/>
        <v>13235.9</v>
      </c>
    </row>
    <row r="20" spans="1:6" x14ac:dyDescent="0.25">
      <c r="A20" s="11">
        <v>12</v>
      </c>
      <c r="B20" s="15" t="s">
        <v>9</v>
      </c>
      <c r="C20" s="53">
        <v>109817.59</v>
      </c>
      <c r="D20" s="53">
        <v>-7831</v>
      </c>
      <c r="E20" s="42">
        <f t="shared" si="2"/>
        <v>101986.59</v>
      </c>
    </row>
    <row r="21" spans="1:6" x14ac:dyDescent="0.25">
      <c r="A21" s="11">
        <v>13</v>
      </c>
      <c r="B21" s="15" t="s">
        <v>10</v>
      </c>
      <c r="C21" s="53">
        <v>158690.18</v>
      </c>
      <c r="D21" s="53">
        <v>-16464</v>
      </c>
      <c r="E21" s="42">
        <f t="shared" si="2"/>
        <v>142226.18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158690.18</v>
      </c>
      <c r="D23" s="60">
        <f t="shared" ref="D23:E23" si="3">SUM(D21:D22)</f>
        <v>-16464</v>
      </c>
      <c r="E23" s="87">
        <f t="shared" si="3"/>
        <v>142226.18</v>
      </c>
    </row>
    <row r="24" spans="1:6" x14ac:dyDescent="0.25">
      <c r="A24" s="11">
        <v>14</v>
      </c>
      <c r="B24" s="92" t="s">
        <v>157</v>
      </c>
      <c r="C24" s="109">
        <f>C16+C17+C18+C19+C20+C23</f>
        <v>1050367.1399999999</v>
      </c>
      <c r="D24" s="109">
        <f t="shared" ref="D24:E24" si="4">D16+D17+D18+D19+D20+D23</f>
        <v>-125800</v>
      </c>
      <c r="E24" s="111">
        <f t="shared" si="4"/>
        <v>924567.1399999999</v>
      </c>
      <c r="F24" s="1"/>
    </row>
    <row r="25" spans="1:6" x14ac:dyDescent="0.25">
      <c r="A25" s="11">
        <v>15</v>
      </c>
      <c r="B25" s="15" t="s">
        <v>14</v>
      </c>
      <c r="C25" s="60">
        <f>C15-C24</f>
        <v>90770.110000000335</v>
      </c>
      <c r="D25" s="60">
        <f t="shared" ref="D25:E25" si="5">D15-D24</f>
        <v>125800</v>
      </c>
      <c r="E25" s="60">
        <f t="shared" si="5"/>
        <v>216570.11000000034</v>
      </c>
    </row>
    <row r="26" spans="1:6" x14ac:dyDescent="0.25">
      <c r="A26" s="11">
        <v>16</v>
      </c>
      <c r="B26" s="15" t="s">
        <v>161</v>
      </c>
      <c r="C26" s="53">
        <v>-1311.0899999999965</v>
      </c>
      <c r="D26" s="57"/>
      <c r="E26" s="60">
        <f>SUM(C26:D26)</f>
        <v>-1311.0899999999965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14669.380000000005</v>
      </c>
      <c r="D28" s="108">
        <v>45822</v>
      </c>
      <c r="E28" s="60">
        <f t="shared" si="6"/>
        <v>60491.380000000005</v>
      </c>
    </row>
    <row r="29" spans="1:6" x14ac:dyDescent="0.25">
      <c r="A29" s="11">
        <v>19</v>
      </c>
      <c r="B29" s="15" t="s">
        <v>13</v>
      </c>
      <c r="C29" s="53">
        <v>48009.99</v>
      </c>
      <c r="D29" s="53">
        <v>-5121</v>
      </c>
      <c r="E29" s="60">
        <f t="shared" si="6"/>
        <v>42888.99</v>
      </c>
    </row>
    <row r="30" spans="1:6" x14ac:dyDescent="0.25">
      <c r="A30" s="11">
        <v>20</v>
      </c>
      <c r="B30" s="97" t="s">
        <v>12</v>
      </c>
      <c r="C30" s="85">
        <f>SUM(C27:C29)</f>
        <v>62679.37</v>
      </c>
      <c r="D30" s="85">
        <f t="shared" ref="D30:E30" si="7">SUM(D27:D29)</f>
        <v>40701</v>
      </c>
      <c r="E30" s="112">
        <f t="shared" si="7"/>
        <v>103380.37</v>
      </c>
    </row>
    <row r="31" spans="1:6" x14ac:dyDescent="0.25">
      <c r="A31" s="11">
        <v>21</v>
      </c>
      <c r="B31" s="97" t="s">
        <v>23</v>
      </c>
      <c r="C31" s="85">
        <f>C25+C26-C30</f>
        <v>26779.650000000336</v>
      </c>
      <c r="D31" s="85">
        <f>D25+D26-D30</f>
        <v>85099</v>
      </c>
      <c r="E31" s="112">
        <f>E25+E26-E30</f>
        <v>111878.65000000034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-1.28</v>
      </c>
      <c r="D34" s="57"/>
      <c r="E34" s="60">
        <f t="shared" si="8"/>
        <v>-1.28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-1.28</v>
      </c>
      <c r="D36" s="113">
        <f t="shared" ref="D36" si="9">SUM(D32:D35)</f>
        <v>0</v>
      </c>
      <c r="E36" s="85">
        <f>SUM(E32:E35)</f>
        <v>-1.28</v>
      </c>
    </row>
    <row r="37" spans="1:10" x14ac:dyDescent="0.25">
      <c r="A37" s="11">
        <v>27</v>
      </c>
      <c r="B37" s="15" t="s">
        <v>19</v>
      </c>
      <c r="C37" s="53">
        <v>1069.58</v>
      </c>
      <c r="D37" s="57"/>
      <c r="E37" s="33">
        <f>SUM(C37:D37)</f>
        <v>1069.58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58387.379999999961</v>
      </c>
      <c r="D40" s="72">
        <f>-1*(D31-D36)</f>
        <v>-85099</v>
      </c>
      <c r="E40" s="33">
        <f t="shared" si="10"/>
        <v>-26711.620000000039</v>
      </c>
    </row>
    <row r="41" spans="1:10" x14ac:dyDescent="0.25">
      <c r="A41" s="11">
        <v>31</v>
      </c>
      <c r="B41" s="97" t="s">
        <v>22</v>
      </c>
      <c r="C41" s="85">
        <f>C31-C36+C37+C38+C39+C40</f>
        <v>86237.890000000305</v>
      </c>
      <c r="D41" s="85">
        <f t="shared" ref="D41:E41" si="11">D31-D36+D37+D38+D39+D40</f>
        <v>0</v>
      </c>
      <c r="E41" s="85">
        <f t="shared" si="11"/>
        <v>86237.890000000305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1971936.86</v>
      </c>
      <c r="D43" s="57"/>
      <c r="E43" s="60">
        <f t="shared" ref="E43:E48" si="12">SUM(C43:D43)</f>
        <v>1971936.86</v>
      </c>
    </row>
    <row r="44" spans="1:10" x14ac:dyDescent="0.25">
      <c r="A44" s="11">
        <v>34</v>
      </c>
      <c r="B44" s="15" t="s">
        <v>26</v>
      </c>
      <c r="C44" s="53">
        <v>236919.18</v>
      </c>
      <c r="D44" s="57"/>
      <c r="E44" s="60">
        <f t="shared" si="12"/>
        <v>236919.18</v>
      </c>
    </row>
    <row r="45" spans="1:10" x14ac:dyDescent="0.25">
      <c r="A45" s="11">
        <v>35</v>
      </c>
      <c r="B45" s="15" t="s">
        <v>27</v>
      </c>
      <c r="C45" s="53">
        <v>338581.31</v>
      </c>
      <c r="D45" s="57"/>
      <c r="E45" s="60">
        <f t="shared" si="12"/>
        <v>338581.31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1956512.6200000006</v>
      </c>
      <c r="D49" s="113">
        <f t="shared" ref="D49:E49" si="13">(D41+D43+D44)-(D45+D46+D47+D48)</f>
        <v>0</v>
      </c>
      <c r="E49" s="112">
        <f t="shared" si="13"/>
        <v>1956512.6200000006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0.64086252552004574</v>
      </c>
      <c r="D55" s="116" t="e">
        <f>((D24+D30-D18-D19)/D15)</f>
        <v>#DIV/0!</v>
      </c>
      <c r="E55" s="116">
        <f>((E24+E30-E18-E19)/E15)</f>
        <v>0.61624848369466489</v>
      </c>
    </row>
    <row r="56" spans="1:7" x14ac:dyDescent="0.25">
      <c r="A56" s="11">
        <v>46</v>
      </c>
      <c r="B56" s="15" t="s">
        <v>37</v>
      </c>
      <c r="C56" s="116">
        <f>((C24+C30+C36)/C15)</f>
        <v>0.97538243537313307</v>
      </c>
      <c r="D56" s="116" t="e">
        <f>((D24+D30+D36)/D15)</f>
        <v>#DIV/0!</v>
      </c>
      <c r="E56" s="116">
        <f>((E24+E30+E36)/E15)</f>
        <v>0.90080858371769013</v>
      </c>
    </row>
    <row r="57" spans="1:7" x14ac:dyDescent="0.25">
      <c r="A57" s="11">
        <v>47</v>
      </c>
      <c r="B57" s="15" t="s">
        <v>38</v>
      </c>
      <c r="C57" s="116">
        <f>((C41+C36)/C36)</f>
        <v>-67372.351562500233</v>
      </c>
      <c r="D57" s="116" t="e">
        <f t="shared" ref="D57:E57" si="16">((D41+D36)/D36)</f>
        <v>#DIV/0!</v>
      </c>
      <c r="E57" s="116">
        <f t="shared" si="16"/>
        <v>-67372.351562500233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293251.52000000014</v>
      </c>
      <c r="D9" s="53"/>
      <c r="E9" s="33">
        <f>SUM(C9:D9)</f>
        <v>293251.52000000014</v>
      </c>
    </row>
    <row r="10" spans="1:6" x14ac:dyDescent="0.25">
      <c r="A10" s="11">
        <v>2</v>
      </c>
      <c r="B10" s="18" t="s">
        <v>2</v>
      </c>
      <c r="C10" s="53">
        <v>730746.77000000014</v>
      </c>
      <c r="D10" s="53"/>
      <c r="E10" s="33">
        <f t="shared" ref="E10:E14" si="0">SUM(C10:D10)</f>
        <v>730746.77000000014</v>
      </c>
    </row>
    <row r="11" spans="1:6" x14ac:dyDescent="0.25">
      <c r="A11" s="11">
        <v>3</v>
      </c>
      <c r="B11" s="18" t="s">
        <v>3</v>
      </c>
      <c r="C11" s="53">
        <v>0.26</v>
      </c>
      <c r="D11" s="53"/>
      <c r="E11" s="33">
        <f t="shared" si="0"/>
        <v>0.26</v>
      </c>
    </row>
    <row r="12" spans="1:6" x14ac:dyDescent="0.25">
      <c r="A12" s="11">
        <v>4</v>
      </c>
      <c r="B12" s="18" t="s">
        <v>4</v>
      </c>
      <c r="C12" s="53">
        <v>36652.899999999994</v>
      </c>
      <c r="D12" s="53"/>
      <c r="E12" s="33">
        <f t="shared" si="0"/>
        <v>36652.899999999994</v>
      </c>
    </row>
    <row r="13" spans="1:6" x14ac:dyDescent="0.25">
      <c r="A13" s="11">
        <v>5</v>
      </c>
      <c r="B13" s="18" t="s">
        <v>5</v>
      </c>
      <c r="C13" s="53">
        <v>18107.490000000002</v>
      </c>
      <c r="D13" s="53"/>
      <c r="E13" s="33">
        <f t="shared" si="0"/>
        <v>18107.490000000002</v>
      </c>
    </row>
    <row r="14" spans="1:6" x14ac:dyDescent="0.25">
      <c r="A14" s="11">
        <v>6</v>
      </c>
      <c r="B14" s="18" t="s">
        <v>159</v>
      </c>
      <c r="C14" s="53">
        <v>1737.1299999999997</v>
      </c>
      <c r="D14" s="53"/>
      <c r="E14" s="33">
        <f t="shared" si="0"/>
        <v>1737.1299999999997</v>
      </c>
    </row>
    <row r="15" spans="1:6" x14ac:dyDescent="0.25">
      <c r="A15" s="11">
        <v>7</v>
      </c>
      <c r="B15" s="92" t="s">
        <v>158</v>
      </c>
      <c r="C15" s="41">
        <f>SUM(C9:C14)</f>
        <v>1080496.07</v>
      </c>
      <c r="D15" s="41">
        <f t="shared" ref="D15:E15" si="1">SUM(D9:D14)</f>
        <v>0</v>
      </c>
      <c r="E15" s="41">
        <f t="shared" si="1"/>
        <v>1080496.07</v>
      </c>
      <c r="F15" s="1"/>
    </row>
    <row r="16" spans="1:6" x14ac:dyDescent="0.25">
      <c r="A16" s="11">
        <v>8</v>
      </c>
      <c r="B16" s="18" t="s">
        <v>6</v>
      </c>
      <c r="C16" s="53">
        <v>294795.69</v>
      </c>
      <c r="D16" s="53">
        <v>-30880</v>
      </c>
      <c r="E16" s="42">
        <f>SUM(C16:D16)</f>
        <v>263915.69</v>
      </c>
    </row>
    <row r="17" spans="1:6" x14ac:dyDescent="0.25">
      <c r="A17" s="11">
        <v>9</v>
      </c>
      <c r="B17" s="18" t="s">
        <v>40</v>
      </c>
      <c r="C17" s="53">
        <v>129471.01999999999</v>
      </c>
      <c r="D17" s="53">
        <v>-14042</v>
      </c>
      <c r="E17" s="42">
        <f t="shared" ref="E17:E21" si="2">SUM(C17:D17)</f>
        <v>115429.01999999999</v>
      </c>
    </row>
    <row r="18" spans="1:6" x14ac:dyDescent="0.25">
      <c r="A18" s="11">
        <v>10</v>
      </c>
      <c r="B18" s="18" t="s">
        <v>7</v>
      </c>
      <c r="C18" s="53">
        <v>407598</v>
      </c>
      <c r="D18" s="53">
        <v>-41426</v>
      </c>
      <c r="E18" s="42">
        <f t="shared" si="2"/>
        <v>366172</v>
      </c>
    </row>
    <row r="19" spans="1:6" x14ac:dyDescent="0.25">
      <c r="A19" s="11">
        <v>11</v>
      </c>
      <c r="B19" s="18" t="s">
        <v>8</v>
      </c>
      <c r="C19" s="53">
        <v>16765.11</v>
      </c>
      <c r="D19" s="53">
        <v>-1945</v>
      </c>
      <c r="E19" s="42">
        <f t="shared" si="2"/>
        <v>14820.11</v>
      </c>
    </row>
    <row r="20" spans="1:6" x14ac:dyDescent="0.25">
      <c r="A20" s="11">
        <v>12</v>
      </c>
      <c r="B20" s="18" t="s">
        <v>9</v>
      </c>
      <c r="C20" s="53">
        <v>92827</v>
      </c>
      <c r="D20" s="53">
        <v>-9459</v>
      </c>
      <c r="E20" s="42">
        <f t="shared" si="2"/>
        <v>83368</v>
      </c>
    </row>
    <row r="21" spans="1:6" x14ac:dyDescent="0.25">
      <c r="A21" s="11">
        <v>13</v>
      </c>
      <c r="B21" s="18" t="s">
        <v>10</v>
      </c>
      <c r="C21" s="53">
        <v>151668.28</v>
      </c>
      <c r="D21" s="53">
        <v>-17036</v>
      </c>
      <c r="E21" s="42">
        <f t="shared" si="2"/>
        <v>134632.28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151668.28</v>
      </c>
      <c r="D23" s="33">
        <f t="shared" ref="D23:E23" si="3">SUM(D21:D22)</f>
        <v>-17036</v>
      </c>
      <c r="E23" s="42">
        <f t="shared" si="3"/>
        <v>134632.28</v>
      </c>
    </row>
    <row r="24" spans="1:6" x14ac:dyDescent="0.25">
      <c r="A24" s="11">
        <v>14</v>
      </c>
      <c r="B24" s="92" t="s">
        <v>157</v>
      </c>
      <c r="C24" s="41">
        <f>C16+C17+C18+C19+C20+C23</f>
        <v>1093125.0999999999</v>
      </c>
      <c r="D24" s="41">
        <f t="shared" ref="D24:E24" si="4">D16+D17+D18+D19+D20+D23</f>
        <v>-114788</v>
      </c>
      <c r="E24" s="43">
        <f t="shared" si="4"/>
        <v>978337.1</v>
      </c>
      <c r="F24" s="1"/>
    </row>
    <row r="25" spans="1:6" x14ac:dyDescent="0.25">
      <c r="A25" s="11">
        <v>15</v>
      </c>
      <c r="B25" s="18" t="s">
        <v>14</v>
      </c>
      <c r="C25" s="33">
        <f>C15-C24</f>
        <v>-12629.029999999795</v>
      </c>
      <c r="D25" s="33">
        <f t="shared" ref="D25:E25" si="5">D15-D24</f>
        <v>114788</v>
      </c>
      <c r="E25" s="33">
        <f t="shared" si="5"/>
        <v>102158.97000000009</v>
      </c>
    </row>
    <row r="26" spans="1:6" x14ac:dyDescent="0.25">
      <c r="A26" s="11">
        <v>16</v>
      </c>
      <c r="B26" s="18" t="s">
        <v>161</v>
      </c>
      <c r="C26" s="53">
        <v>-1642.8600000000006</v>
      </c>
      <c r="D26" s="108">
        <v>29681</v>
      </c>
      <c r="E26" s="33">
        <f>SUM(C26:D26)</f>
        <v>28038.14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-20677.989999999998</v>
      </c>
      <c r="D28" s="108">
        <v>52453</v>
      </c>
      <c r="E28" s="33">
        <f t="shared" si="6"/>
        <v>31775.010000000002</v>
      </c>
    </row>
    <row r="29" spans="1:6" x14ac:dyDescent="0.25">
      <c r="A29" s="11">
        <v>19</v>
      </c>
      <c r="B29" s="18" t="s">
        <v>13</v>
      </c>
      <c r="C29" s="53">
        <v>44855.38</v>
      </c>
      <c r="D29" s="53">
        <v>-5396</v>
      </c>
      <c r="E29" s="33">
        <f t="shared" si="6"/>
        <v>39459.379999999997</v>
      </c>
    </row>
    <row r="30" spans="1:6" x14ac:dyDescent="0.25">
      <c r="A30" s="11">
        <v>20</v>
      </c>
      <c r="B30" s="92" t="s">
        <v>12</v>
      </c>
      <c r="C30" s="38">
        <f>SUM(C27:C29)</f>
        <v>24177.39</v>
      </c>
      <c r="D30" s="38">
        <f t="shared" ref="D30:E30" si="7">SUM(D27:D29)</f>
        <v>47057</v>
      </c>
      <c r="E30" s="44">
        <f t="shared" si="7"/>
        <v>71234.39</v>
      </c>
    </row>
    <row r="31" spans="1:6" x14ac:dyDescent="0.25">
      <c r="A31" s="11">
        <v>21</v>
      </c>
      <c r="B31" s="92" t="s">
        <v>23</v>
      </c>
      <c r="C31" s="38">
        <f>C25+C26-C30</f>
        <v>-38449.279999999795</v>
      </c>
      <c r="D31" s="38">
        <f>D25+D26-D30</f>
        <v>97412</v>
      </c>
      <c r="E31" s="44">
        <f>E25+E26-E30</f>
        <v>58962.720000000088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1135.52</v>
      </c>
      <c r="D37" s="57"/>
      <c r="E37" s="33">
        <f>SUM(C37:D37)</f>
        <v>1135.52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70432.470000000016</v>
      </c>
      <c r="D40" s="72">
        <f>-1*(D31-D36)</f>
        <v>-97412</v>
      </c>
      <c r="E40" s="33">
        <f t="shared" si="10"/>
        <v>-26979.529999999984</v>
      </c>
    </row>
    <row r="41" spans="1:5" x14ac:dyDescent="0.25">
      <c r="A41" s="11">
        <v>31</v>
      </c>
      <c r="B41" s="92" t="s">
        <v>22</v>
      </c>
      <c r="C41" s="38">
        <f>C31-C36+C37+C38+C39+C40</f>
        <v>33118.710000000217</v>
      </c>
      <c r="D41" s="38">
        <f t="shared" ref="D41:E41" si="11">D31-D36+D37+D38+D39+D40</f>
        <v>0</v>
      </c>
      <c r="E41" s="38">
        <f t="shared" si="11"/>
        <v>33118.710000000101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1956512.62</v>
      </c>
      <c r="D43" s="57"/>
      <c r="E43" s="33">
        <f t="shared" ref="E43:E48" si="12">SUM(C43:D43)</f>
        <v>1956512.62</v>
      </c>
    </row>
    <row r="44" spans="1:5" x14ac:dyDescent="0.25">
      <c r="A44" s="11">
        <v>34</v>
      </c>
      <c r="B44" s="18" t="s">
        <v>26</v>
      </c>
      <c r="C44" s="53">
        <v>54519.88</v>
      </c>
      <c r="D44" s="57"/>
      <c r="E44" s="33">
        <f t="shared" si="12"/>
        <v>54519.88</v>
      </c>
    </row>
    <row r="45" spans="1:5" x14ac:dyDescent="0.25">
      <c r="A45" s="11">
        <v>35</v>
      </c>
      <c r="B45" s="18" t="s">
        <v>27</v>
      </c>
      <c r="C45" s="53">
        <v>189445.28</v>
      </c>
      <c r="D45" s="57"/>
      <c r="E45" s="33">
        <f t="shared" si="12"/>
        <v>189445.28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1854705.9300000002</v>
      </c>
      <c r="D49" s="66">
        <f t="shared" ref="D49:E49" si="13">(D41+D43+D44)-(D45+D46+D47+D48)</f>
        <v>0</v>
      </c>
      <c r="E49" s="44">
        <f t="shared" si="13"/>
        <v>1854705.9300000002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0.64131596517514378</v>
      </c>
      <c r="D55" s="47" t="e">
        <f>((D24+D30-D18-D19)/D15)</f>
        <v>#DIV/0!</v>
      </c>
      <c r="E55" s="47">
        <f>((E24+E30-E18-E19)/E15)</f>
        <v>0.61877076517270435</v>
      </c>
    </row>
    <row r="56" spans="1:7" x14ac:dyDescent="0.25">
      <c r="A56" s="11">
        <v>46</v>
      </c>
      <c r="B56" s="18" t="s">
        <v>37</v>
      </c>
      <c r="C56" s="47">
        <f>((C24+C30+C36)/C15)</f>
        <v>1.0340643719324214</v>
      </c>
      <c r="D56" s="47" t="e">
        <f>((D24+D30+D36)/D15)</f>
        <v>#DIV/0!</v>
      </c>
      <c r="E56" s="47">
        <f>((E24+E30+E36)/E15)</f>
        <v>0.97137927581726413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311633.12000000017</v>
      </c>
      <c r="D9" s="42">
        <f>'CurrentYearIncomeStmt '!E9</f>
        <v>293251.52000000014</v>
      </c>
    </row>
    <row r="10" spans="1:5" x14ac:dyDescent="0.25">
      <c r="A10" s="11">
        <v>2</v>
      </c>
      <c r="B10" s="18" t="s">
        <v>2</v>
      </c>
      <c r="C10" s="33">
        <f>PriorYearIncomeStmt!E10</f>
        <v>772778.67</v>
      </c>
      <c r="D10" s="42">
        <f>'CurrentYearIncomeStmt '!E10</f>
        <v>730746.77000000014</v>
      </c>
    </row>
    <row r="11" spans="1:5" x14ac:dyDescent="0.25">
      <c r="A11" s="11">
        <v>3</v>
      </c>
      <c r="B11" s="18" t="s">
        <v>3</v>
      </c>
      <c r="C11" s="33">
        <f>PriorYearIncomeStmt!E11</f>
        <v>6.81</v>
      </c>
      <c r="D11" s="42">
        <f>'CurrentYearIncomeStmt '!E11</f>
        <v>0.26</v>
      </c>
    </row>
    <row r="12" spans="1:5" x14ac:dyDescent="0.25">
      <c r="A12" s="11">
        <v>4</v>
      </c>
      <c r="B12" s="18" t="s">
        <v>4</v>
      </c>
      <c r="C12" s="33">
        <f>PriorYearIncomeStmt!E12</f>
        <v>36889.240000000005</v>
      </c>
      <c r="D12" s="42">
        <f>'CurrentYearIncomeStmt '!E12</f>
        <v>36652.899999999994</v>
      </c>
    </row>
    <row r="13" spans="1:5" x14ac:dyDescent="0.25">
      <c r="A13" s="11">
        <v>5</v>
      </c>
      <c r="B13" s="18" t="s">
        <v>5</v>
      </c>
      <c r="C13" s="33">
        <f>PriorYearIncomeStmt!E13</f>
        <v>19259.730000000003</v>
      </c>
      <c r="D13" s="42">
        <f>'CurrentYearIncomeStmt '!E13</f>
        <v>18107.490000000002</v>
      </c>
    </row>
    <row r="14" spans="1:5" x14ac:dyDescent="0.25">
      <c r="A14" s="11">
        <v>6</v>
      </c>
      <c r="B14" s="18" t="s">
        <v>159</v>
      </c>
      <c r="C14" s="33">
        <f>PriorYearIncomeStmt!E14</f>
        <v>569.67999999999984</v>
      </c>
      <c r="D14" s="42">
        <f>'CurrentYearIncomeStmt '!E14</f>
        <v>1737.1299999999997</v>
      </c>
    </row>
    <row r="15" spans="1:5" x14ac:dyDescent="0.25">
      <c r="A15" s="11">
        <v>7</v>
      </c>
      <c r="B15" s="92" t="s">
        <v>158</v>
      </c>
      <c r="C15" s="41">
        <f>SUM(C9:C14)</f>
        <v>1141137.2500000002</v>
      </c>
      <c r="D15" s="43">
        <f t="shared" ref="D15" si="0">SUM(D9:D14)</f>
        <v>1080496.07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244269.78000000003</v>
      </c>
      <c r="D16" s="42">
        <f>'CurrentYearIncomeStmt '!E16</f>
        <v>263915.69</v>
      </c>
    </row>
    <row r="17" spans="1:5" x14ac:dyDescent="0.25">
      <c r="A17" s="11">
        <v>9</v>
      </c>
      <c r="B17" s="18" t="s">
        <v>40</v>
      </c>
      <c r="C17" s="33">
        <f>PriorYearIncomeStmt!E17</f>
        <v>111361.18000000001</v>
      </c>
      <c r="D17" s="42">
        <f>'CurrentYearIncomeStmt '!E17</f>
        <v>115429.01999999999</v>
      </c>
    </row>
    <row r="18" spans="1:5" x14ac:dyDescent="0.25">
      <c r="A18" s="11">
        <v>10</v>
      </c>
      <c r="B18" s="18" t="s">
        <v>7</v>
      </c>
      <c r="C18" s="33">
        <f>PriorYearIncomeStmt!E18</f>
        <v>311487.51</v>
      </c>
      <c r="D18" s="42">
        <f>'CurrentYearIncomeStmt '!E18</f>
        <v>366172</v>
      </c>
    </row>
    <row r="19" spans="1:5" x14ac:dyDescent="0.25">
      <c r="A19" s="11">
        <v>11</v>
      </c>
      <c r="B19" s="18" t="s">
        <v>8</v>
      </c>
      <c r="C19" s="33">
        <f>PriorYearIncomeStmt!E19</f>
        <v>13235.9</v>
      </c>
      <c r="D19" s="42">
        <f>'CurrentYearIncomeStmt '!E19</f>
        <v>14820.11</v>
      </c>
    </row>
    <row r="20" spans="1:5" x14ac:dyDescent="0.25">
      <c r="A20" s="11">
        <v>12</v>
      </c>
      <c r="B20" s="18" t="s">
        <v>9</v>
      </c>
      <c r="C20" s="33">
        <f>PriorYearIncomeStmt!E20</f>
        <v>101986.59</v>
      </c>
      <c r="D20" s="42">
        <f>'CurrentYearIncomeStmt '!E20</f>
        <v>83368</v>
      </c>
    </row>
    <row r="21" spans="1:5" x14ac:dyDescent="0.25">
      <c r="A21" s="11">
        <v>13</v>
      </c>
      <c r="B21" s="18" t="s">
        <v>10</v>
      </c>
      <c r="C21" s="33">
        <f>PriorYearIncomeStmt!E21</f>
        <v>142226.18</v>
      </c>
      <c r="D21" s="42">
        <f>'CurrentYearIncomeStmt '!E21</f>
        <v>134632.28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142226.18</v>
      </c>
      <c r="D23" s="42">
        <f t="shared" ref="D23" si="1">SUM(D21:D22)</f>
        <v>134632.28</v>
      </c>
    </row>
    <row r="24" spans="1:5" x14ac:dyDescent="0.25">
      <c r="A24" s="11">
        <v>14</v>
      </c>
      <c r="B24" s="92" t="s">
        <v>157</v>
      </c>
      <c r="C24" s="41">
        <f>C16+C17+C18+C19+C20+C23</f>
        <v>924567.1399999999</v>
      </c>
      <c r="D24" s="43">
        <f t="shared" ref="D24" si="2">D16+D17+D18+D19+D20+D23</f>
        <v>978337.1</v>
      </c>
      <c r="E24" s="1"/>
    </row>
    <row r="25" spans="1:5" x14ac:dyDescent="0.25">
      <c r="A25" s="11">
        <v>15</v>
      </c>
      <c r="B25" s="18" t="s">
        <v>14</v>
      </c>
      <c r="C25" s="33">
        <f>C15-C24</f>
        <v>216570.11000000034</v>
      </c>
      <c r="D25" s="42">
        <f t="shared" ref="D25" si="3">D15-D24</f>
        <v>102158.97000000009</v>
      </c>
    </row>
    <row r="26" spans="1:5" x14ac:dyDescent="0.25">
      <c r="A26" s="11">
        <v>16</v>
      </c>
      <c r="B26" s="18" t="s">
        <v>161</v>
      </c>
      <c r="C26" s="33">
        <f>PriorYearIncomeStmt!E26</f>
        <v>-1311.0899999999965</v>
      </c>
      <c r="D26" s="42">
        <f>'CurrentYearIncomeStmt '!E26</f>
        <v>28038.14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60491.380000000005</v>
      </c>
      <c r="D28" s="42">
        <f>'CurrentYearIncomeStmt '!E28</f>
        <v>31775.010000000002</v>
      </c>
    </row>
    <row r="29" spans="1:5" x14ac:dyDescent="0.25">
      <c r="A29" s="11">
        <v>19</v>
      </c>
      <c r="B29" s="18" t="s">
        <v>13</v>
      </c>
      <c r="C29" s="33">
        <f>PriorYearIncomeStmt!E29</f>
        <v>42888.99</v>
      </c>
      <c r="D29" s="42">
        <f>'CurrentYearIncomeStmt '!E29</f>
        <v>39459.379999999997</v>
      </c>
    </row>
    <row r="30" spans="1:5" x14ac:dyDescent="0.25">
      <c r="A30" s="11">
        <v>20</v>
      </c>
      <c r="B30" s="92" t="s">
        <v>12</v>
      </c>
      <c r="C30" s="38">
        <f>SUM(C27:C29)</f>
        <v>103380.37</v>
      </c>
      <c r="D30" s="44">
        <f t="shared" ref="D30" si="4">SUM(D27:D29)</f>
        <v>71234.39</v>
      </c>
    </row>
    <row r="31" spans="1:5" x14ac:dyDescent="0.25">
      <c r="A31" s="11">
        <v>21</v>
      </c>
      <c r="B31" s="92" t="s">
        <v>23</v>
      </c>
      <c r="C31" s="38">
        <f>C25+C26-C30</f>
        <v>111878.65000000034</v>
      </c>
      <c r="D31" s="44">
        <f>D25+D26-D30</f>
        <v>58962.720000000088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-1.28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-1.28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1069.58</v>
      </c>
      <c r="D37" s="42">
        <f>'CurrentYearIncomeStmt '!E37</f>
        <v>1135.52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-26711.620000000039</v>
      </c>
      <c r="D40" s="42">
        <f>'CurrentYearIncomeStmt '!E40</f>
        <v>-26979.529999999984</v>
      </c>
    </row>
    <row r="41" spans="1:4" x14ac:dyDescent="0.25">
      <c r="A41" s="11">
        <v>31</v>
      </c>
      <c r="B41" s="92" t="s">
        <v>22</v>
      </c>
      <c r="C41" s="38">
        <f>C31-C36+C37+C38+C39+C40</f>
        <v>86237.890000000305</v>
      </c>
      <c r="D41" s="44">
        <f t="shared" ref="D41" si="6">D31-D36+D37+D38+D39+D40</f>
        <v>33118.710000000101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1971936.86</v>
      </c>
      <c r="D43" s="42">
        <f>'CurrentYearIncomeStmt '!E43</f>
        <v>1956512.62</v>
      </c>
    </row>
    <row r="44" spans="1:4" x14ac:dyDescent="0.25">
      <c r="A44" s="11">
        <v>34</v>
      </c>
      <c r="B44" s="18" t="s">
        <v>26</v>
      </c>
      <c r="C44" s="33">
        <f>PriorYearIncomeStmt!E44</f>
        <v>236919.18</v>
      </c>
      <c r="D44" s="42">
        <f>'CurrentYearIncomeStmt '!E44</f>
        <v>54519.88</v>
      </c>
    </row>
    <row r="45" spans="1:4" x14ac:dyDescent="0.25">
      <c r="A45" s="11">
        <v>35</v>
      </c>
      <c r="B45" s="18" t="s">
        <v>27</v>
      </c>
      <c r="C45" s="33">
        <f>PriorYearIncomeStmt!E45</f>
        <v>338581.31</v>
      </c>
      <c r="D45" s="42">
        <f>'CurrentYearIncomeStmt '!E45</f>
        <v>189445.28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1956512.6200000006</v>
      </c>
      <c r="D49" s="44">
        <f t="shared" ref="D49" si="7">(D41+D43+D44)-(D45+D46+D47+D48)</f>
        <v>1854705.9300000002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0.61624848369466489</v>
      </c>
      <c r="D55" s="50">
        <f>((D24+D30-D18-D19)/D15)</f>
        <v>0.61877076517270435</v>
      </c>
    </row>
    <row r="56" spans="1:8" x14ac:dyDescent="0.25">
      <c r="A56" s="11">
        <v>46</v>
      </c>
      <c r="B56" s="18" t="s">
        <v>37</v>
      </c>
      <c r="C56" s="50">
        <f>((C24+C30+C36)/C15)</f>
        <v>0.90080858371769013</v>
      </c>
      <c r="D56" s="50">
        <f>((D24+D30+D36)/D15)</f>
        <v>0.97137927581726413</v>
      </c>
    </row>
    <row r="57" spans="1:8" x14ac:dyDescent="0.25">
      <c r="A57" s="11">
        <v>47</v>
      </c>
      <c r="B57" s="18" t="s">
        <v>38</v>
      </c>
      <c r="C57" s="50">
        <f>((C41+C36)/C36)</f>
        <v>-67372.351562500233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DocketNumber xmlns="dc463f71-b30c-4ab2-9473-d307f9d35888">151586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62F1E138F2BA4C9B9C63B25EBF7B89" ma:contentTypeVersion="119" ma:contentTypeDescription="" ma:contentTypeScope="" ma:versionID="9d4b405cea45d63e16c1b5bab467b1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250FB4-5E85-4761-BBBA-E0B4442790B4}"/>
</file>

<file path=customXml/itemProps2.xml><?xml version="1.0" encoding="utf-8"?>
<ds:datastoreItem xmlns:ds="http://schemas.openxmlformats.org/officeDocument/2006/customXml" ds:itemID="{FBF5C77C-B574-410C-A472-D7A68AFE0C67}"/>
</file>

<file path=customXml/itemProps3.xml><?xml version="1.0" encoding="utf-8"?>
<ds:datastoreItem xmlns:ds="http://schemas.openxmlformats.org/officeDocument/2006/customXml" ds:itemID="{80E08315-B09C-49BB-A293-B83C301F520B}"/>
</file>

<file path=customXml/itemProps4.xml><?xml version="1.0" encoding="utf-8"?>
<ds:datastoreItem xmlns:ds="http://schemas.openxmlformats.org/officeDocument/2006/customXml" ds:itemID="{C9ADA229-8729-43AE-B369-18E5719D51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2015-06-04T22:32:37Z</cp:lastPrinted>
  <dcterms:created xsi:type="dcterms:W3CDTF">2014-05-21T17:51:51Z</dcterms:created>
  <dcterms:modified xsi:type="dcterms:W3CDTF">2015-08-27T15:21:26Z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0x0101006E56B4D1795A2E4DB2F0B01679ED314A00E462F1E138F2BA4C9B9C63B25EBF7B89</vt:lpwstr>
  </property>
  <property fmtid="{D5CDD505-2E9C-101B-9397-08002B2CF9AE}" pid="3" name="_docset_NoMedatataSyncRequired">
    <vt:lpwstr>False</vt:lpwstr>
  </property>
</Properties>
</file>