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0" documentId="8_{193E3258-BDE6-4527-89A3-6EA6313931AD}" xr6:coauthVersionLast="47" xr6:coauthVersionMax="47" xr10:uidLastSave="{00000000-0000-0000-0000-000000000000}"/>
  <bookViews>
    <workbookView xWindow="780" yWindow="780" windowWidth="21600" windowHeight="11385" xr2:uid="{82D5D65D-59D9-446A-A3A2-B2B3B4FA31F5}"/>
  </bookViews>
  <sheets>
    <sheet name="Electric Deferral" sheetId="1" r:id="rId1"/>
    <sheet name="Acerno_Cache_XXXXX" sheetId="6" state="veryHidden" r:id="rId2"/>
    <sheet name="Nat Gas Deferral" sheetId="2" r:id="rId3"/>
    <sheet name="Accounting Balances" sheetId="3" r:id="rId4"/>
    <sheet name="Interest Reconciliation" sheetId="7" r:id="rId5"/>
    <sheet name="Electric New Customer Status" sheetId="8" state="hidden" r:id="rId6"/>
    <sheet name="Natural Gas New Customer Status" sheetId="9" state="hidden" r:id="rId7"/>
    <sheet name="Electric Weather Component" sheetId="10" state="hidden" r:id="rId8"/>
    <sheet name="Natural Gas Weather Component" sheetId="11" state="hidden" r:id="rId9"/>
  </sheets>
  <externalReferences>
    <externalReference r:id="rId10"/>
  </externalReferences>
  <definedNames>
    <definedName name="Current_Month">[1]Summary!$K$1</definedName>
    <definedName name="_xlnm.Print_Area" localSheetId="3">'Accounting Balances'!$A$1:$H$525</definedName>
    <definedName name="_xlnm.Print_Area" localSheetId="0">'Electric Deferral'!$A$1:$U$65</definedName>
    <definedName name="_xlnm.Print_Area" localSheetId="5">'Electric New Customer Status'!$A$1:$P$54</definedName>
    <definedName name="_xlnm.Print_Area" localSheetId="7">'Electric Weather Component'!$A$1:$O$84</definedName>
    <definedName name="_xlnm.Print_Area" localSheetId="4">'Interest Reconciliation'!$A$1:$R$187</definedName>
    <definedName name="_xlnm.Print_Area" localSheetId="2">'Nat Gas Deferral'!$A$1:$U$61</definedName>
    <definedName name="_xlnm.Print_Area" localSheetId="6">'Natural Gas New Customer Status'!$A$1:$P$54</definedName>
    <definedName name="_xlnm.Print_Area" localSheetId="8">'Natural Gas Weather Component'!$A$1:$O$84</definedName>
    <definedName name="_xlnm.Print_Titles" localSheetId="0">'Electric Deferral'!$1:$7</definedName>
    <definedName name="_xlnm.Print_Titles" localSheetId="7">'Electric Weather Component'!$6:$9</definedName>
    <definedName name="_xlnm.Print_Titles" localSheetId="4">'Interest Reconciliation'!$1:$2</definedName>
    <definedName name="_xlnm.Print_Titles" localSheetId="2">'Nat Gas Deferral'!$1:$7</definedName>
    <definedName name="_xlnm.Print_Titles" localSheetId="8">'Natural Gas Weather Component'!$6:$9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0" i="3" l="1"/>
  <c r="J390" i="3" s="1"/>
  <c r="I389" i="3"/>
  <c r="J389" i="3" s="1"/>
  <c r="I388" i="3"/>
  <c r="J388" i="3" s="1"/>
  <c r="I403" i="3"/>
  <c r="J403" i="3" s="1"/>
  <c r="J402" i="3"/>
  <c r="I402" i="3"/>
  <c r="I401" i="3"/>
  <c r="J401" i="3" s="1"/>
  <c r="I423" i="3"/>
  <c r="J423" i="3" s="1"/>
  <c r="I422" i="3"/>
  <c r="J422" i="3" s="1"/>
  <c r="I421" i="3"/>
  <c r="J421" i="3" s="1"/>
  <c r="I420" i="3"/>
  <c r="J420" i="3" s="1"/>
  <c r="I419" i="3"/>
  <c r="J419" i="3" s="1"/>
  <c r="I418" i="3"/>
  <c r="J418" i="3" s="1"/>
  <c r="J417" i="3"/>
  <c r="I417" i="3"/>
  <c r="I416" i="3"/>
  <c r="J416" i="3" s="1"/>
  <c r="I415" i="3"/>
  <c r="J415" i="3" s="1"/>
  <c r="I436" i="3"/>
  <c r="J436" i="3" s="1"/>
  <c r="J435" i="3"/>
  <c r="I435" i="3"/>
  <c r="I434" i="3"/>
  <c r="J434" i="3" s="1"/>
  <c r="I433" i="3"/>
  <c r="J433" i="3" s="1"/>
  <c r="I432" i="3"/>
  <c r="J432" i="3" s="1"/>
  <c r="J431" i="3"/>
  <c r="I431" i="3"/>
  <c r="I430" i="3"/>
  <c r="J430" i="3" s="1"/>
  <c r="I429" i="3"/>
  <c r="J429" i="3" s="1"/>
  <c r="I428" i="3"/>
  <c r="J428" i="3" s="1"/>
  <c r="F524" i="3"/>
  <c r="F511" i="3"/>
  <c r="F497" i="3"/>
  <c r="F484" i="3"/>
  <c r="F470" i="3"/>
  <c r="F457" i="3"/>
  <c r="F437" i="3"/>
  <c r="F424" i="3"/>
  <c r="F410" i="3"/>
  <c r="F397" i="3"/>
  <c r="F379" i="3"/>
  <c r="F366" i="3"/>
  <c r="F353" i="3"/>
  <c r="F340" i="3"/>
  <c r="F323" i="3"/>
  <c r="F310" i="3"/>
  <c r="F297" i="3"/>
  <c r="F284" i="3"/>
  <c r="F264" i="3"/>
  <c r="F251" i="3"/>
  <c r="F233" i="3"/>
  <c r="F220" i="3"/>
  <c r="F206" i="3"/>
  <c r="F193" i="3"/>
  <c r="F176" i="3"/>
  <c r="F163" i="3"/>
  <c r="F149" i="3"/>
  <c r="F136" i="3"/>
  <c r="F117" i="3"/>
  <c r="F104" i="3"/>
  <c r="F90" i="3"/>
  <c r="F77" i="3"/>
  <c r="F59" i="3"/>
  <c r="F31" i="3"/>
  <c r="F18" i="3"/>
  <c r="I309" i="3" l="1"/>
  <c r="I308" i="3"/>
  <c r="I307" i="3"/>
  <c r="I306" i="3"/>
  <c r="I305" i="3"/>
  <c r="I304" i="3"/>
  <c r="J306" i="3"/>
  <c r="J305" i="3"/>
  <c r="I300" i="3"/>
  <c r="I296" i="3"/>
  <c r="I295" i="3"/>
  <c r="I294" i="3"/>
  <c r="I293" i="3"/>
  <c r="I292" i="3"/>
  <c r="J292" i="3" s="1"/>
  <c r="I291" i="3"/>
  <c r="J291" i="3"/>
  <c r="I287" i="3"/>
  <c r="I283" i="3"/>
  <c r="I282" i="3"/>
  <c r="I281" i="3"/>
  <c r="J281" i="3" s="1"/>
  <c r="I280" i="3"/>
  <c r="J280" i="3" s="1"/>
  <c r="I279" i="3"/>
  <c r="J279" i="3" s="1"/>
  <c r="I278" i="3"/>
  <c r="I322" i="3"/>
  <c r="I321" i="3"/>
  <c r="I320" i="3"/>
  <c r="I319" i="3"/>
  <c r="I318" i="3"/>
  <c r="I317" i="3"/>
  <c r="J319" i="3"/>
  <c r="I313" i="3"/>
  <c r="I331" i="3"/>
  <c r="J331" i="3" s="1"/>
  <c r="I332" i="3"/>
  <c r="I333" i="3"/>
  <c r="I334" i="3"/>
  <c r="I335" i="3"/>
  <c r="I336" i="3"/>
  <c r="J336" i="3" s="1"/>
  <c r="I337" i="3"/>
  <c r="J337" i="3" s="1"/>
  <c r="I338" i="3"/>
  <c r="I339" i="3"/>
  <c r="J339" i="3" s="1"/>
  <c r="J332" i="3"/>
  <c r="J333" i="3"/>
  <c r="J334" i="3"/>
  <c r="J335" i="3"/>
  <c r="J338" i="3"/>
  <c r="J317" i="3"/>
  <c r="J318" i="3"/>
  <c r="J320" i="3"/>
  <c r="J321" i="3"/>
  <c r="J322" i="3"/>
  <c r="J304" i="3"/>
  <c r="J307" i="3"/>
  <c r="J308" i="3"/>
  <c r="J309" i="3"/>
  <c r="J293" i="3"/>
  <c r="J294" i="3"/>
  <c r="J295" i="3"/>
  <c r="J296" i="3"/>
  <c r="J278" i="3"/>
  <c r="J282" i="3"/>
  <c r="J283" i="3"/>
  <c r="I274" i="3"/>
  <c r="J255" i="3"/>
  <c r="K255" i="3" s="1"/>
  <c r="J256" i="3"/>
  <c r="K256" i="3" s="1"/>
  <c r="J257" i="3"/>
  <c r="K257" i="3" s="1"/>
  <c r="J258" i="3"/>
  <c r="K258" i="3" s="1"/>
  <c r="J259" i="3"/>
  <c r="K259" i="3" s="1"/>
  <c r="J260" i="3"/>
  <c r="K260" i="3" s="1"/>
  <c r="J261" i="3"/>
  <c r="K261" i="3" s="1"/>
  <c r="J262" i="3"/>
  <c r="K262" i="3" s="1"/>
  <c r="J263" i="3"/>
  <c r="K263" i="3" s="1"/>
  <c r="J242" i="3"/>
  <c r="K242" i="3" s="1"/>
  <c r="J243" i="3"/>
  <c r="K243" i="3" s="1"/>
  <c r="J244" i="3"/>
  <c r="K244" i="3" s="1"/>
  <c r="J245" i="3"/>
  <c r="K245" i="3" s="1"/>
  <c r="J246" i="3"/>
  <c r="K246" i="3" s="1"/>
  <c r="J247" i="3"/>
  <c r="K247" i="3" s="1"/>
  <c r="J248" i="3"/>
  <c r="K248" i="3" s="1"/>
  <c r="J249" i="3"/>
  <c r="K249" i="3" s="1"/>
  <c r="J250" i="3"/>
  <c r="K250" i="3"/>
  <c r="I58" i="3"/>
  <c r="J58" i="3"/>
  <c r="I370" i="3"/>
  <c r="J370" i="3" s="1"/>
  <c r="I371" i="3"/>
  <c r="J371" i="3" s="1"/>
  <c r="I372" i="3"/>
  <c r="J372" i="3" s="1"/>
  <c r="I373" i="3"/>
  <c r="J373" i="3" s="1"/>
  <c r="I374" i="3"/>
  <c r="J374" i="3" s="1"/>
  <c r="I375" i="3"/>
  <c r="J375" i="3" s="1"/>
  <c r="I376" i="3"/>
  <c r="J376" i="3" s="1"/>
  <c r="I377" i="3"/>
  <c r="J377" i="3" s="1"/>
  <c r="I378" i="3"/>
  <c r="J378" i="3" s="1"/>
  <c r="I357" i="3"/>
  <c r="J357" i="3" s="1"/>
  <c r="I358" i="3"/>
  <c r="J358" i="3" s="1"/>
  <c r="I359" i="3"/>
  <c r="J359" i="3" s="1"/>
  <c r="I360" i="3"/>
  <c r="J360" i="3" s="1"/>
  <c r="I361" i="3"/>
  <c r="J361" i="3" s="1"/>
  <c r="I362" i="3"/>
  <c r="J362" i="3" s="1"/>
  <c r="I363" i="3"/>
  <c r="J363" i="3" s="1"/>
  <c r="I364" i="3"/>
  <c r="J364" i="3" s="1"/>
  <c r="I365" i="3"/>
  <c r="J365" i="3" s="1"/>
  <c r="I344" i="3"/>
  <c r="J344" i="3" s="1"/>
  <c r="I345" i="3"/>
  <c r="J345" i="3" s="1"/>
  <c r="I346" i="3"/>
  <c r="J346" i="3" s="1"/>
  <c r="I347" i="3"/>
  <c r="J347" i="3" s="1"/>
  <c r="I348" i="3"/>
  <c r="J348" i="3" s="1"/>
  <c r="I349" i="3"/>
  <c r="J349" i="3" s="1"/>
  <c r="I350" i="3"/>
  <c r="J350" i="3" s="1"/>
  <c r="I351" i="3"/>
  <c r="J351" i="3" s="1"/>
  <c r="I352" i="3"/>
  <c r="J352" i="3" s="1"/>
  <c r="I426" i="3"/>
  <c r="I427" i="3"/>
  <c r="I425" i="3"/>
  <c r="I413" i="3"/>
  <c r="I414" i="3"/>
  <c r="I412" i="3"/>
  <c r="I399" i="3"/>
  <c r="I400" i="3"/>
  <c r="I398" i="3"/>
  <c r="I386" i="3"/>
  <c r="I387" i="3"/>
  <c r="I385" i="3"/>
  <c r="I368" i="3"/>
  <c r="I369" i="3"/>
  <c r="I367" i="3"/>
  <c r="I355" i="3"/>
  <c r="I356" i="3"/>
  <c r="I354" i="3"/>
  <c r="I342" i="3"/>
  <c r="I343" i="3"/>
  <c r="I341" i="3"/>
  <c r="I329" i="3"/>
  <c r="I330" i="3"/>
  <c r="I328" i="3"/>
  <c r="O77" i="7"/>
  <c r="L77" i="7"/>
  <c r="O42" i="7"/>
  <c r="J313" i="3" l="1"/>
  <c r="I312" i="3"/>
  <c r="I311" i="3"/>
  <c r="I299" i="3"/>
  <c r="I298" i="3"/>
  <c r="I286" i="3"/>
  <c r="I285" i="3"/>
  <c r="I273" i="3"/>
  <c r="J273" i="3" s="1"/>
  <c r="I272" i="3"/>
  <c r="J272" i="3" s="1"/>
  <c r="O46" i="2"/>
  <c r="E55" i="2"/>
  <c r="F55" i="2"/>
  <c r="G55" i="2"/>
  <c r="D55" i="2"/>
  <c r="F29" i="2"/>
  <c r="H29" i="2" s="1"/>
  <c r="I29" i="2" s="1"/>
  <c r="K29" i="2" s="1"/>
  <c r="L29" i="2" s="1"/>
  <c r="N29" i="2" s="1"/>
  <c r="O29" i="2" s="1"/>
  <c r="O55" i="2" s="1"/>
  <c r="E29" i="2"/>
  <c r="O20" i="2"/>
  <c r="M55" i="2" l="1"/>
  <c r="L55" i="2"/>
  <c r="H55" i="2"/>
  <c r="N55" i="2"/>
  <c r="K55" i="2"/>
  <c r="J55" i="2"/>
  <c r="I55" i="2"/>
  <c r="O48" i="1"/>
  <c r="O20" i="1"/>
  <c r="Q33" i="1"/>
  <c r="F31" i="1"/>
  <c r="H31" i="1" s="1"/>
  <c r="I31" i="1" s="1"/>
  <c r="K31" i="1" s="1"/>
  <c r="L31" i="1" s="1"/>
  <c r="N31" i="1" s="1"/>
  <c r="O31" i="1" s="1"/>
  <c r="E31" i="1"/>
  <c r="A3" i="2"/>
  <c r="A2" i="2"/>
  <c r="Q9" i="10" l="1"/>
  <c r="Q8" i="10"/>
  <c r="Q10" i="10" s="1"/>
  <c r="T10" i="10"/>
  <c r="S10" i="10"/>
  <c r="R10" i="10"/>
  <c r="T8" i="10"/>
  <c r="S8" i="10"/>
  <c r="R8" i="10"/>
  <c r="T9" i="10"/>
  <c r="S9" i="10"/>
  <c r="R9" i="10"/>
  <c r="C14" i="10"/>
  <c r="T27" i="11" l="1"/>
  <c r="T26" i="11"/>
  <c r="U27" i="11"/>
  <c r="U26" i="11"/>
  <c r="W27" i="11"/>
  <c r="W26" i="11"/>
  <c r="V27" i="11"/>
  <c r="V26" i="11"/>
  <c r="U27" i="10"/>
  <c r="T27" i="10"/>
  <c r="U26" i="10"/>
  <c r="T26" i="10"/>
  <c r="N39" i="8" l="1"/>
  <c r="N38" i="8"/>
  <c r="C31" i="9"/>
  <c r="N40" i="9"/>
  <c r="N39" i="9"/>
  <c r="N38" i="9"/>
  <c r="P37" i="8" l="1"/>
  <c r="P36" i="8"/>
  <c r="P35" i="8"/>
  <c r="P34" i="8"/>
  <c r="C37" i="8"/>
  <c r="C31" i="8"/>
  <c r="C40" i="8"/>
  <c r="L48" i="9" l="1"/>
  <c r="L47" i="9"/>
  <c r="L46" i="9"/>
  <c r="L45" i="9"/>
  <c r="K48" i="9"/>
  <c r="K47" i="9"/>
  <c r="K46" i="9"/>
  <c r="K45" i="9"/>
  <c r="M38" i="9"/>
  <c r="L38" i="9"/>
  <c r="K38" i="9"/>
  <c r="M39" i="8"/>
  <c r="M38" i="8"/>
  <c r="L39" i="8"/>
  <c r="L38" i="8"/>
  <c r="M48" i="8"/>
  <c r="M47" i="8"/>
  <c r="M46" i="8"/>
  <c r="M45" i="8"/>
  <c r="M44" i="8"/>
  <c r="L48" i="8"/>
  <c r="L47" i="8"/>
  <c r="L46" i="8"/>
  <c r="L45" i="8"/>
  <c r="L44" i="8"/>
  <c r="J426" i="3"/>
  <c r="J413" i="3"/>
  <c r="J414" i="3"/>
  <c r="J399" i="3"/>
  <c r="J400" i="3"/>
  <c r="J427" i="3"/>
  <c r="J387" i="3"/>
  <c r="J386" i="3"/>
  <c r="J425" i="3"/>
  <c r="J412" i="3"/>
  <c r="J398" i="3"/>
  <c r="J385" i="3"/>
  <c r="J368" i="3"/>
  <c r="J369" i="3"/>
  <c r="J367" i="3"/>
  <c r="J355" i="3"/>
  <c r="J356" i="3"/>
  <c r="J354" i="3"/>
  <c r="J329" i="3"/>
  <c r="J330" i="3"/>
  <c r="J328" i="3"/>
  <c r="J343" i="3"/>
  <c r="J342" i="3"/>
  <c r="J341" i="3"/>
  <c r="J239" i="3" l="1"/>
  <c r="D53" i="1" l="1"/>
  <c r="O53" i="1"/>
  <c r="E25" i="1"/>
  <c r="F25" i="1" s="1"/>
  <c r="G25" i="1" s="1"/>
  <c r="H25" i="1" s="1"/>
  <c r="I25" i="1" s="1"/>
  <c r="J25" i="1" s="1"/>
  <c r="K25" i="1" s="1"/>
  <c r="L25" i="1" s="1"/>
  <c r="M25" i="1" s="1"/>
  <c r="N25" i="1" s="1"/>
  <c r="N53" i="1" s="1"/>
  <c r="K53" i="1" l="1"/>
  <c r="I53" i="1"/>
  <c r="F53" i="1"/>
  <c r="L53" i="1"/>
  <c r="E53" i="1"/>
  <c r="M53" i="1"/>
  <c r="G53" i="1"/>
  <c r="J53" i="1"/>
  <c r="H53" i="1"/>
  <c r="N9" i="11"/>
  <c r="M9" i="11"/>
  <c r="L9" i="11"/>
  <c r="K9" i="11"/>
  <c r="J9" i="11"/>
  <c r="I9" i="11"/>
  <c r="H9" i="11"/>
  <c r="G9" i="11"/>
  <c r="F9" i="11"/>
  <c r="E9" i="11"/>
  <c r="D9" i="11"/>
  <c r="C9" i="11"/>
  <c r="N8" i="11"/>
  <c r="M8" i="11"/>
  <c r="L8" i="11"/>
  <c r="K8" i="11"/>
  <c r="J8" i="11"/>
  <c r="I8" i="11"/>
  <c r="H8" i="11"/>
  <c r="G8" i="11"/>
  <c r="F8" i="11"/>
  <c r="E8" i="11"/>
  <c r="D8" i="11"/>
  <c r="C8" i="11"/>
  <c r="N69" i="11"/>
  <c r="M69" i="11"/>
  <c r="L69" i="11"/>
  <c r="K69" i="11"/>
  <c r="J69" i="11"/>
  <c r="I69" i="11"/>
  <c r="H69" i="11"/>
  <c r="G69" i="11"/>
  <c r="F69" i="11"/>
  <c r="E69" i="11"/>
  <c r="D69" i="11"/>
  <c r="C69" i="11"/>
  <c r="N68" i="11"/>
  <c r="M68" i="11"/>
  <c r="L68" i="11"/>
  <c r="K68" i="11"/>
  <c r="J68" i="11"/>
  <c r="I68" i="11"/>
  <c r="H68" i="11"/>
  <c r="G68" i="11"/>
  <c r="F68" i="11"/>
  <c r="E68" i="11"/>
  <c r="D68" i="11"/>
  <c r="C68" i="11"/>
  <c r="N50" i="11"/>
  <c r="M50" i="11"/>
  <c r="L50" i="11"/>
  <c r="K50" i="11"/>
  <c r="J50" i="11"/>
  <c r="I50" i="11"/>
  <c r="H50" i="11"/>
  <c r="G50" i="11"/>
  <c r="F50" i="11"/>
  <c r="E50" i="11"/>
  <c r="D50" i="11"/>
  <c r="C50" i="11"/>
  <c r="N49" i="11"/>
  <c r="M49" i="11"/>
  <c r="L49" i="11"/>
  <c r="K49" i="11"/>
  <c r="J49" i="11"/>
  <c r="I49" i="11"/>
  <c r="H49" i="11"/>
  <c r="G49" i="11"/>
  <c r="F49" i="11"/>
  <c r="E49" i="11"/>
  <c r="D49" i="11"/>
  <c r="C49" i="11"/>
  <c r="N31" i="11"/>
  <c r="M31" i="11"/>
  <c r="L31" i="11"/>
  <c r="K31" i="11"/>
  <c r="J31" i="11"/>
  <c r="I31" i="11"/>
  <c r="H31" i="11"/>
  <c r="G31" i="11"/>
  <c r="F31" i="11"/>
  <c r="E31" i="11"/>
  <c r="D31" i="11"/>
  <c r="C31" i="11"/>
  <c r="N30" i="11"/>
  <c r="M30" i="11"/>
  <c r="L30" i="11"/>
  <c r="K30" i="11"/>
  <c r="J30" i="11"/>
  <c r="I30" i="11"/>
  <c r="H30" i="11"/>
  <c r="G30" i="11"/>
  <c r="F30" i="11"/>
  <c r="E30" i="11"/>
  <c r="D30" i="11"/>
  <c r="C30" i="11"/>
  <c r="D11" i="11"/>
  <c r="E11" i="11"/>
  <c r="F11" i="11"/>
  <c r="G11" i="11"/>
  <c r="H11" i="11"/>
  <c r="I11" i="11"/>
  <c r="J11" i="11"/>
  <c r="K11" i="11"/>
  <c r="L11" i="11"/>
  <c r="M11" i="11"/>
  <c r="N11" i="11"/>
  <c r="D12" i="11"/>
  <c r="E12" i="11"/>
  <c r="F12" i="11"/>
  <c r="G12" i="11"/>
  <c r="H12" i="11"/>
  <c r="I12" i="11"/>
  <c r="J12" i="11"/>
  <c r="K12" i="11"/>
  <c r="L12" i="11"/>
  <c r="M12" i="11"/>
  <c r="N12" i="11"/>
  <c r="C12" i="11"/>
  <c r="C11" i="11"/>
  <c r="P36" i="9" l="1"/>
  <c r="P35" i="9"/>
  <c r="P34" i="9"/>
  <c r="O20" i="8"/>
  <c r="N16" i="9" l="1"/>
  <c r="N15" i="9"/>
  <c r="N12" i="9"/>
  <c r="N11" i="9"/>
  <c r="N13" i="9" s="1"/>
  <c r="N9" i="9"/>
  <c r="N8" i="9"/>
  <c r="N23" i="9" s="1"/>
  <c r="M16" i="9"/>
  <c r="M15" i="9"/>
  <c r="M12" i="9"/>
  <c r="M11" i="9"/>
  <c r="M13" i="9" s="1"/>
  <c r="M9" i="9"/>
  <c r="M8" i="9"/>
  <c r="L16" i="9"/>
  <c r="L15" i="9"/>
  <c r="L12" i="9"/>
  <c r="L11" i="9"/>
  <c r="L13" i="9" s="1"/>
  <c r="L9" i="9"/>
  <c r="L8" i="9"/>
  <c r="K16" i="9"/>
  <c r="K17" i="9" s="1"/>
  <c r="K15" i="9"/>
  <c r="K12" i="9"/>
  <c r="K11" i="9"/>
  <c r="K13" i="9" s="1"/>
  <c r="K9" i="9"/>
  <c r="K8" i="9"/>
  <c r="J16" i="9"/>
  <c r="J15" i="9"/>
  <c r="J12" i="9"/>
  <c r="J11" i="9"/>
  <c r="J9" i="9"/>
  <c r="J8" i="9"/>
  <c r="J22" i="9" s="1"/>
  <c r="I16" i="9"/>
  <c r="I15" i="9"/>
  <c r="I12" i="9"/>
  <c r="I11" i="9"/>
  <c r="I9" i="9"/>
  <c r="I8" i="9"/>
  <c r="H16" i="9"/>
  <c r="H15" i="9"/>
  <c r="H12" i="9"/>
  <c r="H19" i="9" s="1"/>
  <c r="H11" i="9"/>
  <c r="H9" i="9"/>
  <c r="H8" i="9"/>
  <c r="G16" i="9"/>
  <c r="G15" i="9"/>
  <c r="G12" i="9"/>
  <c r="G11" i="9"/>
  <c r="G13" i="9" s="1"/>
  <c r="G9" i="9"/>
  <c r="G8" i="9"/>
  <c r="C16" i="9"/>
  <c r="C15" i="9"/>
  <c r="C12" i="9"/>
  <c r="C11" i="9"/>
  <c r="C9" i="9"/>
  <c r="C8" i="9"/>
  <c r="D16" i="9"/>
  <c r="D15" i="9"/>
  <c r="D12" i="9"/>
  <c r="D11" i="9"/>
  <c r="D9" i="9"/>
  <c r="D8" i="9"/>
  <c r="D22" i="9" s="1"/>
  <c r="E16" i="9"/>
  <c r="E15" i="9"/>
  <c r="E12" i="9"/>
  <c r="E11" i="9"/>
  <c r="E9" i="9"/>
  <c r="E8" i="9"/>
  <c r="E10" i="9" s="1"/>
  <c r="F16" i="9"/>
  <c r="F15" i="9"/>
  <c r="F12" i="9"/>
  <c r="F11" i="9"/>
  <c r="F9" i="9"/>
  <c r="F8" i="9"/>
  <c r="N16" i="8"/>
  <c r="N15" i="8"/>
  <c r="M16" i="8"/>
  <c r="M15" i="8"/>
  <c r="L16" i="8"/>
  <c r="L15" i="8"/>
  <c r="L17" i="8" s="1"/>
  <c r="K16" i="8"/>
  <c r="K15" i="8"/>
  <c r="J16" i="8"/>
  <c r="J15" i="8"/>
  <c r="I16" i="8"/>
  <c r="I15" i="8"/>
  <c r="H16" i="8"/>
  <c r="H15" i="8"/>
  <c r="G16" i="8"/>
  <c r="G15" i="8"/>
  <c r="F16" i="8"/>
  <c r="F15" i="8"/>
  <c r="E16" i="8"/>
  <c r="E15" i="8"/>
  <c r="D16" i="8"/>
  <c r="D15" i="8"/>
  <c r="D17" i="8" s="1"/>
  <c r="C15" i="8"/>
  <c r="C16" i="8"/>
  <c r="C17" i="8" s="1"/>
  <c r="C24" i="8" s="1"/>
  <c r="N12" i="8"/>
  <c r="N11" i="8"/>
  <c r="N13" i="8" s="1"/>
  <c r="N9" i="8"/>
  <c r="N19" i="8" s="1"/>
  <c r="N8" i="8"/>
  <c r="N10" i="8" s="1"/>
  <c r="M12" i="8"/>
  <c r="M11" i="8"/>
  <c r="M13" i="8" s="1"/>
  <c r="M9" i="8"/>
  <c r="M8" i="8"/>
  <c r="M10" i="8" s="1"/>
  <c r="L12" i="8"/>
  <c r="L11" i="8"/>
  <c r="L9" i="8"/>
  <c r="L8" i="8"/>
  <c r="K12" i="8"/>
  <c r="K11" i="8"/>
  <c r="K9" i="8"/>
  <c r="K8" i="8"/>
  <c r="K10" i="8" s="1"/>
  <c r="J12" i="8"/>
  <c r="J11" i="8"/>
  <c r="J9" i="8"/>
  <c r="J8" i="8"/>
  <c r="I12" i="8"/>
  <c r="I11" i="8"/>
  <c r="I9" i="8"/>
  <c r="I8" i="8"/>
  <c r="H12" i="8"/>
  <c r="H11" i="8"/>
  <c r="H13" i="8" s="1"/>
  <c r="H9" i="8"/>
  <c r="H8" i="8"/>
  <c r="G12" i="8"/>
  <c r="G11" i="8"/>
  <c r="G9" i="8"/>
  <c r="G8" i="8"/>
  <c r="G10" i="8" s="1"/>
  <c r="F12" i="8"/>
  <c r="F11" i="8"/>
  <c r="F9" i="8"/>
  <c r="F8" i="8"/>
  <c r="E12" i="8"/>
  <c r="E11" i="8"/>
  <c r="E9" i="8"/>
  <c r="E8" i="8"/>
  <c r="E10" i="8" s="1"/>
  <c r="D12" i="8"/>
  <c r="D11" i="8"/>
  <c r="D9" i="8"/>
  <c r="D8" i="8"/>
  <c r="D22" i="8" s="1"/>
  <c r="C12" i="8"/>
  <c r="C11" i="8"/>
  <c r="C9" i="8"/>
  <c r="C19" i="8" s="1"/>
  <c r="C8" i="8"/>
  <c r="O20" i="9"/>
  <c r="O82" i="11"/>
  <c r="O78" i="11"/>
  <c r="O75" i="11"/>
  <c r="W24" i="11" s="1"/>
  <c r="O74" i="11"/>
  <c r="V24" i="11" s="1"/>
  <c r="N72" i="11"/>
  <c r="M72" i="11"/>
  <c r="L72" i="11"/>
  <c r="K72" i="11"/>
  <c r="J72" i="11"/>
  <c r="I72" i="11"/>
  <c r="H72" i="11"/>
  <c r="G72" i="11"/>
  <c r="F72" i="11"/>
  <c r="E72" i="11"/>
  <c r="D72" i="11"/>
  <c r="C72" i="11"/>
  <c r="N71" i="11"/>
  <c r="M71" i="11"/>
  <c r="L71" i="11"/>
  <c r="K71" i="11"/>
  <c r="J71" i="11"/>
  <c r="I71" i="11"/>
  <c r="H71" i="11"/>
  <c r="G71" i="11"/>
  <c r="F71" i="11"/>
  <c r="E71" i="11"/>
  <c r="D71" i="11"/>
  <c r="C71" i="11"/>
  <c r="O69" i="11"/>
  <c r="U24" i="11" s="1"/>
  <c r="O68" i="11"/>
  <c r="T24" i="11" s="1"/>
  <c r="O63" i="11"/>
  <c r="O59" i="11"/>
  <c r="O56" i="11"/>
  <c r="W23" i="11" s="1"/>
  <c r="O55" i="11"/>
  <c r="V23" i="11" s="1"/>
  <c r="N53" i="11"/>
  <c r="M53" i="11"/>
  <c r="L53" i="11"/>
  <c r="K53" i="11"/>
  <c r="J53" i="11"/>
  <c r="I53" i="11"/>
  <c r="H53" i="11"/>
  <c r="G53" i="11"/>
  <c r="F53" i="11"/>
  <c r="E53" i="11"/>
  <c r="D53" i="11"/>
  <c r="C53" i="11"/>
  <c r="N52" i="11"/>
  <c r="M52" i="11"/>
  <c r="L52" i="11"/>
  <c r="K52" i="11"/>
  <c r="J52" i="11"/>
  <c r="I52" i="11"/>
  <c r="H52" i="11"/>
  <c r="G52" i="11"/>
  <c r="F52" i="11"/>
  <c r="E52" i="11"/>
  <c r="D52" i="11"/>
  <c r="C52" i="11"/>
  <c r="O50" i="11"/>
  <c r="U23" i="11" s="1"/>
  <c r="O49" i="11"/>
  <c r="T23" i="11" s="1"/>
  <c r="O44" i="11"/>
  <c r="O40" i="11"/>
  <c r="O37" i="11"/>
  <c r="W22" i="11" s="1"/>
  <c r="O36" i="11"/>
  <c r="V22" i="11" s="1"/>
  <c r="N34" i="11"/>
  <c r="M34" i="11"/>
  <c r="L34" i="11"/>
  <c r="K34" i="11"/>
  <c r="J34" i="11"/>
  <c r="I34" i="11"/>
  <c r="H34" i="11"/>
  <c r="G34" i="11"/>
  <c r="F34" i="11"/>
  <c r="E34" i="11"/>
  <c r="D34" i="11"/>
  <c r="C34" i="11"/>
  <c r="N33" i="11"/>
  <c r="M33" i="11"/>
  <c r="L33" i="11"/>
  <c r="K33" i="11"/>
  <c r="J33" i="11"/>
  <c r="I33" i="11"/>
  <c r="H33" i="11"/>
  <c r="G33" i="11"/>
  <c r="F33" i="11"/>
  <c r="E33" i="11"/>
  <c r="D33" i="11"/>
  <c r="C33" i="11"/>
  <c r="O31" i="11"/>
  <c r="U22" i="11" s="1"/>
  <c r="O30" i="11"/>
  <c r="T22" i="11" s="1"/>
  <c r="O25" i="11"/>
  <c r="O21" i="11"/>
  <c r="O18" i="11"/>
  <c r="W21" i="11" s="1"/>
  <c r="O17" i="11"/>
  <c r="V21" i="11" s="1"/>
  <c r="N15" i="11"/>
  <c r="M15" i="11"/>
  <c r="L15" i="11"/>
  <c r="K15" i="11"/>
  <c r="J15" i="11"/>
  <c r="I15" i="11"/>
  <c r="H15" i="11"/>
  <c r="G15" i="11"/>
  <c r="F15" i="11"/>
  <c r="E15" i="11"/>
  <c r="D15" i="11"/>
  <c r="C15" i="11"/>
  <c r="N14" i="11"/>
  <c r="M14" i="11"/>
  <c r="L14" i="11"/>
  <c r="K14" i="11"/>
  <c r="J14" i="11"/>
  <c r="I14" i="11"/>
  <c r="H14" i="11"/>
  <c r="G14" i="11"/>
  <c r="F14" i="11"/>
  <c r="E14" i="11"/>
  <c r="D14" i="11"/>
  <c r="C14" i="11"/>
  <c r="O12" i="11"/>
  <c r="U21" i="11" s="1"/>
  <c r="O11" i="11"/>
  <c r="T21" i="11" s="1"/>
  <c r="O9" i="11"/>
  <c r="O8" i="11"/>
  <c r="D6" i="11"/>
  <c r="E6" i="11" s="1"/>
  <c r="F6" i="11" s="1"/>
  <c r="G6" i="11" s="1"/>
  <c r="H6" i="11" s="1"/>
  <c r="I6" i="11" s="1"/>
  <c r="J6" i="11" s="1"/>
  <c r="K6" i="11" s="1"/>
  <c r="L6" i="11" s="1"/>
  <c r="M6" i="11" s="1"/>
  <c r="N6" i="11" s="1"/>
  <c r="O82" i="10"/>
  <c r="O78" i="10"/>
  <c r="O75" i="10"/>
  <c r="W24" i="10" s="1"/>
  <c r="O74" i="10"/>
  <c r="V24" i="10" s="1"/>
  <c r="N72" i="10"/>
  <c r="M72" i="10"/>
  <c r="L72" i="10"/>
  <c r="K72" i="10"/>
  <c r="J72" i="10"/>
  <c r="I72" i="10"/>
  <c r="H72" i="10"/>
  <c r="G72" i="10"/>
  <c r="F72" i="10"/>
  <c r="E72" i="10"/>
  <c r="D72" i="10"/>
  <c r="C72" i="10"/>
  <c r="N71" i="10"/>
  <c r="M71" i="10"/>
  <c r="L71" i="10"/>
  <c r="K71" i="10"/>
  <c r="J71" i="10"/>
  <c r="I71" i="10"/>
  <c r="H71" i="10"/>
  <c r="G71" i="10"/>
  <c r="F71" i="10"/>
  <c r="E71" i="10"/>
  <c r="D71" i="10"/>
  <c r="C71" i="10"/>
  <c r="O69" i="10"/>
  <c r="U24" i="10" s="1"/>
  <c r="O68" i="10"/>
  <c r="T24" i="10" s="1"/>
  <c r="O63" i="10"/>
  <c r="O59" i="10"/>
  <c r="O56" i="10"/>
  <c r="W23" i="10" s="1"/>
  <c r="O55" i="10"/>
  <c r="V23" i="10" s="1"/>
  <c r="N53" i="10"/>
  <c r="M53" i="10"/>
  <c r="L53" i="10"/>
  <c r="K53" i="10"/>
  <c r="J53" i="10"/>
  <c r="I53" i="10"/>
  <c r="H53" i="10"/>
  <c r="G53" i="10"/>
  <c r="F53" i="10"/>
  <c r="E53" i="10"/>
  <c r="D53" i="10"/>
  <c r="C53" i="10"/>
  <c r="N52" i="10"/>
  <c r="M52" i="10"/>
  <c r="L52" i="10"/>
  <c r="K52" i="10"/>
  <c r="J52" i="10"/>
  <c r="I52" i="10"/>
  <c r="H52" i="10"/>
  <c r="G52" i="10"/>
  <c r="F52" i="10"/>
  <c r="E52" i="10"/>
  <c r="D52" i="10"/>
  <c r="C52" i="10"/>
  <c r="O50" i="10"/>
  <c r="U23" i="10" s="1"/>
  <c r="O49" i="10"/>
  <c r="T23" i="10" s="1"/>
  <c r="O44" i="10"/>
  <c r="O40" i="10"/>
  <c r="O37" i="10"/>
  <c r="W22" i="10" s="1"/>
  <c r="O36" i="10"/>
  <c r="V22" i="10" s="1"/>
  <c r="N34" i="10"/>
  <c r="M34" i="10"/>
  <c r="L34" i="10"/>
  <c r="K34" i="10"/>
  <c r="J34" i="10"/>
  <c r="I34" i="10"/>
  <c r="H34" i="10"/>
  <c r="G34" i="10"/>
  <c r="F34" i="10"/>
  <c r="E34" i="10"/>
  <c r="D34" i="10"/>
  <c r="C34" i="10"/>
  <c r="N33" i="10"/>
  <c r="M33" i="10"/>
  <c r="L33" i="10"/>
  <c r="K33" i="10"/>
  <c r="J33" i="10"/>
  <c r="I33" i="10"/>
  <c r="H33" i="10"/>
  <c r="G33" i="10"/>
  <c r="F33" i="10"/>
  <c r="E33" i="10"/>
  <c r="D33" i="10"/>
  <c r="C33" i="10"/>
  <c r="O31" i="10"/>
  <c r="U22" i="10" s="1"/>
  <c r="O30" i="10"/>
  <c r="T22" i="10" s="1"/>
  <c r="O25" i="10"/>
  <c r="O21" i="10"/>
  <c r="O18" i="10"/>
  <c r="W21" i="10" s="1"/>
  <c r="O17" i="10"/>
  <c r="V21" i="10" s="1"/>
  <c r="N15" i="10"/>
  <c r="M15" i="10"/>
  <c r="L15" i="10"/>
  <c r="K15" i="10"/>
  <c r="J15" i="10"/>
  <c r="I15" i="10"/>
  <c r="H15" i="10"/>
  <c r="G15" i="10"/>
  <c r="F15" i="10"/>
  <c r="E15" i="10"/>
  <c r="D15" i="10"/>
  <c r="C15" i="10"/>
  <c r="N14" i="10"/>
  <c r="M14" i="10"/>
  <c r="L14" i="10"/>
  <c r="K14" i="10"/>
  <c r="J14" i="10"/>
  <c r="I14" i="10"/>
  <c r="H14" i="10"/>
  <c r="G14" i="10"/>
  <c r="F14" i="10"/>
  <c r="E14" i="10"/>
  <c r="D14" i="10"/>
  <c r="O12" i="10"/>
  <c r="U21" i="10" s="1"/>
  <c r="O11" i="10"/>
  <c r="T21" i="10" s="1"/>
  <c r="O9" i="10"/>
  <c r="O8" i="10"/>
  <c r="D6" i="10"/>
  <c r="E6" i="10" s="1"/>
  <c r="F6" i="10" s="1"/>
  <c r="G6" i="10" s="1"/>
  <c r="H6" i="10" s="1"/>
  <c r="I6" i="10" s="1"/>
  <c r="J6" i="10" s="1"/>
  <c r="K6" i="10" s="1"/>
  <c r="L6" i="10" s="1"/>
  <c r="M6" i="10" s="1"/>
  <c r="N6" i="10" s="1"/>
  <c r="D48" i="9"/>
  <c r="E48" i="9" s="1"/>
  <c r="F48" i="9" s="1"/>
  <c r="G48" i="9" s="1"/>
  <c r="H48" i="9" s="1"/>
  <c r="I48" i="9" s="1"/>
  <c r="J48" i="9" s="1"/>
  <c r="M48" i="9" s="1"/>
  <c r="D47" i="9"/>
  <c r="E47" i="9" s="1"/>
  <c r="F47" i="9" s="1"/>
  <c r="G47" i="9" s="1"/>
  <c r="H47" i="9" s="1"/>
  <c r="I47" i="9" s="1"/>
  <c r="J47" i="9" s="1"/>
  <c r="M47" i="9" s="1"/>
  <c r="D46" i="9"/>
  <c r="E46" i="9" s="1"/>
  <c r="F46" i="9" s="1"/>
  <c r="G46" i="9" s="1"/>
  <c r="H46" i="9" s="1"/>
  <c r="I46" i="9" s="1"/>
  <c r="J46" i="9" s="1"/>
  <c r="M46" i="9" s="1"/>
  <c r="D45" i="9"/>
  <c r="E45" i="9" s="1"/>
  <c r="F45" i="9" s="1"/>
  <c r="G45" i="9" s="1"/>
  <c r="H45" i="9" s="1"/>
  <c r="I45" i="9" s="1"/>
  <c r="J45" i="9" s="1"/>
  <c r="G44" i="9"/>
  <c r="H44" i="9" s="1"/>
  <c r="I44" i="9" s="1"/>
  <c r="J44" i="9" s="1"/>
  <c r="K44" i="9" s="1"/>
  <c r="L44" i="9" s="1"/>
  <c r="D44" i="9"/>
  <c r="E44" i="9" s="1"/>
  <c r="D39" i="9"/>
  <c r="E39" i="9" s="1"/>
  <c r="F39" i="9" s="1"/>
  <c r="G39" i="9" s="1"/>
  <c r="D38" i="9"/>
  <c r="E38" i="9" s="1"/>
  <c r="F38" i="9" s="1"/>
  <c r="G38" i="9" s="1"/>
  <c r="N37" i="9"/>
  <c r="M37" i="9"/>
  <c r="L37" i="9"/>
  <c r="K37" i="9"/>
  <c r="J37" i="9"/>
  <c r="I37" i="9"/>
  <c r="H37" i="9"/>
  <c r="G37" i="9"/>
  <c r="F37" i="9"/>
  <c r="E37" i="9"/>
  <c r="D37" i="9"/>
  <c r="C37" i="9"/>
  <c r="C40" i="9" s="1"/>
  <c r="O21" i="9"/>
  <c r="F17" i="9"/>
  <c r="J19" i="9"/>
  <c r="I19" i="9"/>
  <c r="D6" i="9"/>
  <c r="E6" i="9" s="1"/>
  <c r="F6" i="9" s="1"/>
  <c r="G6" i="9" s="1"/>
  <c r="H6" i="9" s="1"/>
  <c r="I6" i="9" s="1"/>
  <c r="J6" i="9" s="1"/>
  <c r="K6" i="9" s="1"/>
  <c r="L6" i="9" s="1"/>
  <c r="M6" i="9" s="1"/>
  <c r="N6" i="9" s="1"/>
  <c r="D48" i="8"/>
  <c r="D47" i="8"/>
  <c r="E47" i="8" s="1"/>
  <c r="F47" i="8" s="1"/>
  <c r="G47" i="8" s="1"/>
  <c r="H47" i="8" s="1"/>
  <c r="I47" i="8" s="1"/>
  <c r="J47" i="8" s="1"/>
  <c r="K47" i="8" s="1"/>
  <c r="D46" i="8"/>
  <c r="E46" i="8" s="1"/>
  <c r="F46" i="8" s="1"/>
  <c r="G46" i="8" s="1"/>
  <c r="H46" i="8" s="1"/>
  <c r="I46" i="8" s="1"/>
  <c r="J46" i="8" s="1"/>
  <c r="K46" i="8" s="1"/>
  <c r="D45" i="8"/>
  <c r="E45" i="8" s="1"/>
  <c r="F45" i="8" s="1"/>
  <c r="G45" i="8" s="1"/>
  <c r="H45" i="8" s="1"/>
  <c r="I45" i="8" s="1"/>
  <c r="J45" i="8" s="1"/>
  <c r="K45" i="8" s="1"/>
  <c r="D44" i="8"/>
  <c r="E44" i="8" s="1"/>
  <c r="F44" i="8" s="1"/>
  <c r="G44" i="8" s="1"/>
  <c r="H44" i="8" s="1"/>
  <c r="D39" i="8"/>
  <c r="E39" i="8" s="1"/>
  <c r="F39" i="8" s="1"/>
  <c r="G39" i="8" s="1"/>
  <c r="D38" i="8"/>
  <c r="E38" i="8" s="1"/>
  <c r="F38" i="8" s="1"/>
  <c r="G38" i="8" s="1"/>
  <c r="H38" i="8" s="1"/>
  <c r="I38" i="8" s="1"/>
  <c r="J38" i="8" s="1"/>
  <c r="K38" i="8" s="1"/>
  <c r="N37" i="8"/>
  <c r="M37" i="8"/>
  <c r="L37" i="8"/>
  <c r="K37" i="8"/>
  <c r="J37" i="8"/>
  <c r="I37" i="8"/>
  <c r="H37" i="8"/>
  <c r="G37" i="8"/>
  <c r="F37" i="8"/>
  <c r="E37" i="8"/>
  <c r="D37" i="8"/>
  <c r="D40" i="8" s="1"/>
  <c r="L23" i="8"/>
  <c r="O21" i="8"/>
  <c r="C13" i="8"/>
  <c r="J23" i="8"/>
  <c r="F22" i="8"/>
  <c r="D6" i="8"/>
  <c r="E6" i="8" s="1"/>
  <c r="F6" i="8" s="1"/>
  <c r="G6" i="8" s="1"/>
  <c r="H6" i="8" s="1"/>
  <c r="I6" i="8" s="1"/>
  <c r="J6" i="8" s="1"/>
  <c r="K6" i="8" s="1"/>
  <c r="L6" i="8" s="1"/>
  <c r="M6" i="8" s="1"/>
  <c r="N6" i="8" s="1"/>
  <c r="L17" i="9" l="1"/>
  <c r="F10" i="9"/>
  <c r="F22" i="9"/>
  <c r="H23" i="8"/>
  <c r="L13" i="8"/>
  <c r="K17" i="8"/>
  <c r="C22" i="8"/>
  <c r="C10" i="8"/>
  <c r="G22" i="8"/>
  <c r="K23" i="8"/>
  <c r="V26" i="10"/>
  <c r="W26" i="10"/>
  <c r="O53" i="10"/>
  <c r="P37" i="9"/>
  <c r="F25" i="9"/>
  <c r="H38" i="9"/>
  <c r="I38" i="9" s="1"/>
  <c r="J38" i="9" s="1"/>
  <c r="G40" i="9"/>
  <c r="F40" i="9"/>
  <c r="F40" i="8"/>
  <c r="N17" i="9"/>
  <c r="L10" i="8"/>
  <c r="M17" i="9"/>
  <c r="M25" i="9" s="1"/>
  <c r="C13" i="9"/>
  <c r="O11" i="9"/>
  <c r="P11" i="9" s="1"/>
  <c r="G17" i="9"/>
  <c r="G24" i="9" s="1"/>
  <c r="J13" i="9"/>
  <c r="O12" i="9"/>
  <c r="E19" i="9"/>
  <c r="D13" i="9"/>
  <c r="H23" i="9"/>
  <c r="I13" i="9"/>
  <c r="J17" i="9"/>
  <c r="J26" i="9" s="1"/>
  <c r="O16" i="9"/>
  <c r="L22" i="9"/>
  <c r="E13" i="9"/>
  <c r="D17" i="9"/>
  <c r="D24" i="9" s="1"/>
  <c r="G23" i="9"/>
  <c r="H13" i="9"/>
  <c r="I17" i="9"/>
  <c r="I26" i="9" s="1"/>
  <c r="K22" i="9"/>
  <c r="O9" i="9"/>
  <c r="H17" i="8"/>
  <c r="H25" i="8" s="1"/>
  <c r="F13" i="8"/>
  <c r="M17" i="8"/>
  <c r="M25" i="8" s="1"/>
  <c r="N17" i="8"/>
  <c r="N25" i="8" s="1"/>
  <c r="O11" i="8"/>
  <c r="P11" i="8" s="1"/>
  <c r="F19" i="8"/>
  <c r="D13" i="8"/>
  <c r="J13" i="8"/>
  <c r="E17" i="8"/>
  <c r="E24" i="8" s="1"/>
  <c r="I17" i="8"/>
  <c r="I24" i="8" s="1"/>
  <c r="F17" i="8"/>
  <c r="F25" i="8" s="1"/>
  <c r="J17" i="8"/>
  <c r="J25" i="8" s="1"/>
  <c r="E13" i="8"/>
  <c r="O12" i="8"/>
  <c r="O13" i="8" s="1"/>
  <c r="G13" i="8"/>
  <c r="I13" i="8"/>
  <c r="K13" i="8"/>
  <c r="O16" i="8"/>
  <c r="G17" i="8"/>
  <c r="G25" i="8" s="1"/>
  <c r="C23" i="8"/>
  <c r="O8" i="8"/>
  <c r="O9" i="8"/>
  <c r="I10" i="8"/>
  <c r="C25" i="8"/>
  <c r="C26" i="8"/>
  <c r="F10" i="8"/>
  <c r="J10" i="8"/>
  <c r="O15" i="8"/>
  <c r="M10" i="9"/>
  <c r="D23" i="9"/>
  <c r="H17" i="9"/>
  <c r="F19" i="9"/>
  <c r="I10" i="9"/>
  <c r="O15" i="9"/>
  <c r="C17" i="9"/>
  <c r="C22" i="9"/>
  <c r="O8" i="9"/>
  <c r="O14" i="11"/>
  <c r="O33" i="11"/>
  <c r="O34" i="11"/>
  <c r="O53" i="11"/>
  <c r="O52" i="11"/>
  <c r="O71" i="11"/>
  <c r="O34" i="10"/>
  <c r="O72" i="10"/>
  <c r="O52" i="10"/>
  <c r="O33" i="10"/>
  <c r="O71" i="10"/>
  <c r="O14" i="10"/>
  <c r="N25" i="9"/>
  <c r="F31" i="9"/>
  <c r="N10" i="9"/>
  <c r="M22" i="9"/>
  <c r="L23" i="9"/>
  <c r="L10" i="9"/>
  <c r="K10" i="9"/>
  <c r="J10" i="9"/>
  <c r="H10" i="9"/>
  <c r="G10" i="9"/>
  <c r="C10" i="9"/>
  <c r="D10" i="9"/>
  <c r="D19" i="9"/>
  <c r="E17" i="9"/>
  <c r="E25" i="9" s="1"/>
  <c r="F13" i="9"/>
  <c r="F23" i="9"/>
  <c r="L22" i="8"/>
  <c r="I23" i="8"/>
  <c r="H10" i="8"/>
  <c r="E19" i="8"/>
  <c r="D10" i="8"/>
  <c r="N22" i="8"/>
  <c r="H22" i="8"/>
  <c r="D23" i="8"/>
  <c r="I44" i="8"/>
  <c r="H19" i="8"/>
  <c r="G19" i="8"/>
  <c r="D19" i="8"/>
  <c r="H39" i="8"/>
  <c r="G40" i="8"/>
  <c r="H40" i="9"/>
  <c r="E40" i="9"/>
  <c r="E31" i="9"/>
  <c r="L19" i="8"/>
  <c r="M45" i="9"/>
  <c r="N24" i="9" s="1"/>
  <c r="L24" i="9"/>
  <c r="I24" i="9"/>
  <c r="L26" i="8"/>
  <c r="L24" i="8"/>
  <c r="L25" i="8"/>
  <c r="D26" i="8"/>
  <c r="D24" i="8"/>
  <c r="D25" i="8"/>
  <c r="N40" i="8"/>
  <c r="L40" i="8"/>
  <c r="I25" i="8"/>
  <c r="I26" i="8"/>
  <c r="M44" i="9"/>
  <c r="L19" i="9"/>
  <c r="J26" i="8"/>
  <c r="J24" i="8"/>
  <c r="K26" i="8"/>
  <c r="K24" i="8"/>
  <c r="K25" i="8"/>
  <c r="I22" i="8"/>
  <c r="O15" i="10"/>
  <c r="J22" i="8"/>
  <c r="M23" i="8"/>
  <c r="K22" i="8"/>
  <c r="F23" i="8"/>
  <c r="N23" i="8"/>
  <c r="C19" i="9"/>
  <c r="K19" i="9"/>
  <c r="H39" i="9"/>
  <c r="I39" i="9" s="1"/>
  <c r="G31" i="9"/>
  <c r="E23" i="9"/>
  <c r="I40" i="9"/>
  <c r="E23" i="8"/>
  <c r="I22" i="9"/>
  <c r="J40" i="9"/>
  <c r="G23" i="8"/>
  <c r="E25" i="8"/>
  <c r="D25" i="9"/>
  <c r="D26" i="9"/>
  <c r="L25" i="9"/>
  <c r="L26" i="9"/>
  <c r="N22" i="9"/>
  <c r="D31" i="9"/>
  <c r="D40" i="9"/>
  <c r="L40" i="9"/>
  <c r="M23" i="9"/>
  <c r="J40" i="8"/>
  <c r="N26" i="9"/>
  <c r="K40" i="9"/>
  <c r="O72" i="11"/>
  <c r="E22" i="8"/>
  <c r="M22" i="8"/>
  <c r="I40" i="8"/>
  <c r="M40" i="9"/>
  <c r="K40" i="8"/>
  <c r="E40" i="8"/>
  <c r="G19" i="9"/>
  <c r="G25" i="9"/>
  <c r="G26" i="9"/>
  <c r="I23" i="9"/>
  <c r="E48" i="8"/>
  <c r="D31" i="8"/>
  <c r="F26" i="9"/>
  <c r="F24" i="9"/>
  <c r="N24" i="8"/>
  <c r="N26" i="8"/>
  <c r="H40" i="8"/>
  <c r="E22" i="9"/>
  <c r="J25" i="9"/>
  <c r="O15" i="11"/>
  <c r="G22" i="9"/>
  <c r="J23" i="9"/>
  <c r="H22" i="9"/>
  <c r="C23" i="9"/>
  <c r="K23" i="9"/>
  <c r="M26" i="9" l="1"/>
  <c r="I25" i="9"/>
  <c r="J24" i="9"/>
  <c r="H24" i="8"/>
  <c r="H27" i="8" s="1"/>
  <c r="H29" i="8" s="1"/>
  <c r="H26" i="8"/>
  <c r="P16" i="8"/>
  <c r="E26" i="8"/>
  <c r="O17" i="8"/>
  <c r="F24" i="8"/>
  <c r="F26" i="8"/>
  <c r="M26" i="8"/>
  <c r="M24" i="8"/>
  <c r="D27" i="9"/>
  <c r="D29" i="9" s="1"/>
  <c r="D30" i="9" s="1"/>
  <c r="D32" i="9" s="1"/>
  <c r="D42" i="9" s="1"/>
  <c r="E31" i="8"/>
  <c r="F48" i="8"/>
  <c r="P16" i="9"/>
  <c r="M40" i="8"/>
  <c r="O13" i="9"/>
  <c r="O22" i="8"/>
  <c r="G26" i="8"/>
  <c r="G24" i="8"/>
  <c r="O10" i="8"/>
  <c r="P8" i="8"/>
  <c r="P15" i="8" s="1"/>
  <c r="E26" i="9"/>
  <c r="E24" i="9"/>
  <c r="P8" i="9"/>
  <c r="P15" i="9" s="1"/>
  <c r="O10" i="9"/>
  <c r="O17" i="9"/>
  <c r="L27" i="9"/>
  <c r="L29" i="9" s="1"/>
  <c r="L30" i="9" s="1"/>
  <c r="M24" i="9"/>
  <c r="M27" i="9" s="1"/>
  <c r="M29" i="9" s="1"/>
  <c r="M30" i="9" s="1"/>
  <c r="O23" i="9"/>
  <c r="F27" i="9"/>
  <c r="F29" i="9" s="1"/>
  <c r="F30" i="9" s="1"/>
  <c r="F32" i="9" s="1"/>
  <c r="F42" i="9" s="1"/>
  <c r="D27" i="8"/>
  <c r="D29" i="8" s="1"/>
  <c r="D30" i="8" s="1"/>
  <c r="D32" i="8" s="1"/>
  <c r="D42" i="8" s="1"/>
  <c r="N27" i="8"/>
  <c r="N29" i="8" s="1"/>
  <c r="O23" i="8"/>
  <c r="J44" i="8"/>
  <c r="I19" i="8"/>
  <c r="I27" i="8"/>
  <c r="I29" i="8" s="1"/>
  <c r="K27" i="8"/>
  <c r="K29" i="8" s="1"/>
  <c r="L27" i="8"/>
  <c r="L29" i="8" s="1"/>
  <c r="L30" i="8" s="1"/>
  <c r="I39" i="8"/>
  <c r="O40" i="8"/>
  <c r="H31" i="9"/>
  <c r="O40" i="9"/>
  <c r="J27" i="9"/>
  <c r="J29" i="9" s="1"/>
  <c r="J30" i="9" s="1"/>
  <c r="K25" i="9"/>
  <c r="K26" i="9"/>
  <c r="K24" i="9"/>
  <c r="H26" i="9"/>
  <c r="H24" i="9"/>
  <c r="H25" i="9"/>
  <c r="C25" i="9"/>
  <c r="C26" i="9"/>
  <c r="C24" i="9"/>
  <c r="C27" i="8"/>
  <c r="C29" i="8" s="1"/>
  <c r="N44" i="9"/>
  <c r="N19" i="9" s="1"/>
  <c r="M19" i="9"/>
  <c r="N27" i="9"/>
  <c r="N29" i="9" s="1"/>
  <c r="I27" i="9"/>
  <c r="I29" i="9" s="1"/>
  <c r="O22" i="9"/>
  <c r="G27" i="9"/>
  <c r="G29" i="9" s="1"/>
  <c r="O25" i="8"/>
  <c r="M19" i="8"/>
  <c r="E27" i="8"/>
  <c r="E29" i="8" s="1"/>
  <c r="J27" i="8"/>
  <c r="J29" i="8" s="1"/>
  <c r="J39" i="9"/>
  <c r="K39" i="9" s="1"/>
  <c r="L39" i="9" s="1"/>
  <c r="M39" i="9" s="1"/>
  <c r="I31" i="9"/>
  <c r="F27" i="8" l="1"/>
  <c r="F29" i="8" s="1"/>
  <c r="O26" i="8"/>
  <c r="M27" i="8"/>
  <c r="M29" i="8" s="1"/>
  <c r="O24" i="8"/>
  <c r="O27" i="8" s="1"/>
  <c r="C30" i="8"/>
  <c r="C32" i="8"/>
  <c r="C42" i="8" s="1"/>
  <c r="G48" i="8"/>
  <c r="F31" i="8"/>
  <c r="G27" i="8"/>
  <c r="G29" i="8" s="1"/>
  <c r="G30" i="8" s="1"/>
  <c r="E27" i="9"/>
  <c r="E29" i="9" s="1"/>
  <c r="E30" i="9" s="1"/>
  <c r="E32" i="9" s="1"/>
  <c r="E42" i="9" s="1"/>
  <c r="K27" i="9"/>
  <c r="K29" i="9" s="1"/>
  <c r="K30" i="9" s="1"/>
  <c r="O19" i="9"/>
  <c r="F30" i="8"/>
  <c r="K44" i="8"/>
  <c r="K19" i="8" s="1"/>
  <c r="J19" i="8"/>
  <c r="O19" i="8" s="1"/>
  <c r="J39" i="8"/>
  <c r="H27" i="9"/>
  <c r="H29" i="9" s="1"/>
  <c r="H30" i="9" s="1"/>
  <c r="H32" i="9" s="1"/>
  <c r="H42" i="9" s="1"/>
  <c r="C27" i="9"/>
  <c r="C29" i="9" s="1"/>
  <c r="I30" i="9"/>
  <c r="I32" i="9" s="1"/>
  <c r="I42" i="9" s="1"/>
  <c r="G30" i="9"/>
  <c r="G32" i="9" s="1"/>
  <c r="G42" i="9" s="1"/>
  <c r="O24" i="9"/>
  <c r="J31" i="9"/>
  <c r="J32" i="9" s="1"/>
  <c r="J42" i="9" s="1"/>
  <c r="E30" i="8"/>
  <c r="E32" i="8" s="1"/>
  <c r="E42" i="8" s="1"/>
  <c r="O26" i="9"/>
  <c r="N30" i="9"/>
  <c r="O25" i="9"/>
  <c r="O29" i="8" l="1"/>
  <c r="H48" i="8"/>
  <c r="G31" i="8"/>
  <c r="G32" i="8" s="1"/>
  <c r="G42" i="8" s="1"/>
  <c r="F32" i="8"/>
  <c r="F42" i="8" s="1"/>
  <c r="O29" i="9"/>
  <c r="C30" i="9"/>
  <c r="C32" i="9" s="1"/>
  <c r="C42" i="9" s="1"/>
  <c r="K39" i="8"/>
  <c r="O27" i="9"/>
  <c r="L31" i="8"/>
  <c r="L32" i="8" s="1"/>
  <c r="L42" i="8" s="1"/>
  <c r="K31" i="9"/>
  <c r="I48" i="8" l="1"/>
  <c r="H31" i="8"/>
  <c r="H30" i="8"/>
  <c r="O30" i="9"/>
  <c r="K32" i="9"/>
  <c r="K42" i="9" s="1"/>
  <c r="L31" i="9"/>
  <c r="L32" i="9" s="1"/>
  <c r="L42" i="9" s="1"/>
  <c r="H32" i="8" l="1"/>
  <c r="H42" i="8" s="1"/>
  <c r="J48" i="8"/>
  <c r="I30" i="8"/>
  <c r="I31" i="8"/>
  <c r="I32" i="8" s="1"/>
  <c r="I42" i="8" s="1"/>
  <c r="M31" i="9"/>
  <c r="M32" i="9" s="1"/>
  <c r="M42" i="9" s="1"/>
  <c r="N31" i="9"/>
  <c r="K48" i="8" l="1"/>
  <c r="J30" i="8"/>
  <c r="J31" i="8"/>
  <c r="J32" i="8" s="1"/>
  <c r="J42" i="8" s="1"/>
  <c r="N32" i="9"/>
  <c r="N42" i="9" s="1"/>
  <c r="O42" i="9" s="1"/>
  <c r="O31" i="9"/>
  <c r="O32" i="9" s="1"/>
  <c r="K30" i="8" l="1"/>
  <c r="K31" i="8"/>
  <c r="F45" i="3"/>
  <c r="J254" i="3"/>
  <c r="J253" i="3"/>
  <c r="J252" i="3"/>
  <c r="J241" i="3"/>
  <c r="J240" i="3"/>
  <c r="K32" i="8" l="1"/>
  <c r="K42" i="8" s="1"/>
  <c r="M30" i="8"/>
  <c r="M31" i="8"/>
  <c r="M32" i="8" s="1"/>
  <c r="M42" i="8" s="1"/>
  <c r="K254" i="3"/>
  <c r="K253" i="3"/>
  <c r="K252" i="3"/>
  <c r="K241" i="3"/>
  <c r="K240" i="3"/>
  <c r="K239" i="3"/>
  <c r="N30" i="8" l="1"/>
  <c r="N31" i="8"/>
  <c r="O31" i="8" s="1"/>
  <c r="U9" i="1"/>
  <c r="R9" i="1"/>
  <c r="N32" i="8" l="1"/>
  <c r="N42" i="8" s="1"/>
  <c r="O42" i="8" s="1"/>
  <c r="O30" i="8"/>
  <c r="O32" i="8" s="1"/>
  <c r="F8" i="7"/>
  <c r="H176" i="7" l="1"/>
  <c r="Q176" i="7" s="1"/>
  <c r="Q175" i="7"/>
  <c r="M175" i="7" s="1"/>
  <c r="O175" i="7" s="1"/>
  <c r="D175" i="7"/>
  <c r="F175" i="7" s="1"/>
  <c r="J173" i="7"/>
  <c r="J172" i="7"/>
  <c r="H160" i="7"/>
  <c r="H161" i="7" s="1"/>
  <c r="H162" i="7" s="1"/>
  <c r="H163" i="7" s="1"/>
  <c r="H164" i="7" s="1"/>
  <c r="H165" i="7" s="1"/>
  <c r="Q159" i="7"/>
  <c r="M159" i="7" s="1"/>
  <c r="O159" i="7" s="1"/>
  <c r="D159" i="7"/>
  <c r="F159" i="7" s="1"/>
  <c r="J157" i="7"/>
  <c r="J156" i="7"/>
  <c r="H143" i="7"/>
  <c r="Q143" i="7" s="1"/>
  <c r="M143" i="7" s="1"/>
  <c r="I221" i="3" s="1"/>
  <c r="J141" i="7"/>
  <c r="J140" i="7"/>
  <c r="H127" i="7"/>
  <c r="Q127" i="7" s="1"/>
  <c r="M127" i="7" s="1"/>
  <c r="I194" i="3" s="1"/>
  <c r="J125" i="7"/>
  <c r="J124" i="7"/>
  <c r="H111" i="7"/>
  <c r="Q111" i="7" s="1"/>
  <c r="M111" i="7" s="1"/>
  <c r="I164" i="3" s="1"/>
  <c r="J109" i="7"/>
  <c r="J108" i="7"/>
  <c r="H95" i="7"/>
  <c r="Q95" i="7" s="1"/>
  <c r="M95" i="7" s="1"/>
  <c r="I137" i="3" s="1"/>
  <c r="J93" i="7"/>
  <c r="J92" i="7"/>
  <c r="H78" i="7"/>
  <c r="Q78" i="7" s="1"/>
  <c r="M78" i="7" s="1"/>
  <c r="A77" i="7"/>
  <c r="J75" i="7"/>
  <c r="J74" i="7"/>
  <c r="H60" i="7"/>
  <c r="Q60" i="7" s="1"/>
  <c r="M60" i="7" s="1"/>
  <c r="I78" i="3" s="1"/>
  <c r="J59" i="7"/>
  <c r="J57" i="7"/>
  <c r="J56" i="7"/>
  <c r="H43" i="7"/>
  <c r="J40" i="7"/>
  <c r="J39" i="7"/>
  <c r="H27" i="7"/>
  <c r="H44" i="7" s="1"/>
  <c r="Q44" i="7" s="1"/>
  <c r="Q26" i="7"/>
  <c r="M26" i="7" s="1"/>
  <c r="I19" i="3" s="1"/>
  <c r="D26" i="7"/>
  <c r="I6" i="3" s="1"/>
  <c r="A26" i="7"/>
  <c r="A43" i="7" s="1"/>
  <c r="J43" i="7" s="1"/>
  <c r="A25" i="7"/>
  <c r="A58" i="7" s="1"/>
  <c r="J58" i="7" s="1"/>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O7" i="7"/>
  <c r="F7" i="7"/>
  <c r="O6" i="7"/>
  <c r="F6" i="7"/>
  <c r="A6" i="7"/>
  <c r="A27" i="7" s="1"/>
  <c r="O5" i="7"/>
  <c r="J5" i="7"/>
  <c r="F5" i="7"/>
  <c r="Q4" i="7"/>
  <c r="K78" i="3" l="1"/>
  <c r="O78" i="7"/>
  <c r="J105" i="3" s="1"/>
  <c r="I105" i="3"/>
  <c r="Q163" i="7"/>
  <c r="D143" i="7"/>
  <c r="I208" i="3" s="1"/>
  <c r="Q164" i="7"/>
  <c r="D111" i="7"/>
  <c r="D60" i="7"/>
  <c r="Q160" i="7"/>
  <c r="M160" i="7" s="1"/>
  <c r="O160" i="7" s="1"/>
  <c r="F18" i="7"/>
  <c r="A41" i="7"/>
  <c r="J41" i="7" s="1"/>
  <c r="J25" i="7"/>
  <c r="A142" i="7"/>
  <c r="J142" i="7" s="1"/>
  <c r="F26" i="7"/>
  <c r="O26" i="7"/>
  <c r="J19" i="3" s="1"/>
  <c r="Q161" i="7"/>
  <c r="Q162" i="7"/>
  <c r="O127" i="7"/>
  <c r="J194" i="3" s="1"/>
  <c r="O95" i="7"/>
  <c r="J137" i="3" s="1"/>
  <c r="O60" i="7"/>
  <c r="J78" i="3" s="1"/>
  <c r="O111" i="7"/>
  <c r="J164" i="3" s="1"/>
  <c r="F143" i="7"/>
  <c r="J208" i="3" s="1"/>
  <c r="O20" i="7"/>
  <c r="F19" i="7"/>
  <c r="O143" i="7"/>
  <c r="J221" i="3" s="1"/>
  <c r="F17" i="7"/>
  <c r="O19" i="7"/>
  <c r="D127" i="7"/>
  <c r="I181" i="3" s="1"/>
  <c r="O17" i="7"/>
  <c r="D78" i="7"/>
  <c r="I92" i="3" s="1"/>
  <c r="F21" i="7"/>
  <c r="D95" i="7"/>
  <c r="I124" i="3" s="1"/>
  <c r="O18" i="7"/>
  <c r="F20" i="7"/>
  <c r="A160" i="7"/>
  <c r="J160" i="7" s="1"/>
  <c r="A112" i="7"/>
  <c r="J112" i="7" s="1"/>
  <c r="A128" i="7"/>
  <c r="J128" i="7" s="1"/>
  <c r="A176" i="7"/>
  <c r="J176" i="7" s="1"/>
  <c r="A96" i="7"/>
  <c r="J96" i="7" s="1"/>
  <c r="A144" i="7"/>
  <c r="J144" i="7" s="1"/>
  <c r="A79" i="7"/>
  <c r="J79" i="7" s="1"/>
  <c r="J27" i="7"/>
  <c r="A61" i="7"/>
  <c r="J61" i="7" s="1"/>
  <c r="A44" i="7"/>
  <c r="J44" i="7" s="1"/>
  <c r="O21" i="7"/>
  <c r="J6" i="7"/>
  <c r="A7" i="7"/>
  <c r="H144" i="7"/>
  <c r="H112" i="7"/>
  <c r="Q112" i="7" s="1"/>
  <c r="H128" i="7"/>
  <c r="Q128" i="7" s="1"/>
  <c r="H96" i="7"/>
  <c r="Q96" i="7" s="1"/>
  <c r="H61" i="7"/>
  <c r="Q61" i="7" s="1"/>
  <c r="H28" i="7"/>
  <c r="H79" i="7"/>
  <c r="Q79" i="7" s="1"/>
  <c r="Q27" i="7"/>
  <c r="D176" i="7"/>
  <c r="F176" i="7" s="1"/>
  <c r="D43" i="7"/>
  <c r="I33" i="3" s="1"/>
  <c r="Q43" i="7"/>
  <c r="M43" i="7" s="1"/>
  <c r="A94" i="7"/>
  <c r="J94" i="7" s="1"/>
  <c r="A76" i="7"/>
  <c r="J76" i="7" s="1"/>
  <c r="A110" i="7"/>
  <c r="J110" i="7" s="1"/>
  <c r="A126" i="7"/>
  <c r="J126" i="7" s="1"/>
  <c r="A174" i="7"/>
  <c r="J174" i="7" s="1"/>
  <c r="A158" i="7"/>
  <c r="J158" i="7" s="1"/>
  <c r="D160" i="7"/>
  <c r="F160" i="7" s="1"/>
  <c r="A175" i="7"/>
  <c r="J175" i="7" s="1"/>
  <c r="A111" i="7"/>
  <c r="J111" i="7" s="1"/>
  <c r="A127" i="7"/>
  <c r="J127" i="7" s="1"/>
  <c r="A159" i="7"/>
  <c r="J159" i="7" s="1"/>
  <c r="A95" i="7"/>
  <c r="J95" i="7" s="1"/>
  <c r="A60" i="7"/>
  <c r="J60" i="7" s="1"/>
  <c r="A143" i="7"/>
  <c r="J143" i="7" s="1"/>
  <c r="M176" i="7"/>
  <c r="O176" i="7" s="1"/>
  <c r="J26" i="7"/>
  <c r="A78" i="7"/>
  <c r="J78" i="7" s="1"/>
  <c r="H166" i="7"/>
  <c r="Q165" i="7"/>
  <c r="H177" i="7"/>
  <c r="K92" i="3" l="1"/>
  <c r="F111" i="7"/>
  <c r="J151" i="3" s="1"/>
  <c r="I151" i="3"/>
  <c r="D27" i="7"/>
  <c r="I7" i="3" s="1"/>
  <c r="J6" i="3"/>
  <c r="F60" i="7"/>
  <c r="J65" i="3" s="1"/>
  <c r="I65" i="3"/>
  <c r="K65" i="3" s="1"/>
  <c r="I46" i="3"/>
  <c r="K105" i="3" s="1"/>
  <c r="L5" i="7"/>
  <c r="M112" i="7"/>
  <c r="I165" i="3" s="1"/>
  <c r="M79" i="7"/>
  <c r="M128" i="7"/>
  <c r="M96" i="7"/>
  <c r="M27" i="7"/>
  <c r="F127" i="7"/>
  <c r="F27" i="7"/>
  <c r="M61" i="7"/>
  <c r="I79" i="3" s="1"/>
  <c r="F95" i="7"/>
  <c r="J124" i="3" s="1"/>
  <c r="O43" i="7"/>
  <c r="J46" i="3" s="1"/>
  <c r="F78" i="7"/>
  <c r="D112" i="7"/>
  <c r="I152" i="3" s="1"/>
  <c r="H113" i="7"/>
  <c r="Q113" i="7" s="1"/>
  <c r="H80" i="7"/>
  <c r="Q80" i="7" s="1"/>
  <c r="H129" i="7"/>
  <c r="Q129" i="7" s="1"/>
  <c r="H97" i="7"/>
  <c r="Q97" i="7" s="1"/>
  <c r="H62" i="7"/>
  <c r="Q62" i="7" s="1"/>
  <c r="H45" i="7"/>
  <c r="Q45" i="7" s="1"/>
  <c r="H145" i="7"/>
  <c r="Q145" i="7" s="1"/>
  <c r="Q28" i="7"/>
  <c r="A28" i="7"/>
  <c r="J7" i="7"/>
  <c r="A8" i="7"/>
  <c r="C5" i="7"/>
  <c r="F43" i="7"/>
  <c r="J33" i="3" s="1"/>
  <c r="H167" i="7"/>
  <c r="Q166" i="7"/>
  <c r="D61" i="7"/>
  <c r="I66" i="3" s="1"/>
  <c r="Q177" i="7"/>
  <c r="H178" i="7"/>
  <c r="Q144" i="7"/>
  <c r="M144" i="7" s="1"/>
  <c r="I222" i="3" s="1"/>
  <c r="D144" i="7"/>
  <c r="I209" i="3" s="1"/>
  <c r="D79" i="7" l="1"/>
  <c r="I93" i="3" s="1"/>
  <c r="J92" i="3"/>
  <c r="O112" i="7"/>
  <c r="J165" i="3" s="1"/>
  <c r="O96" i="7"/>
  <c r="J138" i="3" s="1"/>
  <c r="I138" i="3"/>
  <c r="O128" i="7"/>
  <c r="J195" i="3" s="1"/>
  <c r="I195" i="3"/>
  <c r="O79" i="7"/>
  <c r="J106" i="3" s="1"/>
  <c r="I106" i="3"/>
  <c r="O27" i="7"/>
  <c r="J20" i="3" s="1"/>
  <c r="I20" i="3"/>
  <c r="D28" i="7"/>
  <c r="I8" i="3" s="1"/>
  <c r="J7" i="3"/>
  <c r="D128" i="7"/>
  <c r="I182" i="3" s="1"/>
  <c r="J181" i="3"/>
  <c r="M80" i="7"/>
  <c r="D96" i="7"/>
  <c r="O144" i="7"/>
  <c r="J222" i="3" s="1"/>
  <c r="F112" i="7"/>
  <c r="J152" i="3" s="1"/>
  <c r="F144" i="7"/>
  <c r="J209" i="3" s="1"/>
  <c r="F61" i="7"/>
  <c r="M44" i="7"/>
  <c r="I47" i="3" s="1"/>
  <c r="F128" i="7"/>
  <c r="J182" i="3" s="1"/>
  <c r="F79" i="7"/>
  <c r="J93" i="3" s="1"/>
  <c r="O61" i="7"/>
  <c r="A161" i="7"/>
  <c r="A177" i="7"/>
  <c r="A113" i="7"/>
  <c r="A97" i="7"/>
  <c r="J28" i="7"/>
  <c r="A129" i="7"/>
  <c r="A62" i="7"/>
  <c r="J62" i="7" s="1"/>
  <c r="A145" i="7"/>
  <c r="A80" i="7"/>
  <c r="J80" i="7" s="1"/>
  <c r="A45" i="7"/>
  <c r="D44" i="7"/>
  <c r="I34" i="3" s="1"/>
  <c r="H114" i="7"/>
  <c r="Q114" i="7" s="1"/>
  <c r="H98" i="7"/>
  <c r="Q98" i="7" s="1"/>
  <c r="H81" i="7"/>
  <c r="Q81" i="7" s="1"/>
  <c r="H130" i="7"/>
  <c r="Q130" i="7" s="1"/>
  <c r="H146" i="7"/>
  <c r="Q146" i="7" s="1"/>
  <c r="H63" i="7"/>
  <c r="Q63" i="7" s="1"/>
  <c r="H30" i="7"/>
  <c r="Q29" i="7"/>
  <c r="H46" i="7"/>
  <c r="Q5" i="7"/>
  <c r="H5" i="7"/>
  <c r="H168" i="7"/>
  <c r="Q167" i="7"/>
  <c r="Q178" i="7"/>
  <c r="H179" i="7"/>
  <c r="A29" i="7"/>
  <c r="J8" i="7"/>
  <c r="A9" i="7"/>
  <c r="D80" i="7" l="1"/>
  <c r="I94" i="3" s="1"/>
  <c r="D62" i="7"/>
  <c r="I67" i="3" s="1"/>
  <c r="J66" i="3"/>
  <c r="M62" i="7"/>
  <c r="I80" i="3" s="1"/>
  <c r="J79" i="3"/>
  <c r="F96" i="7"/>
  <c r="J125" i="3" s="1"/>
  <c r="I125" i="3"/>
  <c r="O80" i="7"/>
  <c r="J107" i="3" s="1"/>
  <c r="I107" i="3"/>
  <c r="Q46" i="7"/>
  <c r="F80" i="7"/>
  <c r="J94" i="3" s="1"/>
  <c r="F62" i="7"/>
  <c r="J67" i="3" s="1"/>
  <c r="C6" i="7"/>
  <c r="H6" i="7" s="1"/>
  <c r="O44" i="7"/>
  <c r="J47" i="3" s="1"/>
  <c r="L6" i="7"/>
  <c r="Q6" i="7" s="1"/>
  <c r="H115" i="7"/>
  <c r="Q115" i="7" s="1"/>
  <c r="H82" i="7"/>
  <c r="Q82" i="7" s="1"/>
  <c r="H131" i="7"/>
  <c r="Q131" i="7" s="1"/>
  <c r="H99" i="7"/>
  <c r="Q99" i="7" s="1"/>
  <c r="Q30" i="7"/>
  <c r="H64" i="7"/>
  <c r="Q64" i="7" s="1"/>
  <c r="H147" i="7"/>
  <c r="Q147" i="7" s="1"/>
  <c r="H47" i="7"/>
  <c r="Q47" i="7" s="1"/>
  <c r="H31" i="7"/>
  <c r="J145" i="7"/>
  <c r="M145" i="7" s="1"/>
  <c r="I223" i="3" s="1"/>
  <c r="D145" i="7"/>
  <c r="I210" i="3" s="1"/>
  <c r="J161" i="7"/>
  <c r="H169" i="7"/>
  <c r="Q168" i="7"/>
  <c r="D63" i="7"/>
  <c r="I68" i="3" s="1"/>
  <c r="A30" i="7"/>
  <c r="J9" i="7"/>
  <c r="A10" i="7"/>
  <c r="F44" i="7"/>
  <c r="J34" i="3" s="1"/>
  <c r="J129" i="7"/>
  <c r="M129" i="7" s="1"/>
  <c r="I196" i="3" s="1"/>
  <c r="D129" i="7"/>
  <c r="I183" i="3" s="1"/>
  <c r="M28" i="7"/>
  <c r="I21" i="3" s="1"/>
  <c r="J97" i="7"/>
  <c r="M97" i="7" s="1"/>
  <c r="I139" i="3" s="1"/>
  <c r="D97" i="7"/>
  <c r="I126" i="3" s="1"/>
  <c r="A178" i="7"/>
  <c r="A162" i="7"/>
  <c r="A114" i="7"/>
  <c r="A130" i="7"/>
  <c r="A98" i="7"/>
  <c r="A63" i="7"/>
  <c r="J63" i="7" s="1"/>
  <c r="A146" i="7"/>
  <c r="A81" i="7"/>
  <c r="J81" i="7" s="1"/>
  <c r="A46" i="7"/>
  <c r="J29" i="7"/>
  <c r="Q179" i="7"/>
  <c r="H180" i="7"/>
  <c r="J45" i="7"/>
  <c r="D113" i="7"/>
  <c r="I153" i="3" s="1"/>
  <c r="J113" i="7"/>
  <c r="M113" i="7" s="1"/>
  <c r="I166" i="3" s="1"/>
  <c r="J177" i="7"/>
  <c r="M177" i="7" s="1"/>
  <c r="O177" i="7" s="1"/>
  <c r="D177" i="7"/>
  <c r="F177" i="7" s="1"/>
  <c r="O62" i="7" l="1"/>
  <c r="J80" i="3" s="1"/>
  <c r="M81" i="7"/>
  <c r="I108" i="3" s="1"/>
  <c r="F63" i="7"/>
  <c r="J68" i="3" s="1"/>
  <c r="O81" i="7"/>
  <c r="D81" i="7"/>
  <c r="I95" i="3" s="1"/>
  <c r="O145" i="7"/>
  <c r="J223" i="3" s="1"/>
  <c r="F97" i="7"/>
  <c r="F145" i="7"/>
  <c r="J210" i="3" s="1"/>
  <c r="O28" i="7"/>
  <c r="F28" i="7"/>
  <c r="J8" i="3" s="1"/>
  <c r="F129" i="7"/>
  <c r="J183" i="3" s="1"/>
  <c r="F113" i="7"/>
  <c r="J153" i="3" s="1"/>
  <c r="M63" i="7"/>
  <c r="I81" i="3" s="1"/>
  <c r="O129" i="7"/>
  <c r="J196" i="3" s="1"/>
  <c r="O113" i="7"/>
  <c r="J166" i="3" s="1"/>
  <c r="O97" i="7"/>
  <c r="J139" i="3" s="1"/>
  <c r="H116" i="7"/>
  <c r="Q116" i="7" s="1"/>
  <c r="H83" i="7"/>
  <c r="Q83" i="7" s="1"/>
  <c r="H132" i="7"/>
  <c r="Q132" i="7" s="1"/>
  <c r="H65" i="7"/>
  <c r="Q65" i="7" s="1"/>
  <c r="H148" i="7"/>
  <c r="Q148" i="7" s="1"/>
  <c r="Q31" i="7"/>
  <c r="H100" i="7"/>
  <c r="Q100" i="7" s="1"/>
  <c r="H48" i="7"/>
  <c r="Q48" i="7" s="1"/>
  <c r="J130" i="7"/>
  <c r="J114" i="7"/>
  <c r="J46" i="7"/>
  <c r="J162" i="7"/>
  <c r="D45" i="7"/>
  <c r="I35" i="3" s="1"/>
  <c r="Q169" i="7"/>
  <c r="H170" i="7"/>
  <c r="Q170" i="7" s="1"/>
  <c r="D178" i="7"/>
  <c r="F178" i="7" s="1"/>
  <c r="J178" i="7"/>
  <c r="M178" i="7" s="1"/>
  <c r="O178" i="7" s="1"/>
  <c r="M161" i="7"/>
  <c r="O161" i="7" s="1"/>
  <c r="A11" i="7"/>
  <c r="J10" i="7"/>
  <c r="A31" i="7"/>
  <c r="A163" i="7"/>
  <c r="A147" i="7"/>
  <c r="A179" i="7"/>
  <c r="A99" i="7"/>
  <c r="A131" i="7"/>
  <c r="A47" i="7"/>
  <c r="A64" i="7"/>
  <c r="J64" i="7" s="1"/>
  <c r="J30" i="7"/>
  <c r="A82" i="7"/>
  <c r="J82" i="7" s="1"/>
  <c r="A115" i="7"/>
  <c r="D161" i="7"/>
  <c r="F161" i="7" s="1"/>
  <c r="J146" i="7"/>
  <c r="M45" i="7"/>
  <c r="I48" i="3" s="1"/>
  <c r="Q180" i="7"/>
  <c r="H181" i="7"/>
  <c r="J98" i="7"/>
  <c r="M82" i="7" l="1"/>
  <c r="I109" i="3" s="1"/>
  <c r="J108" i="3"/>
  <c r="M29" i="7"/>
  <c r="I22" i="3" s="1"/>
  <c r="J21" i="3"/>
  <c r="D98" i="7"/>
  <c r="J126" i="3"/>
  <c r="D29" i="7"/>
  <c r="I9" i="3" s="1"/>
  <c r="M98" i="7"/>
  <c r="D64" i="7"/>
  <c r="O63" i="7"/>
  <c r="J81" i="3" s="1"/>
  <c r="F81" i="7"/>
  <c r="J95" i="3" s="1"/>
  <c r="O82" i="7"/>
  <c r="J109" i="3" s="1"/>
  <c r="M114" i="7"/>
  <c r="I167" i="3" s="1"/>
  <c r="D130" i="7"/>
  <c r="I184" i="3" s="1"/>
  <c r="D114" i="7"/>
  <c r="D146" i="7"/>
  <c r="I211" i="3" s="1"/>
  <c r="M146" i="7"/>
  <c r="I224" i="3" s="1"/>
  <c r="M130" i="7"/>
  <c r="I197" i="3" s="1"/>
  <c r="O45" i="7"/>
  <c r="J48" i="3" s="1"/>
  <c r="F45" i="7"/>
  <c r="C7" i="7"/>
  <c r="H7" i="7" s="1"/>
  <c r="L7" i="7"/>
  <c r="Q7" i="7" s="1"/>
  <c r="D162" i="7"/>
  <c r="F162" i="7" s="1"/>
  <c r="J47" i="7"/>
  <c r="Q181" i="7"/>
  <c r="H182" i="7"/>
  <c r="H117" i="7"/>
  <c r="Q117" i="7" s="1"/>
  <c r="H84" i="7"/>
  <c r="Q84" i="7" s="1"/>
  <c r="H133" i="7"/>
  <c r="Q133" i="7" s="1"/>
  <c r="H149" i="7"/>
  <c r="Q149" i="7" s="1"/>
  <c r="H66" i="7"/>
  <c r="Q66" i="7" s="1"/>
  <c r="H49" i="7"/>
  <c r="Q49" i="7" s="1"/>
  <c r="Q32" i="7"/>
  <c r="H101" i="7"/>
  <c r="Q101" i="7" s="1"/>
  <c r="H33" i="7"/>
  <c r="A148" i="7"/>
  <c r="A180" i="7"/>
  <c r="A100" i="7"/>
  <c r="A132" i="7"/>
  <c r="A116" i="7"/>
  <c r="A83" i="7"/>
  <c r="J83" i="7" s="1"/>
  <c r="A164" i="7"/>
  <c r="A65" i="7"/>
  <c r="J65" i="7" s="1"/>
  <c r="J31" i="7"/>
  <c r="A48" i="7"/>
  <c r="J99" i="7"/>
  <c r="J115" i="7"/>
  <c r="A12" i="7"/>
  <c r="A32" i="7"/>
  <c r="J11" i="7"/>
  <c r="J131" i="7"/>
  <c r="J179" i="7"/>
  <c r="M179" i="7" s="1"/>
  <c r="O179" i="7" s="1"/>
  <c r="D179" i="7"/>
  <c r="F179" i="7" s="1"/>
  <c r="J147" i="7"/>
  <c r="J163" i="7"/>
  <c r="M162" i="7"/>
  <c r="O162" i="7" s="1"/>
  <c r="F98" i="7" l="1"/>
  <c r="I127" i="3"/>
  <c r="F64" i="7"/>
  <c r="J69" i="3" s="1"/>
  <c r="I69" i="3"/>
  <c r="F114" i="7"/>
  <c r="J154" i="3" s="1"/>
  <c r="I154" i="3"/>
  <c r="O98" i="7"/>
  <c r="J140" i="3" s="1"/>
  <c r="I140" i="3"/>
  <c r="O29" i="7"/>
  <c r="D46" i="7"/>
  <c r="C8" i="7" s="1"/>
  <c r="J35" i="3"/>
  <c r="F29" i="7"/>
  <c r="M46" i="7"/>
  <c r="I49" i="3" s="1"/>
  <c r="D65" i="7"/>
  <c r="F130" i="7"/>
  <c r="J184" i="3" s="1"/>
  <c r="M83" i="7"/>
  <c r="I110" i="3" s="1"/>
  <c r="O114" i="7"/>
  <c r="J167" i="3" s="1"/>
  <c r="O130" i="7"/>
  <c r="J197" i="3" s="1"/>
  <c r="M64" i="7"/>
  <c r="I82" i="3" s="1"/>
  <c r="D82" i="7"/>
  <c r="I96" i="3" s="1"/>
  <c r="O146" i="7"/>
  <c r="J224" i="3" s="1"/>
  <c r="F146" i="7"/>
  <c r="J211" i="3" s="1"/>
  <c r="L17" i="7"/>
  <c r="Q17" i="7" s="1"/>
  <c r="C17" i="7"/>
  <c r="H17" i="7" s="1"/>
  <c r="D163" i="7"/>
  <c r="F163" i="7" s="1"/>
  <c r="J164" i="7"/>
  <c r="H118" i="7"/>
  <c r="Q118" i="7" s="1"/>
  <c r="H85" i="7"/>
  <c r="Q85" i="7" s="1"/>
  <c r="H134" i="7"/>
  <c r="Q134" i="7" s="1"/>
  <c r="H102" i="7"/>
  <c r="Q102" i="7" s="1"/>
  <c r="H67" i="7"/>
  <c r="Q67" i="7" s="1"/>
  <c r="H34" i="7"/>
  <c r="H50" i="7"/>
  <c r="Q50" i="7" s="1"/>
  <c r="Q33" i="7"/>
  <c r="H150" i="7"/>
  <c r="Q150" i="7" s="1"/>
  <c r="H183" i="7"/>
  <c r="Q182" i="7"/>
  <c r="J116" i="7"/>
  <c r="A165" i="7"/>
  <c r="A149" i="7"/>
  <c r="A181" i="7"/>
  <c r="A101" i="7"/>
  <c r="J32" i="7"/>
  <c r="A133" i="7"/>
  <c r="A66" i="7"/>
  <c r="J66" i="7" s="1"/>
  <c r="A84" i="7"/>
  <c r="J84" i="7" s="1"/>
  <c r="A117" i="7"/>
  <c r="A49" i="7"/>
  <c r="J132" i="7"/>
  <c r="J100" i="7"/>
  <c r="A13" i="7"/>
  <c r="A33" i="7"/>
  <c r="J12" i="7"/>
  <c r="M163" i="7"/>
  <c r="O163" i="7" s="1"/>
  <c r="J48" i="7"/>
  <c r="D180" i="7"/>
  <c r="F180" i="7" s="1"/>
  <c r="J180" i="7"/>
  <c r="M180" i="7" s="1"/>
  <c r="O180" i="7" s="1"/>
  <c r="J148" i="7"/>
  <c r="M99" i="7" l="1"/>
  <c r="F65" i="7"/>
  <c r="J70" i="3" s="1"/>
  <c r="I70" i="3"/>
  <c r="D99" i="7"/>
  <c r="J127" i="3"/>
  <c r="O99" i="7"/>
  <c r="J141" i="3" s="1"/>
  <c r="I141" i="3"/>
  <c r="F46" i="7"/>
  <c r="I36" i="3"/>
  <c r="M30" i="7"/>
  <c r="I23" i="3" s="1"/>
  <c r="J22" i="3"/>
  <c r="D30" i="7"/>
  <c r="J9" i="3"/>
  <c r="M131" i="7"/>
  <c r="I198" i="3" s="1"/>
  <c r="O46" i="7"/>
  <c r="J49" i="3" s="1"/>
  <c r="L8" i="7"/>
  <c r="D66" i="7"/>
  <c r="I71" i="3" s="1"/>
  <c r="F82" i="7"/>
  <c r="J96" i="3" s="1"/>
  <c r="M115" i="7"/>
  <c r="O64" i="7"/>
  <c r="J82" i="3" s="1"/>
  <c r="D131" i="7"/>
  <c r="I185" i="3" s="1"/>
  <c r="M147" i="7"/>
  <c r="O83" i="7"/>
  <c r="J110" i="3" s="1"/>
  <c r="D147" i="7"/>
  <c r="I212" i="3" s="1"/>
  <c r="D115" i="7"/>
  <c r="M164" i="7"/>
  <c r="O164" i="7" s="1"/>
  <c r="D164" i="7"/>
  <c r="F164" i="7" s="1"/>
  <c r="J133" i="7"/>
  <c r="H119" i="7"/>
  <c r="Q119" i="7" s="1"/>
  <c r="H135" i="7"/>
  <c r="Q135" i="7" s="1"/>
  <c r="H103" i="7"/>
  <c r="Q103" i="7" s="1"/>
  <c r="Q34" i="7"/>
  <c r="H151" i="7"/>
  <c r="Q151" i="7" s="1"/>
  <c r="H86" i="7"/>
  <c r="Q86" i="7" s="1"/>
  <c r="H68" i="7"/>
  <c r="Q68" i="7" s="1"/>
  <c r="H51" i="7"/>
  <c r="Q51" i="7" s="1"/>
  <c r="J101" i="7"/>
  <c r="Q183" i="7"/>
  <c r="H184" i="7"/>
  <c r="A34" i="7"/>
  <c r="A14" i="7"/>
  <c r="J13" i="7"/>
  <c r="J117" i="7"/>
  <c r="J149" i="7"/>
  <c r="A150" i="7"/>
  <c r="A102" i="7"/>
  <c r="A182" i="7"/>
  <c r="A134" i="7"/>
  <c r="A67" i="7"/>
  <c r="J67" i="7" s="1"/>
  <c r="A166" i="7"/>
  <c r="A85" i="7"/>
  <c r="J85" i="7" s="1"/>
  <c r="A50" i="7"/>
  <c r="J33" i="7"/>
  <c r="A118" i="7"/>
  <c r="J49" i="7"/>
  <c r="J181" i="7"/>
  <c r="M181" i="7" s="1"/>
  <c r="O181" i="7" s="1"/>
  <c r="D181" i="7"/>
  <c r="F181" i="7" s="1"/>
  <c r="J165" i="7"/>
  <c r="I128" i="3" l="1"/>
  <c r="F99" i="7"/>
  <c r="O147" i="7"/>
  <c r="J225" i="3" s="1"/>
  <c r="I225" i="3"/>
  <c r="O131" i="7"/>
  <c r="J198" i="3" s="1"/>
  <c r="O115" i="7"/>
  <c r="J168" i="3" s="1"/>
  <c r="I168" i="3"/>
  <c r="F115" i="7"/>
  <c r="J155" i="3" s="1"/>
  <c r="I155" i="3"/>
  <c r="M100" i="7"/>
  <c r="I142" i="3" s="1"/>
  <c r="D47" i="7"/>
  <c r="I37" i="3" s="1"/>
  <c r="J36" i="3"/>
  <c r="F30" i="7"/>
  <c r="J10" i="3" s="1"/>
  <c r="I10" i="3"/>
  <c r="F66" i="7"/>
  <c r="Q8" i="7"/>
  <c r="M65" i="7"/>
  <c r="I83" i="3" s="1"/>
  <c r="O30" i="7"/>
  <c r="H8" i="7"/>
  <c r="F147" i="7"/>
  <c r="J212" i="3" s="1"/>
  <c r="F131" i="7"/>
  <c r="J185" i="3" s="1"/>
  <c r="M84" i="7"/>
  <c r="I111" i="3" s="1"/>
  <c r="D83" i="7"/>
  <c r="I97" i="3" s="1"/>
  <c r="M47" i="7"/>
  <c r="D165" i="7"/>
  <c r="F165" i="7" s="1"/>
  <c r="J102" i="7"/>
  <c r="J50" i="7"/>
  <c r="J150" i="7"/>
  <c r="A167" i="7"/>
  <c r="A103" i="7"/>
  <c r="A86" i="7"/>
  <c r="J86" i="7" s="1"/>
  <c r="A183" i="7"/>
  <c r="A119" i="7"/>
  <c r="A51" i="7"/>
  <c r="A151" i="7"/>
  <c r="J34" i="7"/>
  <c r="A68" i="7"/>
  <c r="J68" i="7" s="1"/>
  <c r="A135" i="7"/>
  <c r="J14" i="7"/>
  <c r="A15" i="7"/>
  <c r="A35" i="7"/>
  <c r="H120" i="7"/>
  <c r="Q120" i="7" s="1"/>
  <c r="H136" i="7"/>
  <c r="Q136" i="7" s="1"/>
  <c r="H104" i="7"/>
  <c r="Q104" i="7" s="1"/>
  <c r="H69" i="7"/>
  <c r="Q69" i="7" s="1"/>
  <c r="H36" i="7"/>
  <c r="H152" i="7"/>
  <c r="Q152" i="7" s="1"/>
  <c r="H87" i="7"/>
  <c r="Q87" i="7" s="1"/>
  <c r="H52" i="7"/>
  <c r="Q52" i="7" s="1"/>
  <c r="Q35" i="7"/>
  <c r="J166" i="7"/>
  <c r="M165" i="7"/>
  <c r="O165" i="7" s="1"/>
  <c r="H185" i="7"/>
  <c r="Q184" i="7"/>
  <c r="J134" i="7"/>
  <c r="J118" i="7"/>
  <c r="D182" i="7"/>
  <c r="F182" i="7" s="1"/>
  <c r="J182" i="7"/>
  <c r="M182" i="7" s="1"/>
  <c r="O182" i="7" s="1"/>
  <c r="M132" i="7" l="1"/>
  <c r="D67" i="7"/>
  <c r="I72" i="3" s="1"/>
  <c r="J71" i="3"/>
  <c r="J128" i="3"/>
  <c r="D100" i="7"/>
  <c r="O132" i="7"/>
  <c r="J199" i="3" s="1"/>
  <c r="I199" i="3"/>
  <c r="O100" i="7"/>
  <c r="J142" i="3" s="1"/>
  <c r="O47" i="7"/>
  <c r="J50" i="3" s="1"/>
  <c r="I50" i="3"/>
  <c r="M31" i="7"/>
  <c r="I24" i="3" s="1"/>
  <c r="J23" i="3"/>
  <c r="O84" i="7"/>
  <c r="D31" i="7"/>
  <c r="M133" i="7"/>
  <c r="O65" i="7"/>
  <c r="J83" i="3" s="1"/>
  <c r="D132" i="7"/>
  <c r="I186" i="3" s="1"/>
  <c r="M116" i="7"/>
  <c r="D148" i="7"/>
  <c r="I213" i="3" s="1"/>
  <c r="F47" i="7"/>
  <c r="F83" i="7"/>
  <c r="J97" i="3" s="1"/>
  <c r="D116" i="7"/>
  <c r="M148" i="7"/>
  <c r="M166" i="7"/>
  <c r="O166" i="7" s="1"/>
  <c r="M183" i="7"/>
  <c r="O183" i="7" s="1"/>
  <c r="D166" i="7"/>
  <c r="F166" i="7" s="1"/>
  <c r="J183" i="7"/>
  <c r="D183" i="7"/>
  <c r="F183" i="7" s="1"/>
  <c r="J135" i="7"/>
  <c r="J103" i="7"/>
  <c r="Q185" i="7"/>
  <c r="H186" i="7"/>
  <c r="Q186" i="7" s="1"/>
  <c r="J167" i="7"/>
  <c r="J51" i="7"/>
  <c r="J151" i="7"/>
  <c r="A104" i="7"/>
  <c r="A87" i="7"/>
  <c r="J87" i="7" s="1"/>
  <c r="A120" i="7"/>
  <c r="A168" i="7"/>
  <c r="A152" i="7"/>
  <c r="A184" i="7"/>
  <c r="A69" i="7"/>
  <c r="J69" i="7" s="1"/>
  <c r="A52" i="7"/>
  <c r="A136" i="7"/>
  <c r="J35" i="7"/>
  <c r="H121" i="7"/>
  <c r="Q121" i="7" s="1"/>
  <c r="H137" i="7"/>
  <c r="Q137" i="7" s="1"/>
  <c r="H88" i="7"/>
  <c r="Q88" i="7" s="1"/>
  <c r="H70" i="7"/>
  <c r="Q70" i="7" s="1"/>
  <c r="H53" i="7"/>
  <c r="Q53" i="7" s="1"/>
  <c r="Q36" i="7"/>
  <c r="H153" i="7"/>
  <c r="Q153" i="7" s="1"/>
  <c r="H105" i="7"/>
  <c r="Q105" i="7" s="1"/>
  <c r="H37" i="7"/>
  <c r="J15" i="7"/>
  <c r="A36" i="7"/>
  <c r="A16" i="7"/>
  <c r="J119" i="7"/>
  <c r="M85" i="7" l="1"/>
  <c r="I112" i="3" s="1"/>
  <c r="J111" i="3"/>
  <c r="M101" i="7"/>
  <c r="I129" i="3"/>
  <c r="F100" i="7"/>
  <c r="O148" i="7"/>
  <c r="J226" i="3" s="1"/>
  <c r="I226" i="3"/>
  <c r="O133" i="7"/>
  <c r="J200" i="3" s="1"/>
  <c r="I200" i="3"/>
  <c r="O116" i="7"/>
  <c r="J169" i="3" s="1"/>
  <c r="I169" i="3"/>
  <c r="F116" i="7"/>
  <c r="J156" i="3" s="1"/>
  <c r="I156" i="3"/>
  <c r="O101" i="7"/>
  <c r="J143" i="3" s="1"/>
  <c r="I143" i="3"/>
  <c r="D48" i="7"/>
  <c r="I38" i="3" s="1"/>
  <c r="J37" i="3"/>
  <c r="F31" i="7"/>
  <c r="J11" i="3" s="1"/>
  <c r="I11" i="3"/>
  <c r="M48" i="7"/>
  <c r="L9" i="7"/>
  <c r="Q9" i="7" s="1"/>
  <c r="O31" i="7"/>
  <c r="F148" i="7"/>
  <c r="J213" i="3" s="1"/>
  <c r="C9" i="7"/>
  <c r="M66" i="7"/>
  <c r="I84" i="3" s="1"/>
  <c r="D84" i="7"/>
  <c r="I98" i="3" s="1"/>
  <c r="F132" i="7"/>
  <c r="J186" i="3" s="1"/>
  <c r="D167" i="7"/>
  <c r="F167" i="7" s="1"/>
  <c r="J120" i="7"/>
  <c r="M167" i="7"/>
  <c r="O167" i="7" s="1"/>
  <c r="H122" i="7"/>
  <c r="Q122" i="7" s="1"/>
  <c r="H138" i="7"/>
  <c r="Q138" i="7" s="1"/>
  <c r="H71" i="7"/>
  <c r="Q71" i="7" s="1"/>
  <c r="H106" i="7"/>
  <c r="Q106" i="7" s="1"/>
  <c r="H54" i="7"/>
  <c r="Q54" i="7" s="1"/>
  <c r="Q37" i="7"/>
  <c r="H154" i="7"/>
  <c r="Q154" i="7" s="1"/>
  <c r="H89" i="7"/>
  <c r="Q89" i="7" s="1"/>
  <c r="J136" i="7"/>
  <c r="J104" i="7"/>
  <c r="J52" i="7"/>
  <c r="A37" i="7"/>
  <c r="J16" i="7"/>
  <c r="J184" i="7"/>
  <c r="M184" i="7" s="1"/>
  <c r="O184" i="7" s="1"/>
  <c r="D184" i="7"/>
  <c r="F184" i="7" s="1"/>
  <c r="A169" i="7"/>
  <c r="A153" i="7"/>
  <c r="A105" i="7"/>
  <c r="A88" i="7"/>
  <c r="J88" i="7" s="1"/>
  <c r="A137" i="7"/>
  <c r="J36" i="7"/>
  <c r="A121" i="7"/>
  <c r="A185" i="7"/>
  <c r="A53" i="7"/>
  <c r="A70" i="7"/>
  <c r="J70" i="7" s="1"/>
  <c r="J152" i="7"/>
  <c r="J168" i="7"/>
  <c r="M134" i="7" l="1"/>
  <c r="J129" i="3"/>
  <c r="D101" i="7"/>
  <c r="M102" i="7"/>
  <c r="O134" i="7"/>
  <c r="J201" i="3" s="1"/>
  <c r="I201" i="3"/>
  <c r="O102" i="7"/>
  <c r="J144" i="3" s="1"/>
  <c r="I144" i="3"/>
  <c r="O48" i="7"/>
  <c r="J51" i="3" s="1"/>
  <c r="I51" i="3"/>
  <c r="M32" i="7"/>
  <c r="I25" i="3" s="1"/>
  <c r="J24" i="3"/>
  <c r="H9" i="7"/>
  <c r="L10" i="7"/>
  <c r="Q10" i="7" s="1"/>
  <c r="O85" i="7"/>
  <c r="F67" i="7"/>
  <c r="F84" i="7"/>
  <c r="O66" i="7"/>
  <c r="D117" i="7"/>
  <c r="M117" i="7"/>
  <c r="D149" i="7"/>
  <c r="D133" i="7"/>
  <c r="M149" i="7"/>
  <c r="D32" i="7"/>
  <c r="F48" i="7"/>
  <c r="M49" i="7"/>
  <c r="D168" i="7"/>
  <c r="F168" i="7" s="1"/>
  <c r="M168" i="7"/>
  <c r="O168" i="7" s="1"/>
  <c r="A154" i="7"/>
  <c r="A106" i="7"/>
  <c r="A89" i="7"/>
  <c r="J89" i="7" s="1"/>
  <c r="A138" i="7"/>
  <c r="A186" i="7"/>
  <c r="A170" i="7"/>
  <c r="A71" i="7"/>
  <c r="J71" i="7" s="1"/>
  <c r="A122" i="7"/>
  <c r="J37" i="7"/>
  <c r="A54" i="7"/>
  <c r="J137" i="7"/>
  <c r="J53" i="7"/>
  <c r="J153" i="7"/>
  <c r="J169" i="7"/>
  <c r="J105" i="7"/>
  <c r="J185" i="7"/>
  <c r="M185" i="7" s="1"/>
  <c r="O185" i="7" s="1"/>
  <c r="D185" i="7"/>
  <c r="F185" i="7" s="1"/>
  <c r="J121" i="7"/>
  <c r="O149" i="7" l="1"/>
  <c r="J227" i="3" s="1"/>
  <c r="I227" i="3"/>
  <c r="D68" i="7"/>
  <c r="I73" i="3" s="1"/>
  <c r="J72" i="3"/>
  <c r="F101" i="7"/>
  <c r="I130" i="3"/>
  <c r="M67" i="7"/>
  <c r="I85" i="3" s="1"/>
  <c r="J84" i="3"/>
  <c r="M86" i="7"/>
  <c r="I113" i="3" s="1"/>
  <c r="J112" i="3"/>
  <c r="F149" i="7"/>
  <c r="J214" i="3" s="1"/>
  <c r="I214" i="3"/>
  <c r="D85" i="7"/>
  <c r="I99" i="3" s="1"/>
  <c r="J98" i="3"/>
  <c r="F133" i="7"/>
  <c r="J187" i="3" s="1"/>
  <c r="I187" i="3"/>
  <c r="O117" i="7"/>
  <c r="J170" i="3" s="1"/>
  <c r="I170" i="3"/>
  <c r="F117" i="7"/>
  <c r="J157" i="3" s="1"/>
  <c r="I157" i="3"/>
  <c r="O49" i="7"/>
  <c r="J52" i="3" s="1"/>
  <c r="I52" i="3"/>
  <c r="D49" i="7"/>
  <c r="I39" i="3" s="1"/>
  <c r="J38" i="3"/>
  <c r="F32" i="7"/>
  <c r="J12" i="3" s="1"/>
  <c r="I12" i="3"/>
  <c r="D150" i="7"/>
  <c r="M150" i="7"/>
  <c r="L18" i="7"/>
  <c r="Q18" i="7" s="1"/>
  <c r="M118" i="7"/>
  <c r="D118" i="7"/>
  <c r="F68" i="7"/>
  <c r="J73" i="3" s="1"/>
  <c r="F85" i="7"/>
  <c r="J99" i="3" s="1"/>
  <c r="O86" i="7"/>
  <c r="J113" i="3" s="1"/>
  <c r="O32" i="7"/>
  <c r="C10" i="7"/>
  <c r="C18" i="7" s="1"/>
  <c r="M169" i="7"/>
  <c r="O169" i="7" s="1"/>
  <c r="D186" i="7"/>
  <c r="F186" i="7" s="1"/>
  <c r="J138" i="7"/>
  <c r="D169" i="7"/>
  <c r="F169" i="7" s="1"/>
  <c r="J54" i="7"/>
  <c r="J106" i="7"/>
  <c r="J154" i="7"/>
  <c r="J122" i="7"/>
  <c r="J170" i="7"/>
  <c r="J186" i="7"/>
  <c r="M186" i="7" s="1"/>
  <c r="O186" i="7" s="1"/>
  <c r="O150" i="7" l="1"/>
  <c r="J228" i="3" s="1"/>
  <c r="I228" i="3"/>
  <c r="D102" i="7"/>
  <c r="I131" i="3" s="1"/>
  <c r="J130" i="3"/>
  <c r="D134" i="7"/>
  <c r="I188" i="3" s="1"/>
  <c r="F150" i="7"/>
  <c r="J215" i="3" s="1"/>
  <c r="I215" i="3"/>
  <c r="F134" i="7"/>
  <c r="J188" i="3" s="1"/>
  <c r="O118" i="7"/>
  <c r="J171" i="3" s="1"/>
  <c r="I171" i="3"/>
  <c r="F118" i="7"/>
  <c r="J158" i="3" s="1"/>
  <c r="I158" i="3"/>
  <c r="M33" i="7"/>
  <c r="I26" i="3" s="1"/>
  <c r="J25" i="3"/>
  <c r="L87" i="7"/>
  <c r="C69" i="7"/>
  <c r="M50" i="7"/>
  <c r="D33" i="7"/>
  <c r="O67" i="7"/>
  <c r="J85" i="3" s="1"/>
  <c r="D86" i="7"/>
  <c r="I100" i="3" s="1"/>
  <c r="L11" i="7"/>
  <c r="Q11" i="7" s="1"/>
  <c r="H18" i="7"/>
  <c r="H10" i="7"/>
  <c r="F49" i="7"/>
  <c r="M170" i="7"/>
  <c r="O170" i="7" s="1"/>
  <c r="D170" i="7"/>
  <c r="F170" i="7" s="1"/>
  <c r="D69" i="7" l="1"/>
  <c r="I74" i="3"/>
  <c r="O50" i="7"/>
  <c r="J53" i="3" s="1"/>
  <c r="I53" i="3"/>
  <c r="D50" i="7"/>
  <c r="I40" i="3" s="1"/>
  <c r="J39" i="3"/>
  <c r="F33" i="7"/>
  <c r="J13" i="3" s="1"/>
  <c r="I13" i="3"/>
  <c r="C135" i="7"/>
  <c r="C103" i="7"/>
  <c r="L119" i="7"/>
  <c r="L151" i="7"/>
  <c r="M87" i="7"/>
  <c r="O87" i="7" s="1"/>
  <c r="J114" i="3" s="1"/>
  <c r="M103" i="7"/>
  <c r="F69" i="7"/>
  <c r="J74" i="3" s="1"/>
  <c r="M151" i="7"/>
  <c r="O151" i="7" s="1"/>
  <c r="J229" i="3" s="1"/>
  <c r="F86" i="7"/>
  <c r="J100" i="3" s="1"/>
  <c r="M68" i="7"/>
  <c r="I86" i="3" s="1"/>
  <c r="O33" i="7"/>
  <c r="C11" i="7"/>
  <c r="H11" i="7" s="1"/>
  <c r="I229" i="3" l="1"/>
  <c r="I114" i="3"/>
  <c r="O103" i="7"/>
  <c r="J145" i="3" s="1"/>
  <c r="M34" i="7"/>
  <c r="I27" i="3" s="1"/>
  <c r="J26" i="3"/>
  <c r="C87" i="7"/>
  <c r="D70" i="7"/>
  <c r="I75" i="3" s="1"/>
  <c r="M88" i="7"/>
  <c r="I115" i="3" s="1"/>
  <c r="M135" i="7"/>
  <c r="D151" i="7"/>
  <c r="F151" i="7" s="1"/>
  <c r="J216" i="3" s="1"/>
  <c r="O68" i="7"/>
  <c r="J86" i="3" s="1"/>
  <c r="M51" i="7"/>
  <c r="L12" i="7"/>
  <c r="Q12" i="7" s="1"/>
  <c r="D34" i="7"/>
  <c r="F50" i="7"/>
  <c r="M119" i="7"/>
  <c r="D87" i="7" l="1"/>
  <c r="I101" i="3" s="1"/>
  <c r="O135" i="7"/>
  <c r="J202" i="3" s="1"/>
  <c r="O119" i="7"/>
  <c r="J172" i="3" s="1"/>
  <c r="I172" i="3"/>
  <c r="O51" i="7"/>
  <c r="J54" i="3" s="1"/>
  <c r="I54" i="3"/>
  <c r="D51" i="7"/>
  <c r="I41" i="3" s="1"/>
  <c r="J40" i="3"/>
  <c r="F34" i="7"/>
  <c r="J14" i="3" s="1"/>
  <c r="I14" i="3"/>
  <c r="C151" i="7"/>
  <c r="I216" i="3" s="1"/>
  <c r="C119" i="7"/>
  <c r="L152" i="7"/>
  <c r="L69" i="7"/>
  <c r="F87" i="7"/>
  <c r="J101" i="3" s="1"/>
  <c r="O88" i="7"/>
  <c r="J115" i="3" s="1"/>
  <c r="F70" i="7"/>
  <c r="J75" i="3" s="1"/>
  <c r="D119" i="7"/>
  <c r="O34" i="7"/>
  <c r="F119" i="7" l="1"/>
  <c r="J159" i="3" s="1"/>
  <c r="I159" i="3"/>
  <c r="M35" i="7"/>
  <c r="I28" i="3" s="1"/>
  <c r="J27" i="3"/>
  <c r="M69" i="7"/>
  <c r="I87" i="3" s="1"/>
  <c r="L135" i="7"/>
  <c r="I202" i="3" s="1"/>
  <c r="L103" i="7"/>
  <c r="I145" i="3" s="1"/>
  <c r="M152" i="7"/>
  <c r="O152" i="7" s="1"/>
  <c r="J230" i="3" s="1"/>
  <c r="L120" i="7"/>
  <c r="M89" i="7"/>
  <c r="I116" i="3" s="1"/>
  <c r="D71" i="7"/>
  <c r="I76" i="3" s="1"/>
  <c r="D88" i="7"/>
  <c r="I102" i="3" s="1"/>
  <c r="F51" i="7"/>
  <c r="D35" i="7"/>
  <c r="I15" i="3" s="1"/>
  <c r="L13" i="7"/>
  <c r="Q13" i="7" s="1"/>
  <c r="M52" i="7"/>
  <c r="O69" i="7" l="1"/>
  <c r="J87" i="3" s="1"/>
  <c r="I230" i="3"/>
  <c r="O52" i="7"/>
  <c r="J55" i="3" s="1"/>
  <c r="I55" i="3"/>
  <c r="D52" i="7"/>
  <c r="I42" i="3" s="1"/>
  <c r="J41" i="3"/>
  <c r="F35" i="7"/>
  <c r="J15" i="3" s="1"/>
  <c r="M120" i="7"/>
  <c r="O120" i="7" s="1"/>
  <c r="J173" i="3" s="1"/>
  <c r="F88" i="7"/>
  <c r="J102" i="3" s="1"/>
  <c r="F71" i="7"/>
  <c r="J76" i="3" s="1"/>
  <c r="M70" i="7"/>
  <c r="I88" i="3" s="1"/>
  <c r="M153" i="7"/>
  <c r="O89" i="7"/>
  <c r="J116" i="3" s="1"/>
  <c r="L19" i="7"/>
  <c r="Q19" i="7" s="1"/>
  <c r="O153" i="7" l="1"/>
  <c r="J231" i="3" s="1"/>
  <c r="I231" i="3"/>
  <c r="I173" i="3"/>
  <c r="O35" i="7"/>
  <c r="J28" i="3" s="1"/>
  <c r="D89" i="7"/>
  <c r="I103" i="3" s="1"/>
  <c r="D36" i="7"/>
  <c r="M53" i="7"/>
  <c r="O70" i="7"/>
  <c r="J88" i="3" s="1"/>
  <c r="M121" i="7"/>
  <c r="F52" i="7"/>
  <c r="O121" i="7" l="1"/>
  <c r="J174" i="3" s="1"/>
  <c r="I174" i="3"/>
  <c r="O53" i="7"/>
  <c r="J56" i="3" s="1"/>
  <c r="I56" i="3"/>
  <c r="D53" i="7"/>
  <c r="I43" i="3" s="1"/>
  <c r="J42" i="3"/>
  <c r="F36" i="7"/>
  <c r="J16" i="3" s="1"/>
  <c r="I16" i="3"/>
  <c r="M36" i="7"/>
  <c r="M154" i="7"/>
  <c r="M71" i="7"/>
  <c r="I89" i="3" s="1"/>
  <c r="F89" i="7"/>
  <c r="J103" i="3" s="1"/>
  <c r="O154" i="7" l="1"/>
  <c r="J232" i="3" s="1"/>
  <c r="I232" i="3"/>
  <c r="O36" i="7"/>
  <c r="I29" i="3"/>
  <c r="M122" i="7"/>
  <c r="O71" i="7"/>
  <c r="J89" i="3" s="1"/>
  <c r="M54" i="7"/>
  <c r="D37" i="7"/>
  <c r="F53" i="7"/>
  <c r="O122" i="7" l="1"/>
  <c r="J175" i="3" s="1"/>
  <c r="I175" i="3"/>
  <c r="O54" i="7"/>
  <c r="I57" i="3"/>
  <c r="D54" i="7"/>
  <c r="I44" i="3" s="1"/>
  <c r="J43" i="3"/>
  <c r="M37" i="7"/>
  <c r="I30" i="3" s="1"/>
  <c r="J29" i="3"/>
  <c r="F37" i="7"/>
  <c r="J17" i="3" s="1"/>
  <c r="I17" i="3"/>
  <c r="D50" i="2"/>
  <c r="D49" i="2"/>
  <c r="D48" i="2"/>
  <c r="E50" i="2"/>
  <c r="E49" i="2"/>
  <c r="E48" i="2"/>
  <c r="F50" i="2"/>
  <c r="F49" i="2"/>
  <c r="F48" i="2"/>
  <c r="D44" i="2"/>
  <c r="E44" i="2"/>
  <c r="F44" i="2"/>
  <c r="D24" i="2"/>
  <c r="D23" i="2"/>
  <c r="D22" i="2"/>
  <c r="E24" i="2"/>
  <c r="E23" i="2"/>
  <c r="E22" i="2"/>
  <c r="F24" i="2"/>
  <c r="F23" i="2"/>
  <c r="F22" i="2"/>
  <c r="D18" i="2"/>
  <c r="E18" i="2"/>
  <c r="F18" i="2"/>
  <c r="J57" i="3" l="1"/>
  <c r="V47" i="7"/>
  <c r="O37" i="7"/>
  <c r="J30" i="3"/>
  <c r="F54" i="7"/>
  <c r="D52" i="1"/>
  <c r="D51" i="1"/>
  <c r="D50" i="1"/>
  <c r="E52" i="1"/>
  <c r="E51" i="1"/>
  <c r="E50" i="1"/>
  <c r="F52" i="1"/>
  <c r="F51" i="1"/>
  <c r="F50" i="1"/>
  <c r="D46" i="1"/>
  <c r="E46" i="1"/>
  <c r="F46" i="1"/>
  <c r="D24" i="1"/>
  <c r="D23" i="1"/>
  <c r="D22" i="1"/>
  <c r="E24" i="1"/>
  <c r="E23" i="1"/>
  <c r="E22" i="1"/>
  <c r="F24" i="1"/>
  <c r="F23" i="1"/>
  <c r="F22" i="1"/>
  <c r="D18" i="1"/>
  <c r="E18" i="1"/>
  <c r="F18" i="1"/>
  <c r="J44" i="3" l="1"/>
  <c r="U47" i="7"/>
  <c r="Q23" i="1"/>
  <c r="Q24" i="1"/>
  <c r="Q50" i="1"/>
  <c r="Q52" i="1"/>
  <c r="Q51" i="1"/>
  <c r="Q22" i="1"/>
  <c r="U11" i="2"/>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I50" i="2"/>
  <c r="H50" i="2"/>
  <c r="G50" i="2"/>
  <c r="O49" i="2"/>
  <c r="N49" i="2"/>
  <c r="M49" i="2"/>
  <c r="L49" i="2"/>
  <c r="K49" i="2"/>
  <c r="J49" i="2"/>
  <c r="I49" i="2"/>
  <c r="H49" i="2"/>
  <c r="G49" i="2"/>
  <c r="O48" i="2"/>
  <c r="N48" i="2"/>
  <c r="M48" i="2"/>
  <c r="L48" i="2"/>
  <c r="K48" i="2"/>
  <c r="J48" i="2"/>
  <c r="I48" i="2"/>
  <c r="H48" i="2"/>
  <c r="G48" i="2"/>
  <c r="O44" i="2"/>
  <c r="N44" i="2"/>
  <c r="M44" i="2"/>
  <c r="L44" i="2"/>
  <c r="K44" i="2"/>
  <c r="J44" i="2"/>
  <c r="I44" i="2"/>
  <c r="H44" i="2"/>
  <c r="G44"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R49" i="2" l="1"/>
  <c r="R23" i="2"/>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Q9" i="1"/>
  <c r="O52" i="1"/>
  <c r="O54" i="1" s="1"/>
  <c r="N52" i="1"/>
  <c r="N54" i="1" s="1"/>
  <c r="M52" i="1"/>
  <c r="L52" i="1"/>
  <c r="K52" i="1"/>
  <c r="K54" i="1" s="1"/>
  <c r="J52" i="1"/>
  <c r="J54" i="1" s="1"/>
  <c r="I52" i="1"/>
  <c r="I54" i="1" s="1"/>
  <c r="H52" i="1"/>
  <c r="H54" i="1" s="1"/>
  <c r="G52" i="1"/>
  <c r="G54" i="1" s="1"/>
  <c r="O51" i="1"/>
  <c r="N51" i="1"/>
  <c r="M51" i="1"/>
  <c r="L51" i="1"/>
  <c r="K51" i="1"/>
  <c r="J51" i="1"/>
  <c r="I51" i="1"/>
  <c r="H51" i="1"/>
  <c r="G51" i="1"/>
  <c r="O50" i="1"/>
  <c r="N50" i="1"/>
  <c r="M50" i="1"/>
  <c r="L50" i="1"/>
  <c r="K50" i="1"/>
  <c r="J50" i="1"/>
  <c r="I50" i="1"/>
  <c r="H50" i="1"/>
  <c r="G50" i="1"/>
  <c r="O46" i="1"/>
  <c r="N46" i="1"/>
  <c r="N48" i="1" s="1"/>
  <c r="M46" i="1"/>
  <c r="M48" i="1" s="1"/>
  <c r="L46" i="1"/>
  <c r="L48" i="1" s="1"/>
  <c r="K46" i="1"/>
  <c r="K48" i="1" s="1"/>
  <c r="J46" i="1"/>
  <c r="J48" i="1" s="1"/>
  <c r="I46" i="1"/>
  <c r="I48" i="1" s="1"/>
  <c r="H46" i="1"/>
  <c r="H48" i="1" s="1"/>
  <c r="G46" i="1"/>
  <c r="G48" i="1" s="1"/>
  <c r="O24" i="1"/>
  <c r="O26" i="1" s="1"/>
  <c r="N24" i="1"/>
  <c r="N26" i="1" s="1"/>
  <c r="M24" i="1"/>
  <c r="L24" i="1"/>
  <c r="L26" i="1" s="1"/>
  <c r="K24" i="1"/>
  <c r="K26" i="1" s="1"/>
  <c r="J24" i="1"/>
  <c r="I24" i="1"/>
  <c r="H24" i="1"/>
  <c r="G24" i="1"/>
  <c r="G26" i="1" s="1"/>
  <c r="O23" i="1"/>
  <c r="N23" i="1"/>
  <c r="M23" i="1"/>
  <c r="L23" i="1"/>
  <c r="K23" i="1"/>
  <c r="J23" i="1"/>
  <c r="I23" i="1"/>
  <c r="H23" i="1"/>
  <c r="G23" i="1"/>
  <c r="O22" i="1"/>
  <c r="O27" i="1" s="1"/>
  <c r="N22" i="1"/>
  <c r="M22" i="1"/>
  <c r="L22" i="1"/>
  <c r="K22" i="1"/>
  <c r="J22" i="1"/>
  <c r="I22" i="1"/>
  <c r="H22" i="1"/>
  <c r="G22" i="1"/>
  <c r="O18" i="1"/>
  <c r="J18" i="1"/>
  <c r="J20" i="1" s="1"/>
  <c r="K18" i="1"/>
  <c r="K20" i="1" s="1"/>
  <c r="L18" i="1"/>
  <c r="L20" i="1" s="1"/>
  <c r="M18" i="1"/>
  <c r="M20" i="1" s="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D26" i="1"/>
  <c r="E26" i="1"/>
  <c r="E27" i="1" s="1"/>
  <c r="F26" i="1"/>
  <c r="F27" i="1" s="1"/>
  <c r="H26" i="1"/>
  <c r="J26" i="1"/>
  <c r="Q46" i="1"/>
  <c r="D48" i="1"/>
  <c r="E48" i="1"/>
  <c r="F48" i="1"/>
  <c r="D54" i="1"/>
  <c r="E54" i="1"/>
  <c r="E55" i="1" s="1"/>
  <c r="F54" i="1"/>
  <c r="F55" i="1" s="1"/>
  <c r="L54" i="1"/>
  <c r="D59" i="1"/>
  <c r="E59" i="1"/>
  <c r="F59" i="1"/>
  <c r="G59" i="1"/>
  <c r="H59" i="1"/>
  <c r="I59" i="1"/>
  <c r="J59" i="1"/>
  <c r="K59" i="1"/>
  <c r="L59" i="1"/>
  <c r="M59" i="1"/>
  <c r="N59" i="1"/>
  <c r="O59" i="1"/>
  <c r="O29" i="1" l="1"/>
  <c r="J274" i="3" s="1"/>
  <c r="S54" i="1"/>
  <c r="D55" i="1"/>
  <c r="D56" i="1" s="1"/>
  <c r="Q54" i="1"/>
  <c r="R54" i="1"/>
  <c r="S26" i="1"/>
  <c r="D27" i="1"/>
  <c r="D28" i="1" s="1"/>
  <c r="Q26" i="1"/>
  <c r="T24" i="1"/>
  <c r="R51" i="1"/>
  <c r="I55" i="1"/>
  <c r="I56" i="1" s="1"/>
  <c r="L55" i="1"/>
  <c r="L56" i="1" s="1"/>
  <c r="G27" i="1"/>
  <c r="G28" i="1" s="1"/>
  <c r="U38" i="1"/>
  <c r="U11" i="1"/>
  <c r="J55" i="1"/>
  <c r="J56" i="1" s="1"/>
  <c r="K55" i="1"/>
  <c r="K56" i="1" s="1"/>
  <c r="Q48" i="1"/>
  <c r="Q47" i="1" s="1"/>
  <c r="U12" i="1"/>
  <c r="T50" i="1"/>
  <c r="T51" i="1"/>
  <c r="T52" i="1"/>
  <c r="N27" i="1"/>
  <c r="N29" i="1" s="1"/>
  <c r="M26" i="1"/>
  <c r="T22" i="1"/>
  <c r="T23" i="1"/>
  <c r="U50" i="1"/>
  <c r="U51" i="1"/>
  <c r="S50" i="1"/>
  <c r="S51" i="1"/>
  <c r="S22" i="1"/>
  <c r="S23" i="1"/>
  <c r="U24" i="1"/>
  <c r="S24" i="1"/>
  <c r="D57" i="1"/>
  <c r="H27" i="1"/>
  <c r="H28" i="1" s="1"/>
  <c r="R22" i="1"/>
  <c r="R24" i="1"/>
  <c r="J27" i="1"/>
  <c r="J29" i="1" s="1"/>
  <c r="I26" i="1"/>
  <c r="I27" i="1" s="1"/>
  <c r="I29" i="1" s="1"/>
  <c r="I277" i="3" s="1"/>
  <c r="J277" i="3" s="1"/>
  <c r="Q11" i="1"/>
  <c r="U22" i="1"/>
  <c r="G55" i="1"/>
  <c r="G56" i="1" s="1"/>
  <c r="O55" i="1"/>
  <c r="O56" i="1" s="1"/>
  <c r="N55" i="1"/>
  <c r="N57" i="1" s="1"/>
  <c r="J286" i="3" s="1"/>
  <c r="R23" i="1"/>
  <c r="R50" i="1"/>
  <c r="R52" i="1"/>
  <c r="Q20" i="1"/>
  <c r="Q19" i="1" s="1"/>
  <c r="K27" i="1"/>
  <c r="K28" i="1" s="1"/>
  <c r="S52" i="1"/>
  <c r="M54" i="1"/>
  <c r="A48" i="1"/>
  <c r="Q40" i="1"/>
  <c r="U10" i="1"/>
  <c r="U23" i="1"/>
  <c r="U52" i="1"/>
  <c r="Q10" i="1"/>
  <c r="Q12" i="1"/>
  <c r="Q39" i="1"/>
  <c r="U40" i="1"/>
  <c r="U39" i="1"/>
  <c r="Q38" i="1"/>
  <c r="U37" i="1"/>
  <c r="Q37" i="1"/>
  <c r="H55" i="1"/>
  <c r="H56" i="1" s="1"/>
  <c r="I57" i="1"/>
  <c r="L57" i="1"/>
  <c r="K27" i="10" s="1"/>
  <c r="L27" i="1"/>
  <c r="L28" i="1" s="1"/>
  <c r="G29" i="1"/>
  <c r="I275" i="3" s="1"/>
  <c r="J275" i="3" s="1"/>
  <c r="A53" i="1"/>
  <c r="A54" i="1" s="1"/>
  <c r="A55" i="1" s="1"/>
  <c r="F57" i="1"/>
  <c r="F56" i="1"/>
  <c r="E56" i="1"/>
  <c r="Q55" i="1"/>
  <c r="Q56" i="1" s="1"/>
  <c r="E57" i="1"/>
  <c r="F28" i="1"/>
  <c r="F29" i="1"/>
  <c r="E28" i="1"/>
  <c r="E29" i="1"/>
  <c r="H27" i="10" l="1"/>
  <c r="I290" i="3"/>
  <c r="J290" i="3" s="1"/>
  <c r="N23" i="10"/>
  <c r="D29" i="1"/>
  <c r="Q27" i="1"/>
  <c r="Q28" i="1" s="1"/>
  <c r="N42" i="10"/>
  <c r="N41" i="10" s="1"/>
  <c r="N80" i="10"/>
  <c r="N79" i="10" s="1"/>
  <c r="N61" i="10"/>
  <c r="N60" i="10" s="1"/>
  <c r="M23" i="10"/>
  <c r="M27" i="10"/>
  <c r="K65" i="10"/>
  <c r="K64" i="10" s="1"/>
  <c r="K46" i="10"/>
  <c r="K45" i="10" s="1"/>
  <c r="K84" i="10"/>
  <c r="K83" i="10" s="1"/>
  <c r="K26" i="10"/>
  <c r="H46" i="10"/>
  <c r="H45" i="10" s="1"/>
  <c r="H84" i="10"/>
  <c r="H83" i="10" s="1"/>
  <c r="H65" i="10"/>
  <c r="H64" i="10" s="1"/>
  <c r="H26" i="10"/>
  <c r="C27" i="10"/>
  <c r="D27" i="10"/>
  <c r="E27" i="10"/>
  <c r="C23" i="10"/>
  <c r="H23" i="10"/>
  <c r="I23" i="10"/>
  <c r="D23" i="10"/>
  <c r="E23" i="10"/>
  <c r="R26" i="1"/>
  <c r="F23" i="10"/>
  <c r="M55" i="1"/>
  <c r="M56" i="1" s="1"/>
  <c r="U54" i="1"/>
  <c r="T54" i="1"/>
  <c r="M27" i="1"/>
  <c r="M29" i="1" s="1"/>
  <c r="U26" i="1"/>
  <c r="T26" i="1"/>
  <c r="C54" i="1"/>
  <c r="N56" i="1"/>
  <c r="K57" i="1"/>
  <c r="J57" i="1"/>
  <c r="I27" i="10" s="1"/>
  <c r="Q57" i="1"/>
  <c r="I28" i="1"/>
  <c r="N28" i="1"/>
  <c r="H29" i="1"/>
  <c r="I276" i="3" s="1"/>
  <c r="J276" i="3" s="1"/>
  <c r="G57" i="1"/>
  <c r="O57" i="1"/>
  <c r="J287" i="3" s="1"/>
  <c r="O28" i="1"/>
  <c r="K29" i="1"/>
  <c r="L29" i="1"/>
  <c r="J28" i="1"/>
  <c r="H57" i="1"/>
  <c r="C57" i="1"/>
  <c r="C56" i="1"/>
  <c r="C55" i="1"/>
  <c r="Q29" i="1"/>
  <c r="D60" i="1"/>
  <c r="D62" i="1" s="1"/>
  <c r="F27" i="10" l="1"/>
  <c r="I288" i="3"/>
  <c r="J288" i="3" s="1"/>
  <c r="G27" i="10"/>
  <c r="I289" i="3"/>
  <c r="J289" i="3" s="1"/>
  <c r="M57" i="1"/>
  <c r="J285" i="3" s="1"/>
  <c r="M80" i="10"/>
  <c r="M79" i="10" s="1"/>
  <c r="M61" i="10"/>
  <c r="M60" i="10" s="1"/>
  <c r="M42" i="10"/>
  <c r="M41" i="10" s="1"/>
  <c r="L23" i="10"/>
  <c r="L27" i="10"/>
  <c r="N27" i="10"/>
  <c r="M84" i="10"/>
  <c r="M83" i="10" s="1"/>
  <c r="M65" i="10"/>
  <c r="M64" i="10" s="1"/>
  <c r="M46" i="10"/>
  <c r="M45" i="10" s="1"/>
  <c r="M26" i="10"/>
  <c r="F46" i="10"/>
  <c r="F45" i="10" s="1"/>
  <c r="F84" i="10"/>
  <c r="F83" i="10" s="1"/>
  <c r="F65" i="10"/>
  <c r="F64" i="10" s="1"/>
  <c r="F26" i="10"/>
  <c r="G46" i="10"/>
  <c r="G45" i="10" s="1"/>
  <c r="G84" i="10"/>
  <c r="G83" i="10" s="1"/>
  <c r="G65" i="10"/>
  <c r="G64" i="10" s="1"/>
  <c r="G26" i="10"/>
  <c r="J27" i="10"/>
  <c r="E84" i="10"/>
  <c r="E83" i="10" s="1"/>
  <c r="E65" i="10"/>
  <c r="E64" i="10" s="1"/>
  <c r="E46" i="10"/>
  <c r="E45" i="10" s="1"/>
  <c r="E26" i="10"/>
  <c r="D84" i="10"/>
  <c r="D83" i="10" s="1"/>
  <c r="D65" i="10"/>
  <c r="D64" i="10" s="1"/>
  <c r="D46" i="10"/>
  <c r="D45" i="10" s="1"/>
  <c r="D26" i="10"/>
  <c r="C46" i="10"/>
  <c r="C65" i="10"/>
  <c r="C84" i="10"/>
  <c r="C26" i="10"/>
  <c r="I46" i="10"/>
  <c r="I45" i="10" s="1"/>
  <c r="I84" i="10"/>
  <c r="I83" i="10" s="1"/>
  <c r="I65" i="10"/>
  <c r="I64" i="10" s="1"/>
  <c r="I26" i="10"/>
  <c r="G23" i="10"/>
  <c r="I80" i="10"/>
  <c r="I79" i="10" s="1"/>
  <c r="I42" i="10"/>
  <c r="I41" i="10" s="1"/>
  <c r="I61" i="10"/>
  <c r="I60" i="10" s="1"/>
  <c r="F61" i="10"/>
  <c r="F60" i="10" s="1"/>
  <c r="F42" i="10"/>
  <c r="F41" i="10" s="1"/>
  <c r="F80" i="10"/>
  <c r="F79" i="10" s="1"/>
  <c r="H42" i="10"/>
  <c r="H41" i="10" s="1"/>
  <c r="H61" i="10"/>
  <c r="H60" i="10" s="1"/>
  <c r="H80" i="10"/>
  <c r="H79" i="10" s="1"/>
  <c r="J23" i="10"/>
  <c r="D61" i="10"/>
  <c r="D60" i="10" s="1"/>
  <c r="D42" i="10"/>
  <c r="D41" i="10" s="1"/>
  <c r="D80" i="10"/>
  <c r="D79" i="10" s="1"/>
  <c r="K23" i="10"/>
  <c r="C22" i="10"/>
  <c r="C42" i="10"/>
  <c r="C61" i="10"/>
  <c r="C80" i="10"/>
  <c r="E61" i="10"/>
  <c r="E60" i="10" s="1"/>
  <c r="E42" i="10"/>
  <c r="E41" i="10" s="1"/>
  <c r="E80" i="10"/>
  <c r="E79" i="10" s="1"/>
  <c r="M28" i="1"/>
  <c r="D61" i="1"/>
  <c r="Q30" i="1"/>
  <c r="Q58" i="1"/>
  <c r="D32" i="1"/>
  <c r="D33" i="1" s="1"/>
  <c r="E60" i="1"/>
  <c r="L80" i="10" l="1"/>
  <c r="L79" i="10" s="1"/>
  <c r="L61" i="10"/>
  <c r="L60" i="10" s="1"/>
  <c r="L42" i="10"/>
  <c r="L41" i="10" s="1"/>
  <c r="N84" i="10"/>
  <c r="N83" i="10" s="1"/>
  <c r="N65" i="10"/>
  <c r="N64" i="10" s="1"/>
  <c r="N46" i="10"/>
  <c r="N45" i="10" s="1"/>
  <c r="N26" i="10"/>
  <c r="L84" i="10"/>
  <c r="L83" i="10" s="1"/>
  <c r="L65" i="10"/>
  <c r="L64" i="10" s="1"/>
  <c r="L46" i="10"/>
  <c r="L45" i="10" s="1"/>
  <c r="L26" i="10"/>
  <c r="C83" i="10"/>
  <c r="C64" i="10"/>
  <c r="C45" i="10"/>
  <c r="J65" i="10"/>
  <c r="J64" i="10" s="1"/>
  <c r="J46" i="10"/>
  <c r="J45" i="10" s="1"/>
  <c r="J84" i="10"/>
  <c r="J83" i="10" s="1"/>
  <c r="J26" i="10"/>
  <c r="C79" i="10"/>
  <c r="C60" i="10"/>
  <c r="J80" i="10"/>
  <c r="J79" i="10" s="1"/>
  <c r="J42" i="10"/>
  <c r="J41" i="10" s="1"/>
  <c r="J61" i="10"/>
  <c r="J60" i="10" s="1"/>
  <c r="C41" i="10"/>
  <c r="K42" i="10"/>
  <c r="K41" i="10" s="1"/>
  <c r="K80" i="10"/>
  <c r="K79" i="10" s="1"/>
  <c r="K61" i="10"/>
  <c r="K60" i="10" s="1"/>
  <c r="G61" i="10"/>
  <c r="G60" i="10" s="1"/>
  <c r="G42" i="10"/>
  <c r="G41" i="10" s="1"/>
  <c r="G80" i="10"/>
  <c r="G79" i="10" s="1"/>
  <c r="D34" i="1"/>
  <c r="E32" i="1" s="1"/>
  <c r="E33" i="1" s="1"/>
  <c r="E62" i="1"/>
  <c r="E61" i="1"/>
  <c r="O79" i="10" l="1"/>
  <c r="O26" i="10"/>
  <c r="D64" i="1"/>
  <c r="O41" i="10"/>
  <c r="O46" i="10"/>
  <c r="O45" i="10"/>
  <c r="O64" i="10"/>
  <c r="O84" i="10"/>
  <c r="O65" i="10"/>
  <c r="O83" i="10"/>
  <c r="O60" i="10"/>
  <c r="O61" i="10"/>
  <c r="O42" i="10"/>
  <c r="O80" i="10"/>
  <c r="E34" i="1"/>
  <c r="F32" i="1" s="1"/>
  <c r="F33" i="1" s="1"/>
  <c r="F60" i="1"/>
  <c r="F62" i="1" s="1"/>
  <c r="E64" i="1" l="1"/>
  <c r="F34" i="1"/>
  <c r="G32" i="1" s="1"/>
  <c r="G33" i="1" s="1"/>
  <c r="G60" i="1"/>
  <c r="G61" i="1" s="1"/>
  <c r="F64" i="1"/>
  <c r="F61" i="1"/>
  <c r="Q60" i="1"/>
  <c r="Q32" i="1"/>
  <c r="G34" i="1" l="1"/>
  <c r="H32" i="1" s="1"/>
  <c r="H33" i="1" s="1"/>
  <c r="Q63" i="1"/>
  <c r="Q61" i="1"/>
  <c r="G62" i="1"/>
  <c r="H60" i="1" l="1"/>
  <c r="H61" i="1" s="1"/>
  <c r="H34" i="1"/>
  <c r="G64" i="1"/>
  <c r="H62" i="1" l="1"/>
  <c r="I60" i="1" s="1"/>
  <c r="I61" i="1" s="1"/>
  <c r="I32" i="1"/>
  <c r="I33" i="1" s="1"/>
  <c r="H64" i="1" l="1"/>
  <c r="I62" i="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O60" i="1" s="1"/>
  <c r="M32" i="1"/>
  <c r="M33" i="1" s="1"/>
  <c r="L64" i="1"/>
  <c r="M34" i="1" l="1"/>
  <c r="M64" i="1" s="1"/>
  <c r="O61" i="1"/>
  <c r="O62" i="1" l="1"/>
  <c r="N32" i="1"/>
  <c r="N33" i="1" s="1"/>
  <c r="N34" i="1" l="1"/>
  <c r="N64" i="1" s="1"/>
  <c r="O32" i="1" l="1"/>
  <c r="O33" i="1" s="1"/>
  <c r="O34" i="1" l="1"/>
  <c r="O64" i="1" s="1"/>
  <c r="U18" i="2" l="1"/>
  <c r="U18" i="1" l="1"/>
  <c r="F177" i="3" l="1"/>
  <c r="F207" i="3" l="1"/>
  <c r="F438" i="3" l="1"/>
  <c r="F498" i="3" l="1"/>
  <c r="F234" i="3"/>
  <c r="F265" i="3" l="1"/>
  <c r="F91" i="3"/>
  <c r="F118" i="3"/>
  <c r="F411" i="3"/>
  <c r="F439" i="3" s="1"/>
  <c r="F60" i="3"/>
  <c r="F471" i="3"/>
  <c r="F150" i="3"/>
  <c r="F32" i="3"/>
  <c r="T18" i="1" l="1"/>
  <c r="O51" i="2" l="1"/>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O25" i="2"/>
  <c r="N25" i="2"/>
  <c r="N26" i="2" s="1"/>
  <c r="M25" i="2"/>
  <c r="M26" i="2" s="1"/>
  <c r="L25" i="2"/>
  <c r="K25" i="2"/>
  <c r="K26" i="2" s="1"/>
  <c r="J25" i="2"/>
  <c r="J26" i="2" s="1"/>
  <c r="I25" i="2"/>
  <c r="I26" i="2" s="1"/>
  <c r="H25" i="2"/>
  <c r="G25" i="2"/>
  <c r="G26" i="2" s="1"/>
  <c r="F25" i="2"/>
  <c r="F26" i="2" s="1"/>
  <c r="E25" i="2"/>
  <c r="E26" i="2" s="1"/>
  <c r="D25" i="2"/>
  <c r="N20" i="2"/>
  <c r="M20" i="2"/>
  <c r="L20" i="2"/>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L27" i="2" l="1"/>
  <c r="K23" i="11" s="1"/>
  <c r="E27" i="2"/>
  <c r="D53" i="2"/>
  <c r="C27" i="11" s="1"/>
  <c r="K27" i="2"/>
  <c r="H27" i="2"/>
  <c r="I302" i="3" s="1"/>
  <c r="J302" i="3" s="1"/>
  <c r="F27" i="2"/>
  <c r="G27" i="2"/>
  <c r="I301" i="3" s="1"/>
  <c r="J301" i="3" s="1"/>
  <c r="J27" i="2"/>
  <c r="M27" i="2"/>
  <c r="J298" i="3" s="1"/>
  <c r="N27" i="2"/>
  <c r="J299" i="3" s="1"/>
  <c r="O27" i="2"/>
  <c r="J300" i="3" s="1"/>
  <c r="U20" i="1"/>
  <c r="I27" i="2"/>
  <c r="I303" i="3" s="1"/>
  <c r="J303" i="3" s="1"/>
  <c r="S20" i="2"/>
  <c r="S19" i="2" s="1"/>
  <c r="Q25" i="2"/>
  <c r="Q26" i="2" s="1"/>
  <c r="E53" i="2"/>
  <c r="D27" i="11" s="1"/>
  <c r="T46" i="2"/>
  <c r="T45" i="2" s="1"/>
  <c r="T20" i="2"/>
  <c r="T19" i="2" s="1"/>
  <c r="N53" i="2"/>
  <c r="J312" i="3" s="1"/>
  <c r="D26" i="2"/>
  <c r="L53" i="2"/>
  <c r="K27" i="11" s="1"/>
  <c r="K53" i="2"/>
  <c r="J27" i="11" s="1"/>
  <c r="F53" i="2"/>
  <c r="E27" i="11" s="1"/>
  <c r="Q51" i="2"/>
  <c r="Q52" i="2" s="1"/>
  <c r="D27" i="2"/>
  <c r="Q20" i="2"/>
  <c r="Q19" i="2" s="1"/>
  <c r="U46" i="2"/>
  <c r="U45" i="2" s="1"/>
  <c r="Q46" i="2"/>
  <c r="Q45" i="2" s="1"/>
  <c r="S51" i="2"/>
  <c r="S52" i="2" s="1"/>
  <c r="J52" i="2"/>
  <c r="J53" i="2"/>
  <c r="I27" i="11" s="1"/>
  <c r="K52" i="2"/>
  <c r="H26" i="2"/>
  <c r="R46" i="2"/>
  <c r="R45" i="2" s="1"/>
  <c r="M53" i="2"/>
  <c r="J311" i="3" s="1"/>
  <c r="M52" i="2"/>
  <c r="G53" i="2"/>
  <c r="R48" i="1"/>
  <c r="R47" i="1" s="1"/>
  <c r="R20" i="1"/>
  <c r="R19" i="1" s="1"/>
  <c r="O53" i="2"/>
  <c r="T51" i="2"/>
  <c r="T52" i="2" s="1"/>
  <c r="O26" i="2"/>
  <c r="T25" i="2"/>
  <c r="T26" i="2" s="1"/>
  <c r="U51" i="2"/>
  <c r="U52" i="2" s="1"/>
  <c r="S46" i="2"/>
  <c r="S45" i="2" s="1"/>
  <c r="L26" i="2"/>
  <c r="S25" i="2"/>
  <c r="S26" i="2" s="1"/>
  <c r="U20" i="2"/>
  <c r="U19" i="2" s="1"/>
  <c r="S20" i="1"/>
  <c r="S19" i="1" s="1"/>
  <c r="R51" i="2"/>
  <c r="R52" i="2" s="1"/>
  <c r="I53" i="2"/>
  <c r="H53" i="2"/>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F27" i="11" l="1"/>
  <c r="I314" i="3"/>
  <c r="J314" i="3" s="1"/>
  <c r="G27" i="11"/>
  <c r="I315" i="3"/>
  <c r="J315" i="3" s="1"/>
  <c r="H27" i="11"/>
  <c r="H84" i="11" s="1"/>
  <c r="H83" i="11" s="1"/>
  <c r="I316" i="3"/>
  <c r="J316" i="3" s="1"/>
  <c r="E84" i="11"/>
  <c r="E83" i="11" s="1"/>
  <c r="E46" i="11"/>
  <c r="E45" i="11" s="1"/>
  <c r="E65" i="11"/>
  <c r="E64" i="11" s="1"/>
  <c r="E26" i="11"/>
  <c r="J65" i="11"/>
  <c r="J64" i="11" s="1"/>
  <c r="J46" i="11"/>
  <c r="J45" i="11" s="1"/>
  <c r="J84" i="11"/>
  <c r="J83" i="11" s="1"/>
  <c r="J26" i="11"/>
  <c r="H65" i="11"/>
  <c r="H64" i="11" s="1"/>
  <c r="H46" i="11"/>
  <c r="H45" i="11" s="1"/>
  <c r="K46" i="11"/>
  <c r="K45" i="11" s="1"/>
  <c r="K84" i="11"/>
  <c r="K83" i="11" s="1"/>
  <c r="K65" i="11"/>
  <c r="K64" i="11" s="1"/>
  <c r="K26" i="11"/>
  <c r="D65" i="11"/>
  <c r="D64" i="11" s="1"/>
  <c r="D46" i="11"/>
  <c r="D45" i="11" s="1"/>
  <c r="D84" i="11"/>
  <c r="D83" i="11" s="1"/>
  <c r="D26" i="11"/>
  <c r="G65" i="11"/>
  <c r="G64" i="11" s="1"/>
  <c r="G46" i="11"/>
  <c r="G45" i="11" s="1"/>
  <c r="G84" i="11"/>
  <c r="G83" i="11" s="1"/>
  <c r="G26" i="11"/>
  <c r="C46" i="11"/>
  <c r="C45" i="11" s="1"/>
  <c r="C84" i="11"/>
  <c r="C83" i="11" s="1"/>
  <c r="C65" i="11"/>
  <c r="C64" i="11" s="1"/>
  <c r="C26" i="11"/>
  <c r="M27" i="11"/>
  <c r="N27" i="11"/>
  <c r="F84" i="11"/>
  <c r="F83" i="11" s="1"/>
  <c r="F65" i="11"/>
  <c r="F64" i="11" s="1"/>
  <c r="F46" i="11"/>
  <c r="F45" i="11" s="1"/>
  <c r="F26" i="11"/>
  <c r="I46" i="11"/>
  <c r="I45" i="11" s="1"/>
  <c r="I65" i="11"/>
  <c r="I64" i="11" s="1"/>
  <c r="I84" i="11"/>
  <c r="I83" i="11" s="1"/>
  <c r="I26" i="11"/>
  <c r="E23" i="11"/>
  <c r="F23" i="11"/>
  <c r="H23" i="11"/>
  <c r="R28" i="2"/>
  <c r="G23" i="11"/>
  <c r="J23" i="11"/>
  <c r="N23" i="11"/>
  <c r="M23" i="11"/>
  <c r="D23" i="11"/>
  <c r="C23" i="11"/>
  <c r="L23" i="11"/>
  <c r="K80" i="11"/>
  <c r="K79" i="11" s="1"/>
  <c r="K42" i="11"/>
  <c r="K41" i="11" s="1"/>
  <c r="K61" i="11"/>
  <c r="K60" i="11" s="1"/>
  <c r="K22" i="11"/>
  <c r="I23" i="11"/>
  <c r="L27" i="11"/>
  <c r="R54" i="2"/>
  <c r="T57" i="1"/>
  <c r="T58" i="1"/>
  <c r="Q53" i="2"/>
  <c r="R27" i="2"/>
  <c r="S53" i="2"/>
  <c r="S27" i="2"/>
  <c r="T53" i="2"/>
  <c r="D56" i="2"/>
  <c r="D58" i="2" s="1"/>
  <c r="Q27" i="2"/>
  <c r="T29" i="1"/>
  <c r="T27" i="2"/>
  <c r="U27" i="2"/>
  <c r="U53" i="2"/>
  <c r="R53" i="2"/>
  <c r="U19" i="1"/>
  <c r="U55" i="1"/>
  <c r="U56" i="1" s="1"/>
  <c r="S29" i="1"/>
  <c r="T30" i="1"/>
  <c r="U48" i="1"/>
  <c r="U47" i="1" s="1"/>
  <c r="R57" i="1"/>
  <c r="S57" i="1"/>
  <c r="R29" i="1"/>
  <c r="H26" i="11" l="1"/>
  <c r="M84" i="11"/>
  <c r="M83" i="11" s="1"/>
  <c r="M65" i="11"/>
  <c r="M64" i="11" s="1"/>
  <c r="M46" i="11"/>
  <c r="M45" i="11" s="1"/>
  <c r="M26" i="11"/>
  <c r="N84" i="11"/>
  <c r="N83" i="11" s="1"/>
  <c r="N65" i="11"/>
  <c r="N64" i="11" s="1"/>
  <c r="N46" i="11"/>
  <c r="N45" i="11" s="1"/>
  <c r="N26" i="11"/>
  <c r="T54" i="2"/>
  <c r="Q28" i="2"/>
  <c r="H61" i="11"/>
  <c r="H60" i="11" s="1"/>
  <c r="H80" i="11"/>
  <c r="H79" i="11" s="1"/>
  <c r="H42" i="11"/>
  <c r="H41" i="11" s="1"/>
  <c r="H22" i="11"/>
  <c r="D80" i="11"/>
  <c r="D79" i="11" s="1"/>
  <c r="D42" i="11"/>
  <c r="D41" i="11" s="1"/>
  <c r="D61" i="11"/>
  <c r="D60" i="11" s="1"/>
  <c r="D22" i="11"/>
  <c r="G61" i="11"/>
  <c r="G60" i="11" s="1"/>
  <c r="G80" i="11"/>
  <c r="G79" i="11" s="1"/>
  <c r="G42" i="11"/>
  <c r="G41" i="11" s="1"/>
  <c r="G22" i="11"/>
  <c r="M61" i="11"/>
  <c r="M60" i="11" s="1"/>
  <c r="M80" i="11"/>
  <c r="M79" i="11" s="1"/>
  <c r="M42" i="11"/>
  <c r="M41" i="11" s="1"/>
  <c r="M22" i="11"/>
  <c r="L80" i="11"/>
  <c r="L79" i="11" s="1"/>
  <c r="L42" i="11"/>
  <c r="L41" i="11" s="1"/>
  <c r="L61" i="11"/>
  <c r="L60" i="11" s="1"/>
  <c r="L22" i="11"/>
  <c r="N61" i="11"/>
  <c r="N60" i="11" s="1"/>
  <c r="N80" i="11"/>
  <c r="N79" i="11" s="1"/>
  <c r="N42" i="11"/>
  <c r="N41" i="11" s="1"/>
  <c r="N22" i="11"/>
  <c r="F61" i="11"/>
  <c r="F60" i="11" s="1"/>
  <c r="F80" i="11"/>
  <c r="F79" i="11" s="1"/>
  <c r="F42" i="11"/>
  <c r="F41" i="11" s="1"/>
  <c r="F22" i="11"/>
  <c r="I80" i="11"/>
  <c r="I79" i="11" s="1"/>
  <c r="I42" i="11"/>
  <c r="I41" i="11" s="1"/>
  <c r="I61" i="11"/>
  <c r="I60" i="11" s="1"/>
  <c r="I22" i="11"/>
  <c r="C80" i="11"/>
  <c r="C42" i="11"/>
  <c r="C61" i="11"/>
  <c r="C22" i="11"/>
  <c r="O23" i="11"/>
  <c r="J80" i="11"/>
  <c r="J79" i="11" s="1"/>
  <c r="J42" i="11"/>
  <c r="J41" i="11" s="1"/>
  <c r="J61" i="11"/>
  <c r="J60" i="11" s="1"/>
  <c r="J22" i="11"/>
  <c r="E61" i="11"/>
  <c r="E60" i="11" s="1"/>
  <c r="E80" i="11"/>
  <c r="E79" i="11" s="1"/>
  <c r="E42" i="11"/>
  <c r="E41" i="11" s="1"/>
  <c r="E22" i="11"/>
  <c r="L65" i="11"/>
  <c r="L84" i="11"/>
  <c r="L46" i="11"/>
  <c r="L26" i="11"/>
  <c r="O27" i="11"/>
  <c r="Q54" i="2"/>
  <c r="S54" i="2"/>
  <c r="T28" i="2"/>
  <c r="S28" i="2"/>
  <c r="U54" i="2"/>
  <c r="K313" i="3" s="1"/>
  <c r="L313" i="3" s="1"/>
  <c r="M313" i="3" s="1"/>
  <c r="U28" i="2"/>
  <c r="K300" i="3" s="1"/>
  <c r="L300" i="3" s="1"/>
  <c r="E56" i="2"/>
  <c r="E57" i="2" s="1"/>
  <c r="D57" i="2"/>
  <c r="D30" i="2"/>
  <c r="S58" i="1"/>
  <c r="R58" i="1"/>
  <c r="U58" i="1"/>
  <c r="U30" i="1"/>
  <c r="U57" i="1"/>
  <c r="U29" i="1"/>
  <c r="K274" i="3" s="1"/>
  <c r="L274" i="3" s="1"/>
  <c r="R30" i="1"/>
  <c r="S30" i="1"/>
  <c r="K287" i="3" l="1"/>
  <c r="L287" i="3" s="1"/>
  <c r="O26" i="11"/>
  <c r="O22" i="11"/>
  <c r="O42" i="11"/>
  <c r="C41" i="11"/>
  <c r="O41" i="11" s="1"/>
  <c r="C60" i="11"/>
  <c r="O60" i="11" s="1"/>
  <c r="O61" i="11"/>
  <c r="O80" i="11"/>
  <c r="C79" i="11"/>
  <c r="O79" i="11" s="1"/>
  <c r="L45" i="11"/>
  <c r="O45" i="11" s="1"/>
  <c r="O46" i="11"/>
  <c r="L83" i="11"/>
  <c r="O83" i="11" s="1"/>
  <c r="O84" i="11"/>
  <c r="L64" i="11"/>
  <c r="O64" i="11" s="1"/>
  <c r="O65" i="11"/>
  <c r="D32" i="2"/>
  <c r="D31" i="2"/>
  <c r="E58" i="2"/>
  <c r="F56" i="2" l="1"/>
  <c r="D60" i="2"/>
  <c r="E30" i="2"/>
  <c r="F57" i="2" l="1"/>
  <c r="Q56" i="2"/>
  <c r="Q57" i="2" s="1"/>
  <c r="E31" i="2"/>
  <c r="E32" i="2"/>
  <c r="E60" i="2" s="1"/>
  <c r="F58" i="2"/>
  <c r="F30" i="2" l="1"/>
  <c r="F31" i="2" s="1"/>
  <c r="G56"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O58" i="2"/>
  <c r="L60" i="2"/>
  <c r="M30" i="2"/>
  <c r="S32" i="1"/>
  <c r="S33" i="1" s="1"/>
  <c r="M32" i="2" l="1"/>
  <c r="M31" i="2"/>
  <c r="M60" i="2" l="1"/>
  <c r="N30" i="2"/>
  <c r="N32" i="2" s="1"/>
  <c r="U60" i="1"/>
  <c r="T60" i="1"/>
  <c r="N31" i="2" l="1"/>
  <c r="N60" i="2"/>
  <c r="O30" i="2"/>
  <c r="U30" i="2" s="1"/>
  <c r="U31" i="2" s="1"/>
  <c r="V29" i="7" s="1"/>
  <c r="T63" i="1"/>
  <c r="T61" i="1"/>
  <c r="U63" i="1"/>
  <c r="U61" i="1"/>
  <c r="T30" i="2" l="1"/>
  <c r="T31" i="2" s="1"/>
  <c r="O32" i="2"/>
  <c r="O60" i="2" s="1"/>
  <c r="O31" i="2"/>
  <c r="U32" i="1"/>
  <c r="U33" i="1" s="1"/>
  <c r="U29" i="7" s="1"/>
  <c r="T32" i="1"/>
  <c r="T33" i="1" s="1"/>
  <c r="F102" i="7" l="1"/>
  <c r="J131" i="3" s="1"/>
  <c r="D103" i="7" l="1"/>
  <c r="I132" i="3" s="1"/>
  <c r="C12" i="7" l="1"/>
  <c r="H12" i="7" s="1"/>
  <c r="D135" i="7"/>
  <c r="F103" i="7"/>
  <c r="J132" i="3" s="1"/>
  <c r="F135" i="7" l="1"/>
  <c r="J189" i="3" s="1"/>
  <c r="I189" i="3"/>
  <c r="C13" i="7"/>
  <c r="C104" i="7" l="1"/>
  <c r="C136" i="7"/>
  <c r="C19" i="7"/>
  <c r="H19" i="7" s="1"/>
  <c r="H13" i="7"/>
  <c r="D104" i="7" l="1"/>
  <c r="F104" i="7" s="1"/>
  <c r="J133" i="3" s="1"/>
  <c r="D136" i="7"/>
  <c r="F136" i="7" s="1"/>
  <c r="J190" i="3" s="1"/>
  <c r="D105" i="7" l="1"/>
  <c r="I134" i="3" s="1"/>
  <c r="I133" i="3"/>
  <c r="I190" i="3"/>
  <c r="D137" i="7"/>
  <c r="I191" i="3" s="1"/>
  <c r="F105" i="7"/>
  <c r="J134" i="3" s="1"/>
  <c r="F137" i="7" l="1"/>
  <c r="J191" i="3" s="1"/>
  <c r="D106" i="7"/>
  <c r="I135" i="3" s="1"/>
  <c r="D138" i="7" l="1"/>
  <c r="I192" i="3" s="1"/>
  <c r="F106" i="7"/>
  <c r="J135" i="3" s="1"/>
  <c r="F138" i="7" l="1"/>
  <c r="J192" i="3" s="1"/>
  <c r="O27" i="10" l="1"/>
  <c r="H22" i="10"/>
  <c r="I22" i="10"/>
  <c r="D22" i="10"/>
  <c r="K22" i="10"/>
  <c r="E22" i="10"/>
  <c r="G22" i="10"/>
  <c r="L22" i="10"/>
  <c r="M22" i="10"/>
  <c r="J22" i="10"/>
  <c r="F22" i="10"/>
  <c r="N22" i="10"/>
  <c r="O22" i="10" l="1"/>
  <c r="O23" i="10" s="1"/>
  <c r="L136" i="7" l="1"/>
  <c r="L104" i="7" l="1"/>
  <c r="M136" i="7"/>
  <c r="I203" i="3" s="1"/>
  <c r="M104" i="7" l="1"/>
  <c r="I146" i="3" s="1"/>
  <c r="O136" i="7"/>
  <c r="J203" i="3" s="1"/>
  <c r="O104" i="7" l="1"/>
  <c r="L14" i="7"/>
  <c r="Q14" i="7" s="1"/>
  <c r="M137" i="7"/>
  <c r="I204" i="3" s="1"/>
  <c r="O137" i="7" l="1"/>
  <c r="J204" i="3" s="1"/>
  <c r="J146" i="3"/>
  <c r="M105" i="7"/>
  <c r="M138" i="7"/>
  <c r="I205" i="3" l="1"/>
  <c r="O105" i="7"/>
  <c r="I147" i="3"/>
  <c r="L15" i="7"/>
  <c r="Q15" i="7" s="1"/>
  <c r="O138" i="7"/>
  <c r="J205" i="3" s="1"/>
  <c r="D120" i="7"/>
  <c r="I160" i="3" s="1"/>
  <c r="C152" i="7"/>
  <c r="D152" i="7" l="1"/>
  <c r="I217" i="3"/>
  <c r="J147" i="3"/>
  <c r="M106" i="7"/>
  <c r="C14" i="7"/>
  <c r="F120" i="7"/>
  <c r="J160" i="3" s="1"/>
  <c r="F152" i="7"/>
  <c r="J217" i="3" s="1"/>
  <c r="I148" i="3" l="1"/>
  <c r="L16" i="7"/>
  <c r="O106" i="7"/>
  <c r="J148" i="3" s="1"/>
  <c r="D153" i="7"/>
  <c r="I218" i="3" s="1"/>
  <c r="D121" i="7"/>
  <c r="H14" i="7"/>
  <c r="F153" i="7" l="1"/>
  <c r="J218" i="3" s="1"/>
  <c r="C15" i="7"/>
  <c r="H15" i="7" s="1"/>
  <c r="I161" i="3"/>
  <c r="Q16" i="7"/>
  <c r="L21" i="7"/>
  <c r="Q21" i="7" s="1"/>
  <c r="L20" i="7"/>
  <c r="Q20" i="7" s="1"/>
  <c r="F121" i="7"/>
  <c r="J161" i="3" s="1"/>
  <c r="D154" i="7"/>
  <c r="F154" i="7" l="1"/>
  <c r="J219" i="3" s="1"/>
  <c r="I219" i="3"/>
  <c r="D122" i="7"/>
  <c r="C16" i="7" l="1"/>
  <c r="I162" i="3"/>
  <c r="F122" i="7"/>
  <c r="J162" i="3" s="1"/>
  <c r="H16" i="7"/>
  <c r="C21" i="7"/>
  <c r="H21" i="7" s="1"/>
  <c r="C20" i="7"/>
  <c r="H2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 authorId="0" shapeId="0" xr:uid="{0CE981FD-A905-480C-B62A-7ACBF52B99E1}">
      <text>
        <r>
          <rPr>
            <b/>
            <sz val="9"/>
            <color indexed="81"/>
            <rFont val="Tahoma"/>
            <family val="2"/>
          </rPr>
          <t>Author:</t>
        </r>
        <r>
          <rPr>
            <sz val="9"/>
            <color indexed="81"/>
            <rFont val="Tahoma"/>
            <family val="2"/>
          </rPr>
          <t xml:space="preserve">
Includes interest from December 2022 correcting entry</t>
        </r>
      </text>
    </comment>
    <comment ref="F59"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59"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77"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List>
</comments>
</file>

<file path=xl/sharedStrings.xml><?xml version="1.0" encoding="utf-8"?>
<sst xmlns="http://schemas.openxmlformats.org/spreadsheetml/2006/main" count="2282" uniqueCount="289">
  <si>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</si>
  <si>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</si>
  <si>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</si>
  <si>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</si>
  <si>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</si>
  <si>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</si>
  <si>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</si>
  <si>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</si>
  <si>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</si>
  <si>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</si>
  <si>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</si>
  <si>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</si>
  <si>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</si>
  <si>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</si>
  <si>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</si>
  <si>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</si>
  <si>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</si>
  <si>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</si>
  <si>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</si>
  <si>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</si>
  <si>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</si>
  <si>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</si>
  <si>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</si>
  <si>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</si>
  <si>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</si>
  <si>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</si>
  <si>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</si>
  <si>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</si>
  <si>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</si>
  <si>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</si>
  <si>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</si>
  <si>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</si>
  <si>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</si>
  <si>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</si>
  <si>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</si>
  <si>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</si>
  <si>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</si>
  <si>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</si>
  <si>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</si>
  <si>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</si>
  <si>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</si>
  <si>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</si>
  <si>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</si>
  <si>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</si>
  <si>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</si>
  <si>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</si>
  <si>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</si>
  <si>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</si>
  <si>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</si>
  <si>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</si>
  <si>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</si>
  <si>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</si>
  <si>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</si>
  <si>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</si>
  <si>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</si>
  <si>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</si>
  <si>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</si>
  <si>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</si>
  <si>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</si>
  <si>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</si>
  <si>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</si>
  <si>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456328</t>
  </si>
  <si>
    <t>RESIDENTIAL DECOUPLING DEFERRE</t>
  </si>
  <si>
    <t>456338</t>
  </si>
  <si>
    <t>NON-RES DECOUPLING DEFERRED RE</t>
  </si>
  <si>
    <t>495328</t>
  </si>
  <si>
    <t>495338</t>
  </si>
  <si>
    <t>253311</t>
  </si>
  <si>
    <t>CONTRA DECOUPLING DEFERRED REV</t>
  </si>
  <si>
    <t>495311</t>
  </si>
  <si>
    <t>CONTRA DECOUPLING DEFERRAL</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</si>
  <si>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</si>
  <si>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</si>
  <si>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</si>
  <si>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</si>
  <si>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</si>
  <si>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</si>
  <si>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</si>
  <si>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</si>
  <si>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</si>
  <si>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</si>
  <si>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</si>
  <si>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</si>
  <si>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</si>
  <si>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</si>
  <si>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</si>
  <si>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</si>
  <si>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</si>
  <si>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</si>
  <si>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</si>
  <si>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</si>
  <si>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</si>
  <si>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</si>
  <si>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</si>
  <si>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</si>
  <si>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</si>
  <si>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</si>
  <si>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</si>
  <si>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</si>
  <si>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</si>
  <si>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</si>
  <si>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</si>
  <si>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</si>
  <si>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</si>
  <si>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</si>
  <si>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</si>
  <si>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</si>
  <si>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</si>
  <si>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</si>
  <si>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</si>
  <si>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</si>
  <si>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</si>
  <si>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</si>
  <si>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</si>
  <si>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</si>
  <si>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</si>
  <si>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</si>
  <si>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</si>
  <si>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</si>
  <si>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</si>
  <si>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</si>
  <si>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</si>
  <si>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</si>
  <si>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</si>
  <si>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</si>
  <si>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</si>
  <si>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</si>
  <si>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</si>
  <si>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</si>
  <si>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</si>
  <si>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</si>
  <si>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</si>
  <si>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</si>
  <si>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</si>
  <si>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</si>
  <si>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</si>
  <si>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</si>
  <si>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</si>
  <si>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</si>
  <si>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</si>
  <si>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Actual Usage (kWhs)</t>
  </si>
  <si>
    <t>New Customers</t>
  </si>
  <si>
    <t>New Customer Usage (kWhs)</t>
  </si>
  <si>
    <t>New Customer Base Rate Revenue</t>
  </si>
  <si>
    <t>New Customer Basic Charge Revenue</t>
  </si>
  <si>
    <t>Attachment 3,  Page 3</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</si>
  <si>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</si>
  <si>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</si>
  <si>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</si>
  <si>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</si>
  <si>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</si>
  <si>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</si>
  <si>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</si>
  <si>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</si>
  <si>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Cumulative Deferral (Rebate) Balance</t>
  </si>
  <si>
    <t>Test Year Existing Customers</t>
  </si>
  <si>
    <t>Total Cumulative Deferral (Rebate)</t>
  </si>
  <si>
    <t>Check to Int Recon Tab</t>
  </si>
  <si>
    <t>*</t>
  </si>
  <si>
    <t>Check to Deferral</t>
  </si>
  <si>
    <t>A</t>
  </si>
  <si>
    <t>Year to Date</t>
  </si>
  <si>
    <t>Actual Customers-Test Year Existing</t>
  </si>
  <si>
    <t>Actual Base Rate Revenue-Test Year Existing</t>
  </si>
  <si>
    <t>Actual Basic Charge Revenue-Test Year Existing</t>
  </si>
  <si>
    <t>Actual Usage (kWhs)-Test Year Existing</t>
  </si>
  <si>
    <t>Year To Date</t>
  </si>
  <si>
    <t>Actual Usage - Test Year Existing</t>
  </si>
  <si>
    <t>Actual Base Rate Revenue - Test Year Existing</t>
  </si>
  <si>
    <t>Actual Fixed Charge Revenue - Test Year Existing</t>
  </si>
  <si>
    <t>Actual Usage (Therms) - Test Year Existing</t>
  </si>
  <si>
    <t>B</t>
  </si>
  <si>
    <t>New Customers Excluded from Decoupling Mechanism</t>
  </si>
  <si>
    <t>Description</t>
  </si>
  <si>
    <t>Average</t>
  </si>
  <si>
    <t>No. of Excluded Customer Bills - Residential</t>
  </si>
  <si>
    <t>New Customer Usage -
 Residential</t>
  </si>
  <si>
    <t xml:space="preserve">New Customer Use per Customer - Residential </t>
  </si>
  <si>
    <t>No. of Excluded Customer Bills - Non-Residential</t>
  </si>
  <si>
    <t>New Customer Usage - 
Non-Residential</t>
  </si>
  <si>
    <t xml:space="preserve">New Customer Use per Customer - Non-Residential </t>
  </si>
  <si>
    <t>Base Rate Revenue from Excluded Customers - Residential</t>
  </si>
  <si>
    <t>Base Rate Revenue from Excluded Customers - Non-Residential</t>
  </si>
  <si>
    <t>Total New Customer Revenue</t>
  </si>
  <si>
    <t>Variable Power Costs</t>
  </si>
  <si>
    <t>Depreciation Expense (1)</t>
  </si>
  <si>
    <t>Property Tax Expense (1)</t>
  </si>
  <si>
    <t>Customer Accounting Cost (2)</t>
  </si>
  <si>
    <t>Customer Service Cost (3)</t>
  </si>
  <si>
    <t>Excise Tax</t>
  </si>
  <si>
    <t>Uncollectibles</t>
  </si>
  <si>
    <t>Commission Fees</t>
  </si>
  <si>
    <t>Total New Customer Expense</t>
  </si>
  <si>
    <t>Operating Income Before FIT</t>
  </si>
  <si>
    <t>Income Tax</t>
  </si>
  <si>
    <t>Tax Benefit of Interest</t>
  </si>
  <si>
    <t>Operating Income</t>
  </si>
  <si>
    <t>Plant Investment Associated with New Customers Since Test Year (1)</t>
  </si>
  <si>
    <t>Accumulated Depreciation (1)</t>
  </si>
  <si>
    <t>Accumulated Deferred Taxes (1)</t>
  </si>
  <si>
    <t>Rate Base</t>
  </si>
  <si>
    <t>Allowed ROR</t>
  </si>
  <si>
    <t>Weighted Cost of Debt</t>
  </si>
  <si>
    <t>Return Requirement</t>
  </si>
  <si>
    <t>NOI Sufficiency (Deficiency)</t>
  </si>
  <si>
    <t>Retail Revenue Credit Rate</t>
  </si>
  <si>
    <t>Excise Tax Rate</t>
  </si>
  <si>
    <t>Uncollectible Expense Rate</t>
  </si>
  <si>
    <t>Commission Fee Rate</t>
  </si>
  <si>
    <t>Federal Tax Rate</t>
  </si>
  <si>
    <t>Avg Cust Acctg Cost per Bill (2)</t>
  </si>
  <si>
    <t>Avg Cust Service Cost per Bill (3)</t>
  </si>
  <si>
    <t>Note (1)</t>
  </si>
  <si>
    <t>All plant related new customer costs are derived from "New Revenue - Growth" project category transfers to plant cumulative additions since the test year.</t>
  </si>
  <si>
    <t>Note (2)</t>
  </si>
  <si>
    <t>Reflects 12ME Customer Accounting Expenses per Bill (excludes Uncollectible Accounts Expense).</t>
  </si>
  <si>
    <t>Note (3)</t>
  </si>
  <si>
    <t>Reflects 12ME Customer Service and Info Expenses per Bill (excludes Public Purpose Tariff Rider and Limited Income Tax Refund Program expense offsets).</t>
  </si>
  <si>
    <t>New Customer Usage - 
Residential</t>
  </si>
  <si>
    <t>Variable Gas Costs</t>
  </si>
  <si>
    <t>Gas Cost Excl from Base Rate Rev</t>
  </si>
  <si>
    <t>Avg Cust Acctg Cost per Bill (1)</t>
  </si>
  <si>
    <t>Avg Cust Service Cost per Bill (2)</t>
  </si>
  <si>
    <t>The Company will maintain and present data and a brief explanatory narrative for 30-, 20-, 15-, and 10-year moving averages for purposes of decoupling in its annual decoupling report.</t>
  </si>
  <si>
    <t>Explanatory Narrative:</t>
  </si>
  <si>
    <t>Heating degree-day and Cooling degree-day moving averages provide an updated determination of "normal" or expected weather each year.  In the context of a general rate case, changing these assumptions impacts the normalized test year usage that new rates are based on, the same costs spread over less usage will result in higher charges per kWh to achieve the same revenue per customer (RPC) and vice-versa.  In the context of the Company's decoupling mechanism the allowed decoupled  RPC is determined in the development of current effective rates in a general rate proceeding.  Once the RPC is set, assumptions regarding what proportion of decoupling deferrals are associated with weather have no impact on the deferrals in total, only the portion explained by "abnormal" weather.</t>
  </si>
  <si>
    <t>Actual Degree Days Heating</t>
  </si>
  <si>
    <t>Actual Degree Days Cooling</t>
  </si>
  <si>
    <t>30-Year Weather Assumption</t>
  </si>
  <si>
    <t>30-Year Normal DDH</t>
  </si>
  <si>
    <t>30-Year Normal DDC</t>
  </si>
  <si>
    <t>Normal - Actual DDH</t>
  </si>
  <si>
    <t>Normal - Actual DDC</t>
  </si>
  <si>
    <t>30-Year Residential Usage Adjustment</t>
  </si>
  <si>
    <t>30-Year Non-Residential Usage Adjustment</t>
  </si>
  <si>
    <t>Deferred Decoupled Revenue</t>
  </si>
  <si>
    <t>Residential Weather Component</t>
  </si>
  <si>
    <t>Residential Non-Weather</t>
  </si>
  <si>
    <t>Total Residential Decoupling Deferral</t>
  </si>
  <si>
    <t>Non-Residential Weather Component</t>
  </si>
  <si>
    <t>Non-Residential Non-Weather</t>
  </si>
  <si>
    <t>Total Non-Residential Decoupling Deferral</t>
  </si>
  <si>
    <t>20-Year Weather Assumption</t>
  </si>
  <si>
    <t>20-Year Normal DDH</t>
  </si>
  <si>
    <t>20-Year Normal DDC</t>
  </si>
  <si>
    <t>20-Year Residential Usage Adjustment</t>
  </si>
  <si>
    <t>20-Year Non-Residential Usage Adjustment</t>
  </si>
  <si>
    <t>15-Year Weather Assumption</t>
  </si>
  <si>
    <t>15-Year Normal DDH</t>
  </si>
  <si>
    <t>15-Year Normal DDC</t>
  </si>
  <si>
    <t>15-Year Residential Usage Adjustment</t>
  </si>
  <si>
    <t>15-Year Non-Residential Usage Adjustment</t>
  </si>
  <si>
    <t>10-Year Weather Assumption</t>
  </si>
  <si>
    <t>10-Year Normal DDH</t>
  </si>
  <si>
    <t>10-Year Normal DDC</t>
  </si>
  <si>
    <t>10-Year Residential Usage Adjustment</t>
  </si>
  <si>
    <t>10-Year Non-Residential Usage Adjustment</t>
  </si>
  <si>
    <t>HDD</t>
  </si>
  <si>
    <t>CDD</t>
  </si>
  <si>
    <t>Res Adj</t>
  </si>
  <si>
    <t>NR Adj</t>
  </si>
  <si>
    <t>2022 Total</t>
  </si>
  <si>
    <t>*Prorated for 12/21/22 Effective date of GRC</t>
  </si>
  <si>
    <t>TRANSFER PRIOR YEAR BALANCES APPROVED FOR RECOVERY TO SURCHARGE/REBATE ACCOUNTS OCT 1.</t>
  </si>
  <si>
    <t>*Includes effect of correcting entry booked with January 2023 month end close</t>
  </si>
  <si>
    <r>
      <t xml:space="preserve">The data shown below indicates that if 2022 were a test year in a future general rate case the definition of "normal" weather would impact both the overall normalized usage and the monthly shape of normalized usage (impacting the Decoupling monthly RPC).  Natural gas usage is only sensitive to heating, therefore changes to cooling expectations have no impact to the normalized test year usage.  Generally, the data below shows that the shorter the moving average periods, the less heating degree-days and more cooling degree-days.  Both residential and non-residential natural gas service would have the highest normalized usage under the </t>
    </r>
    <r>
      <rPr>
        <sz val="11"/>
        <color rgb="FFFF0000"/>
        <rFont val="Calibri"/>
        <family val="2"/>
        <scheme val="minor"/>
      </rPr>
      <t>30</t>
    </r>
    <r>
      <rPr>
        <sz val="11"/>
        <color theme="1"/>
        <rFont val="Calibri"/>
        <family val="2"/>
        <scheme val="minor"/>
      </rPr>
      <t>-year moving average assumption (lowest rate per therm for the same RPC) and the lowest normalized usage under the 10-year moving average assumption (highest rate per therm for the same RPC).</t>
    </r>
  </si>
  <si>
    <t>UG-200901 Base effective 10/1/2021 &amp; UG-220054 Base Effective 12/21/2022</t>
  </si>
  <si>
    <t>UE-200900 Base Effective 10/1/2021 &amp; UE-220053 Base Effective 12/21/2022</t>
  </si>
  <si>
    <t>Per Deferral Tab</t>
  </si>
  <si>
    <t>Check</t>
  </si>
  <si>
    <t>Monthly Activity Per Int Recon Tab</t>
  </si>
  <si>
    <t>Monthly Activity Per Deferral Tab</t>
  </si>
  <si>
    <t>The data shown below indicates that if 2022 were a test year in a future general rate case the definition of "normal" weather would impact both the overall normalized usage and the monthly shape of normalized usage (impacting the cost of power and the Decoupling monthly RPC).  Electric usage is sensitive to both heating and cooling.  Generally, the data below shows that the shorter the moving average periods, the less heating degree-days and more cooling degree-days with offsetting impacts.  Residential service and non-residential service would have the highest normalized usage under the 10-year moving average assumption.</t>
  </si>
  <si>
    <t>Decoupling Mechanism - UE-220053 Base Effective 12/21/2022</t>
  </si>
  <si>
    <t>Development of WA Electric Deferrals (Calendar Year 2023)</t>
  </si>
  <si>
    <t>202301</t>
  </si>
  <si>
    <t>202302</t>
  </si>
  <si>
    <t>202303</t>
  </si>
  <si>
    <r>
      <rPr>
        <b/>
        <sz val="10"/>
        <color theme="5"/>
        <rFont val="Times New Roman"/>
        <family val="1"/>
      </rPr>
      <t>A</t>
    </r>
    <r>
      <rPr>
        <sz val="10"/>
        <color theme="1"/>
        <rFont val="Times New Roman"/>
        <family val="1"/>
      </rPr>
      <t xml:space="preserve">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$XX (updated annually in Q4).</t>
    </r>
  </si>
  <si>
    <r>
      <rPr>
        <b/>
        <sz val="10"/>
        <color theme="5"/>
        <rFont val="Times New Roman"/>
        <family val="1"/>
      </rPr>
      <t>A</t>
    </r>
    <r>
      <rPr>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$XX (updated annually in Q4).</t>
    </r>
  </si>
  <si>
    <t>Correcting entry for December</t>
  </si>
  <si>
    <t>see below</t>
  </si>
  <si>
    <t>net variance caused by 2022 correcting entry booked in 2023</t>
  </si>
  <si>
    <t>2022 Deferred Revenue Pending Recovery</t>
  </si>
  <si>
    <t>Provision for Rate Refund - December 2022 Estimate</t>
  </si>
  <si>
    <t>Financial Reporting Contra Asset Accounts</t>
  </si>
  <si>
    <t>202304</t>
  </si>
  <si>
    <t>202305</t>
  </si>
  <si>
    <t>202306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</si>
</sst>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000000000"/>
  </numFmts>
  <fonts count="187">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
      <b/>
      <sz val="10"/>
      <color theme="5"/>
      <name val="Times New Roman"/>
      <family val="1"/>
    </font>
    <font>
      <b/>
      <sz val="11"/>
      <color rgb="FFFF0000"/>
      <name val="Calibri"/>
      <family val="2"/>
      <scheme val="minor"/>
    </font>
    <font>
      <i/>
      <sz val="10"/>
      <color indexed="8"/>
      <name val="Arial"/>
      <family val="2"/>
    </font>
  </fonts>
  <fills count="1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FFF00"/>
        <bgColor indexed="64"/>
      </patternFill>
    </fill>
  </fills>
  <borders count="63">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37">
    <xf numFmtId="0" fontId="0" fillId="0" borderId="0" xfId="0"/>
    <xf numFmtId="0" fontId="6" fillId="2" borderId="0" xfId="3" applyFont="1" applyFill="1" applyAlignment="1">
      <alignment horizontal="center"/>
    </xf>
    <xf numFmtId="0" fontId="5" fillId="2" borderId="0" xfId="3" applyFont="1" applyFill="1" applyAlignment="1">
      <alignment horizontal="left"/>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167" fontId="5" fillId="2" borderId="0" xfId="3" applyNumberFormat="1" applyFont="1" applyFill="1"/>
    <xf numFmtId="170" fontId="5" fillId="2" borderId="0" xfId="6" applyNumberFormat="1" applyFont="1" applyFill="1"/>
    <xf numFmtId="0" fontId="15" fillId="0" borderId="0" xfId="7" applyFont="1"/>
    <xf numFmtId="173" fontId="13" fillId="0" borderId="0" xfId="7" applyNumberFormat="1" applyFont="1" applyAlignment="1">
      <alignment horizontal="right" vertical="center"/>
    </xf>
    <xf numFmtId="172" fontId="13" fillId="0" borderId="0" xfId="7" applyNumberFormat="1" applyFont="1" applyAlignment="1">
      <alignment horizontal="right" vertical="center"/>
    </xf>
    <xf numFmtId="171" fontId="13" fillId="0" borderId="0" xfId="7" applyNumberFormat="1" applyFont="1" applyAlignment="1">
      <alignment horizontal="right" vertical="center"/>
    </xf>
    <xf numFmtId="43" fontId="0" fillId="0" borderId="0" xfId="0" applyNumberFormat="1"/>
    <xf numFmtId="164" fontId="6" fillId="2" borderId="1" xfId="3" applyNumberFormat="1" applyFont="1" applyFill="1" applyBorder="1" applyAlignment="1">
      <alignment horizontal="center" vertical="center"/>
    </xf>
    <xf numFmtId="167" fontId="8" fillId="2" borderId="0" xfId="3" applyNumberFormat="1" applyFont="1" applyFill="1"/>
    <xf numFmtId="43" fontId="0" fillId="0" borderId="0" xfId="6" applyFont="1"/>
    <xf numFmtId="166" fontId="7" fillId="2" borderId="0" xfId="3" applyNumberFormat="1" applyFont="1" applyFill="1" applyAlignment="1">
      <alignment vertical="center" wrapText="1"/>
    </xf>
    <xf numFmtId="0" fontId="5" fillId="2" borderId="0" xfId="3" applyFont="1" applyFill="1"/>
    <xf numFmtId="167" fontId="7" fillId="2" borderId="0" xfId="1" applyNumberFormat="1" applyFont="1" applyFill="1"/>
    <xf numFmtId="0" fontId="11" fillId="0" borderId="3" xfId="0" applyFont="1" applyBorder="1" applyAlignment="1">
      <alignment horizontal="left" vertical="top"/>
    </xf>
    <xf numFmtId="0" fontId="12" fillId="0" borderId="3" xfId="0" applyFont="1" applyBorder="1" applyAlignment="1">
      <alignment horizontal="left" vertical="top"/>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11" fillId="0" borderId="3" xfId="0" applyFont="1" applyBorder="1" applyAlignment="1">
      <alignment horizontal="left" vertical="center"/>
    </xf>
    <xf numFmtId="172" fontId="11" fillId="0" borderId="3" xfId="0" applyNumberFormat="1" applyFont="1" applyBorder="1" applyAlignment="1">
      <alignment horizontal="right" vertical="center"/>
    </xf>
    <xf numFmtId="171" fontId="11" fillId="0" borderId="3" xfId="0" applyNumberFormat="1" applyFont="1" applyBorder="1" applyAlignment="1">
      <alignment horizontal="right" vertical="center"/>
    </xf>
    <xf numFmtId="0" fontId="11" fillId="0" borderId="5" xfId="0" applyFont="1" applyBorder="1" applyAlignment="1">
      <alignment horizontal="left" vertical="top" wrapText="1"/>
    </xf>
    <xf numFmtId="0" fontId="11" fillId="0" borderId="50" xfId="0" applyFont="1" applyBorder="1" applyAlignment="1">
      <alignment horizontal="left" vertical="top" wrapText="1"/>
    </xf>
    <xf numFmtId="0" fontId="30" fillId="0" borderId="0" xfId="0" applyFont="1"/>
    <xf numFmtId="0" fontId="0" fillId="0" borderId="0" xfId="0" applyAlignment="1">
      <alignment horizontal="left"/>
    </xf>
    <xf numFmtId="0" fontId="6" fillId="2" borderId="0" xfId="3" applyFont="1" applyFill="1" applyAlignment="1">
      <alignment horizontal="center" wrapText="1"/>
    </xf>
    <xf numFmtId="0" fontId="3" fillId="2" borderId="0" xfId="3" applyFont="1" applyFill="1" applyAlignment="1">
      <alignment horizontal="center" wrapText="1"/>
    </xf>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8" fillId="2" borderId="2" xfId="5" applyNumberFormat="1" applyFont="1" applyFill="1" applyBorder="1"/>
    <xf numFmtId="166" fontId="5" fillId="2" borderId="0" xfId="3" applyNumberFormat="1" applyFont="1" applyFill="1"/>
    <xf numFmtId="10" fontId="7" fillId="2" borderId="0" xfId="2" applyNumberFormat="1" applyFont="1" applyFill="1"/>
    <xf numFmtId="0" fontId="3" fillId="2" borderId="0" xfId="3" applyFont="1" applyFill="1" applyAlignment="1">
      <alignment horizontal="center"/>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167" fontId="8" fillId="2" borderId="53" xfId="3" applyNumberFormat="1" applyFont="1" applyFill="1" applyBorder="1"/>
    <xf numFmtId="0" fontId="6" fillId="2" borderId="0" xfId="3" applyFont="1" applyFill="1" applyAlignment="1">
      <alignment wrapText="1"/>
    </xf>
    <xf numFmtId="0" fontId="3" fillId="2" borderId="0" xfId="3" applyFont="1" applyFill="1"/>
    <xf numFmtId="0" fontId="3" fillId="2" borderId="0" xfId="3" quotePrefix="1" applyFont="1" applyFill="1"/>
    <xf numFmtId="0" fontId="4" fillId="2" borderId="0" xfId="3" applyFont="1" applyFill="1"/>
    <xf numFmtId="164" fontId="173" fillId="2" borderId="51" xfId="3" applyNumberFormat="1" applyFont="1" applyFill="1" applyBorder="1" applyAlignment="1">
      <alignment horizontal="center" vertical="center"/>
    </xf>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Alignment="1">
      <alignment horizontal="right" vertical="center"/>
    </xf>
    <xf numFmtId="172" fontId="13" fillId="0" borderId="0" xfId="0" applyNumberFormat="1" applyFont="1" applyAlignment="1">
      <alignment horizontal="right" vertical="center"/>
    </xf>
    <xf numFmtId="171" fontId="13" fillId="0" borderId="0" xfId="0" applyNumberFormat="1" applyFont="1" applyAlignment="1">
      <alignment horizontal="right" vertical="center"/>
    </xf>
    <xf numFmtId="0" fontId="13" fillId="0" borderId="0" xfId="7" applyFont="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Alignment="1">
      <alignment horizontal="center"/>
    </xf>
    <xf numFmtId="0" fontId="30" fillId="0" borderId="0" xfId="0" applyFont="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0" fillId="0" borderId="0" xfId="0" quotePrefix="1"/>
    <xf numFmtId="17" fontId="176" fillId="2" borderId="51" xfId="3" applyNumberFormat="1" applyFont="1" applyFill="1" applyBorder="1" applyAlignment="1">
      <alignment horizontal="center" vertical="center"/>
    </xf>
    <xf numFmtId="10" fontId="177" fillId="0" borderId="0" xfId="0" applyNumberFormat="1" applyFont="1"/>
    <xf numFmtId="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Alignment="1">
      <alignment horizontal="right" vertical="center"/>
    </xf>
    <xf numFmtId="0" fontId="11" fillId="0" borderId="54" xfId="0" applyFont="1" applyBorder="1" applyAlignment="1">
      <alignment horizontal="left" vertical="top" wrapText="1"/>
    </xf>
    <xf numFmtId="0" fontId="11" fillId="0" borderId="55" xfId="0" applyFont="1" applyBorder="1" applyAlignment="1">
      <alignment horizontal="left" vertical="top" wrapText="1"/>
    </xf>
    <xf numFmtId="0" fontId="11" fillId="0" borderId="56" xfId="0" applyFont="1" applyBorder="1" applyAlignment="1">
      <alignment horizontal="left" vertical="top" wrapText="1"/>
    </xf>
    <xf numFmtId="173" fontId="13" fillId="106" borderId="0" xfId="0" applyNumberFormat="1" applyFont="1" applyFill="1" applyAlignment="1">
      <alignment horizontal="right" vertical="center"/>
    </xf>
    <xf numFmtId="0" fontId="11" fillId="0" borderId="54" xfId="0" applyFont="1" applyBorder="1" applyAlignment="1">
      <alignment horizontal="left" vertical="top"/>
    </xf>
    <xf numFmtId="173" fontId="13" fillId="0" borderId="55" xfId="0" applyNumberFormat="1" applyFont="1" applyBorder="1" applyAlignment="1">
      <alignment horizontal="right" vertical="center"/>
    </xf>
    <xf numFmtId="0" fontId="11" fillId="108" borderId="36" xfId="0" applyFont="1" applyFill="1" applyBorder="1" applyAlignment="1">
      <alignment horizontal="center" wrapText="1"/>
    </xf>
    <xf numFmtId="167" fontId="6" fillId="2" borderId="57" xfId="3" applyNumberFormat="1" applyFont="1" applyFill="1" applyBorder="1"/>
    <xf numFmtId="167" fontId="8" fillId="2" borderId="58" xfId="3" applyNumberFormat="1" applyFont="1" applyFill="1" applyBorder="1"/>
    <xf numFmtId="167" fontId="7" fillId="2" borderId="0" xfId="5" applyNumberFormat="1" applyFont="1" applyFill="1" applyBorder="1"/>
    <xf numFmtId="244" fontId="0" fillId="0" borderId="0" xfId="0" applyNumberFormat="1"/>
    <xf numFmtId="0" fontId="11" fillId="0" borderId="0" xfId="0" applyFont="1" applyAlignment="1">
      <alignment horizontal="center" wrapText="1"/>
    </xf>
    <xf numFmtId="173" fontId="13" fillId="107" borderId="52"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7" fillId="0" borderId="0" xfId="0" applyNumberFormat="1" applyFont="1"/>
    <xf numFmtId="0" fontId="179"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8" fillId="0" borderId="0" xfId="0" applyNumberFormat="1" applyFont="1"/>
    <xf numFmtId="44" fontId="180"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1" fillId="2" borderId="0" xfId="3" applyNumberFormat="1" applyFont="1" applyFill="1" applyAlignment="1">
      <alignment horizontal="center"/>
    </xf>
    <xf numFmtId="167" fontId="181" fillId="2" borderId="0" xfId="3" applyNumberFormat="1" applyFont="1" applyFill="1" applyAlignment="1">
      <alignment horizontal="center"/>
    </xf>
    <xf numFmtId="165" fontId="7" fillId="2" borderId="0" xfId="4" applyNumberFormat="1" applyFont="1" applyFill="1" applyBorder="1"/>
    <xf numFmtId="165" fontId="7" fillId="2" borderId="0" xfId="6" applyNumberFormat="1" applyFont="1" applyFill="1" applyBorder="1"/>
    <xf numFmtId="165" fontId="181" fillId="2" borderId="0" xfId="3" applyNumberFormat="1" applyFont="1" applyFill="1"/>
    <xf numFmtId="167" fontId="181" fillId="2" borderId="0" xfId="3" applyNumberFormat="1" applyFont="1" applyFill="1"/>
    <xf numFmtId="167" fontId="7" fillId="2" borderId="0" xfId="1" applyNumberFormat="1" applyFont="1" applyFill="1" applyBorder="1"/>
    <xf numFmtId="167" fontId="6" fillId="2" borderId="0" xfId="3" applyNumberFormat="1" applyFont="1" applyFill="1"/>
    <xf numFmtId="0" fontId="0" fillId="0" borderId="0" xfId="0" applyAlignment="1">
      <alignment horizontal="left" wrapText="1"/>
    </xf>
    <xf numFmtId="0" fontId="0" fillId="0" borderId="0" xfId="0" applyAlignment="1">
      <alignment horizontal="center"/>
    </xf>
    <xf numFmtId="0" fontId="30" fillId="0" borderId="0" xfId="0" applyFont="1" applyAlignment="1">
      <alignment horizontal="right"/>
    </xf>
    <xf numFmtId="17" fontId="180" fillId="0" borderId="0" xfId="0" applyNumberFormat="1" applyFont="1" applyAlignment="1">
      <alignment horizontal="center"/>
    </xf>
    <xf numFmtId="7" fontId="0" fillId="0" borderId="0" xfId="6" applyNumberFormat="1" applyFont="1"/>
    <xf numFmtId="44" fontId="177" fillId="0" borderId="0" xfId="0" applyNumberFormat="1" applyFont="1"/>
    <xf numFmtId="17" fontId="180" fillId="0" borderId="0" xfId="0" applyNumberFormat="1" applyFont="1" applyAlignment="1">
      <alignment horizontal="left"/>
    </xf>
    <xf numFmtId="5" fontId="177"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80" fillId="0" borderId="0" xfId="0" applyNumberFormat="1" applyFont="1"/>
    <xf numFmtId="9" fontId="182" fillId="2" borderId="0" xfId="2" applyFont="1" applyFill="1" applyAlignment="1">
      <alignment horizontal="center"/>
    </xf>
    <xf numFmtId="43" fontId="0" fillId="0" borderId="59" xfId="6" applyFont="1" applyBorder="1"/>
    <xf numFmtId="7" fontId="0" fillId="0" borderId="60" xfId="6" applyNumberFormat="1" applyFont="1" applyBorder="1"/>
    <xf numFmtId="7" fontId="0" fillId="0" borderId="61" xfId="6" applyNumberFormat="1" applyFont="1" applyBorder="1"/>
    <xf numFmtId="7" fontId="0" fillId="0" borderId="62" xfId="6" applyNumberFormat="1" applyFont="1" applyBorder="1"/>
    <xf numFmtId="0" fontId="183" fillId="0" borderId="0" xfId="0" applyFont="1"/>
    <xf numFmtId="0" fontId="0" fillId="0" borderId="52" xfId="0" applyBorder="1" applyAlignment="1">
      <alignment wrapText="1"/>
    </xf>
    <xf numFmtId="0" fontId="5" fillId="2" borderId="0" xfId="3" applyFont="1" applyFill="1" applyAlignment="1">
      <alignment horizontal="left" wrapText="1"/>
    </xf>
    <xf numFmtId="0" fontId="0" fillId="2" borderId="0" xfId="0" applyFill="1"/>
    <xf numFmtId="165" fontId="5" fillId="2" borderId="0" xfId="4" applyNumberFormat="1" applyFont="1" applyFill="1"/>
    <xf numFmtId="0" fontId="5" fillId="2" borderId="0" xfId="3" applyFont="1" applyFill="1" applyAlignment="1">
      <alignment horizontal="center" wrapText="1"/>
    </xf>
    <xf numFmtId="166" fontId="5" fillId="2" borderId="0" xfId="1" applyNumberFormat="1" applyFont="1" applyFill="1"/>
    <xf numFmtId="10" fontId="122" fillId="2" borderId="0" xfId="2" applyNumberFormat="1" applyFont="1" applyFill="1"/>
    <xf numFmtId="10" fontId="181" fillId="2" borderId="0" xfId="2" applyNumberFormat="1" applyFont="1" applyFill="1"/>
    <xf numFmtId="9" fontId="8" fillId="2" borderId="0" xfId="2" applyFont="1" applyFill="1" applyBorder="1"/>
    <xf numFmtId="168" fontId="7" fillId="2" borderId="0" xfId="5" applyNumberFormat="1" applyFont="1" applyFill="1"/>
    <xf numFmtId="169" fontId="5" fillId="2" borderId="0" xfId="3" applyNumberFormat="1" applyFont="1" applyFill="1"/>
    <xf numFmtId="10" fontId="7" fillId="2" borderId="0" xfId="2" applyNumberFormat="1" applyFont="1" applyFill="1" applyBorder="1"/>
    <xf numFmtId="0" fontId="2" fillId="2" borderId="0" xfId="3" applyFill="1"/>
    <xf numFmtId="0" fontId="9" fillId="2" borderId="0" xfId="3" applyFont="1" applyFill="1" applyAlignment="1">
      <alignment horizontal="center" wrapText="1"/>
    </xf>
    <xf numFmtId="0" fontId="5" fillId="2" borderId="0" xfId="3" applyFont="1" applyFill="1" applyAlignment="1">
      <alignment horizontal="center" vertical="center"/>
    </xf>
    <xf numFmtId="0" fontId="183" fillId="0" borderId="0" xfId="0" applyFont="1" applyAlignment="1">
      <alignment horizontal="right"/>
    </xf>
    <xf numFmtId="167" fontId="3" fillId="2" borderId="0" xfId="3" applyNumberFormat="1" applyFont="1" applyFill="1"/>
    <xf numFmtId="167" fontId="5" fillId="2" borderId="0" xfId="3" applyNumberFormat="1" applyFont="1" applyFill="1" applyAlignment="1">
      <alignment horizontal="center"/>
    </xf>
    <xf numFmtId="167" fontId="0" fillId="2" borderId="0" xfId="0" applyNumberFormat="1" applyFill="1"/>
    <xf numFmtId="0" fontId="30" fillId="0" borderId="51" xfId="0" applyFont="1" applyBorder="1" applyAlignment="1">
      <alignment horizontal="center"/>
    </xf>
    <xf numFmtId="0" fontId="0" fillId="0" borderId="0" xfId="0" applyAlignment="1">
      <alignment wrapText="1"/>
    </xf>
    <xf numFmtId="165" fontId="0" fillId="0" borderId="0" xfId="6" applyNumberFormat="1" applyFont="1" applyAlignment="1">
      <alignment vertical="center" wrapText="1"/>
    </xf>
    <xf numFmtId="165" fontId="0" fillId="0" borderId="0" xfId="0" applyNumberFormat="1" applyAlignment="1">
      <alignment vertical="center"/>
    </xf>
    <xf numFmtId="165" fontId="0" fillId="0" borderId="0" xfId="0" applyNumberFormat="1"/>
    <xf numFmtId="167" fontId="0" fillId="0" borderId="0" xfId="1" applyNumberFormat="1" applyFont="1" applyAlignment="1">
      <alignment vertical="center" wrapText="1"/>
    </xf>
    <xf numFmtId="167" fontId="0" fillId="0" borderId="0" xfId="0" applyNumberFormat="1" applyAlignment="1">
      <alignment vertical="center"/>
    </xf>
    <xf numFmtId="0" fontId="30" fillId="0" borderId="0" xfId="0" applyFont="1" applyAlignment="1">
      <alignment horizontal="center" vertical="center" wrapText="1"/>
    </xf>
    <xf numFmtId="167" fontId="30" fillId="0" borderId="0" xfId="0" applyNumberFormat="1" applyFont="1" applyAlignment="1">
      <alignment vertical="center" wrapText="1"/>
    </xf>
    <xf numFmtId="167" fontId="0" fillId="0" borderId="0" xfId="0" applyNumberFormat="1"/>
    <xf numFmtId="0" fontId="30" fillId="0" borderId="0" xfId="0" applyFont="1" applyAlignment="1">
      <alignment horizontal="center" vertical="center"/>
    </xf>
    <xf numFmtId="0" fontId="30" fillId="0" borderId="0" xfId="0" applyFont="1" applyAlignment="1">
      <alignment wrapText="1"/>
    </xf>
    <xf numFmtId="167" fontId="30" fillId="0" borderId="0" xfId="0" applyNumberFormat="1" applyFont="1"/>
    <xf numFmtId="0" fontId="0" fillId="0" borderId="0" xfId="0" applyAlignment="1">
      <alignment vertical="center" wrapText="1"/>
    </xf>
    <xf numFmtId="0" fontId="0" fillId="0" borderId="0" xfId="0" applyAlignment="1">
      <alignment vertical="center"/>
    </xf>
    <xf numFmtId="0" fontId="177" fillId="0" borderId="0" xfId="0" applyFont="1"/>
    <xf numFmtId="174" fontId="177" fillId="0" borderId="0" xfId="0" applyNumberFormat="1" applyFont="1"/>
    <xf numFmtId="174" fontId="0" fillId="0" borderId="0" xfId="0" applyNumberFormat="1"/>
    <xf numFmtId="9" fontId="177" fillId="0" borderId="0" xfId="2" applyFont="1"/>
    <xf numFmtId="9" fontId="0" fillId="0" borderId="0" xfId="2" applyFont="1"/>
    <xf numFmtId="167" fontId="0" fillId="0" borderId="0" xfId="1" applyNumberFormat="1" applyFont="1" applyAlignment="1">
      <alignment wrapText="1"/>
    </xf>
    <xf numFmtId="43" fontId="177" fillId="0" borderId="0" xfId="6" applyFont="1"/>
    <xf numFmtId="167" fontId="0" fillId="0" borderId="0" xfId="1" applyNumberFormat="1" applyFont="1"/>
    <xf numFmtId="9" fontId="177" fillId="0" borderId="0" xfId="2" applyFont="1" applyFill="1"/>
    <xf numFmtId="44" fontId="177" fillId="0" borderId="0" xfId="1" applyFont="1" applyFill="1"/>
    <xf numFmtId="167" fontId="177" fillId="0" borderId="0" xfId="1" applyNumberFormat="1" applyFont="1" applyFill="1" applyAlignment="1">
      <alignment vertical="center" wrapText="1"/>
    </xf>
    <xf numFmtId="167" fontId="177" fillId="0" borderId="0" xfId="1" applyNumberFormat="1" applyFont="1" applyFill="1" applyAlignment="1">
      <alignment wrapText="1"/>
    </xf>
    <xf numFmtId="167" fontId="177" fillId="0" borderId="0" xfId="0" applyNumberFormat="1" applyFont="1"/>
    <xf numFmtId="167" fontId="0" fillId="0" borderId="0" xfId="1" applyNumberFormat="1" applyFont="1" applyFill="1"/>
    <xf numFmtId="167" fontId="171" fillId="0" borderId="0" xfId="1" applyNumberFormat="1" applyFont="1" applyFill="1"/>
    <xf numFmtId="165" fontId="0" fillId="110" borderId="0" xfId="0" applyNumberFormat="1" applyFill="1"/>
    <xf numFmtId="44" fontId="0" fillId="2" borderId="0" xfId="1" applyFont="1" applyFill="1"/>
    <xf numFmtId="43" fontId="0" fillId="2" borderId="0" xfId="6" applyFont="1" applyFill="1"/>
    <xf numFmtId="43" fontId="0" fillId="2" borderId="0" xfId="0" applyNumberFormat="1" applyFill="1"/>
    <xf numFmtId="9" fontId="0" fillId="2" borderId="0" xfId="2" applyFont="1" applyFill="1"/>
    <xf numFmtId="165" fontId="122" fillId="2" borderId="0" xfId="4" applyNumberFormat="1" applyFont="1" applyFill="1" applyBorder="1"/>
    <xf numFmtId="165" fontId="122" fillId="2" borderId="0" xfId="6" applyNumberFormat="1" applyFont="1" applyFill="1" applyBorder="1"/>
    <xf numFmtId="165" fontId="122" fillId="2" borderId="0" xfId="6" applyNumberFormat="1" applyFont="1" applyFill="1"/>
    <xf numFmtId="167" fontId="122" fillId="2" borderId="0" xfId="3" applyNumberFormat="1" applyFont="1" applyFill="1"/>
    <xf numFmtId="165" fontId="122" fillId="2" borderId="0" xfId="4" applyNumberFormat="1" applyFont="1" applyFill="1"/>
    <xf numFmtId="169" fontId="7" fillId="2" borderId="0" xfId="5" applyNumberFormat="1" applyFont="1" applyFill="1" applyBorder="1" applyAlignment="1"/>
    <xf numFmtId="166" fontId="181" fillId="2" borderId="0" xfId="3" applyNumberFormat="1" applyFont="1" applyFill="1" applyAlignment="1">
      <alignment vertical="center"/>
    </xf>
    <xf numFmtId="167" fontId="5" fillId="2" borderId="0" xfId="3" applyNumberFormat="1" applyFont="1" applyFill="1" applyAlignment="1">
      <alignment wrapText="1"/>
    </xf>
    <xf numFmtId="169" fontId="122" fillId="2" borderId="0" xfId="5" applyNumberFormat="1" applyFont="1" applyFill="1" applyBorder="1" applyAlignment="1"/>
    <xf numFmtId="169" fontId="7" fillId="2" borderId="0" xfId="5" applyNumberFormat="1" applyFont="1" applyFill="1" applyAlignment="1">
      <alignment horizontal="left"/>
    </xf>
    <xf numFmtId="167" fontId="184" fillId="2" borderId="0" xfId="3" applyNumberFormat="1" applyFont="1" applyFill="1" applyAlignment="1">
      <alignment horizontal="left"/>
    </xf>
    <xf numFmtId="166" fontId="181" fillId="2" borderId="0" xfId="3" applyNumberFormat="1" applyFont="1" applyFill="1" applyAlignment="1">
      <alignment wrapText="1"/>
    </xf>
    <xf numFmtId="166" fontId="181" fillId="2" borderId="0" xfId="3" applyNumberFormat="1" applyFont="1" applyFill="1" applyAlignment="1">
      <alignment horizontal="right" wrapText="1"/>
    </xf>
    <xf numFmtId="165" fontId="181" fillId="2" borderId="0" xfId="3" applyNumberFormat="1" applyFont="1" applyFill="1" applyAlignment="1">
      <alignment horizontal="left"/>
    </xf>
    <xf numFmtId="167" fontId="5" fillId="2" borderId="0" xfId="3" applyNumberFormat="1" applyFont="1" applyFill="1" applyAlignment="1">
      <alignment horizontal="right"/>
    </xf>
    <xf numFmtId="0" fontId="185" fillId="0" borderId="0" xfId="0" applyFont="1"/>
    <xf numFmtId="173" fontId="186" fillId="0" borderId="0" xfId="7" applyNumberFormat="1" applyFont="1" applyAlignment="1">
      <alignment horizontal="left" vertical="center"/>
    </xf>
    <xf numFmtId="0" fontId="11" fillId="108" borderId="0" xfId="0" applyFont="1" applyFill="1" applyAlignment="1">
      <alignment horizontal="center" wrapText="1"/>
    </xf>
    <xf numFmtId="44" fontId="0" fillId="0" borderId="0" xfId="0" applyNumberFormat="1"/>
    <xf numFmtId="165" fontId="177" fillId="0" borderId="0" xfId="6" applyNumberFormat="1" applyFont="1" applyFill="1"/>
    <xf numFmtId="167" fontId="177" fillId="0" borderId="0" xfId="1" applyNumberFormat="1" applyFont="1" applyFill="1"/>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52" xfId="0"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0" fontId="30" fillId="0" borderId="0" xfId="0" applyFont="1" applyAlignment="1">
      <alignment horizontal="left" wrapText="1"/>
    </xf>
    <xf numFmtId="0" fontId="0" fillId="0" borderId="0" xfId="0" applyAlignment="1">
      <alignment horizontal="justify" vertical="top" wrapText="1"/>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514350</xdr:colOff>
      <xdr:row>2</xdr:row>
      <xdr:rowOff>171450</xdr:rowOff>
    </xdr:from>
    <xdr:to>
      <xdr:col>10</xdr:col>
      <xdr:colOff>704850</xdr:colOff>
      <xdr:row>8</xdr:row>
      <xdr:rowOff>333375</xdr:rowOff>
    </xdr:to>
    <xdr:sp macro="" textlink="">
      <xdr:nvSpPr>
        <xdr:cNvPr id="2" name="TextBox 1">
          <a:extLst>
            <a:ext uri="{FF2B5EF4-FFF2-40B4-BE49-F238E27FC236}">
              <a16:creationId xmlns:a16="http://schemas.microsoft.com/office/drawing/2014/main" id="{1A8D89F2-441D-F0B8-67B7-DA179CE4D4C5}"/>
            </a:ext>
          </a:extLst>
        </xdr:cNvPr>
        <xdr:cNvSpPr txBox="1"/>
      </xdr:nvSpPr>
      <xdr:spPr>
        <a:xfrm>
          <a:off x="4886325" y="561975"/>
          <a:ext cx="52578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not been updated. Reported</a:t>
          </a:r>
          <a:r>
            <a:rPr lang="en-US" sz="1100" baseline="0"/>
            <a:t> annually in Gebruary with the Q4/annual report.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857250</xdr:colOff>
      <xdr:row>4</xdr:row>
      <xdr:rowOff>104775</xdr:rowOff>
    </xdr:from>
    <xdr:to>
      <xdr:col>9</xdr:col>
      <xdr:colOff>161925</xdr:colOff>
      <xdr:row>9</xdr:row>
      <xdr:rowOff>276225</xdr:rowOff>
    </xdr:to>
    <xdr:sp macro="" textlink="">
      <xdr:nvSpPr>
        <xdr:cNvPr id="2" name="TextBox 1">
          <a:extLst>
            <a:ext uri="{FF2B5EF4-FFF2-40B4-BE49-F238E27FC236}">
              <a16:creationId xmlns:a16="http://schemas.microsoft.com/office/drawing/2014/main" id="{B13ED60B-F366-4628-9CEC-4D260C1AE066}"/>
            </a:ext>
          </a:extLst>
        </xdr:cNvPr>
        <xdr:cNvSpPr txBox="1"/>
      </xdr:nvSpPr>
      <xdr:spPr>
        <a:xfrm>
          <a:off x="3524250" y="885825"/>
          <a:ext cx="52578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not been updated. Reported</a:t>
          </a:r>
          <a:r>
            <a:rPr lang="en-US" sz="1100" baseline="0"/>
            <a:t> annually in Gebruary with the Q4/annual report.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1781175</xdr:colOff>
      <xdr:row>2</xdr:row>
      <xdr:rowOff>533400</xdr:rowOff>
    </xdr:from>
    <xdr:to>
      <xdr:col>7</xdr:col>
      <xdr:colOff>228600</xdr:colOff>
      <xdr:row>6</xdr:row>
      <xdr:rowOff>0</xdr:rowOff>
    </xdr:to>
    <xdr:sp macro="" textlink="">
      <xdr:nvSpPr>
        <xdr:cNvPr id="2" name="TextBox 1">
          <a:extLst>
            <a:ext uri="{FF2B5EF4-FFF2-40B4-BE49-F238E27FC236}">
              <a16:creationId xmlns:a16="http://schemas.microsoft.com/office/drawing/2014/main" id="{C8B97C1F-0E7E-4BC8-8728-5162A22DCCC3}"/>
            </a:ext>
          </a:extLst>
        </xdr:cNvPr>
        <xdr:cNvSpPr txBox="1"/>
      </xdr:nvSpPr>
      <xdr:spPr>
        <a:xfrm>
          <a:off x="2266950" y="923925"/>
          <a:ext cx="52578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not been updated. Reported</a:t>
          </a:r>
          <a:r>
            <a:rPr lang="en-US" sz="1100" baseline="0"/>
            <a:t> annually in Gebruary with the Q4/annual report.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866775</xdr:colOff>
      <xdr:row>2</xdr:row>
      <xdr:rowOff>114300</xdr:rowOff>
    </xdr:from>
    <xdr:to>
      <xdr:col>6</xdr:col>
      <xdr:colOff>161925</xdr:colOff>
      <xdr:row>3</xdr:row>
      <xdr:rowOff>733425</xdr:rowOff>
    </xdr:to>
    <xdr:sp macro="" textlink="">
      <xdr:nvSpPr>
        <xdr:cNvPr id="2" name="TextBox 1">
          <a:extLst>
            <a:ext uri="{FF2B5EF4-FFF2-40B4-BE49-F238E27FC236}">
              <a16:creationId xmlns:a16="http://schemas.microsoft.com/office/drawing/2014/main" id="{93ABFD4E-58E4-4388-B048-17FCEA7A0039}"/>
            </a:ext>
          </a:extLst>
        </xdr:cNvPr>
        <xdr:cNvSpPr txBox="1"/>
      </xdr:nvSpPr>
      <xdr:spPr>
        <a:xfrm>
          <a:off x="1352550" y="504825"/>
          <a:ext cx="52578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not been updated. Reported</a:t>
          </a:r>
          <a:r>
            <a:rPr lang="en-US" sz="1100" baseline="0"/>
            <a:t> annually in Gebruary with the Q4/annual report.</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drew_doyle_utc_wa_gov/Documents/Local%20Computer%20Files/Downloads/Support%20do%20not%20send/03.2021%20Decoupling%20Result%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refreshError="1"/>
      <sheetData sheetId="1" refreshError="1">
        <row r="1">
          <cell r="K1">
            <v>44256</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view="pageBreakPreview" zoomScale="60" zoomScaleNormal="100" workbookViewId="0">
      <selection activeCell="AA14" sqref="AA14"/>
    </sheetView>
  </sheetViews>
  <sheetFormatPr defaultRowHeight="15"/>
  <cols>
    <col min="1" max="1" width="6" style="155" customWidth="1"/>
    <col min="2" max="2" width="38.140625" style="155" customWidth="1"/>
    <col min="3" max="3" width="16.85546875" style="155" customWidth="1"/>
    <col min="4" max="4" width="12.7109375" style="155" customWidth="1"/>
    <col min="5" max="6" width="12.42578125" style="155" customWidth="1"/>
    <col min="7" max="8" width="12.28515625" style="155" customWidth="1"/>
    <col min="9" max="9" width="11.5703125" style="155" customWidth="1"/>
    <col min="10" max="10" width="12.7109375" style="155" hidden="1" customWidth="1"/>
    <col min="11" max="11" width="13" style="155" hidden="1" customWidth="1"/>
    <col min="12" max="12" width="12.42578125" style="155" hidden="1" customWidth="1"/>
    <col min="13" max="14" width="12.7109375" style="155" hidden="1" customWidth="1"/>
    <col min="15" max="15" width="13.85546875" style="171" hidden="1" customWidth="1"/>
    <col min="16" max="16" width="4.140625" style="155" hidden="1" customWidth="1"/>
    <col min="17" max="18" width="11.7109375" style="155" customWidth="1"/>
    <col min="19" max="20" width="11.5703125" style="155" hidden="1" customWidth="1"/>
    <col min="21" max="21" width="13" style="155" customWidth="1"/>
    <col min="22" max="16384" width="9.140625" style="155"/>
  </cols>
  <sheetData>
    <row r="1" spans="1:21" ht="15.75">
      <c r="A1" s="65" t="s">
        <v>0</v>
      </c>
      <c r="B1" s="65"/>
      <c r="C1" s="65"/>
      <c r="D1" s="65"/>
      <c r="E1" s="65"/>
      <c r="F1" s="65"/>
      <c r="G1" s="65"/>
      <c r="H1" s="65"/>
      <c r="I1" s="65"/>
      <c r="J1" s="65"/>
      <c r="K1" s="65"/>
      <c r="L1" s="65"/>
      <c r="M1" s="65"/>
      <c r="N1" s="65"/>
      <c r="O1" s="169"/>
      <c r="P1" s="65"/>
      <c r="Q1" s="65"/>
      <c r="R1" s="65"/>
      <c r="S1" s="65"/>
      <c r="T1" s="65"/>
      <c r="U1" s="65"/>
    </row>
    <row r="2" spans="1:21" ht="18.75" customHeight="1">
      <c r="A2" s="125" t="s">
        <v>273</v>
      </c>
      <c r="B2" s="126"/>
      <c r="C2" s="126"/>
      <c r="D2" s="126"/>
      <c r="E2" s="126"/>
      <c r="F2" s="126"/>
      <c r="G2" s="126"/>
      <c r="H2" s="126"/>
      <c r="I2" s="126"/>
      <c r="J2" s="126"/>
      <c r="K2" s="126"/>
      <c r="L2" s="126"/>
      <c r="M2" s="126"/>
      <c r="N2" s="126"/>
      <c r="O2" s="214"/>
      <c r="P2" s="126"/>
      <c r="Q2" s="126"/>
      <c r="R2" s="67"/>
      <c r="S2" s="67"/>
      <c r="T2" s="67"/>
      <c r="U2" s="67"/>
    </row>
    <row r="3" spans="1:21" ht="15.75">
      <c r="A3" s="65" t="s">
        <v>274</v>
      </c>
      <c r="B3" s="65"/>
      <c r="C3" s="65"/>
      <c r="D3" s="65"/>
      <c r="E3" s="65"/>
      <c r="F3" s="65"/>
      <c r="G3" s="65"/>
      <c r="H3" s="65"/>
      <c r="I3" s="65"/>
      <c r="J3" s="65"/>
      <c r="K3" s="65"/>
      <c r="L3" s="65"/>
      <c r="M3" s="65"/>
      <c r="N3" s="65"/>
      <c r="O3" s="214"/>
      <c r="P3" s="65"/>
      <c r="Q3" s="66"/>
      <c r="R3" s="66"/>
      <c r="S3" s="66"/>
      <c r="T3" s="66"/>
      <c r="U3" s="66"/>
    </row>
    <row r="4" spans="1:21" ht="14.45" customHeight="1">
      <c r="A4" s="66"/>
      <c r="B4" s="58"/>
      <c r="C4" s="59"/>
      <c r="D4" s="59"/>
      <c r="E4" s="59"/>
      <c r="F4" s="59"/>
      <c r="G4" s="59"/>
      <c r="H4" s="59"/>
      <c r="I4" s="59"/>
      <c r="J4" s="59"/>
      <c r="K4" s="59"/>
      <c r="L4" s="59"/>
      <c r="M4" s="59"/>
      <c r="N4" s="59"/>
      <c r="O4" s="214"/>
      <c r="P4" s="59"/>
      <c r="Q4" s="31"/>
      <c r="R4" s="31"/>
      <c r="S4" s="31"/>
      <c r="T4" s="31"/>
      <c r="U4" s="31"/>
    </row>
    <row r="5" spans="1:21" ht="24" customHeight="1">
      <c r="A5" s="18"/>
      <c r="B5" s="18"/>
      <c r="C5" s="18"/>
      <c r="D5" s="147"/>
      <c r="E5" s="147"/>
      <c r="F5" s="147"/>
      <c r="G5" s="18"/>
      <c r="H5" s="18"/>
      <c r="I5" s="33"/>
      <c r="J5" s="33"/>
      <c r="K5" s="33"/>
      <c r="L5" s="18"/>
      <c r="M5" s="18"/>
      <c r="N5" s="18"/>
      <c r="O5" s="221" t="s">
        <v>262</v>
      </c>
      <c r="P5" s="18"/>
      <c r="Q5" s="31" t="s">
        <v>136</v>
      </c>
      <c r="R5" s="31" t="s">
        <v>137</v>
      </c>
      <c r="S5" s="31" t="s">
        <v>138</v>
      </c>
      <c r="T5" s="31" t="s">
        <v>139</v>
      </c>
      <c r="U5" s="31" t="s">
        <v>161</v>
      </c>
    </row>
    <row r="6" spans="1:21" ht="25.5">
      <c r="A6" s="60" t="s">
        <v>1</v>
      </c>
      <c r="B6" s="61"/>
      <c r="C6" s="57" t="s">
        <v>2</v>
      </c>
      <c r="D6" s="92">
        <v>44927</v>
      </c>
      <c r="E6" s="62">
        <f>EDATE(D6,1)</f>
        <v>44958</v>
      </c>
      <c r="F6" s="62">
        <f t="shared" ref="F6:O6" si="0">EDATE(E6,1)</f>
        <v>44986</v>
      </c>
      <c r="G6" s="62">
        <f t="shared" si="0"/>
        <v>45017</v>
      </c>
      <c r="H6" s="62">
        <f t="shared" si="0"/>
        <v>45047</v>
      </c>
      <c r="I6" s="62">
        <f t="shared" si="0"/>
        <v>45078</v>
      </c>
      <c r="J6" s="62">
        <f t="shared" si="0"/>
        <v>45108</v>
      </c>
      <c r="K6" s="62">
        <f t="shared" si="0"/>
        <v>45139</v>
      </c>
      <c r="L6" s="62">
        <f t="shared" si="0"/>
        <v>45170</v>
      </c>
      <c r="M6" s="62">
        <f t="shared" si="0"/>
        <v>45200</v>
      </c>
      <c r="N6" s="62">
        <f t="shared" si="0"/>
        <v>45231</v>
      </c>
      <c r="O6" s="62">
        <f t="shared" si="0"/>
        <v>45261</v>
      </c>
      <c r="P6" s="62"/>
      <c r="Q6" s="14" t="s">
        <v>3</v>
      </c>
      <c r="R6" s="14" t="s">
        <v>3</v>
      </c>
      <c r="S6" s="14" t="s">
        <v>3</v>
      </c>
      <c r="T6" s="14" t="s">
        <v>3</v>
      </c>
      <c r="U6" s="14" t="s">
        <v>3</v>
      </c>
    </row>
    <row r="7" spans="1:21">
      <c r="A7" s="33"/>
      <c r="B7" s="33" t="s">
        <v>4</v>
      </c>
      <c r="C7" s="33" t="s">
        <v>5</v>
      </c>
      <c r="D7" s="33" t="s">
        <v>6</v>
      </c>
      <c r="E7" s="33" t="s">
        <v>7</v>
      </c>
      <c r="F7" s="33" t="s">
        <v>8</v>
      </c>
      <c r="G7" s="33" t="s">
        <v>9</v>
      </c>
      <c r="H7" s="33" t="s">
        <v>10</v>
      </c>
      <c r="I7" s="33" t="s">
        <v>11</v>
      </c>
      <c r="J7" s="33" t="s">
        <v>12</v>
      </c>
      <c r="K7" s="33" t="s">
        <v>13</v>
      </c>
      <c r="L7" s="33" t="s">
        <v>14</v>
      </c>
      <c r="M7" s="33" t="s">
        <v>15</v>
      </c>
      <c r="N7" s="33" t="s">
        <v>16</v>
      </c>
      <c r="O7" s="170" t="s">
        <v>17</v>
      </c>
      <c r="P7" s="33"/>
      <c r="Q7" s="33"/>
      <c r="R7" s="33"/>
      <c r="S7" s="33"/>
      <c r="T7" s="33"/>
      <c r="U7" s="18"/>
    </row>
    <row r="8" spans="1:21">
      <c r="A8" s="33"/>
      <c r="B8" s="1" t="s">
        <v>19</v>
      </c>
      <c r="C8" s="33"/>
      <c r="D8" s="33"/>
      <c r="E8" s="33"/>
      <c r="F8" s="33"/>
      <c r="G8" s="33"/>
      <c r="H8" s="33"/>
      <c r="I8" s="33"/>
      <c r="J8" s="33"/>
      <c r="K8" s="33"/>
      <c r="L8" s="33"/>
      <c r="M8" s="33"/>
      <c r="N8" s="33"/>
      <c r="O8" s="170"/>
      <c r="P8" s="33"/>
      <c r="Q8" s="34"/>
      <c r="R8" s="34"/>
      <c r="S8" s="34"/>
      <c r="T8" s="34"/>
      <c r="U8" s="18"/>
    </row>
    <row r="9" spans="1:21">
      <c r="A9" s="33">
        <v>1</v>
      </c>
      <c r="B9" s="18" t="s">
        <v>20</v>
      </c>
      <c r="C9" s="33" t="s">
        <v>21</v>
      </c>
      <c r="D9" s="207">
        <v>228134</v>
      </c>
      <c r="E9" s="207">
        <v>227625</v>
      </c>
      <c r="F9" s="207">
        <v>229409</v>
      </c>
      <c r="G9" s="207">
        <v>229068</v>
      </c>
      <c r="H9" s="207">
        <v>229744</v>
      </c>
      <c r="I9" s="207">
        <v>228836</v>
      </c>
      <c r="J9" s="207"/>
      <c r="K9" s="207"/>
      <c r="L9" s="207"/>
      <c r="M9" s="127"/>
      <c r="N9" s="127"/>
      <c r="O9" s="127"/>
      <c r="P9" s="127"/>
      <c r="Q9" s="35">
        <f t="shared" ref="Q9:Q16" si="1">SUM(D9:F9)</f>
        <v>685168</v>
      </c>
      <c r="R9" s="35">
        <f>SUM(G9:I9)</f>
        <v>687648</v>
      </c>
      <c r="S9" s="35">
        <f t="shared" ref="S9:S16" si="2">SUM(J9:L9)</f>
        <v>0</v>
      </c>
      <c r="T9" s="35">
        <f t="shared" ref="T9:T16" si="3">SUM(M9:O9)</f>
        <v>0</v>
      </c>
      <c r="U9" s="156">
        <f t="shared" ref="U9:U16" si="4">SUM(D9:O9)</f>
        <v>1372816</v>
      </c>
    </row>
    <row r="10" spans="1:21">
      <c r="A10" s="33">
        <v>2</v>
      </c>
      <c r="B10" s="2" t="s">
        <v>140</v>
      </c>
      <c r="C10" s="33" t="s">
        <v>21</v>
      </c>
      <c r="D10" s="208">
        <v>276181783.22266996</v>
      </c>
      <c r="E10" s="208">
        <v>238534858.91899002</v>
      </c>
      <c r="F10" s="208">
        <v>241412596.50699002</v>
      </c>
      <c r="G10" s="208">
        <v>193184260.01999998</v>
      </c>
      <c r="H10" s="209">
        <v>170090407.74001002</v>
      </c>
      <c r="I10" s="209">
        <v>174086569.68099001</v>
      </c>
      <c r="J10" s="209"/>
      <c r="K10" s="209"/>
      <c r="L10" s="209"/>
      <c r="M10" s="127"/>
      <c r="N10" s="127"/>
      <c r="O10" s="127"/>
      <c r="P10" s="127"/>
      <c r="Q10" s="35">
        <f t="shared" si="1"/>
        <v>756129238.64864993</v>
      </c>
      <c r="R10" s="35">
        <f t="shared" ref="R10:R16" si="5">SUM(G10:I10)</f>
        <v>537361237.44099998</v>
      </c>
      <c r="S10" s="35">
        <f t="shared" si="2"/>
        <v>0</v>
      </c>
      <c r="T10" s="35">
        <f t="shared" si="3"/>
        <v>0</v>
      </c>
      <c r="U10" s="156">
        <f t="shared" si="4"/>
        <v>1293490476.0896499</v>
      </c>
    </row>
    <row r="11" spans="1:21">
      <c r="A11" s="33">
        <v>3</v>
      </c>
      <c r="B11" s="18" t="s">
        <v>37</v>
      </c>
      <c r="C11" s="33" t="s">
        <v>21</v>
      </c>
      <c r="D11" s="210">
        <v>31471111.786839999</v>
      </c>
      <c r="E11" s="210">
        <v>26695111.202920001</v>
      </c>
      <c r="F11" s="210">
        <v>27537596.7588</v>
      </c>
      <c r="G11" s="210">
        <v>21597383.40332</v>
      </c>
      <c r="H11" s="210">
        <v>18755182.794679996</v>
      </c>
      <c r="I11" s="210">
        <v>19381470.138880003</v>
      </c>
      <c r="J11" s="210"/>
      <c r="K11" s="210"/>
      <c r="L11" s="210"/>
      <c r="M11" s="128"/>
      <c r="N11" s="128"/>
      <c r="O11" s="128"/>
      <c r="P11" s="128"/>
      <c r="Q11" s="36">
        <f t="shared" si="1"/>
        <v>85703819.748559996</v>
      </c>
      <c r="R11" s="36">
        <f t="shared" si="5"/>
        <v>59734036.336879998</v>
      </c>
      <c r="S11" s="36">
        <f t="shared" si="2"/>
        <v>0</v>
      </c>
      <c r="T11" s="36">
        <f t="shared" si="3"/>
        <v>0</v>
      </c>
      <c r="U11" s="7">
        <f t="shared" si="4"/>
        <v>145437856.08544001</v>
      </c>
    </row>
    <row r="12" spans="1:21">
      <c r="A12" s="33">
        <v>4</v>
      </c>
      <c r="B12" s="18" t="s">
        <v>38</v>
      </c>
      <c r="C12" s="33" t="s">
        <v>21</v>
      </c>
      <c r="D12" s="210">
        <v>2091204</v>
      </c>
      <c r="E12" s="210">
        <v>1836990</v>
      </c>
      <c r="F12" s="210">
        <v>2343474</v>
      </c>
      <c r="G12" s="210">
        <v>1964574</v>
      </c>
      <c r="H12" s="210">
        <v>2239641</v>
      </c>
      <c r="I12" s="210">
        <v>2116458</v>
      </c>
      <c r="J12" s="210"/>
      <c r="K12" s="210"/>
      <c r="L12" s="210"/>
      <c r="M12" s="128"/>
      <c r="N12" s="128"/>
      <c r="O12" s="128"/>
      <c r="P12" s="128"/>
      <c r="Q12" s="36">
        <f t="shared" si="1"/>
        <v>6271668</v>
      </c>
      <c r="R12" s="36">
        <f t="shared" si="5"/>
        <v>6320673</v>
      </c>
      <c r="S12" s="36">
        <f t="shared" si="2"/>
        <v>0</v>
      </c>
      <c r="T12" s="36">
        <f t="shared" si="3"/>
        <v>0</v>
      </c>
      <c r="U12" s="7">
        <f t="shared" si="4"/>
        <v>12592341</v>
      </c>
    </row>
    <row r="13" spans="1:21" ht="27" customHeight="1">
      <c r="A13" s="33">
        <v>5</v>
      </c>
      <c r="B13" s="18" t="s">
        <v>141</v>
      </c>
      <c r="C13" s="33" t="s">
        <v>21</v>
      </c>
      <c r="D13" s="207">
        <v>3993</v>
      </c>
      <c r="E13" s="207">
        <v>4245</v>
      </c>
      <c r="F13" s="207">
        <v>4346</v>
      </c>
      <c r="G13" s="207">
        <v>5000</v>
      </c>
      <c r="H13" s="207">
        <v>4833</v>
      </c>
      <c r="I13" s="207">
        <v>5154</v>
      </c>
      <c r="J13" s="211"/>
      <c r="K13" s="211"/>
      <c r="L13" s="211"/>
      <c r="M13" s="127"/>
      <c r="N13" s="127"/>
      <c r="O13" s="127"/>
      <c r="P13" s="127"/>
      <c r="Q13" s="35">
        <f t="shared" si="1"/>
        <v>12584</v>
      </c>
      <c r="R13" s="35">
        <f t="shared" si="5"/>
        <v>14987</v>
      </c>
      <c r="S13" s="35">
        <f t="shared" si="2"/>
        <v>0</v>
      </c>
      <c r="T13" s="35">
        <f t="shared" si="3"/>
        <v>0</v>
      </c>
      <c r="U13" s="156">
        <f t="shared" si="4"/>
        <v>27571</v>
      </c>
    </row>
    <row r="14" spans="1:21">
      <c r="A14" s="33">
        <v>6</v>
      </c>
      <c r="B14" s="2" t="s">
        <v>142</v>
      </c>
      <c r="C14" s="33" t="s">
        <v>21</v>
      </c>
      <c r="D14" s="208">
        <v>5127175.9060000004</v>
      </c>
      <c r="E14" s="208">
        <v>4288214.7290000003</v>
      </c>
      <c r="F14" s="208">
        <v>4385706.2759999996</v>
      </c>
      <c r="G14" s="208">
        <v>4358116.8560000006</v>
      </c>
      <c r="H14" s="208">
        <v>2290897</v>
      </c>
      <c r="I14" s="208">
        <v>1899166.9679999999</v>
      </c>
      <c r="J14" s="209"/>
      <c r="K14" s="209"/>
      <c r="L14" s="209"/>
      <c r="M14" s="127"/>
      <c r="N14" s="127"/>
      <c r="O14" s="127"/>
      <c r="P14" s="127"/>
      <c r="Q14" s="35">
        <f t="shared" si="1"/>
        <v>13801096.911000002</v>
      </c>
      <c r="R14" s="35">
        <f t="shared" si="5"/>
        <v>8548180.824000001</v>
      </c>
      <c r="S14" s="35">
        <f t="shared" si="2"/>
        <v>0</v>
      </c>
      <c r="T14" s="35">
        <f t="shared" si="3"/>
        <v>0</v>
      </c>
      <c r="U14" s="156">
        <f t="shared" si="4"/>
        <v>22349277.735000003</v>
      </c>
    </row>
    <row r="15" spans="1:21">
      <c r="A15" s="33">
        <v>7</v>
      </c>
      <c r="B15" s="18" t="s">
        <v>143</v>
      </c>
      <c r="C15" s="33" t="s">
        <v>21</v>
      </c>
      <c r="D15" s="210">
        <v>564790.77</v>
      </c>
      <c r="E15" s="210">
        <v>473613.11</v>
      </c>
      <c r="F15" s="210">
        <v>482244.38</v>
      </c>
      <c r="G15" s="210">
        <v>479950.61000000004</v>
      </c>
      <c r="H15" s="210">
        <v>255261.12</v>
      </c>
      <c r="I15" s="210">
        <v>217743.01</v>
      </c>
      <c r="J15" s="210"/>
      <c r="K15" s="210"/>
      <c r="L15" s="210"/>
      <c r="M15" s="128"/>
      <c r="N15" s="128"/>
      <c r="O15" s="128"/>
      <c r="P15" s="128"/>
      <c r="Q15" s="36">
        <f t="shared" si="1"/>
        <v>1520648.26</v>
      </c>
      <c r="R15" s="36">
        <f t="shared" si="5"/>
        <v>952954.74</v>
      </c>
      <c r="S15" s="36">
        <f t="shared" si="2"/>
        <v>0</v>
      </c>
      <c r="T15" s="36">
        <f t="shared" si="3"/>
        <v>0</v>
      </c>
      <c r="U15" s="7">
        <f t="shared" si="4"/>
        <v>2473603</v>
      </c>
    </row>
    <row r="16" spans="1:21">
      <c r="A16" s="33">
        <v>8</v>
      </c>
      <c r="B16" s="18" t="s">
        <v>144</v>
      </c>
      <c r="C16" s="33" t="s">
        <v>21</v>
      </c>
      <c r="D16" s="210">
        <v>36372</v>
      </c>
      <c r="E16" s="210">
        <v>38349</v>
      </c>
      <c r="F16" s="210">
        <v>39087</v>
      </c>
      <c r="G16" s="210">
        <v>45414</v>
      </c>
      <c r="H16" s="210">
        <v>43767</v>
      </c>
      <c r="I16" s="210">
        <v>45714</v>
      </c>
      <c r="J16" s="210"/>
      <c r="K16" s="210"/>
      <c r="L16" s="210"/>
      <c r="M16" s="128"/>
      <c r="N16" s="128"/>
      <c r="O16" s="128"/>
      <c r="P16" s="128"/>
      <c r="Q16" s="36">
        <f t="shared" si="1"/>
        <v>113808</v>
      </c>
      <c r="R16" s="36">
        <f t="shared" si="5"/>
        <v>134895</v>
      </c>
      <c r="S16" s="36">
        <f t="shared" si="2"/>
        <v>0</v>
      </c>
      <c r="T16" s="36">
        <f t="shared" si="3"/>
        <v>0</v>
      </c>
      <c r="U16" s="7">
        <f t="shared" si="4"/>
        <v>248703</v>
      </c>
    </row>
    <row r="17" spans="1:21">
      <c r="A17" s="33"/>
      <c r="B17" s="18"/>
      <c r="C17" s="33"/>
      <c r="D17" s="33"/>
      <c r="E17" s="33"/>
      <c r="F17" s="33"/>
      <c r="G17" s="33"/>
      <c r="H17" s="33"/>
      <c r="I17" s="33"/>
      <c r="J17" s="33"/>
      <c r="K17" s="33"/>
      <c r="L17" s="33"/>
      <c r="M17" s="33"/>
      <c r="N17" s="33"/>
      <c r="O17" s="33"/>
      <c r="P17" s="33"/>
      <c r="Q17" s="34"/>
      <c r="R17" s="34"/>
      <c r="S17" s="34"/>
      <c r="T17" s="34"/>
      <c r="U17" s="18"/>
    </row>
    <row r="18" spans="1:21" ht="21" customHeight="1">
      <c r="A18" s="33">
        <v>9</v>
      </c>
      <c r="B18" s="18" t="s">
        <v>162</v>
      </c>
      <c r="C18" s="33" t="str">
        <f>"("&amp;A9&amp;") - ("&amp;A13&amp;")"</f>
        <v>(1) - (5)</v>
      </c>
      <c r="D18" s="129">
        <f>D9-D13</f>
        <v>224141</v>
      </c>
      <c r="E18" s="129">
        <f>E9-E13</f>
        <v>223380</v>
      </c>
      <c r="F18" s="129">
        <f>F9-F13</f>
        <v>225063</v>
      </c>
      <c r="G18" s="129">
        <f>G9-G13</f>
        <v>224068</v>
      </c>
      <c r="H18" s="35">
        <f t="shared" ref="H18:O18" si="6">H9-H13</f>
        <v>224911</v>
      </c>
      <c r="I18" s="35">
        <f t="shared" si="6"/>
        <v>223682</v>
      </c>
      <c r="J18" s="35">
        <f t="shared" si="6"/>
        <v>0</v>
      </c>
      <c r="K18" s="35">
        <f t="shared" si="6"/>
        <v>0</v>
      </c>
      <c r="L18" s="35">
        <f t="shared" si="6"/>
        <v>0</v>
      </c>
      <c r="M18" s="35">
        <f t="shared" si="6"/>
        <v>0</v>
      </c>
      <c r="N18" s="35">
        <f t="shared" si="6"/>
        <v>0</v>
      </c>
      <c r="O18" s="35">
        <f t="shared" si="6"/>
        <v>0</v>
      </c>
      <c r="P18" s="35"/>
      <c r="Q18" s="35">
        <f>SUM(D18:F18)</f>
        <v>672584</v>
      </c>
      <c r="R18" s="35">
        <f>SUM(G18:I18)</f>
        <v>672661</v>
      </c>
      <c r="S18" s="35">
        <f>SUM(J18:L18)</f>
        <v>0</v>
      </c>
      <c r="T18" s="35">
        <f>SUM(M18:O18)</f>
        <v>0</v>
      </c>
      <c r="U18" s="156">
        <f>SUM(D18:O18)</f>
        <v>1345245</v>
      </c>
    </row>
    <row r="19" spans="1:21" ht="25.5">
      <c r="A19" s="56">
        <f t="shared" ref="A19:A20" si="7">A18+1</f>
        <v>10</v>
      </c>
      <c r="B19" s="56" t="s">
        <v>22</v>
      </c>
      <c r="C19" s="56" t="s">
        <v>145</v>
      </c>
      <c r="D19" s="218">
        <v>107.57166206834212</v>
      </c>
      <c r="E19" s="218">
        <v>92.335214150352328</v>
      </c>
      <c r="F19" s="218">
        <v>94.555276979050632</v>
      </c>
      <c r="G19" s="218">
        <v>72.767955354708775</v>
      </c>
      <c r="H19" s="218">
        <v>67.57181198729397</v>
      </c>
      <c r="I19" s="218">
        <v>57.911349323984666</v>
      </c>
      <c r="J19" s="218">
        <v>80.831697034877394</v>
      </c>
      <c r="K19" s="218">
        <v>82.657933531768151</v>
      </c>
      <c r="L19" s="218">
        <v>61.818520475033822</v>
      </c>
      <c r="M19" s="218">
        <v>69.582211729514526</v>
      </c>
      <c r="N19" s="218">
        <v>93.373818355637596</v>
      </c>
      <c r="O19" s="218">
        <v>115.08254900943589</v>
      </c>
      <c r="P19" s="216" t="s">
        <v>158</v>
      </c>
      <c r="Q19" s="17">
        <f>Q20/Q18</f>
        <v>98.155701514312042</v>
      </c>
      <c r="R19" s="17">
        <f>R20/R18</f>
        <v>66.090260124759268</v>
      </c>
      <c r="S19" s="17" t="e">
        <f>S20/S18</f>
        <v>#DIV/0!</v>
      </c>
      <c r="T19" s="17" t="e">
        <f>T20/T18</f>
        <v>#DIV/0!</v>
      </c>
      <c r="U19" s="17">
        <f>U20/U18</f>
        <v>82.122063128339249</v>
      </c>
    </row>
    <row r="20" spans="1:21">
      <c r="A20" s="33">
        <f t="shared" si="7"/>
        <v>11</v>
      </c>
      <c r="B20" s="18" t="s">
        <v>23</v>
      </c>
      <c r="C20" s="33" t="str">
        <f>"("&amp;A18&amp;") x ("&amp;A19&amp;")"</f>
        <v>(9) x (10)</v>
      </c>
      <c r="D20" s="36">
        <f>D18*D19</f>
        <v>24111219.907660272</v>
      </c>
      <c r="E20" s="36">
        <f>E18*E19</f>
        <v>20625840.136905704</v>
      </c>
      <c r="F20" s="36">
        <f t="shared" ref="F20:N20" si="8">F18*F19</f>
        <v>21280894.302736074</v>
      </c>
      <c r="G20" s="36">
        <f t="shared" si="8"/>
        <v>16304970.220418885</v>
      </c>
      <c r="H20" s="36">
        <f t="shared" si="8"/>
        <v>15197643.805874273</v>
      </c>
      <c r="I20" s="36">
        <f t="shared" si="8"/>
        <v>12953726.439487537</v>
      </c>
      <c r="J20" s="36">
        <f t="shared" si="8"/>
        <v>0</v>
      </c>
      <c r="K20" s="36">
        <f t="shared" si="8"/>
        <v>0</v>
      </c>
      <c r="L20" s="36">
        <f t="shared" si="8"/>
        <v>0</v>
      </c>
      <c r="M20" s="36">
        <f t="shared" si="8"/>
        <v>0</v>
      </c>
      <c r="N20" s="36">
        <f t="shared" si="8"/>
        <v>0</v>
      </c>
      <c r="O20" s="36">
        <f>O18*O19</f>
        <v>0</v>
      </c>
      <c r="P20" s="217" t="s">
        <v>160</v>
      </c>
      <c r="Q20" s="36">
        <f>SUM(D20:F20)</f>
        <v>66017954.347302049</v>
      </c>
      <c r="R20" s="36">
        <f>SUM(G20:I20)</f>
        <v>44456340.465780698</v>
      </c>
      <c r="S20" s="36">
        <f>SUM(J20:L20)</f>
        <v>0</v>
      </c>
      <c r="T20" s="36">
        <f>SUM(M20:O20)</f>
        <v>0</v>
      </c>
      <c r="U20" s="7">
        <f>SUM(D20:O20)</f>
        <v>110474294.81308274</v>
      </c>
    </row>
    <row r="21" spans="1:21" ht="9" customHeight="1">
      <c r="A21" s="33"/>
      <c r="B21" s="18"/>
      <c r="C21" s="33"/>
      <c r="D21" s="34"/>
      <c r="E21" s="34"/>
      <c r="F21" s="34"/>
      <c r="G21" s="34"/>
      <c r="H21" s="34"/>
      <c r="I21" s="34"/>
      <c r="J21" s="34"/>
      <c r="K21" s="34"/>
      <c r="L21" s="34"/>
      <c r="M21" s="34"/>
      <c r="N21" s="34"/>
      <c r="O21" s="34"/>
      <c r="P21" s="34"/>
      <c r="Q21" s="35"/>
      <c r="R21" s="35"/>
      <c r="S21" s="35"/>
      <c r="T21" s="35"/>
      <c r="U21" s="35"/>
    </row>
    <row r="22" spans="1:21">
      <c r="A22" s="33">
        <v>12</v>
      </c>
      <c r="B22" s="18" t="s">
        <v>163</v>
      </c>
      <c r="C22" s="33" t="str">
        <f>"("&amp;A11&amp;") - ("&amp;A15&amp;")"</f>
        <v>(3) - (7)</v>
      </c>
      <c r="D22" s="36">
        <f t="shared" ref="D22:G23" si="9">D11-D15</f>
        <v>30906321.01684</v>
      </c>
      <c r="E22" s="36">
        <f t="shared" si="9"/>
        <v>26221498.092920002</v>
      </c>
      <c r="F22" s="36">
        <f t="shared" si="9"/>
        <v>27055352.378800001</v>
      </c>
      <c r="G22" s="36">
        <f t="shared" si="9"/>
        <v>21117432.79332</v>
      </c>
      <c r="H22" s="36">
        <f t="shared" ref="H22:O23" si="10">H11-H15</f>
        <v>18499921.674679995</v>
      </c>
      <c r="I22" s="36">
        <f t="shared" si="10"/>
        <v>19163727.128880002</v>
      </c>
      <c r="J22" s="36">
        <f t="shared" si="10"/>
        <v>0</v>
      </c>
      <c r="K22" s="36">
        <f t="shared" si="10"/>
        <v>0</v>
      </c>
      <c r="L22" s="36">
        <f t="shared" si="10"/>
        <v>0</v>
      </c>
      <c r="M22" s="36">
        <f t="shared" si="10"/>
        <v>0</v>
      </c>
      <c r="N22" s="36">
        <f t="shared" si="10"/>
        <v>0</v>
      </c>
      <c r="O22" s="36">
        <f t="shared" si="10"/>
        <v>0</v>
      </c>
      <c r="P22" s="36"/>
      <c r="Q22" s="36">
        <f>SUM(D22:F22)</f>
        <v>84183171.488560006</v>
      </c>
      <c r="R22" s="36">
        <f>SUM(G22:I22)</f>
        <v>58781081.596879996</v>
      </c>
      <c r="S22" s="36">
        <f>SUM(J22:L22)</f>
        <v>0</v>
      </c>
      <c r="T22" s="36">
        <f>SUM(M22:O22)</f>
        <v>0</v>
      </c>
      <c r="U22" s="7">
        <f>SUM(D22:O22)</f>
        <v>142964253.08544001</v>
      </c>
    </row>
    <row r="23" spans="1:21">
      <c r="A23" s="33">
        <v>13</v>
      </c>
      <c r="B23" s="18" t="s">
        <v>164</v>
      </c>
      <c r="C23" s="33" t="str">
        <f t="shared" ref="C23" si="11">"("&amp;A12&amp;") - ("&amp;A16&amp;")"</f>
        <v>(4) - (8)</v>
      </c>
      <c r="D23" s="36">
        <f t="shared" si="9"/>
        <v>2054832</v>
      </c>
      <c r="E23" s="36">
        <f t="shared" si="9"/>
        <v>1798641</v>
      </c>
      <c r="F23" s="36">
        <f t="shared" si="9"/>
        <v>2304387</v>
      </c>
      <c r="G23" s="36">
        <f t="shared" si="9"/>
        <v>1919160</v>
      </c>
      <c r="H23" s="36">
        <f t="shared" si="10"/>
        <v>2195874</v>
      </c>
      <c r="I23" s="36">
        <f t="shared" si="10"/>
        <v>2070744</v>
      </c>
      <c r="J23" s="36">
        <f t="shared" si="10"/>
        <v>0</v>
      </c>
      <c r="K23" s="36">
        <f t="shared" si="10"/>
        <v>0</v>
      </c>
      <c r="L23" s="36">
        <f t="shared" si="10"/>
        <v>0</v>
      </c>
      <c r="M23" s="36">
        <f t="shared" si="10"/>
        <v>0</v>
      </c>
      <c r="N23" s="36">
        <f t="shared" si="10"/>
        <v>0</v>
      </c>
      <c r="O23" s="36">
        <f t="shared" si="10"/>
        <v>0</v>
      </c>
      <c r="P23" s="36"/>
      <c r="Q23" s="36">
        <f>SUM(D23:F23)</f>
        <v>6157860</v>
      </c>
      <c r="R23" s="36">
        <f>SUM(G23:I23)</f>
        <v>6185778</v>
      </c>
      <c r="S23" s="36">
        <f>SUM(J23:L23)</f>
        <v>0</v>
      </c>
      <c r="T23" s="36">
        <f>SUM(M23:O23)</f>
        <v>0</v>
      </c>
      <c r="U23" s="7">
        <f>SUM(D23:O23)</f>
        <v>12343638</v>
      </c>
    </row>
    <row r="24" spans="1:21">
      <c r="A24" s="33">
        <v>14</v>
      </c>
      <c r="B24" s="2" t="s">
        <v>165</v>
      </c>
      <c r="C24" s="33" t="str">
        <f>"("&amp;A10&amp;") - ("&amp;A14&amp;")"</f>
        <v>(2) - (6)</v>
      </c>
      <c r="D24" s="130">
        <f>D10-D14</f>
        <v>271054607.31666994</v>
      </c>
      <c r="E24" s="130">
        <f>E10-E14</f>
        <v>234246644.18999001</v>
      </c>
      <c r="F24" s="130">
        <f>F10-F14</f>
        <v>237026890.23099002</v>
      </c>
      <c r="G24" s="130">
        <f>G10-G14</f>
        <v>188826143.16399997</v>
      </c>
      <c r="H24" s="123">
        <f t="shared" ref="H24:O24" si="12">H10-H14</f>
        <v>167799510.74001002</v>
      </c>
      <c r="I24" s="123">
        <f t="shared" si="12"/>
        <v>172187402.71299002</v>
      </c>
      <c r="J24" s="123">
        <f t="shared" si="12"/>
        <v>0</v>
      </c>
      <c r="K24" s="123">
        <f t="shared" si="12"/>
        <v>0</v>
      </c>
      <c r="L24" s="123">
        <f t="shared" si="12"/>
        <v>0</v>
      </c>
      <c r="M24" s="123">
        <f t="shared" si="12"/>
        <v>0</v>
      </c>
      <c r="N24" s="123">
        <f t="shared" si="12"/>
        <v>0</v>
      </c>
      <c r="O24" s="123">
        <f t="shared" si="12"/>
        <v>0</v>
      </c>
      <c r="P24" s="123"/>
      <c r="Q24" s="35">
        <f>SUM(D24:F24)</f>
        <v>742328141.73765004</v>
      </c>
      <c r="R24" s="35">
        <f>SUM(G24:I24)</f>
        <v>528813056.61699998</v>
      </c>
      <c r="S24" s="35">
        <f>SUM(J24:L24)</f>
        <v>0</v>
      </c>
      <c r="T24" s="35">
        <f>SUM(M24:O24)</f>
        <v>0</v>
      </c>
      <c r="U24" s="156">
        <f>SUM(D24:O24)</f>
        <v>1271141198.35465</v>
      </c>
    </row>
    <row r="25" spans="1:21" ht="26.25">
      <c r="A25" s="33">
        <v>15</v>
      </c>
      <c r="B25" s="18" t="s">
        <v>39</v>
      </c>
      <c r="C25" s="157" t="s">
        <v>146</v>
      </c>
      <c r="D25" s="215">
        <v>1.311E-2</v>
      </c>
      <c r="E25" s="212">
        <f>D25</f>
        <v>1.311E-2</v>
      </c>
      <c r="F25" s="212">
        <f t="shared" ref="F25:N25" si="13">E25</f>
        <v>1.311E-2</v>
      </c>
      <c r="G25" s="212">
        <f t="shared" si="13"/>
        <v>1.311E-2</v>
      </c>
      <c r="H25" s="212">
        <f t="shared" si="13"/>
        <v>1.311E-2</v>
      </c>
      <c r="I25" s="212">
        <f t="shared" si="13"/>
        <v>1.311E-2</v>
      </c>
      <c r="J25" s="212">
        <f t="shared" si="13"/>
        <v>1.311E-2</v>
      </c>
      <c r="K25" s="212">
        <f t="shared" si="13"/>
        <v>1.311E-2</v>
      </c>
      <c r="L25" s="212">
        <f t="shared" si="13"/>
        <v>1.311E-2</v>
      </c>
      <c r="M25" s="212">
        <f t="shared" si="13"/>
        <v>1.311E-2</v>
      </c>
      <c r="N25" s="212">
        <f t="shared" si="13"/>
        <v>1.311E-2</v>
      </c>
      <c r="O25" s="212">
        <v>1.3426129032258066E-2</v>
      </c>
      <c r="P25" s="216" t="s">
        <v>158</v>
      </c>
      <c r="Q25" s="158"/>
      <c r="R25" s="158"/>
      <c r="S25" s="158"/>
      <c r="T25" s="158"/>
      <c r="U25" s="158"/>
    </row>
    <row r="26" spans="1:21">
      <c r="A26" s="33">
        <v>16</v>
      </c>
      <c r="B26" s="18" t="s">
        <v>40</v>
      </c>
      <c r="C26" s="33" t="str">
        <f>"("&amp;A24&amp;") x ("&amp;A25&amp;")"</f>
        <v>(14) x (15)</v>
      </c>
      <c r="D26" s="36">
        <f t="shared" ref="D26:O26" si="14">D24*D25</f>
        <v>3553525.9019215428</v>
      </c>
      <c r="E26" s="36">
        <f t="shared" si="14"/>
        <v>3070973.5053307689</v>
      </c>
      <c r="F26" s="36">
        <f t="shared" si="14"/>
        <v>3107422.5309282793</v>
      </c>
      <c r="G26" s="36">
        <f>G24*G25</f>
        <v>2475510.7368800398</v>
      </c>
      <c r="H26" s="36">
        <f t="shared" si="14"/>
        <v>2199851.5858015316</v>
      </c>
      <c r="I26" s="36">
        <f t="shared" si="14"/>
        <v>2257376.8495672992</v>
      </c>
      <c r="J26" s="36">
        <f t="shared" si="14"/>
        <v>0</v>
      </c>
      <c r="K26" s="36">
        <f t="shared" si="14"/>
        <v>0</v>
      </c>
      <c r="L26" s="36">
        <f t="shared" si="14"/>
        <v>0</v>
      </c>
      <c r="M26" s="36">
        <f t="shared" si="14"/>
        <v>0</v>
      </c>
      <c r="N26" s="36">
        <f t="shared" si="14"/>
        <v>0</v>
      </c>
      <c r="O26" s="36">
        <f t="shared" si="14"/>
        <v>0</v>
      </c>
      <c r="P26" s="36"/>
      <c r="Q26" s="36">
        <f>SUM(D26:F26)</f>
        <v>9731921.9381805919</v>
      </c>
      <c r="R26" s="36">
        <f>SUM(G26:I26)</f>
        <v>6932739.1722488701</v>
      </c>
      <c r="S26" s="36">
        <f>SUM(J26:L26)</f>
        <v>0</v>
      </c>
      <c r="T26" s="36">
        <f>SUM(M26:O26)</f>
        <v>0</v>
      </c>
      <c r="U26" s="36">
        <f>SUM(D26:O26)</f>
        <v>16664661.110429464</v>
      </c>
    </row>
    <row r="27" spans="1:21">
      <c r="A27" s="33">
        <v>17</v>
      </c>
      <c r="B27" s="18" t="s">
        <v>25</v>
      </c>
      <c r="C27" s="33" t="str">
        <f>"("&amp;A22&amp;") - ("&amp;A23&amp;") -("&amp;A26&amp;")"</f>
        <v>(12) - (13) -(16)</v>
      </c>
      <c r="D27" s="36">
        <f>D22-D23-D26</f>
        <v>25297963.114918455</v>
      </c>
      <c r="E27" s="36">
        <f t="shared" ref="E27:N27" si="15">E22-E23-E26</f>
        <v>21351883.587589234</v>
      </c>
      <c r="F27" s="36">
        <f t="shared" si="15"/>
        <v>21643542.847871721</v>
      </c>
      <c r="G27" s="36">
        <f t="shared" si="15"/>
        <v>16722762.05643996</v>
      </c>
      <c r="H27" s="36">
        <f t="shared" si="15"/>
        <v>14104196.088878464</v>
      </c>
      <c r="I27" s="36">
        <f t="shared" si="15"/>
        <v>14835606.279312702</v>
      </c>
      <c r="J27" s="36">
        <f t="shared" si="15"/>
        <v>0</v>
      </c>
      <c r="K27" s="36">
        <f t="shared" si="15"/>
        <v>0</v>
      </c>
      <c r="L27" s="36">
        <f t="shared" si="15"/>
        <v>0</v>
      </c>
      <c r="M27" s="36">
        <f t="shared" si="15"/>
        <v>0</v>
      </c>
      <c r="N27" s="36">
        <f t="shared" si="15"/>
        <v>0</v>
      </c>
      <c r="O27" s="36">
        <f>O22-O23-O26</f>
        <v>0</v>
      </c>
      <c r="P27" s="36"/>
      <c r="Q27" s="36">
        <f>SUM(D27:F27)</f>
        <v>68293389.55037941</v>
      </c>
      <c r="R27" s="36">
        <f>SUM(G27:I27)</f>
        <v>45662564.424631126</v>
      </c>
      <c r="S27" s="36">
        <f>SUM(J27:L27)</f>
        <v>0</v>
      </c>
      <c r="T27" s="36">
        <f>SUM(M27:O27)</f>
        <v>0</v>
      </c>
      <c r="U27" s="7">
        <f>SUM(D27:O27)</f>
        <v>113955953.97501054</v>
      </c>
    </row>
    <row r="28" spans="1:21">
      <c r="A28" s="33">
        <v>18</v>
      </c>
      <c r="B28" s="18" t="s">
        <v>26</v>
      </c>
      <c r="C28" s="33" t="str">
        <f>"("&amp;A27&amp;") / ("&amp;A18&amp;")"</f>
        <v>(17) / (9)</v>
      </c>
      <c r="D28" s="17">
        <f t="shared" ref="D28:O28" si="16">D27/D18</f>
        <v>112.86629003581878</v>
      </c>
      <c r="E28" s="17">
        <f t="shared" si="16"/>
        <v>95.585475815154595</v>
      </c>
      <c r="F28" s="17">
        <f t="shared" si="16"/>
        <v>96.166597121124838</v>
      </c>
      <c r="G28" s="17">
        <f t="shared" si="16"/>
        <v>74.63253144777461</v>
      </c>
      <c r="H28" s="17">
        <f t="shared" si="16"/>
        <v>62.710121287435761</v>
      </c>
      <c r="I28" s="17">
        <f t="shared" si="16"/>
        <v>66.324542338286946</v>
      </c>
      <c r="J28" s="17" t="e">
        <f t="shared" si="16"/>
        <v>#DIV/0!</v>
      </c>
      <c r="K28" s="17" t="e">
        <f t="shared" si="16"/>
        <v>#DIV/0!</v>
      </c>
      <c r="L28" s="17" t="e">
        <f t="shared" si="16"/>
        <v>#DIV/0!</v>
      </c>
      <c r="M28" s="17" t="e">
        <f t="shared" si="16"/>
        <v>#DIV/0!</v>
      </c>
      <c r="N28" s="17" t="e">
        <f t="shared" si="16"/>
        <v>#DIV/0!</v>
      </c>
      <c r="O28" s="17" t="e">
        <f t="shared" si="16"/>
        <v>#DIV/0!</v>
      </c>
      <c r="P28" s="17"/>
      <c r="Q28" s="158">
        <f>Q27/Q18</f>
        <v>101.53882570857976</v>
      </c>
      <c r="R28" s="158">
        <f>R27/R18</f>
        <v>67.883472394907869</v>
      </c>
      <c r="S28" s="158" t="e">
        <f>S27/S18</f>
        <v>#DIV/0!</v>
      </c>
      <c r="T28" s="158" t="e">
        <f>T27/T18</f>
        <v>#DIV/0!</v>
      </c>
      <c r="U28" s="158">
        <f>U27/U18</f>
        <v>84.710185858345909</v>
      </c>
    </row>
    <row r="29" spans="1:21">
      <c r="A29" s="33">
        <v>19</v>
      </c>
      <c r="B29" s="18" t="s">
        <v>27</v>
      </c>
      <c r="C29" s="33" t="str">
        <f>"("&amp;A$24&amp;") - ("&amp;A27&amp;")"</f>
        <v>(14) - (17)</v>
      </c>
      <c r="D29" s="36">
        <f t="shared" ref="D29:N29" si="17">D20-D27</f>
        <v>-1186743.2072581835</v>
      </c>
      <c r="E29" s="36">
        <f t="shared" si="17"/>
        <v>-726043.45068353042</v>
      </c>
      <c r="F29" s="36">
        <f t="shared" si="17"/>
        <v>-362648.54513564706</v>
      </c>
      <c r="G29" s="36">
        <f t="shared" si="17"/>
        <v>-417791.83602107503</v>
      </c>
      <c r="H29" s="36">
        <f t="shared" si="17"/>
        <v>1093447.7169958092</v>
      </c>
      <c r="I29" s="36">
        <f t="shared" si="17"/>
        <v>-1881879.8398251645</v>
      </c>
      <c r="J29" s="36">
        <f t="shared" si="17"/>
        <v>0</v>
      </c>
      <c r="K29" s="36">
        <f t="shared" si="17"/>
        <v>0</v>
      </c>
      <c r="L29" s="36">
        <f t="shared" si="17"/>
        <v>0</v>
      </c>
      <c r="M29" s="36">
        <f>M20-M27</f>
        <v>0</v>
      </c>
      <c r="N29" s="36">
        <f t="shared" si="17"/>
        <v>0</v>
      </c>
      <c r="O29" s="36">
        <f>O20-O27</f>
        <v>0</v>
      </c>
      <c r="P29" s="36"/>
      <c r="Q29" s="36">
        <f>SUM(D29:F29)</f>
        <v>-2275435.203077361</v>
      </c>
      <c r="R29" s="36">
        <f>SUM(G29:I29)</f>
        <v>-1206223.9588504303</v>
      </c>
      <c r="S29" s="36">
        <f>SUM(J29:L29)</f>
        <v>0</v>
      </c>
      <c r="T29" s="36">
        <f>SUM(M29:O29)</f>
        <v>0</v>
      </c>
      <c r="U29" s="7">
        <f>SUM(D29:O29)</f>
        <v>-3481659.1619277913</v>
      </c>
    </row>
    <row r="30" spans="1:21">
      <c r="A30" s="33">
        <v>20</v>
      </c>
      <c r="B30" s="18" t="s">
        <v>28</v>
      </c>
      <c r="C30" s="8" t="s">
        <v>29</v>
      </c>
      <c r="D30" s="132">
        <v>52135.347638617211</v>
      </c>
      <c r="E30" s="132">
        <v>31896.140184851323</v>
      </c>
      <c r="F30" s="132">
        <v>15931.675745562054</v>
      </c>
      <c r="G30" s="132">
        <v>18354.20036813082</v>
      </c>
      <c r="H30" s="132">
        <v>-48036.741648546507</v>
      </c>
      <c r="I30" s="132">
        <v>82673.706546900197</v>
      </c>
      <c r="J30" s="132"/>
      <c r="K30" s="132"/>
      <c r="L30" s="132"/>
      <c r="M30" s="132"/>
      <c r="N30" s="132"/>
      <c r="O30" s="132"/>
      <c r="P30" s="36"/>
      <c r="Q30" s="36">
        <f>SUM(D30:F30)</f>
        <v>99963.163569030585</v>
      </c>
      <c r="R30" s="36">
        <f>SUM(G30:I30)</f>
        <v>52991.16526648451</v>
      </c>
      <c r="S30" s="36">
        <f>SUM(J30:L30)</f>
        <v>0</v>
      </c>
      <c r="T30" s="36">
        <f>SUM(M30:O30)</f>
        <v>0</v>
      </c>
      <c r="U30" s="7">
        <f>SUM(D30:O30)</f>
        <v>152954.32883551507</v>
      </c>
    </row>
    <row r="31" spans="1:21" ht="14.45" customHeight="1">
      <c r="A31" s="33">
        <v>21</v>
      </c>
      <c r="B31" s="18"/>
      <c r="C31" s="33" t="s">
        <v>30</v>
      </c>
      <c r="D31" s="159">
        <v>6.3100000000000003E-2</v>
      </c>
      <c r="E31" s="159">
        <f>D31</f>
        <v>6.3100000000000003E-2</v>
      </c>
      <c r="F31" s="159">
        <f t="shared" ref="F31:O31" si="18">E31</f>
        <v>6.3100000000000003E-2</v>
      </c>
      <c r="G31" s="159">
        <v>7.4999999999999997E-2</v>
      </c>
      <c r="H31" s="159">
        <f t="shared" si="18"/>
        <v>7.4999999999999997E-2</v>
      </c>
      <c r="I31" s="159">
        <f t="shared" si="18"/>
        <v>7.4999999999999997E-2</v>
      </c>
      <c r="J31" s="159">
        <v>0</v>
      </c>
      <c r="K31" s="159">
        <f t="shared" si="18"/>
        <v>0</v>
      </c>
      <c r="L31" s="159">
        <f t="shared" si="18"/>
        <v>0</v>
      </c>
      <c r="M31" s="159">
        <v>0</v>
      </c>
      <c r="N31" s="159">
        <f t="shared" si="18"/>
        <v>0</v>
      </c>
      <c r="O31" s="159">
        <f t="shared" si="18"/>
        <v>0</v>
      </c>
      <c r="P31" s="160"/>
      <c r="Q31" s="39"/>
      <c r="R31" s="39"/>
      <c r="S31" s="39"/>
      <c r="T31" s="39"/>
      <c r="U31" s="7"/>
    </row>
    <row r="32" spans="1:21">
      <c r="A32" s="33">
        <v>22</v>
      </c>
      <c r="B32" s="18" t="s">
        <v>31</v>
      </c>
      <c r="C32" s="33" t="s">
        <v>35</v>
      </c>
      <c r="D32" s="3">
        <f>(D29+D30)/2*D31/12</f>
        <v>-2983.0731642497763</v>
      </c>
      <c r="E32" s="3">
        <f>(D34+(E29+E30)/2)*E31/12</f>
        <v>-7806.8612920743435</v>
      </c>
      <c r="F32" s="3">
        <f t="shared" ref="F32:O32" si="19">(E34+(F29+F30)/2)*F31/12</f>
        <v>-10584.517777326044</v>
      </c>
      <c r="G32" s="3">
        <f t="shared" si="19"/>
        <v>-14978.533184802829</v>
      </c>
      <c r="H32" s="106">
        <f t="shared" si="19"/>
        <v>-13053.482330663099</v>
      </c>
      <c r="I32" s="3">
        <f t="shared" si="19"/>
        <v>-15490.676463764123</v>
      </c>
      <c r="J32" s="3">
        <f>(I34+(J29+J30)/2)*J31/12</f>
        <v>0</v>
      </c>
      <c r="K32" s="3">
        <f t="shared" si="19"/>
        <v>0</v>
      </c>
      <c r="L32" s="3">
        <f t="shared" si="19"/>
        <v>0</v>
      </c>
      <c r="M32" s="3">
        <f t="shared" si="19"/>
        <v>0</v>
      </c>
      <c r="N32" s="3">
        <f t="shared" si="19"/>
        <v>0</v>
      </c>
      <c r="O32" s="3">
        <f t="shared" si="19"/>
        <v>0</v>
      </c>
      <c r="P32" s="3"/>
      <c r="Q32" s="36">
        <f>SUM(D32:F32)</f>
        <v>-21374.452233650161</v>
      </c>
      <c r="R32" s="36">
        <f>SUM(G32:I32)</f>
        <v>-43522.691979230054</v>
      </c>
      <c r="S32" s="36">
        <f>SUM(J32:L32)</f>
        <v>0</v>
      </c>
      <c r="T32" s="36">
        <f>SUM(M32:O32)</f>
        <v>0</v>
      </c>
      <c r="U32" s="7">
        <f>SUM(D32:O32)</f>
        <v>-64897.144212880215</v>
      </c>
    </row>
    <row r="33" spans="1:23" ht="14.45" customHeight="1" thickBot="1">
      <c r="A33" s="33">
        <v>23</v>
      </c>
      <c r="B33" s="4" t="s">
        <v>32</v>
      </c>
      <c r="C33" s="33"/>
      <c r="D33" s="6">
        <f>D29+D30+D32</f>
        <v>-1137590.932783816</v>
      </c>
      <c r="E33" s="6">
        <f t="shared" ref="E33:O33" si="20">E29+E30+E32</f>
        <v>-701954.17179075337</v>
      </c>
      <c r="F33" s="6">
        <f t="shared" si="20"/>
        <v>-357301.38716741104</v>
      </c>
      <c r="G33" s="6">
        <f t="shared" si="20"/>
        <v>-414416.16883774707</v>
      </c>
      <c r="H33" s="6">
        <f t="shared" si="20"/>
        <v>1032357.4930165996</v>
      </c>
      <c r="I33" s="6">
        <f t="shared" si="20"/>
        <v>-1814696.8097420286</v>
      </c>
      <c r="J33" s="6">
        <f>J29+J30+J32</f>
        <v>0</v>
      </c>
      <c r="K33" s="6">
        <f t="shared" si="20"/>
        <v>0</v>
      </c>
      <c r="L33" s="6">
        <f t="shared" si="20"/>
        <v>0</v>
      </c>
      <c r="M33" s="6">
        <f t="shared" si="20"/>
        <v>0</v>
      </c>
      <c r="N33" s="6">
        <f t="shared" si="20"/>
        <v>0</v>
      </c>
      <c r="O33" s="6">
        <f t="shared" si="20"/>
        <v>0</v>
      </c>
      <c r="P33" s="6"/>
      <c r="Q33" s="37">
        <f>Q29+Q30+Q32</f>
        <v>-2196846.4917419809</v>
      </c>
      <c r="R33" s="37">
        <f>R29+R30+R32</f>
        <v>-1196755.485563176</v>
      </c>
      <c r="S33" s="37">
        <f>S29+S30+S32</f>
        <v>0</v>
      </c>
      <c r="T33" s="37">
        <f>T29+T30+T32</f>
        <v>0</v>
      </c>
      <c r="U33" s="37">
        <f>U29+U30+U32</f>
        <v>-3393601.9773051562</v>
      </c>
      <c r="W33" s="161"/>
    </row>
    <row r="34" spans="1:23" ht="27" thickBot="1">
      <c r="A34" s="33">
        <v>24</v>
      </c>
      <c r="B34" s="124" t="s">
        <v>147</v>
      </c>
      <c r="C34" s="33" t="str">
        <f>"Σ(("&amp;A29&amp;") ,("&amp;A30&amp;") , ("&amp;A32&amp;"))"</f>
        <v>Σ((19) ,(20) , (22))</v>
      </c>
      <c r="D34" s="36">
        <f>D29+D30+D32</f>
        <v>-1137590.932783816</v>
      </c>
      <c r="E34" s="36">
        <f>D34+E29+E30+E32</f>
        <v>-1839545.1045745695</v>
      </c>
      <c r="F34" s="36">
        <f t="shared" ref="F34:O34" si="21">E34+F29+F30+F32</f>
        <v>-2196846.4917419804</v>
      </c>
      <c r="G34" s="36">
        <f t="shared" si="21"/>
        <v>-2611262.660579727</v>
      </c>
      <c r="H34" s="36">
        <f t="shared" si="21"/>
        <v>-1578905.1675631274</v>
      </c>
      <c r="I34" s="36">
        <f t="shared" si="21"/>
        <v>-3393601.9773051557</v>
      </c>
      <c r="J34" s="36">
        <f t="shared" si="21"/>
        <v>-3393601.9773051557</v>
      </c>
      <c r="K34" s="36">
        <f t="shared" si="21"/>
        <v>-3393601.9773051557</v>
      </c>
      <c r="L34" s="36">
        <f t="shared" si="21"/>
        <v>-3393601.9773051557</v>
      </c>
      <c r="M34" s="36">
        <f t="shared" si="21"/>
        <v>-3393601.9773051557</v>
      </c>
      <c r="N34" s="36">
        <f t="shared" si="21"/>
        <v>-3393601.9773051557</v>
      </c>
      <c r="O34" s="63">
        <f t="shared" si="21"/>
        <v>-3393601.9773051557</v>
      </c>
      <c r="P34" s="15"/>
      <c r="Q34" s="36"/>
      <c r="R34" s="36"/>
      <c r="S34" s="36"/>
      <c r="T34" s="36"/>
      <c r="U34" s="7"/>
    </row>
    <row r="35" spans="1:23" ht="36" hidden="1" customHeight="1">
      <c r="A35" s="228" t="s">
        <v>279</v>
      </c>
      <c r="B35" s="228"/>
      <c r="C35" s="228"/>
      <c r="D35" s="228"/>
      <c r="E35" s="228"/>
      <c r="F35" s="228"/>
      <c r="G35" s="228"/>
      <c r="H35" s="228"/>
      <c r="I35" s="228"/>
      <c r="J35" s="228"/>
      <c r="K35" s="228"/>
      <c r="L35" s="228"/>
      <c r="M35" s="228"/>
      <c r="N35" s="228"/>
      <c r="O35" s="228"/>
      <c r="P35" s="228"/>
      <c r="Q35" s="228"/>
      <c r="R35" s="228"/>
      <c r="S35" s="228"/>
      <c r="T35" s="228"/>
      <c r="U35" s="228"/>
    </row>
    <row r="36" spans="1:23">
      <c r="A36" s="33"/>
      <c r="B36" s="1" t="s">
        <v>33</v>
      </c>
      <c r="C36" s="33"/>
      <c r="D36" s="36"/>
      <c r="E36" s="36"/>
      <c r="F36" s="36"/>
      <c r="G36" s="36"/>
      <c r="H36" s="36"/>
      <c r="I36" s="36"/>
      <c r="J36" s="36"/>
      <c r="K36" s="36"/>
      <c r="L36" s="36"/>
      <c r="M36" s="36"/>
      <c r="N36" s="36"/>
      <c r="O36" s="36"/>
      <c r="P36" s="36"/>
      <c r="Q36" s="36"/>
      <c r="R36" s="36"/>
      <c r="S36" s="36"/>
      <c r="T36" s="36"/>
      <c r="U36" s="7"/>
    </row>
    <row r="37" spans="1:23">
      <c r="A37" s="33">
        <v>25</v>
      </c>
      <c r="B37" s="18" t="s">
        <v>20</v>
      </c>
      <c r="C37" s="33" t="s">
        <v>21</v>
      </c>
      <c r="D37" s="131">
        <v>38778</v>
      </c>
      <c r="E37" s="131">
        <v>39802</v>
      </c>
      <c r="F37" s="131">
        <v>39495</v>
      </c>
      <c r="G37" s="131">
        <v>40213</v>
      </c>
      <c r="H37" s="131">
        <v>38558</v>
      </c>
      <c r="I37" s="131">
        <v>39436</v>
      </c>
      <c r="J37" s="131"/>
      <c r="K37" s="131"/>
      <c r="L37" s="131"/>
      <c r="M37" s="131"/>
      <c r="N37" s="131"/>
      <c r="O37" s="131"/>
      <c r="P37" s="131"/>
      <c r="Q37" s="35">
        <f t="shared" ref="Q37:Q44" si="22">SUM(D37:F37)</f>
        <v>118075</v>
      </c>
      <c r="R37" s="35">
        <f t="shared" ref="R37:R44" si="23">SUM(G37:I37)</f>
        <v>118207</v>
      </c>
      <c r="S37" s="35">
        <f t="shared" ref="S37:S44" si="24">SUM(J37:L37)</f>
        <v>0</v>
      </c>
      <c r="T37" s="35">
        <f t="shared" ref="T37:T44" si="25">SUM(M37:O37)</f>
        <v>0</v>
      </c>
      <c r="U37" s="156">
        <f t="shared" ref="U37:U44" si="26">SUM(D37:O37)</f>
        <v>236282</v>
      </c>
    </row>
    <row r="38" spans="1:23">
      <c r="A38" s="33">
        <v>26</v>
      </c>
      <c r="B38" s="2" t="s">
        <v>140</v>
      </c>
      <c r="C38" s="33" t="s">
        <v>21</v>
      </c>
      <c r="D38" s="131">
        <v>158186722.51767001</v>
      </c>
      <c r="E38" s="131">
        <v>160483654.07608002</v>
      </c>
      <c r="F38" s="131">
        <v>185837432.08300003</v>
      </c>
      <c r="G38" s="131">
        <v>150141897.02000004</v>
      </c>
      <c r="H38" s="131">
        <v>177353493.59199998</v>
      </c>
      <c r="I38" s="131">
        <v>176939683.68700001</v>
      </c>
      <c r="J38" s="131"/>
      <c r="K38" s="131"/>
      <c r="L38" s="131"/>
      <c r="M38" s="131"/>
      <c r="N38" s="131"/>
      <c r="O38" s="131"/>
      <c r="P38" s="131"/>
      <c r="Q38" s="35">
        <f t="shared" si="22"/>
        <v>504507808.67675006</v>
      </c>
      <c r="R38" s="35">
        <f t="shared" si="23"/>
        <v>504435074.29900002</v>
      </c>
      <c r="S38" s="35">
        <f t="shared" si="24"/>
        <v>0</v>
      </c>
      <c r="T38" s="35">
        <f t="shared" si="25"/>
        <v>0</v>
      </c>
      <c r="U38" s="156">
        <f t="shared" si="26"/>
        <v>1008942882.9757502</v>
      </c>
    </row>
    <row r="39" spans="1:23">
      <c r="A39" s="33">
        <v>27</v>
      </c>
      <c r="B39" s="18" t="s">
        <v>37</v>
      </c>
      <c r="C39" s="33" t="s">
        <v>21</v>
      </c>
      <c r="D39" s="132">
        <v>17905212.741750002</v>
      </c>
      <c r="E39" s="132">
        <v>17789321.045120001</v>
      </c>
      <c r="F39" s="132">
        <v>21156492.002859998</v>
      </c>
      <c r="G39" s="132">
        <v>17334830.476570003</v>
      </c>
      <c r="H39" s="132">
        <v>20024369.353160005</v>
      </c>
      <c r="I39" s="132">
        <v>20291452.875950001</v>
      </c>
      <c r="J39" s="132"/>
      <c r="K39" s="132"/>
      <c r="L39" s="132"/>
      <c r="M39" s="132"/>
      <c r="N39" s="132"/>
      <c r="O39" s="132"/>
      <c r="P39" s="132"/>
      <c r="Q39" s="36">
        <f t="shared" si="22"/>
        <v>56851025.789729998</v>
      </c>
      <c r="R39" s="36">
        <f t="shared" si="23"/>
        <v>57650652.705680005</v>
      </c>
      <c r="S39" s="36">
        <f t="shared" si="24"/>
        <v>0</v>
      </c>
      <c r="T39" s="36">
        <f t="shared" si="25"/>
        <v>0</v>
      </c>
      <c r="U39" s="7">
        <f t="shared" si="26"/>
        <v>114501678.49541</v>
      </c>
    </row>
    <row r="40" spans="1:23">
      <c r="A40" s="33">
        <v>28</v>
      </c>
      <c r="B40" s="18" t="s">
        <v>38</v>
      </c>
      <c r="C40" s="33" t="s">
        <v>21</v>
      </c>
      <c r="D40" s="132">
        <v>1812510.1500000001</v>
      </c>
      <c r="E40" s="132">
        <v>1528964.6099999999</v>
      </c>
      <c r="F40" s="132">
        <v>2082784.73</v>
      </c>
      <c r="G40" s="132">
        <v>1715483.95</v>
      </c>
      <c r="H40" s="132">
        <v>1984600.91</v>
      </c>
      <c r="I40" s="132">
        <v>1823164.51</v>
      </c>
      <c r="J40" s="132"/>
      <c r="K40" s="132"/>
      <c r="L40" s="132"/>
      <c r="M40" s="132"/>
      <c r="N40" s="132"/>
      <c r="O40" s="132"/>
      <c r="P40" s="132"/>
      <c r="Q40" s="36">
        <f t="shared" si="22"/>
        <v>5424259.4900000002</v>
      </c>
      <c r="R40" s="36">
        <f t="shared" si="23"/>
        <v>5523249.3700000001</v>
      </c>
      <c r="S40" s="36">
        <f t="shared" si="24"/>
        <v>0</v>
      </c>
      <c r="T40" s="36">
        <f t="shared" si="25"/>
        <v>0</v>
      </c>
      <c r="U40" s="7">
        <f t="shared" si="26"/>
        <v>10947508.859999999</v>
      </c>
    </row>
    <row r="41" spans="1:23" ht="27.75" customHeight="1">
      <c r="A41" s="33">
        <v>29</v>
      </c>
      <c r="B41" s="18" t="s">
        <v>141</v>
      </c>
      <c r="C41" s="33" t="s">
        <v>21</v>
      </c>
      <c r="D41" s="131">
        <v>1193</v>
      </c>
      <c r="E41" s="131">
        <v>1221</v>
      </c>
      <c r="F41" s="131">
        <v>1270</v>
      </c>
      <c r="G41" s="131">
        <v>1309</v>
      </c>
      <c r="H41" s="131">
        <v>1445</v>
      </c>
      <c r="I41" s="131">
        <v>1475</v>
      </c>
      <c r="J41" s="131"/>
      <c r="K41" s="131"/>
      <c r="L41" s="131"/>
      <c r="M41" s="131"/>
      <c r="N41" s="131"/>
      <c r="O41" s="131"/>
      <c r="P41" s="216"/>
      <c r="Q41" s="35">
        <f t="shared" si="22"/>
        <v>3684</v>
      </c>
      <c r="R41" s="35">
        <f t="shared" si="23"/>
        <v>4229</v>
      </c>
      <c r="S41" s="35">
        <f t="shared" si="24"/>
        <v>0</v>
      </c>
      <c r="T41" s="35">
        <f t="shared" si="25"/>
        <v>0</v>
      </c>
      <c r="U41" s="156">
        <f t="shared" si="26"/>
        <v>7913</v>
      </c>
    </row>
    <row r="42" spans="1:23">
      <c r="A42" s="33">
        <v>30</v>
      </c>
      <c r="B42" s="2" t="s">
        <v>142</v>
      </c>
      <c r="C42" s="33" t="s">
        <v>21</v>
      </c>
      <c r="D42" s="131">
        <v>3258274.1180000002</v>
      </c>
      <c r="E42" s="131">
        <v>2981818.9269999997</v>
      </c>
      <c r="F42" s="131">
        <v>3022723.2779999995</v>
      </c>
      <c r="G42" s="131">
        <v>2764897.3399999994</v>
      </c>
      <c r="H42" s="131">
        <v>2860703</v>
      </c>
      <c r="I42" s="131">
        <v>2507733.1599999992</v>
      </c>
      <c r="J42" s="131"/>
      <c r="K42" s="131"/>
      <c r="L42" s="131"/>
      <c r="M42" s="131"/>
      <c r="N42" s="131"/>
      <c r="O42" s="131"/>
      <c r="P42" s="131"/>
      <c r="Q42" s="35">
        <f t="shared" si="22"/>
        <v>9262816.3229999989</v>
      </c>
      <c r="R42" s="35">
        <f t="shared" si="23"/>
        <v>8133333.4999999991</v>
      </c>
      <c r="S42" s="35">
        <f t="shared" si="24"/>
        <v>0</v>
      </c>
      <c r="T42" s="35">
        <f t="shared" si="25"/>
        <v>0</v>
      </c>
      <c r="U42" s="156">
        <f t="shared" si="26"/>
        <v>17396149.822999999</v>
      </c>
    </row>
    <row r="43" spans="1:23">
      <c r="A43" s="33">
        <v>31</v>
      </c>
      <c r="B43" s="18" t="s">
        <v>143</v>
      </c>
      <c r="C43" s="33" t="s">
        <v>21</v>
      </c>
      <c r="D43" s="132">
        <v>384818.18</v>
      </c>
      <c r="E43" s="132">
        <v>365563.76</v>
      </c>
      <c r="F43" s="132">
        <v>369983.08999999997</v>
      </c>
      <c r="G43" s="132">
        <v>348084.57999999996</v>
      </c>
      <c r="H43" s="132">
        <v>367831.70999999996</v>
      </c>
      <c r="I43" s="132">
        <v>331104.73000000004</v>
      </c>
      <c r="J43" s="132"/>
      <c r="K43" s="132"/>
      <c r="L43" s="132"/>
      <c r="M43" s="132"/>
      <c r="N43" s="132"/>
      <c r="O43" s="132"/>
      <c r="P43" s="132"/>
      <c r="Q43" s="36">
        <f t="shared" si="22"/>
        <v>1120365.0299999998</v>
      </c>
      <c r="R43" s="36">
        <f t="shared" si="23"/>
        <v>1047021.02</v>
      </c>
      <c r="S43" s="36">
        <f t="shared" si="24"/>
        <v>0</v>
      </c>
      <c r="T43" s="36">
        <f t="shared" si="25"/>
        <v>0</v>
      </c>
      <c r="U43" s="7">
        <f t="shared" si="26"/>
        <v>2167386.0499999998</v>
      </c>
    </row>
    <row r="44" spans="1:23">
      <c r="A44" s="33">
        <v>32</v>
      </c>
      <c r="B44" s="18" t="s">
        <v>144</v>
      </c>
      <c r="C44" s="33" t="s">
        <v>21</v>
      </c>
      <c r="D44" s="132">
        <v>29648.62</v>
      </c>
      <c r="E44" s="132">
        <v>30779.149999999998</v>
      </c>
      <c r="F44" s="132">
        <v>33408.070000000007</v>
      </c>
      <c r="G44" s="132">
        <v>35882.370000000003</v>
      </c>
      <c r="H44" s="132">
        <v>41385.019999999997</v>
      </c>
      <c r="I44" s="132">
        <v>40370.259999999995</v>
      </c>
      <c r="J44" s="132"/>
      <c r="K44" s="132"/>
      <c r="L44" s="132"/>
      <c r="M44" s="132"/>
      <c r="N44" s="132"/>
      <c r="O44" s="132"/>
      <c r="P44" s="132"/>
      <c r="Q44" s="36">
        <f t="shared" si="22"/>
        <v>93835.839999999997</v>
      </c>
      <c r="R44" s="36">
        <f t="shared" si="23"/>
        <v>117637.65</v>
      </c>
      <c r="S44" s="36">
        <f t="shared" si="24"/>
        <v>0</v>
      </c>
      <c r="T44" s="36">
        <f t="shared" si="25"/>
        <v>0</v>
      </c>
      <c r="U44" s="7">
        <f t="shared" si="26"/>
        <v>211473.49</v>
      </c>
    </row>
    <row r="45" spans="1:23">
      <c r="A45" s="33"/>
      <c r="B45" s="1"/>
      <c r="C45" s="33"/>
      <c r="D45" s="36"/>
      <c r="E45" s="36"/>
      <c r="F45" s="36"/>
      <c r="G45" s="36"/>
      <c r="H45" s="36"/>
      <c r="I45" s="36"/>
      <c r="J45" s="36"/>
      <c r="K45" s="36"/>
      <c r="L45" s="36"/>
      <c r="M45" s="36"/>
      <c r="N45" s="36"/>
      <c r="O45" s="36"/>
      <c r="P45" s="36"/>
      <c r="Q45" s="36"/>
      <c r="R45" s="36"/>
      <c r="S45" s="36"/>
      <c r="T45" s="36"/>
      <c r="U45" s="7"/>
    </row>
    <row r="46" spans="1:23">
      <c r="A46" s="33">
        <v>33</v>
      </c>
      <c r="B46" s="18" t="s">
        <v>162</v>
      </c>
      <c r="C46" s="33" t="str">
        <f>"("&amp;A37&amp;") - ("&amp;A41&amp;")"</f>
        <v>(25) - (29)</v>
      </c>
      <c r="D46" s="129">
        <f>D37-D41</f>
        <v>37585</v>
      </c>
      <c r="E46" s="129">
        <f>E37-E41</f>
        <v>38581</v>
      </c>
      <c r="F46" s="129">
        <f>F37-F41</f>
        <v>38225</v>
      </c>
      <c r="G46" s="129">
        <f>G37-G41</f>
        <v>38904</v>
      </c>
      <c r="H46" s="35">
        <f t="shared" ref="H46:O46" si="27">H37-H41</f>
        <v>37113</v>
      </c>
      <c r="I46" s="35">
        <f t="shared" si="27"/>
        <v>37961</v>
      </c>
      <c r="J46" s="35">
        <f t="shared" si="27"/>
        <v>0</v>
      </c>
      <c r="K46" s="35">
        <f t="shared" si="27"/>
        <v>0</v>
      </c>
      <c r="L46" s="35">
        <f t="shared" si="27"/>
        <v>0</v>
      </c>
      <c r="M46" s="35">
        <f t="shared" si="27"/>
        <v>0</v>
      </c>
      <c r="N46" s="35">
        <f t="shared" si="27"/>
        <v>0</v>
      </c>
      <c r="O46" s="35">
        <f t="shared" si="27"/>
        <v>0</v>
      </c>
      <c r="P46" s="35"/>
      <c r="Q46" s="35">
        <f>SUM(D46:F46)</f>
        <v>114391</v>
      </c>
      <c r="R46" s="35">
        <f>SUM(G46:I46)</f>
        <v>113978</v>
      </c>
      <c r="S46" s="35">
        <f>SUM(J46:L46)</f>
        <v>0</v>
      </c>
      <c r="T46" s="35">
        <f>SUM(M46:O46)</f>
        <v>0</v>
      </c>
      <c r="U46" s="156">
        <f>SUM(D46:O46)</f>
        <v>228369</v>
      </c>
    </row>
    <row r="47" spans="1:23" ht="29.45" customHeight="1">
      <c r="A47" s="56">
        <f t="shared" ref="A47:A55" si="28">A46+1</f>
        <v>34</v>
      </c>
      <c r="B47" s="56" t="s">
        <v>22</v>
      </c>
      <c r="C47" s="56" t="s">
        <v>148</v>
      </c>
      <c r="D47" s="219">
        <v>402.07630423288549</v>
      </c>
      <c r="E47" s="219">
        <v>368.2903877181933</v>
      </c>
      <c r="F47" s="219">
        <v>400.87475245224044</v>
      </c>
      <c r="G47" s="219">
        <v>367.88186736440366</v>
      </c>
      <c r="H47" s="219">
        <v>420.08609646175614</v>
      </c>
      <c r="I47" s="219">
        <v>451.16953050903174</v>
      </c>
      <c r="J47" s="219">
        <v>444.34574248057152</v>
      </c>
      <c r="K47" s="219">
        <v>461.58487210352439</v>
      </c>
      <c r="L47" s="219">
        <v>417.19428586808732</v>
      </c>
      <c r="M47" s="219">
        <v>440.87668084696452</v>
      </c>
      <c r="N47" s="219">
        <v>360.8219011160852</v>
      </c>
      <c r="O47" s="219">
        <v>403.74757884625615</v>
      </c>
      <c r="P47" s="216" t="s">
        <v>158</v>
      </c>
      <c r="Q47" s="17">
        <f>Q48/Q46</f>
        <v>390.27971392535693</v>
      </c>
      <c r="R47" s="17">
        <f>R48/R46</f>
        <v>412.6197863937187</v>
      </c>
      <c r="S47" s="17" t="e">
        <f>S48/S46</f>
        <v>#DIV/0!</v>
      </c>
      <c r="T47" s="17" t="e">
        <f>T48/T46</f>
        <v>#DIV/0!</v>
      </c>
      <c r="U47" s="17">
        <f>U48/U46</f>
        <v>401.42954941002841</v>
      </c>
    </row>
    <row r="48" spans="1:23">
      <c r="A48" s="33">
        <f t="shared" si="28"/>
        <v>35</v>
      </c>
      <c r="B48" s="18" t="s">
        <v>23</v>
      </c>
      <c r="C48" s="33" t="str">
        <f>"("&amp;A46&amp;") x ("&amp;A47&amp;")"</f>
        <v>(33) x (34)</v>
      </c>
      <c r="D48" s="36">
        <f t="shared" ref="D48:N48" si="29">D46*D47</f>
        <v>15112037.894593</v>
      </c>
      <c r="E48" s="36">
        <f t="shared" si="29"/>
        <v>14209011.448555617</v>
      </c>
      <c r="F48" s="36">
        <f t="shared" si="29"/>
        <v>15323437.41248689</v>
      </c>
      <c r="G48" s="36">
        <f t="shared" si="29"/>
        <v>14312076.167944759</v>
      </c>
      <c r="H48" s="36">
        <f t="shared" si="29"/>
        <v>15590655.297985155</v>
      </c>
      <c r="I48" s="36">
        <f t="shared" si="29"/>
        <v>17126846.547653355</v>
      </c>
      <c r="J48" s="36">
        <f t="shared" si="29"/>
        <v>0</v>
      </c>
      <c r="K48" s="36">
        <f t="shared" si="29"/>
        <v>0</v>
      </c>
      <c r="L48" s="36">
        <f t="shared" si="29"/>
        <v>0</v>
      </c>
      <c r="M48" s="36">
        <f t="shared" si="29"/>
        <v>0</v>
      </c>
      <c r="N48" s="36">
        <f t="shared" si="29"/>
        <v>0</v>
      </c>
      <c r="O48" s="36">
        <f>(O46*O47)</f>
        <v>0</v>
      </c>
      <c r="P48" s="217" t="s">
        <v>171</v>
      </c>
      <c r="Q48" s="36">
        <f>SUM(D48:F48)</f>
        <v>44644486.755635507</v>
      </c>
      <c r="R48" s="36">
        <f>SUM(G48:I48)</f>
        <v>47029578.013583273</v>
      </c>
      <c r="S48" s="36">
        <f>SUM(J48:L48)</f>
        <v>0</v>
      </c>
      <c r="T48" s="36">
        <f>SUM(M48:O48)</f>
        <v>0</v>
      </c>
      <c r="U48" s="7">
        <f>SUM(D48:O48)</f>
        <v>91674064.769218773</v>
      </c>
    </row>
    <row r="49" spans="1:21" ht="9" customHeight="1">
      <c r="A49" s="33"/>
      <c r="B49" s="18"/>
      <c r="C49" s="33"/>
      <c r="D49" s="34"/>
      <c r="E49" s="34"/>
      <c r="F49" s="34"/>
      <c r="G49" s="34"/>
      <c r="H49" s="34"/>
      <c r="I49" s="36"/>
      <c r="J49" s="34"/>
      <c r="K49" s="34"/>
      <c r="L49" s="34"/>
      <c r="M49" s="34"/>
      <c r="N49" s="34"/>
      <c r="O49" s="34"/>
      <c r="P49" s="34"/>
      <c r="Q49" s="34"/>
      <c r="R49" s="34"/>
      <c r="S49" s="34"/>
      <c r="T49" s="34"/>
      <c r="U49" s="18"/>
    </row>
    <row r="50" spans="1:21">
      <c r="A50" s="33">
        <v>36</v>
      </c>
      <c r="B50" s="18" t="s">
        <v>163</v>
      </c>
      <c r="C50" s="33" t="str">
        <f>"("&amp;A39&amp;") - ("&amp;A43&amp;")"</f>
        <v>(27) - (31)</v>
      </c>
      <c r="D50" s="36">
        <f t="shared" ref="D50:G51" si="30">D39-D43</f>
        <v>17520394.561750002</v>
      </c>
      <c r="E50" s="36">
        <f t="shared" si="30"/>
        <v>17423757.285119999</v>
      </c>
      <c r="F50" s="36">
        <f t="shared" si="30"/>
        <v>20786508.912859999</v>
      </c>
      <c r="G50" s="36">
        <f t="shared" si="30"/>
        <v>16986745.896570005</v>
      </c>
      <c r="H50" s="36">
        <f t="shared" ref="H50:O51" si="31">H39-H43</f>
        <v>19656537.643160004</v>
      </c>
      <c r="I50" s="36">
        <f t="shared" si="31"/>
        <v>19960348.145950001</v>
      </c>
      <c r="J50" s="36">
        <f t="shared" si="31"/>
        <v>0</v>
      </c>
      <c r="K50" s="36">
        <f t="shared" si="31"/>
        <v>0</v>
      </c>
      <c r="L50" s="36">
        <f t="shared" si="31"/>
        <v>0</v>
      </c>
      <c r="M50" s="36">
        <f t="shared" si="31"/>
        <v>0</v>
      </c>
      <c r="N50" s="36">
        <f t="shared" si="31"/>
        <v>0</v>
      </c>
      <c r="O50" s="36">
        <f t="shared" si="31"/>
        <v>0</v>
      </c>
      <c r="P50" s="36"/>
      <c r="Q50" s="36">
        <f>SUM(D50:F50)</f>
        <v>55730660.759730004</v>
      </c>
      <c r="R50" s="36">
        <f>SUM(G50:I50)</f>
        <v>56603631.685680017</v>
      </c>
      <c r="S50" s="36">
        <f>SUM(J50:L50)</f>
        <v>0</v>
      </c>
      <c r="T50" s="36">
        <f>SUM(M50:O50)</f>
        <v>0</v>
      </c>
      <c r="U50" s="7">
        <f>SUM(D50:O50)</f>
        <v>112334292.44541001</v>
      </c>
    </row>
    <row r="51" spans="1:21">
      <c r="A51" s="33">
        <f t="shared" si="28"/>
        <v>37</v>
      </c>
      <c r="B51" s="18" t="s">
        <v>164</v>
      </c>
      <c r="C51" s="33" t="str">
        <f t="shared" ref="C51" si="32">"("&amp;A40&amp;") - ("&amp;A44&amp;")"</f>
        <v>(28) - (32)</v>
      </c>
      <c r="D51" s="36">
        <f t="shared" si="30"/>
        <v>1782861.53</v>
      </c>
      <c r="E51" s="36">
        <f t="shared" si="30"/>
        <v>1498185.46</v>
      </c>
      <c r="F51" s="36">
        <f t="shared" si="30"/>
        <v>2049376.66</v>
      </c>
      <c r="G51" s="36">
        <f t="shared" si="30"/>
        <v>1679601.5799999998</v>
      </c>
      <c r="H51" s="36">
        <f t="shared" si="31"/>
        <v>1943215.89</v>
      </c>
      <c r="I51" s="36">
        <f t="shared" si="31"/>
        <v>1782794.25</v>
      </c>
      <c r="J51" s="36">
        <f t="shared" si="31"/>
        <v>0</v>
      </c>
      <c r="K51" s="36">
        <f t="shared" si="31"/>
        <v>0</v>
      </c>
      <c r="L51" s="36">
        <f t="shared" si="31"/>
        <v>0</v>
      </c>
      <c r="M51" s="36">
        <f t="shared" si="31"/>
        <v>0</v>
      </c>
      <c r="N51" s="36">
        <f t="shared" si="31"/>
        <v>0</v>
      </c>
      <c r="O51" s="36">
        <f t="shared" si="31"/>
        <v>0</v>
      </c>
      <c r="P51" s="36"/>
      <c r="Q51" s="36">
        <f>SUM(D51:F51)</f>
        <v>5330423.6500000004</v>
      </c>
      <c r="R51" s="36">
        <f>SUM(G51:I51)</f>
        <v>5405611.7199999997</v>
      </c>
      <c r="S51" s="36">
        <f>SUM(J51:L51)</f>
        <v>0</v>
      </c>
      <c r="T51" s="36">
        <f>SUM(M51:O51)</f>
        <v>0</v>
      </c>
      <c r="U51" s="7">
        <f>SUM(D51:O51)</f>
        <v>10736035.370000001</v>
      </c>
    </row>
    <row r="52" spans="1:21">
      <c r="A52" s="33">
        <f t="shared" si="28"/>
        <v>38</v>
      </c>
      <c r="B52" s="2" t="s">
        <v>165</v>
      </c>
      <c r="C52" s="33" t="str">
        <f>"("&amp;A38&amp;") - ("&amp;A42&amp;")"</f>
        <v>(26) - (30)</v>
      </c>
      <c r="D52" s="130">
        <f>D38-D42</f>
        <v>154928448.39967</v>
      </c>
      <c r="E52" s="130">
        <f>E38-E42</f>
        <v>157501835.14908004</v>
      </c>
      <c r="F52" s="130">
        <f>F38-F42</f>
        <v>182814708.80500004</v>
      </c>
      <c r="G52" s="130">
        <f>G38-G42</f>
        <v>147376999.68000004</v>
      </c>
      <c r="H52" s="123">
        <f t="shared" ref="H52:O52" si="33">H38-H42</f>
        <v>174492790.59199998</v>
      </c>
      <c r="I52" s="123">
        <f t="shared" si="33"/>
        <v>174431950.52700001</v>
      </c>
      <c r="J52" s="123">
        <f t="shared" si="33"/>
        <v>0</v>
      </c>
      <c r="K52" s="123">
        <f t="shared" si="33"/>
        <v>0</v>
      </c>
      <c r="L52" s="123">
        <f t="shared" si="33"/>
        <v>0</v>
      </c>
      <c r="M52" s="123">
        <f t="shared" si="33"/>
        <v>0</v>
      </c>
      <c r="N52" s="123">
        <f t="shared" si="33"/>
        <v>0</v>
      </c>
      <c r="O52" s="123">
        <f t="shared" si="33"/>
        <v>0</v>
      </c>
      <c r="P52" s="123"/>
      <c r="Q52" s="35">
        <f>SUM(D52:F52)</f>
        <v>495244992.35375011</v>
      </c>
      <c r="R52" s="35">
        <f>SUM(G52:I52)</f>
        <v>496301740.79900002</v>
      </c>
      <c r="S52" s="35">
        <f>SUM(J52:L52)</f>
        <v>0</v>
      </c>
      <c r="T52" s="35">
        <f>SUM(M52:O52)</f>
        <v>0</v>
      </c>
      <c r="U52" s="156">
        <f>SUM(D52:O52)</f>
        <v>991546733.15275025</v>
      </c>
    </row>
    <row r="53" spans="1:21" ht="26.25">
      <c r="A53" s="33">
        <f t="shared" si="28"/>
        <v>39</v>
      </c>
      <c r="B53" s="18" t="s">
        <v>39</v>
      </c>
      <c r="C53" s="157" t="s">
        <v>146</v>
      </c>
      <c r="D53" s="212">
        <f>D25</f>
        <v>1.311E-2</v>
      </c>
      <c r="E53" s="212">
        <f t="shared" ref="E53:O53" si="34">E25</f>
        <v>1.311E-2</v>
      </c>
      <c r="F53" s="212">
        <f t="shared" si="34"/>
        <v>1.311E-2</v>
      </c>
      <c r="G53" s="212">
        <f t="shared" si="34"/>
        <v>1.311E-2</v>
      </c>
      <c r="H53" s="212">
        <f t="shared" si="34"/>
        <v>1.311E-2</v>
      </c>
      <c r="I53" s="212">
        <f t="shared" si="34"/>
        <v>1.311E-2</v>
      </c>
      <c r="J53" s="212">
        <f t="shared" si="34"/>
        <v>1.311E-2</v>
      </c>
      <c r="K53" s="212">
        <f t="shared" si="34"/>
        <v>1.311E-2</v>
      </c>
      <c r="L53" s="212">
        <f t="shared" si="34"/>
        <v>1.311E-2</v>
      </c>
      <c r="M53" s="212">
        <f t="shared" si="34"/>
        <v>1.311E-2</v>
      </c>
      <c r="N53" s="212">
        <f t="shared" si="34"/>
        <v>1.311E-2</v>
      </c>
      <c r="O53" s="212">
        <f t="shared" si="34"/>
        <v>1.3426129032258066E-2</v>
      </c>
      <c r="P53" s="216" t="s">
        <v>158</v>
      </c>
      <c r="Q53" s="158"/>
      <c r="R53" s="162"/>
      <c r="S53" s="162"/>
      <c r="T53" s="162"/>
      <c r="U53" s="163"/>
    </row>
    <row r="54" spans="1:21">
      <c r="A54" s="33">
        <f t="shared" si="28"/>
        <v>40</v>
      </c>
      <c r="B54" s="18" t="s">
        <v>40</v>
      </c>
      <c r="C54" s="33" t="str">
        <f>"("&amp;A52&amp;") x ("&amp;A53&amp;")"</f>
        <v>(38) x (39)</v>
      </c>
      <c r="D54" s="36">
        <f t="shared" ref="D54:O54" si="35">D52*D53</f>
        <v>2031111.9585196737</v>
      </c>
      <c r="E54" s="36">
        <f t="shared" si="35"/>
        <v>2064849.0588044394</v>
      </c>
      <c r="F54" s="36">
        <f t="shared" si="35"/>
        <v>2396700.8324335506</v>
      </c>
      <c r="G54" s="36">
        <f t="shared" si="35"/>
        <v>1932112.4658048004</v>
      </c>
      <c r="H54" s="36">
        <f t="shared" si="35"/>
        <v>2287600.4846611195</v>
      </c>
      <c r="I54" s="36">
        <f t="shared" si="35"/>
        <v>2286802.8714089701</v>
      </c>
      <c r="J54" s="36">
        <f t="shared" si="35"/>
        <v>0</v>
      </c>
      <c r="K54" s="36">
        <f t="shared" si="35"/>
        <v>0</v>
      </c>
      <c r="L54" s="36">
        <f t="shared" si="35"/>
        <v>0</v>
      </c>
      <c r="M54" s="36">
        <f t="shared" si="35"/>
        <v>0</v>
      </c>
      <c r="N54" s="36">
        <f t="shared" si="35"/>
        <v>0</v>
      </c>
      <c r="O54" s="36">
        <f t="shared" si="35"/>
        <v>0</v>
      </c>
      <c r="P54" s="36"/>
      <c r="Q54" s="36">
        <f>SUM(D54:F54)</f>
        <v>6492661.8497576639</v>
      </c>
      <c r="R54" s="36">
        <f>SUM(G54:I54)</f>
        <v>6506515.8218748895</v>
      </c>
      <c r="S54" s="36">
        <f>SUM(J54:L54)</f>
        <v>0</v>
      </c>
      <c r="T54" s="36">
        <f>SUM(M54:O54)</f>
        <v>0</v>
      </c>
      <c r="U54" s="7">
        <f>SUM(D54:O54)</f>
        <v>12999177.671632554</v>
      </c>
    </row>
    <row r="55" spans="1:21">
      <c r="A55" s="33">
        <f t="shared" si="28"/>
        <v>41</v>
      </c>
      <c r="B55" s="18" t="s">
        <v>25</v>
      </c>
      <c r="C55" s="33" t="str">
        <f>"("&amp;A50&amp;") - ("&amp;A51&amp;") -("&amp;A54&amp;")"</f>
        <v>(36) - (37) -(40)</v>
      </c>
      <c r="D55" s="36">
        <f>D50-D51-D54</f>
        <v>13706421.07323033</v>
      </c>
      <c r="E55" s="36">
        <f t="shared" ref="E55:O55" si="36">E50-E51-E54</f>
        <v>13860722.766315559</v>
      </c>
      <c r="F55" s="36">
        <f t="shared" si="36"/>
        <v>16340431.420426447</v>
      </c>
      <c r="G55" s="36">
        <f t="shared" si="36"/>
        <v>13375031.850765204</v>
      </c>
      <c r="H55" s="36">
        <f t="shared" si="36"/>
        <v>15425721.268498885</v>
      </c>
      <c r="I55" s="36">
        <f t="shared" si="36"/>
        <v>15890751.024541032</v>
      </c>
      <c r="J55" s="36">
        <f t="shared" si="36"/>
        <v>0</v>
      </c>
      <c r="K55" s="36">
        <f t="shared" si="36"/>
        <v>0</v>
      </c>
      <c r="L55" s="36">
        <f t="shared" si="36"/>
        <v>0</v>
      </c>
      <c r="M55" s="36">
        <f t="shared" si="36"/>
        <v>0</v>
      </c>
      <c r="N55" s="36">
        <f t="shared" si="36"/>
        <v>0</v>
      </c>
      <c r="O55" s="36">
        <f t="shared" si="36"/>
        <v>0</v>
      </c>
      <c r="P55" s="36"/>
      <c r="Q55" s="36">
        <f>SUM(D55:F55)</f>
        <v>43907575.259972334</v>
      </c>
      <c r="R55" s="36">
        <f>SUM(G55:I55)</f>
        <v>44691504.143805116</v>
      </c>
      <c r="S55" s="36">
        <f>SUM(J55:L55)</f>
        <v>0</v>
      </c>
      <c r="T55" s="36">
        <f>SUM(M55:O55)</f>
        <v>0</v>
      </c>
      <c r="U55" s="7">
        <f>SUM(D55:O55)</f>
        <v>88599079.403777465</v>
      </c>
    </row>
    <row r="56" spans="1:21">
      <c r="A56" s="33">
        <v>42</v>
      </c>
      <c r="B56" s="33" t="s">
        <v>34</v>
      </c>
      <c r="C56" s="33" t="str">
        <f>"("&amp;A55&amp;") / ("&amp;A46&amp;")"</f>
        <v>(41) / (33)</v>
      </c>
      <c r="D56" s="17">
        <f>D55/D46</f>
        <v>364.67795858002739</v>
      </c>
      <c r="E56" s="17">
        <f t="shared" ref="E56:O56" si="37">E55/E46</f>
        <v>359.26292129067571</v>
      </c>
      <c r="F56" s="17">
        <f t="shared" si="37"/>
        <v>427.48022028584558</v>
      </c>
      <c r="G56" s="17">
        <f t="shared" si="37"/>
        <v>343.79580122263019</v>
      </c>
      <c r="H56" s="17">
        <f t="shared" si="37"/>
        <v>415.64199252280559</v>
      </c>
      <c r="I56" s="17">
        <f t="shared" si="37"/>
        <v>418.607281803457</v>
      </c>
      <c r="J56" s="17" t="e">
        <f t="shared" si="37"/>
        <v>#DIV/0!</v>
      </c>
      <c r="K56" s="17" t="e">
        <f t="shared" si="37"/>
        <v>#DIV/0!</v>
      </c>
      <c r="L56" s="17" t="e">
        <f t="shared" si="37"/>
        <v>#DIV/0!</v>
      </c>
      <c r="M56" s="17" t="e">
        <f t="shared" si="37"/>
        <v>#DIV/0!</v>
      </c>
      <c r="N56" s="17" t="e">
        <f t="shared" si="37"/>
        <v>#DIV/0!</v>
      </c>
      <c r="O56" s="17" t="e">
        <f t="shared" si="37"/>
        <v>#DIV/0!</v>
      </c>
      <c r="P56" s="17"/>
      <c r="Q56" s="158">
        <f>Q55/Q46</f>
        <v>383.83767306844362</v>
      </c>
      <c r="R56" s="158">
        <f>R55/R46</f>
        <v>392.1064077611918</v>
      </c>
      <c r="S56" s="158" t="e">
        <f>S55/S46</f>
        <v>#DIV/0!</v>
      </c>
      <c r="T56" s="158" t="e">
        <f>T55/T46</f>
        <v>#DIV/0!</v>
      </c>
      <c r="U56" s="158">
        <f>U55/U46</f>
        <v>387.96456350808324</v>
      </c>
    </row>
    <row r="57" spans="1:21">
      <c r="A57" s="33">
        <v>43</v>
      </c>
      <c r="B57" s="18" t="s">
        <v>27</v>
      </c>
      <c r="C57" s="33" t="str">
        <f>"("&amp;A$55&amp;") - ("&amp;A55&amp;")"</f>
        <v>(41) - (41)</v>
      </c>
      <c r="D57" s="36">
        <f t="shared" ref="D57:O57" si="38">D48-D55</f>
        <v>1405616.8213626705</v>
      </c>
      <c r="E57" s="36">
        <f t="shared" si="38"/>
        <v>348288.68224005774</v>
      </c>
      <c r="F57" s="36">
        <f t="shared" si="38"/>
        <v>-1016994.0079395566</v>
      </c>
      <c r="G57" s="36">
        <f t="shared" si="38"/>
        <v>937044.31717955507</v>
      </c>
      <c r="H57" s="36">
        <f t="shared" si="38"/>
        <v>164934.02948627062</v>
      </c>
      <c r="I57" s="36">
        <f t="shared" si="38"/>
        <v>1236095.5231123231</v>
      </c>
      <c r="J57" s="36">
        <f t="shared" si="38"/>
        <v>0</v>
      </c>
      <c r="K57" s="36">
        <f t="shared" si="38"/>
        <v>0</v>
      </c>
      <c r="L57" s="36">
        <f t="shared" si="38"/>
        <v>0</v>
      </c>
      <c r="M57" s="36">
        <f t="shared" si="38"/>
        <v>0</v>
      </c>
      <c r="N57" s="36">
        <f t="shared" si="38"/>
        <v>0</v>
      </c>
      <c r="O57" s="36">
        <f t="shared" si="38"/>
        <v>0</v>
      </c>
      <c r="P57" s="36"/>
      <c r="Q57" s="36">
        <f>SUM(D57:F57)</f>
        <v>736911.49566317163</v>
      </c>
      <c r="R57" s="36">
        <f>SUM(G57:I57)</f>
        <v>2338073.8697781488</v>
      </c>
      <c r="S57" s="36">
        <f>SUM(J57:L57)</f>
        <v>0</v>
      </c>
      <c r="T57" s="36">
        <f>SUM(M57:O57)</f>
        <v>0</v>
      </c>
      <c r="U57" s="7">
        <f>SUM(D57:O57)</f>
        <v>3074985.3654413205</v>
      </c>
    </row>
    <row r="58" spans="1:21">
      <c r="A58" s="33">
        <v>44</v>
      </c>
      <c r="B58" s="18" t="s">
        <v>28</v>
      </c>
      <c r="C58" s="8" t="s">
        <v>29</v>
      </c>
      <c r="D58" s="132">
        <v>-61750.782460967479</v>
      </c>
      <c r="E58" s="132">
        <v>-15300.826173788137</v>
      </c>
      <c r="F58" s="132">
        <v>44678.019495741079</v>
      </c>
      <c r="G58" s="132">
        <v>-41165.713804097206</v>
      </c>
      <c r="H58" s="132">
        <v>-7245.7907592083793</v>
      </c>
      <c r="I58" s="132">
        <v>-54303.466342048421</v>
      </c>
      <c r="J58" s="132"/>
      <c r="K58" s="132"/>
      <c r="L58" s="132"/>
      <c r="M58" s="132"/>
      <c r="N58" s="132"/>
      <c r="O58" s="132"/>
      <c r="P58" s="36"/>
      <c r="Q58" s="36">
        <f>SUM(D58:F58)</f>
        <v>-32373.589139014533</v>
      </c>
      <c r="R58" s="36">
        <f>SUM(G58:I58)</f>
        <v>-102714.97090535401</v>
      </c>
      <c r="S58" s="36">
        <f>SUM(J58:L58)</f>
        <v>0</v>
      </c>
      <c r="T58" s="36">
        <f>SUM(M58:O58)</f>
        <v>0</v>
      </c>
      <c r="U58" s="7">
        <f>SUM(D58:O58)</f>
        <v>-135088.56004436855</v>
      </c>
    </row>
    <row r="59" spans="1:21">
      <c r="A59" s="33">
        <v>45</v>
      </c>
      <c r="B59" s="18"/>
      <c r="C59" s="33" t="s">
        <v>30</v>
      </c>
      <c r="D59" s="39">
        <f t="shared" ref="D59:O59" si="39">D31</f>
        <v>6.3100000000000003E-2</v>
      </c>
      <c r="E59" s="39">
        <f t="shared" si="39"/>
        <v>6.3100000000000003E-2</v>
      </c>
      <c r="F59" s="39">
        <f t="shared" si="39"/>
        <v>6.3100000000000003E-2</v>
      </c>
      <c r="G59" s="39">
        <f t="shared" si="39"/>
        <v>7.4999999999999997E-2</v>
      </c>
      <c r="H59" s="164">
        <f t="shared" si="39"/>
        <v>7.4999999999999997E-2</v>
      </c>
      <c r="I59" s="39">
        <f t="shared" si="39"/>
        <v>7.4999999999999997E-2</v>
      </c>
      <c r="J59" s="39">
        <f t="shared" si="39"/>
        <v>0</v>
      </c>
      <c r="K59" s="39">
        <f t="shared" si="39"/>
        <v>0</v>
      </c>
      <c r="L59" s="39">
        <f t="shared" si="39"/>
        <v>0</v>
      </c>
      <c r="M59" s="39">
        <f t="shared" si="39"/>
        <v>0</v>
      </c>
      <c r="N59" s="39">
        <f t="shared" si="39"/>
        <v>0</v>
      </c>
      <c r="O59" s="39">
        <f t="shared" si="39"/>
        <v>0</v>
      </c>
      <c r="P59" s="39"/>
      <c r="Q59" s="39"/>
      <c r="R59" s="39"/>
      <c r="S59" s="39"/>
      <c r="T59" s="39"/>
      <c r="U59" s="7"/>
    </row>
    <row r="60" spans="1:21" ht="14.45" customHeight="1">
      <c r="A60" s="33">
        <v>46</v>
      </c>
      <c r="B60" s="18" t="s">
        <v>31</v>
      </c>
      <c r="C60" s="33" t="s">
        <v>35</v>
      </c>
      <c r="D60" s="3">
        <f>(D57+D58)/2*D59/12</f>
        <v>3533.2477939457276</v>
      </c>
      <c r="E60" s="3">
        <f t="shared" ref="E60:N60" si="40">(D62+(E57+E58)/2)*E59/12</f>
        <v>7960.555154115521</v>
      </c>
      <c r="F60" s="3">
        <f t="shared" si="40"/>
        <v>6321.5141919249463</v>
      </c>
      <c r="G60" s="3">
        <f t="shared" si="40"/>
        <v>7314.3282834492011</v>
      </c>
      <c r="H60" s="106">
        <f t="shared" si="40"/>
        <v>10652.439216791134</v>
      </c>
      <c r="I60" s="3">
        <f t="shared" si="40"/>
        <v>14904.892885325256</v>
      </c>
      <c r="J60" s="3">
        <f t="shared" si="40"/>
        <v>0</v>
      </c>
      <c r="K60" s="3">
        <f t="shared" si="40"/>
        <v>0</v>
      </c>
      <c r="L60" s="3">
        <f t="shared" si="40"/>
        <v>0</v>
      </c>
      <c r="M60" s="3">
        <f t="shared" si="40"/>
        <v>0</v>
      </c>
      <c r="N60" s="3">
        <f t="shared" si="40"/>
        <v>0</v>
      </c>
      <c r="O60" s="3">
        <f>(N62+(O57+O58)/2)*O59/12</f>
        <v>0</v>
      </c>
      <c r="P60" s="3"/>
      <c r="Q60" s="36">
        <f>SUM(D60:F60)</f>
        <v>17815.317139986197</v>
      </c>
      <c r="R60" s="36">
        <f>SUM(G60:I60)</f>
        <v>32871.660385565592</v>
      </c>
      <c r="S60" s="36">
        <f>SUM(J60:L60)</f>
        <v>0</v>
      </c>
      <c r="T60" s="36">
        <f>SUM(M60:O60)</f>
        <v>0</v>
      </c>
      <c r="U60" s="7">
        <f>SUM(D60:O60)</f>
        <v>50686.977525551789</v>
      </c>
    </row>
    <row r="61" spans="1:21" ht="15.75" thickBot="1">
      <c r="A61" s="33">
        <v>47</v>
      </c>
      <c r="B61" s="4" t="s">
        <v>36</v>
      </c>
      <c r="C61" s="33"/>
      <c r="D61" s="6">
        <f>D57+D58+D60</f>
        <v>1347399.2866956487</v>
      </c>
      <c r="E61" s="6">
        <f t="shared" ref="E61:U61" si="41">E57+E58+E60</f>
        <v>340948.41122038517</v>
      </c>
      <c r="F61" s="6">
        <f t="shared" si="41"/>
        <v>-965994.47425189056</v>
      </c>
      <c r="G61" s="6">
        <f t="shared" si="41"/>
        <v>903192.93165890709</v>
      </c>
      <c r="H61" s="6">
        <f t="shared" si="41"/>
        <v>168340.67794385337</v>
      </c>
      <c r="I61" s="6">
        <f t="shared" si="41"/>
        <v>1196696.9496555999</v>
      </c>
      <c r="J61" s="6">
        <f t="shared" si="41"/>
        <v>0</v>
      </c>
      <c r="K61" s="6">
        <f t="shared" si="41"/>
        <v>0</v>
      </c>
      <c r="L61" s="6">
        <f t="shared" si="41"/>
        <v>0</v>
      </c>
      <c r="M61" s="6">
        <f t="shared" si="41"/>
        <v>0</v>
      </c>
      <c r="N61" s="6">
        <f t="shared" si="41"/>
        <v>0</v>
      </c>
      <c r="O61" s="6">
        <f t="shared" si="41"/>
        <v>0</v>
      </c>
      <c r="P61" s="6"/>
      <c r="Q61" s="37">
        <f t="shared" si="41"/>
        <v>722353.22366414336</v>
      </c>
      <c r="R61" s="37">
        <f t="shared" si="41"/>
        <v>2268230.55925836</v>
      </c>
      <c r="S61" s="37">
        <f t="shared" si="41"/>
        <v>0</v>
      </c>
      <c r="T61" s="37">
        <f t="shared" si="41"/>
        <v>0</v>
      </c>
      <c r="U61" s="37">
        <f t="shared" si="41"/>
        <v>2990583.7829225035</v>
      </c>
    </row>
    <row r="62" spans="1:21" ht="26.25">
      <c r="A62" s="33">
        <v>48</v>
      </c>
      <c r="B62" s="124" t="s">
        <v>147</v>
      </c>
      <c r="C62" s="33" t="str">
        <f>"Σ(("&amp;A57&amp;") ,("&amp;A58&amp;") , ("&amp;A60&amp;"))"</f>
        <v>Σ((43) ,(44) , (46))</v>
      </c>
      <c r="D62" s="36">
        <f>D57+D58+D60</f>
        <v>1347399.2866956487</v>
      </c>
      <c r="E62" s="36">
        <f t="shared" ref="E62:O62" si="42">D62+E57+E58+E60</f>
        <v>1688347.6979160337</v>
      </c>
      <c r="F62" s="36">
        <f t="shared" si="42"/>
        <v>722353.22366414312</v>
      </c>
      <c r="G62" s="36">
        <f t="shared" si="42"/>
        <v>1625546.1553230502</v>
      </c>
      <c r="H62" s="36">
        <f t="shared" si="42"/>
        <v>1793886.8332669036</v>
      </c>
      <c r="I62" s="36">
        <f t="shared" si="42"/>
        <v>2990583.782922504</v>
      </c>
      <c r="J62" s="36">
        <f t="shared" si="42"/>
        <v>2990583.782922504</v>
      </c>
      <c r="K62" s="36">
        <f t="shared" si="42"/>
        <v>2990583.782922504</v>
      </c>
      <c r="L62" s="36">
        <f t="shared" si="42"/>
        <v>2990583.782922504</v>
      </c>
      <c r="M62" s="36">
        <f t="shared" si="42"/>
        <v>2990583.782922504</v>
      </c>
      <c r="N62" s="36">
        <f t="shared" si="42"/>
        <v>2990583.782922504</v>
      </c>
      <c r="O62" s="105">
        <f t="shared" si="42"/>
        <v>2990583.782922504</v>
      </c>
      <c r="P62" s="15"/>
      <c r="Q62" s="36"/>
      <c r="R62" s="36"/>
      <c r="S62" s="36"/>
      <c r="T62" s="36"/>
      <c r="U62" s="7"/>
    </row>
    <row r="63" spans="1:21" hidden="1">
      <c r="A63" s="33"/>
      <c r="B63" s="18"/>
      <c r="C63" s="33"/>
      <c r="D63" s="36"/>
      <c r="E63" s="36"/>
      <c r="F63" s="36"/>
      <c r="G63" s="36"/>
      <c r="H63" s="36"/>
      <c r="I63" s="36"/>
      <c r="J63" s="36"/>
      <c r="K63" s="36"/>
      <c r="L63" s="36"/>
      <c r="M63" s="36"/>
      <c r="N63" s="36"/>
      <c r="O63" s="15"/>
      <c r="P63" s="15"/>
      <c r="Q63" s="37">
        <f>Q59+Q60+Q62</f>
        <v>17815.317139986197</v>
      </c>
      <c r="R63" s="37">
        <f>R59+R60+R62</f>
        <v>32871.660385565592</v>
      </c>
      <c r="S63" s="37">
        <f>S59+S60+S62</f>
        <v>0</v>
      </c>
      <c r="T63" s="37">
        <f>T59+T60+T62</f>
        <v>0</v>
      </c>
      <c r="U63" s="37">
        <f>U59+U60+U62</f>
        <v>50686.977525551789</v>
      </c>
    </row>
    <row r="64" spans="1:21" ht="33" customHeight="1" thickBot="1">
      <c r="A64" s="1">
        <v>49</v>
      </c>
      <c r="B64" s="64" t="s">
        <v>149</v>
      </c>
      <c r="C64" s="1" t="str">
        <f>"("&amp;A$38&amp;") + ("&amp;A62&amp;")"</f>
        <v>(26) + (48)</v>
      </c>
      <c r="D64" s="7">
        <f t="shared" ref="D64:N64" si="43">D34+D62</f>
        <v>209808.35391183267</v>
      </c>
      <c r="E64" s="7">
        <f t="shared" si="43"/>
        <v>-151197.40665853582</v>
      </c>
      <c r="F64" s="7">
        <f t="shared" si="43"/>
        <v>-1474493.2680778373</v>
      </c>
      <c r="G64" s="7">
        <f t="shared" si="43"/>
        <v>-985716.50525667681</v>
      </c>
      <c r="H64" s="7">
        <f t="shared" si="43"/>
        <v>214981.66570377629</v>
      </c>
      <c r="I64" s="7">
        <f t="shared" si="43"/>
        <v>-403018.19438265171</v>
      </c>
      <c r="J64" s="7">
        <f t="shared" si="43"/>
        <v>-403018.19438265171</v>
      </c>
      <c r="K64" s="7">
        <f t="shared" si="43"/>
        <v>-403018.19438265171</v>
      </c>
      <c r="L64" s="7">
        <f t="shared" si="43"/>
        <v>-403018.19438265171</v>
      </c>
      <c r="M64" s="7">
        <f t="shared" si="43"/>
        <v>-403018.19438265171</v>
      </c>
      <c r="N64" s="7">
        <f t="shared" si="43"/>
        <v>-403018.19438265171</v>
      </c>
      <c r="O64" s="104">
        <f>O34+O62</f>
        <v>-403018.19438265171</v>
      </c>
      <c r="P64" s="134"/>
      <c r="Q64" s="7"/>
      <c r="R64" s="7"/>
      <c r="S64" s="7"/>
      <c r="T64" s="7"/>
      <c r="U64" s="18"/>
    </row>
    <row r="65" spans="1:21" ht="33" customHeight="1">
      <c r="A65" s="228"/>
      <c r="B65" s="228"/>
      <c r="C65" s="228"/>
      <c r="D65" s="228"/>
      <c r="E65" s="228"/>
      <c r="F65" s="228"/>
      <c r="G65" s="228"/>
      <c r="H65" s="228"/>
      <c r="I65" s="228"/>
      <c r="J65" s="228"/>
      <c r="K65" s="228"/>
      <c r="L65" s="228"/>
      <c r="M65" s="228"/>
      <c r="N65" s="228"/>
      <c r="O65" s="228"/>
      <c r="P65" s="228"/>
      <c r="Q65" s="228"/>
      <c r="R65" s="228"/>
      <c r="S65" s="228"/>
      <c r="T65" s="228"/>
      <c r="U65" s="228"/>
    </row>
  </sheetData>
  <mergeCells count="2">
    <mergeCell ref="A35:U35"/>
    <mergeCell ref="A65:U65"/>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2023</oddHeader>
    <oddFooter>&amp;Cfile: &amp;F / &amp;A</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73"/>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
  <sheetViews>
    <sheetView tabSelected="1" view="pageBreakPreview" zoomScale="60" zoomScaleNormal="100" workbookViewId="0">
      <selection activeCell="AA14" sqref="AA14"/>
    </sheetView>
  </sheetViews>
  <sheetFormatPr defaultRowHeight="15"/>
  <cols>
    <col min="1" max="1" width="7.28515625" style="155" customWidth="1"/>
    <col min="2" max="2" width="38.42578125" style="155" customWidth="1"/>
    <col min="3" max="3" width="18.7109375" style="155" customWidth="1"/>
    <col min="4" max="4" width="13.28515625" style="155" customWidth="1"/>
    <col min="5" max="5" width="12.140625" style="155" customWidth="1"/>
    <col min="6" max="6" width="12.42578125" style="155" customWidth="1"/>
    <col min="7" max="7" width="12.140625" style="155" customWidth="1"/>
    <col min="8" max="8" width="11.7109375" style="155" customWidth="1"/>
    <col min="9" max="9" width="12" style="155" customWidth="1"/>
    <col min="10" max="10" width="11.28515625" style="155" hidden="1" customWidth="1"/>
    <col min="11" max="11" width="11.85546875" style="155" hidden="1" customWidth="1"/>
    <col min="12" max="12" width="11.28515625" style="155" hidden="1" customWidth="1"/>
    <col min="13" max="13" width="12.28515625" style="155" hidden="1" customWidth="1"/>
    <col min="14" max="14" width="13.28515625" style="155" hidden="1" customWidth="1"/>
    <col min="15" max="15" width="12.28515625" style="155" hidden="1" customWidth="1"/>
    <col min="16" max="16" width="4.28515625" style="155" hidden="1" customWidth="1"/>
    <col min="17" max="17" width="12.5703125" style="155" customWidth="1"/>
    <col min="18" max="18" width="11.28515625" style="155" customWidth="1"/>
    <col min="19" max="19" width="11" style="155" hidden="1" customWidth="1"/>
    <col min="20" max="20" width="11.28515625" style="155" hidden="1" customWidth="1"/>
    <col min="21" max="21" width="11.28515625" style="155" customWidth="1"/>
    <col min="22" max="16384" width="9.140625" style="155"/>
  </cols>
  <sheetData>
    <row r="1" spans="1:21" ht="15.75">
      <c r="A1" s="65" t="s">
        <v>0</v>
      </c>
      <c r="B1" s="65"/>
      <c r="C1" s="65"/>
      <c r="D1" s="65"/>
      <c r="E1" s="65"/>
      <c r="F1" s="65"/>
      <c r="G1" s="65"/>
      <c r="H1" s="65"/>
      <c r="I1" s="65"/>
      <c r="J1" s="65"/>
      <c r="K1" s="65"/>
      <c r="L1" s="65"/>
      <c r="M1" s="65"/>
      <c r="N1" s="65"/>
      <c r="O1" s="65"/>
      <c r="P1" s="65"/>
      <c r="Q1" s="65"/>
      <c r="R1" s="65"/>
      <c r="S1" s="65"/>
      <c r="T1" s="65"/>
      <c r="U1" s="65"/>
    </row>
    <row r="2" spans="1:21" ht="18.75" customHeight="1">
      <c r="A2" s="125" t="str">
        <f>'Electric Deferral'!A2</f>
        <v>Decoupling Mechanism - UE-220053 Base Effective 12/21/2022</v>
      </c>
      <c r="B2" s="125"/>
      <c r="C2" s="125"/>
      <c r="D2" s="125"/>
      <c r="E2" s="125"/>
      <c r="F2" s="125"/>
      <c r="G2" s="125"/>
      <c r="H2" s="125"/>
      <c r="I2" s="125"/>
      <c r="J2" s="125"/>
      <c r="K2" s="125"/>
      <c r="L2" s="125"/>
      <c r="M2" s="125"/>
      <c r="N2" s="125"/>
      <c r="O2" s="214"/>
      <c r="P2" s="125"/>
      <c r="Q2" s="67"/>
      <c r="R2" s="67"/>
      <c r="S2" s="67"/>
      <c r="T2" s="67"/>
      <c r="U2" s="67"/>
    </row>
    <row r="3" spans="1:21" ht="21.75" customHeight="1">
      <c r="A3" s="65" t="str">
        <f>'Electric Deferral'!A3</f>
        <v>Development of WA Electric Deferrals (Calendar Year 2023)</v>
      </c>
      <c r="B3" s="65"/>
      <c r="C3" s="65"/>
      <c r="D3" s="65"/>
      <c r="E3" s="65"/>
      <c r="F3" s="65"/>
      <c r="G3" s="65"/>
      <c r="H3" s="65"/>
      <c r="I3" s="65"/>
      <c r="J3" s="65"/>
      <c r="K3" s="65"/>
      <c r="L3" s="65"/>
      <c r="M3" s="65"/>
      <c r="N3" s="65"/>
      <c r="O3" s="7"/>
      <c r="P3" s="65"/>
      <c r="Q3" s="66"/>
      <c r="R3" s="66"/>
      <c r="S3" s="66"/>
      <c r="T3" s="66"/>
      <c r="U3" s="66"/>
    </row>
    <row r="4" spans="1:21" ht="15" customHeight="1">
      <c r="A4" s="66"/>
      <c r="B4" s="40"/>
      <c r="C4" s="40"/>
      <c r="D4" s="40"/>
      <c r="E4" s="40"/>
      <c r="F4" s="40"/>
      <c r="G4" s="40"/>
      <c r="H4" s="40"/>
      <c r="I4" s="40"/>
      <c r="J4" s="40"/>
      <c r="K4" s="40"/>
      <c r="L4" s="40"/>
      <c r="M4" s="40"/>
      <c r="N4" s="40"/>
      <c r="O4" s="7"/>
      <c r="P4" s="40"/>
      <c r="Q4" s="40"/>
      <c r="R4" s="32"/>
      <c r="S4" s="40"/>
      <c r="T4" s="40"/>
      <c r="U4" s="165"/>
    </row>
    <row r="5" spans="1:21" ht="30" customHeight="1">
      <c r="A5" s="18"/>
      <c r="B5" s="18"/>
      <c r="C5" s="18"/>
      <c r="D5" s="147"/>
      <c r="E5" s="147"/>
      <c r="F5" s="147"/>
      <c r="G5" s="4"/>
      <c r="H5" s="4"/>
      <c r="I5" s="4"/>
      <c r="J5" s="4"/>
      <c r="K5" s="4"/>
      <c r="L5" s="4"/>
      <c r="M5" s="4"/>
      <c r="N5" s="4"/>
      <c r="O5" s="221" t="s">
        <v>262</v>
      </c>
      <c r="P5" s="4"/>
      <c r="Q5" s="166" t="s">
        <v>136</v>
      </c>
      <c r="R5" s="166" t="s">
        <v>137</v>
      </c>
      <c r="S5" s="166" t="s">
        <v>138</v>
      </c>
      <c r="T5" s="166" t="s">
        <v>139</v>
      </c>
      <c r="U5" s="31" t="s">
        <v>166</v>
      </c>
    </row>
    <row r="6" spans="1:21" ht="25.5">
      <c r="A6" s="60" t="s">
        <v>1</v>
      </c>
      <c r="B6" s="61"/>
      <c r="C6" s="57" t="s">
        <v>2</v>
      </c>
      <c r="D6" s="68">
        <v>44927</v>
      </c>
      <c r="E6" s="62">
        <f t="shared" ref="E6:O6" si="0">EDATE(D6,1)</f>
        <v>44958</v>
      </c>
      <c r="F6" s="62">
        <f t="shared" si="0"/>
        <v>44986</v>
      </c>
      <c r="G6" s="62">
        <f t="shared" si="0"/>
        <v>45017</v>
      </c>
      <c r="H6" s="62">
        <f t="shared" si="0"/>
        <v>45047</v>
      </c>
      <c r="I6" s="62">
        <f t="shared" si="0"/>
        <v>45078</v>
      </c>
      <c r="J6" s="62">
        <f t="shared" si="0"/>
        <v>45108</v>
      </c>
      <c r="K6" s="62">
        <f t="shared" si="0"/>
        <v>45139</v>
      </c>
      <c r="L6" s="62">
        <f t="shared" si="0"/>
        <v>45170</v>
      </c>
      <c r="M6" s="62">
        <f t="shared" si="0"/>
        <v>45200</v>
      </c>
      <c r="N6" s="62">
        <f t="shared" si="0"/>
        <v>45231</v>
      </c>
      <c r="O6" s="62">
        <f t="shared" si="0"/>
        <v>45261</v>
      </c>
      <c r="P6" s="62"/>
      <c r="Q6" s="62" t="s">
        <v>3</v>
      </c>
      <c r="R6" s="14" t="s">
        <v>3</v>
      </c>
      <c r="S6" s="14" t="s">
        <v>3</v>
      </c>
      <c r="T6" s="14" t="s">
        <v>3</v>
      </c>
      <c r="U6" s="14" t="s">
        <v>3</v>
      </c>
    </row>
    <row r="7" spans="1:21">
      <c r="A7" s="33"/>
      <c r="B7" s="33" t="s">
        <v>4</v>
      </c>
      <c r="C7" s="33" t="s">
        <v>5</v>
      </c>
      <c r="D7" s="33" t="s">
        <v>6</v>
      </c>
      <c r="E7" s="33" t="s">
        <v>7</v>
      </c>
      <c r="F7" s="33" t="s">
        <v>8</v>
      </c>
      <c r="G7" s="33" t="s">
        <v>9</v>
      </c>
      <c r="H7" s="33" t="s">
        <v>10</v>
      </c>
      <c r="I7" s="33" t="s">
        <v>11</v>
      </c>
      <c r="J7" s="33" t="s">
        <v>12</v>
      </c>
      <c r="K7" s="33" t="s">
        <v>13</v>
      </c>
      <c r="L7" s="33" t="s">
        <v>14</v>
      </c>
      <c r="M7" s="33" t="s">
        <v>15</v>
      </c>
      <c r="N7" s="33" t="s">
        <v>16</v>
      </c>
      <c r="O7" s="33" t="s">
        <v>17</v>
      </c>
      <c r="P7" s="33"/>
      <c r="Q7" s="33" t="s">
        <v>18</v>
      </c>
      <c r="R7" s="33"/>
      <c r="S7" s="33"/>
      <c r="T7" s="33"/>
      <c r="U7" s="33" t="s">
        <v>18</v>
      </c>
    </row>
    <row r="8" spans="1:21">
      <c r="A8" s="33"/>
      <c r="B8" s="1" t="s">
        <v>19</v>
      </c>
      <c r="C8" s="33"/>
      <c r="D8" s="33"/>
      <c r="E8" s="33"/>
      <c r="F8" s="33"/>
      <c r="G8" s="33"/>
      <c r="H8" s="33"/>
      <c r="I8" s="33"/>
      <c r="J8" s="33"/>
      <c r="K8" s="33"/>
      <c r="L8" s="33"/>
      <c r="M8" s="33"/>
      <c r="N8" s="33"/>
      <c r="O8" s="33"/>
      <c r="P8" s="33"/>
      <c r="Q8" s="36"/>
      <c r="R8" s="36"/>
      <c r="S8" s="36"/>
      <c r="T8" s="36"/>
      <c r="U8" s="36"/>
    </row>
    <row r="9" spans="1:21">
      <c r="A9" s="33">
        <v>1</v>
      </c>
      <c r="B9" s="18" t="s">
        <v>20</v>
      </c>
      <c r="C9" s="33" t="s">
        <v>21</v>
      </c>
      <c r="D9" s="127">
        <v>173633</v>
      </c>
      <c r="E9" s="127">
        <v>172712</v>
      </c>
      <c r="F9" s="127">
        <v>173942</v>
      </c>
      <c r="G9" s="127">
        <v>173889</v>
      </c>
      <c r="H9" s="127">
        <v>173225</v>
      </c>
      <c r="I9" s="127">
        <v>173320</v>
      </c>
      <c r="J9" s="127"/>
      <c r="K9" s="127"/>
      <c r="L9" s="127"/>
      <c r="M9" s="127"/>
      <c r="N9" s="127"/>
      <c r="O9" s="127"/>
      <c r="P9" s="127"/>
      <c r="Q9" s="35">
        <f t="shared" ref="Q9:Q16" si="1">SUM(D9:F9)</f>
        <v>520287</v>
      </c>
      <c r="R9" s="35">
        <f t="shared" ref="R9:R16" si="2">SUM(G9:I9)</f>
        <v>520434</v>
      </c>
      <c r="S9" s="35">
        <f t="shared" ref="S9:S16" si="3">SUM(J9:L9)</f>
        <v>0</v>
      </c>
      <c r="T9" s="35">
        <f t="shared" ref="T9:T16" si="4">SUM(M9:O9)</f>
        <v>0</v>
      </c>
      <c r="U9" s="35">
        <f t="shared" ref="U9:U16" si="5">SUM(D9:O9)</f>
        <v>1040721</v>
      </c>
    </row>
    <row r="10" spans="1:21">
      <c r="A10" s="33">
        <v>2</v>
      </c>
      <c r="B10" s="2" t="s">
        <v>150</v>
      </c>
      <c r="C10" s="33" t="s">
        <v>21</v>
      </c>
      <c r="D10" s="127">
        <v>22601885.002070002</v>
      </c>
      <c r="E10" s="127">
        <v>19989351.427620001</v>
      </c>
      <c r="F10" s="127">
        <v>16519447.65312</v>
      </c>
      <c r="G10" s="127">
        <v>10864934.560000001</v>
      </c>
      <c r="H10" s="127">
        <v>3347499.6300000004</v>
      </c>
      <c r="I10" s="127">
        <v>2366408.2311499999</v>
      </c>
      <c r="J10" s="127"/>
      <c r="K10" s="127"/>
      <c r="L10" s="127"/>
      <c r="M10" s="127"/>
      <c r="N10" s="127"/>
      <c r="O10" s="127"/>
      <c r="P10" s="127"/>
      <c r="Q10" s="35">
        <f t="shared" si="1"/>
        <v>59110684.08281</v>
      </c>
      <c r="R10" s="35">
        <f t="shared" si="2"/>
        <v>16578842.421150001</v>
      </c>
      <c r="S10" s="35">
        <f t="shared" si="3"/>
        <v>0</v>
      </c>
      <c r="T10" s="35">
        <f t="shared" si="4"/>
        <v>0</v>
      </c>
      <c r="U10" s="35">
        <f t="shared" si="5"/>
        <v>75689526.503959998</v>
      </c>
    </row>
    <row r="11" spans="1:21">
      <c r="A11" s="33">
        <v>3</v>
      </c>
      <c r="B11" s="18" t="s">
        <v>37</v>
      </c>
      <c r="C11" s="33" t="s">
        <v>21</v>
      </c>
      <c r="D11" s="128">
        <v>16678383.611880023</v>
      </c>
      <c r="E11" s="128">
        <v>14625077.48037</v>
      </c>
      <c r="F11" s="128">
        <v>10981761.12126</v>
      </c>
      <c r="G11" s="128">
        <v>7317069.6807999983</v>
      </c>
      <c r="H11" s="128">
        <v>3097850.0917999996</v>
      </c>
      <c r="I11" s="128">
        <v>2375590.8542800001</v>
      </c>
      <c r="J11" s="128"/>
      <c r="K11" s="128"/>
      <c r="L11" s="128"/>
      <c r="M11" s="128"/>
      <c r="N11" s="128"/>
      <c r="O11" s="128"/>
      <c r="P11" s="128"/>
      <c r="Q11" s="36">
        <f t="shared" si="1"/>
        <v>42285222.213510022</v>
      </c>
      <c r="R11" s="36">
        <f t="shared" si="2"/>
        <v>12790510.626879999</v>
      </c>
      <c r="S11" s="36">
        <f t="shared" si="3"/>
        <v>0</v>
      </c>
      <c r="T11" s="36">
        <f t="shared" si="4"/>
        <v>0</v>
      </c>
      <c r="U11" s="36">
        <f t="shared" si="5"/>
        <v>55075732.840390019</v>
      </c>
    </row>
    <row r="12" spans="1:21">
      <c r="A12" s="33">
        <v>4</v>
      </c>
      <c r="B12" s="18" t="s">
        <v>24</v>
      </c>
      <c r="C12" s="33" t="s">
        <v>21</v>
      </c>
      <c r="D12" s="128">
        <v>1666160</v>
      </c>
      <c r="E12" s="128">
        <v>1522935.5</v>
      </c>
      <c r="F12" s="128">
        <v>1802948</v>
      </c>
      <c r="G12" s="128">
        <v>1597045</v>
      </c>
      <c r="H12" s="128">
        <v>1734652.5</v>
      </c>
      <c r="I12" s="128">
        <v>1675334.5</v>
      </c>
      <c r="J12" s="128"/>
      <c r="K12" s="128"/>
      <c r="L12" s="128"/>
      <c r="M12" s="128"/>
      <c r="N12" s="128"/>
      <c r="O12" s="128"/>
      <c r="P12" s="128"/>
      <c r="Q12" s="36">
        <f t="shared" si="1"/>
        <v>4992043.5</v>
      </c>
      <c r="R12" s="36">
        <f t="shared" si="2"/>
        <v>5007032</v>
      </c>
      <c r="S12" s="36">
        <f t="shared" si="3"/>
        <v>0</v>
      </c>
      <c r="T12" s="36">
        <f t="shared" si="4"/>
        <v>0</v>
      </c>
      <c r="U12" s="36">
        <f t="shared" si="5"/>
        <v>9999075.5</v>
      </c>
    </row>
    <row r="13" spans="1:21" ht="30" customHeight="1">
      <c r="A13" s="33">
        <v>5</v>
      </c>
      <c r="B13" s="18" t="s">
        <v>141</v>
      </c>
      <c r="C13" s="33" t="s">
        <v>21</v>
      </c>
      <c r="D13" s="127">
        <v>2884</v>
      </c>
      <c r="E13" s="127">
        <v>2946</v>
      </c>
      <c r="F13" s="127">
        <v>3078</v>
      </c>
      <c r="G13" s="127">
        <v>3134</v>
      </c>
      <c r="H13" s="127">
        <v>3281</v>
      </c>
      <c r="I13" s="127">
        <v>3373</v>
      </c>
      <c r="J13" s="127"/>
      <c r="K13" s="127"/>
      <c r="L13" s="127"/>
      <c r="M13" s="127"/>
      <c r="N13" s="127"/>
      <c r="O13" s="127"/>
      <c r="P13" s="220"/>
      <c r="Q13" s="35">
        <f t="shared" si="1"/>
        <v>8908</v>
      </c>
      <c r="R13" s="35">
        <f t="shared" si="2"/>
        <v>9788</v>
      </c>
      <c r="S13" s="35">
        <f t="shared" si="3"/>
        <v>0</v>
      </c>
      <c r="T13" s="35">
        <f t="shared" si="4"/>
        <v>0</v>
      </c>
      <c r="U13" s="35">
        <f t="shared" si="5"/>
        <v>18696</v>
      </c>
    </row>
    <row r="14" spans="1:21">
      <c r="A14" s="33">
        <v>6</v>
      </c>
      <c r="B14" s="2" t="s">
        <v>151</v>
      </c>
      <c r="C14" s="33" t="s">
        <v>21</v>
      </c>
      <c r="D14" s="127">
        <v>416709.87647999998</v>
      </c>
      <c r="E14" s="127">
        <v>377269.87972999999</v>
      </c>
      <c r="F14" s="127">
        <v>303236.00008000003</v>
      </c>
      <c r="G14" s="127">
        <v>225097.389</v>
      </c>
      <c r="H14" s="127">
        <v>101342</v>
      </c>
      <c r="I14" s="127">
        <v>28784.736299999997</v>
      </c>
      <c r="J14" s="127"/>
      <c r="K14" s="127"/>
      <c r="L14" s="127"/>
      <c r="M14" s="127"/>
      <c r="N14" s="127"/>
      <c r="O14" s="127"/>
      <c r="P14" s="127"/>
      <c r="Q14" s="35">
        <f t="shared" si="1"/>
        <v>1097215.7562899999</v>
      </c>
      <c r="R14" s="35">
        <f t="shared" si="2"/>
        <v>355224.12529999996</v>
      </c>
      <c r="S14" s="35">
        <f t="shared" si="3"/>
        <v>0</v>
      </c>
      <c r="T14" s="35">
        <f t="shared" si="4"/>
        <v>0</v>
      </c>
      <c r="U14" s="35">
        <f t="shared" si="5"/>
        <v>1452439.8815899999</v>
      </c>
    </row>
    <row r="15" spans="1:21">
      <c r="A15" s="33">
        <v>7</v>
      </c>
      <c r="B15" s="18" t="s">
        <v>143</v>
      </c>
      <c r="C15" s="33" t="s">
        <v>21</v>
      </c>
      <c r="D15" s="128">
        <v>270450.88</v>
      </c>
      <c r="E15" s="128">
        <v>250508.45</v>
      </c>
      <c r="F15" s="128">
        <v>204761.54</v>
      </c>
      <c r="G15" s="128">
        <v>157266.94999999998</v>
      </c>
      <c r="H15" s="128">
        <v>86897.919999999998</v>
      </c>
      <c r="I15" s="128">
        <v>47212.75</v>
      </c>
      <c r="J15" s="128"/>
      <c r="K15" s="128"/>
      <c r="L15" s="128"/>
      <c r="M15" s="128"/>
      <c r="N15" s="128"/>
      <c r="O15" s="128"/>
      <c r="P15" s="128"/>
      <c r="Q15" s="36">
        <f t="shared" si="1"/>
        <v>725720.87</v>
      </c>
      <c r="R15" s="36">
        <f t="shared" si="2"/>
        <v>291377.62</v>
      </c>
      <c r="S15" s="36">
        <f t="shared" si="3"/>
        <v>0</v>
      </c>
      <c r="T15" s="36">
        <f t="shared" si="4"/>
        <v>0</v>
      </c>
      <c r="U15" s="36">
        <f t="shared" si="5"/>
        <v>1017098.49</v>
      </c>
    </row>
    <row r="16" spans="1:21">
      <c r="A16" s="33">
        <v>8</v>
      </c>
      <c r="B16" s="18" t="s">
        <v>152</v>
      </c>
      <c r="C16" s="33" t="s">
        <v>21</v>
      </c>
      <c r="D16" s="128">
        <v>27578.5</v>
      </c>
      <c r="E16" s="128">
        <v>28101</v>
      </c>
      <c r="F16" s="128">
        <v>29193.5</v>
      </c>
      <c r="G16" s="128">
        <v>29896.5</v>
      </c>
      <c r="H16" s="128">
        <v>31141</v>
      </c>
      <c r="I16" s="128">
        <v>32034</v>
      </c>
      <c r="J16" s="128"/>
      <c r="K16" s="128"/>
      <c r="L16" s="128"/>
      <c r="M16" s="128"/>
      <c r="N16" s="128"/>
      <c r="O16" s="128"/>
      <c r="P16" s="128"/>
      <c r="Q16" s="36">
        <f t="shared" si="1"/>
        <v>84873</v>
      </c>
      <c r="R16" s="36">
        <f t="shared" si="2"/>
        <v>93071.5</v>
      </c>
      <c r="S16" s="36">
        <f t="shared" si="3"/>
        <v>0</v>
      </c>
      <c r="T16" s="36">
        <f t="shared" si="4"/>
        <v>0</v>
      </c>
      <c r="U16" s="36">
        <f t="shared" si="5"/>
        <v>177944.5</v>
      </c>
    </row>
    <row r="17" spans="1:21">
      <c r="A17" s="33"/>
      <c r="B17" s="1"/>
      <c r="C17" s="33"/>
      <c r="D17" s="33"/>
      <c r="E17" s="33"/>
      <c r="F17" s="33"/>
      <c r="G17" s="33"/>
      <c r="H17" s="33"/>
      <c r="I17" s="33"/>
      <c r="J17" s="33"/>
      <c r="K17" s="33"/>
      <c r="L17" s="33"/>
      <c r="M17" s="33"/>
      <c r="N17" s="33"/>
      <c r="O17" s="33"/>
      <c r="P17" s="33"/>
      <c r="Q17" s="36"/>
      <c r="R17" s="36"/>
      <c r="S17" s="36"/>
      <c r="T17" s="36"/>
      <c r="U17" s="36"/>
    </row>
    <row r="18" spans="1:21">
      <c r="A18" s="33">
        <v>9</v>
      </c>
      <c r="B18" s="18" t="s">
        <v>153</v>
      </c>
      <c r="C18" s="33" t="str">
        <f>"("&amp;A9&amp;") - ("&amp;A13&amp;")"</f>
        <v>(1) - (5)</v>
      </c>
      <c r="D18" s="129">
        <f>D9-D13</f>
        <v>170749</v>
      </c>
      <c r="E18" s="129">
        <f>E9-E13</f>
        <v>169766</v>
      </c>
      <c r="F18" s="129">
        <f>F9-F13</f>
        <v>170864</v>
      </c>
      <c r="G18" s="129">
        <f>G9-G13</f>
        <v>170755</v>
      </c>
      <c r="H18" s="35">
        <f t="shared" ref="H18:O18" si="6">H9-H13</f>
        <v>169944</v>
      </c>
      <c r="I18" s="35">
        <f>I9-I13</f>
        <v>169947</v>
      </c>
      <c r="J18" s="35">
        <f t="shared" si="6"/>
        <v>0</v>
      </c>
      <c r="K18" s="35">
        <f t="shared" si="6"/>
        <v>0</v>
      </c>
      <c r="L18" s="35">
        <f t="shared" si="6"/>
        <v>0</v>
      </c>
      <c r="M18" s="35">
        <f t="shared" si="6"/>
        <v>0</v>
      </c>
      <c r="N18" s="35">
        <f t="shared" si="6"/>
        <v>0</v>
      </c>
      <c r="O18" s="35">
        <f t="shared" si="6"/>
        <v>0</v>
      </c>
      <c r="P18" s="35"/>
      <c r="Q18" s="35">
        <f>SUM(D18:F18)</f>
        <v>511379</v>
      </c>
      <c r="R18" s="35">
        <f>SUM(G18:I18)</f>
        <v>510646</v>
      </c>
      <c r="S18" s="35">
        <f>SUM(J18:L18)</f>
        <v>0</v>
      </c>
      <c r="T18" s="35">
        <f>SUM(M18:O18)</f>
        <v>0</v>
      </c>
      <c r="U18" s="35">
        <f>SUM(D18:O18)</f>
        <v>1022025</v>
      </c>
    </row>
    <row r="19" spans="1:21">
      <c r="A19" s="167">
        <f t="shared" ref="A19:A20" si="7">A18+1</f>
        <v>10</v>
      </c>
      <c r="B19" s="56" t="s">
        <v>22</v>
      </c>
      <c r="C19" s="157" t="s">
        <v>71</v>
      </c>
      <c r="D19" s="213">
        <v>75.777961835617191</v>
      </c>
      <c r="E19" s="213">
        <v>64.565706613115211</v>
      </c>
      <c r="F19" s="213">
        <v>51.556068261752387</v>
      </c>
      <c r="G19" s="213">
        <v>33.501899979108551</v>
      </c>
      <c r="H19" s="213">
        <v>16.340183930436712</v>
      </c>
      <c r="I19" s="213">
        <v>12.566207234192875</v>
      </c>
      <c r="J19" s="213">
        <v>8.3156648590209539</v>
      </c>
      <c r="K19" s="213">
        <v>7.7900644946651854</v>
      </c>
      <c r="L19" s="213">
        <v>12.305967523032749</v>
      </c>
      <c r="M19" s="213">
        <v>30.100864128015932</v>
      </c>
      <c r="N19" s="213">
        <v>58.156529077566901</v>
      </c>
      <c r="O19" s="213">
        <v>77.012882063475416</v>
      </c>
      <c r="P19" s="216" t="s">
        <v>158</v>
      </c>
      <c r="Q19" s="69">
        <f>Q20/Q18</f>
        <v>63.962636326145535</v>
      </c>
      <c r="R19" s="69">
        <f>R20/R18</f>
        <v>20.822883895372126</v>
      </c>
      <c r="S19" s="69" t="e">
        <f>S20/S18</f>
        <v>#DIV/0!</v>
      </c>
      <c r="T19" s="69" t="e">
        <f>T20/T18</f>
        <v>#DIV/0!</v>
      </c>
      <c r="U19" s="69">
        <f>U20/U18</f>
        <v>42.40823010343599</v>
      </c>
    </row>
    <row r="20" spans="1:21">
      <c r="A20" s="33">
        <f t="shared" si="7"/>
        <v>11</v>
      </c>
      <c r="B20" s="18" t="s">
        <v>23</v>
      </c>
      <c r="C20" s="33" t="str">
        <f>"("&amp;A18&amp;") x ("&amp;A19&amp;")"</f>
        <v>(9) x (10)</v>
      </c>
      <c r="D20" s="36">
        <f t="shared" ref="D20:N20" si="8">D18*D19</f>
        <v>12939011.2054698</v>
      </c>
      <c r="E20" s="36">
        <f t="shared" si="8"/>
        <v>10961061.748882117</v>
      </c>
      <c r="F20" s="36">
        <f t="shared" si="8"/>
        <v>8809076.0474760607</v>
      </c>
      <c r="G20" s="36">
        <f t="shared" si="8"/>
        <v>5720616.9309326801</v>
      </c>
      <c r="H20" s="36">
        <f t="shared" si="8"/>
        <v>2776916.2178741368</v>
      </c>
      <c r="I20" s="36">
        <f t="shared" si="8"/>
        <v>2135589.2208293765</v>
      </c>
      <c r="J20" s="36">
        <f t="shared" si="8"/>
        <v>0</v>
      </c>
      <c r="K20" s="36">
        <f t="shared" si="8"/>
        <v>0</v>
      </c>
      <c r="L20" s="36">
        <f t="shared" si="8"/>
        <v>0</v>
      </c>
      <c r="M20" s="36">
        <f t="shared" si="8"/>
        <v>0</v>
      </c>
      <c r="N20" s="36">
        <f t="shared" si="8"/>
        <v>0</v>
      </c>
      <c r="O20" s="132">
        <f>O18*O19</f>
        <v>0</v>
      </c>
      <c r="P20" s="217" t="s">
        <v>160</v>
      </c>
      <c r="Q20" s="36">
        <f>SUM(D20:F20)</f>
        <v>32709149.001827978</v>
      </c>
      <c r="R20" s="36">
        <f>SUM(G20:I20)</f>
        <v>10633122.369636195</v>
      </c>
      <c r="S20" s="36">
        <f>SUM(J20:L20)</f>
        <v>0</v>
      </c>
      <c r="T20" s="36">
        <f>SUM(M20:O20)</f>
        <v>0</v>
      </c>
      <c r="U20" s="36">
        <f>SUM(D20:O20)</f>
        <v>43342271.371464171</v>
      </c>
    </row>
    <row r="21" spans="1:21">
      <c r="A21" s="33"/>
      <c r="B21" s="18"/>
      <c r="C21" s="33"/>
      <c r="D21" s="36"/>
      <c r="E21" s="36"/>
      <c r="F21" s="36"/>
      <c r="G21" s="36"/>
      <c r="H21" s="36"/>
      <c r="I21" s="36"/>
      <c r="J21" s="36"/>
      <c r="K21" s="36"/>
      <c r="L21" s="36"/>
      <c r="M21" s="36"/>
      <c r="N21" s="36"/>
      <c r="O21" s="36"/>
      <c r="P21" s="36"/>
      <c r="Q21" s="34"/>
      <c r="R21" s="34"/>
      <c r="S21" s="34"/>
      <c r="T21" s="34"/>
      <c r="U21" s="34"/>
    </row>
    <row r="22" spans="1:21">
      <c r="A22" s="33">
        <v>12</v>
      </c>
      <c r="B22" s="18" t="s">
        <v>167</v>
      </c>
      <c r="C22" s="33" t="str">
        <f>"("&amp;A10&amp;") - ("&amp;A14&amp;")"</f>
        <v>(2) - (6)</v>
      </c>
      <c r="D22" s="129">
        <f>D10-D14</f>
        <v>22185175.125590004</v>
      </c>
      <c r="E22" s="129">
        <f>E10-E14</f>
        <v>19612081.54789</v>
      </c>
      <c r="F22" s="129">
        <f>F10-F14</f>
        <v>16216211.653039999</v>
      </c>
      <c r="G22" s="129">
        <f>G10-G14</f>
        <v>10639837.171</v>
      </c>
      <c r="H22" s="35">
        <f>H10-H14</f>
        <v>3246157.6300000004</v>
      </c>
      <c r="I22" s="35">
        <f t="shared" ref="I22:O22" si="9">I10-I14</f>
        <v>2337623.4948499999</v>
      </c>
      <c r="J22" s="35">
        <f t="shared" si="9"/>
        <v>0</v>
      </c>
      <c r="K22" s="35">
        <f t="shared" si="9"/>
        <v>0</v>
      </c>
      <c r="L22" s="35">
        <f t="shared" si="9"/>
        <v>0</v>
      </c>
      <c r="M22" s="35">
        <f t="shared" si="9"/>
        <v>0</v>
      </c>
      <c r="N22" s="35">
        <f t="shared" si="9"/>
        <v>0</v>
      </c>
      <c r="O22" s="35">
        <f t="shared" si="9"/>
        <v>0</v>
      </c>
      <c r="P22" s="35"/>
      <c r="Q22" s="35">
        <f>SUM(D22:F22)</f>
        <v>58013468.326520003</v>
      </c>
      <c r="R22" s="35">
        <f>SUM(G22:I22)</f>
        <v>16223618.295850001</v>
      </c>
      <c r="S22" s="35">
        <f>SUM(J22:L22)</f>
        <v>0</v>
      </c>
      <c r="T22" s="35">
        <f>SUM(M22:O22)</f>
        <v>0</v>
      </c>
      <c r="U22" s="35">
        <f>SUM(D22:O22)</f>
        <v>74237086.62236999</v>
      </c>
    </row>
    <row r="23" spans="1:21">
      <c r="A23" s="33">
        <v>13</v>
      </c>
      <c r="B23" s="154" t="s">
        <v>168</v>
      </c>
      <c r="C23" s="33" t="str">
        <f>"("&amp;A11&amp;") - ("&amp;A15&amp;")"</f>
        <v>(3) - (7)</v>
      </c>
      <c r="D23" s="133">
        <f t="shared" ref="D23:G24" si="10">D11-D15</f>
        <v>16407932.731880022</v>
      </c>
      <c r="E23" s="133">
        <f t="shared" si="10"/>
        <v>14374569.030370001</v>
      </c>
      <c r="F23" s="133">
        <f t="shared" si="10"/>
        <v>10776999.581260001</v>
      </c>
      <c r="G23" s="133">
        <f t="shared" si="10"/>
        <v>7159802.7307999982</v>
      </c>
      <c r="H23" s="19">
        <f t="shared" ref="H23:O24" si="11">H11-H15</f>
        <v>3010952.1717999997</v>
      </c>
      <c r="I23" s="19">
        <f t="shared" si="11"/>
        <v>2328378.1042800001</v>
      </c>
      <c r="J23" s="19">
        <f t="shared" si="11"/>
        <v>0</v>
      </c>
      <c r="K23" s="19">
        <f t="shared" si="11"/>
        <v>0</v>
      </c>
      <c r="L23" s="19">
        <f t="shared" si="11"/>
        <v>0</v>
      </c>
      <c r="M23" s="19">
        <f t="shared" si="11"/>
        <v>0</v>
      </c>
      <c r="N23" s="19">
        <f t="shared" si="11"/>
        <v>0</v>
      </c>
      <c r="O23" s="19">
        <f t="shared" si="11"/>
        <v>0</v>
      </c>
      <c r="P23" s="19"/>
      <c r="Q23" s="36">
        <f>SUM(D23:F23)</f>
        <v>41559501.343510024</v>
      </c>
      <c r="R23" s="36">
        <f>SUM(G23:I23)</f>
        <v>12499133.006879998</v>
      </c>
      <c r="S23" s="36">
        <f>SUM(J23:L23)</f>
        <v>0</v>
      </c>
      <c r="T23" s="36">
        <f>SUM(M23:O23)</f>
        <v>0</v>
      </c>
      <c r="U23" s="36">
        <f>SUM(D23:O23)</f>
        <v>54058634.350390024</v>
      </c>
    </row>
    <row r="24" spans="1:21">
      <c r="A24" s="33">
        <v>14</v>
      </c>
      <c r="B24" s="18" t="s">
        <v>169</v>
      </c>
      <c r="C24" s="33" t="str">
        <f>"("&amp;A12&amp;") - ("&amp;A16&amp;")"</f>
        <v>(4) - (8)</v>
      </c>
      <c r="D24" s="133">
        <f t="shared" si="10"/>
        <v>1638581.5</v>
      </c>
      <c r="E24" s="133">
        <f t="shared" si="10"/>
        <v>1494834.5</v>
      </c>
      <c r="F24" s="133">
        <f t="shared" si="10"/>
        <v>1773754.5</v>
      </c>
      <c r="G24" s="133">
        <f t="shared" si="10"/>
        <v>1567148.5</v>
      </c>
      <c r="H24" s="19">
        <f t="shared" si="11"/>
        <v>1703511.5</v>
      </c>
      <c r="I24" s="19">
        <f t="shared" si="11"/>
        <v>1643300.5</v>
      </c>
      <c r="J24" s="19">
        <f t="shared" si="11"/>
        <v>0</v>
      </c>
      <c r="K24" s="19">
        <f t="shared" si="11"/>
        <v>0</v>
      </c>
      <c r="L24" s="19">
        <f t="shared" si="11"/>
        <v>0</v>
      </c>
      <c r="M24" s="19">
        <f t="shared" si="11"/>
        <v>0</v>
      </c>
      <c r="N24" s="19">
        <f t="shared" si="11"/>
        <v>0</v>
      </c>
      <c r="O24" s="19">
        <f t="shared" si="11"/>
        <v>0</v>
      </c>
      <c r="P24" s="19"/>
      <c r="Q24" s="36">
        <f>SUM(D24:F24)</f>
        <v>4907170.5</v>
      </c>
      <c r="R24" s="36">
        <f>SUM(G24:I24)</f>
        <v>4913960.5</v>
      </c>
      <c r="S24" s="36">
        <f>SUM(J24:L24)</f>
        <v>0</v>
      </c>
      <c r="T24" s="36">
        <f>SUM(M24:O24)</f>
        <v>0</v>
      </c>
      <c r="U24" s="36">
        <f>SUM(D24:O24)</f>
        <v>9821131</v>
      </c>
    </row>
    <row r="25" spans="1:21">
      <c r="A25" s="33">
        <v>15</v>
      </c>
      <c r="B25" s="18" t="s">
        <v>25</v>
      </c>
      <c r="C25" s="33" t="str">
        <f>"("&amp;A23&amp;") - ("&amp;A24&amp;")"</f>
        <v>(13) - (14)</v>
      </c>
      <c r="D25" s="36">
        <f>D23-D24</f>
        <v>14769351.231880022</v>
      </c>
      <c r="E25" s="36">
        <f t="shared" ref="E25:O25" si="12">E23-E24</f>
        <v>12879734.530370001</v>
      </c>
      <c r="F25" s="36">
        <f t="shared" si="12"/>
        <v>9003245.0812600013</v>
      </c>
      <c r="G25" s="36">
        <f t="shared" si="12"/>
        <v>5592654.2307999982</v>
      </c>
      <c r="H25" s="36">
        <f t="shared" si="12"/>
        <v>1307440.6717999997</v>
      </c>
      <c r="I25" s="36">
        <f t="shared" si="12"/>
        <v>685077.60428000009</v>
      </c>
      <c r="J25" s="36">
        <f t="shared" si="12"/>
        <v>0</v>
      </c>
      <c r="K25" s="36">
        <f t="shared" si="12"/>
        <v>0</v>
      </c>
      <c r="L25" s="36">
        <f t="shared" si="12"/>
        <v>0</v>
      </c>
      <c r="M25" s="36">
        <f t="shared" si="12"/>
        <v>0</v>
      </c>
      <c r="N25" s="36">
        <f t="shared" si="12"/>
        <v>0</v>
      </c>
      <c r="O25" s="36">
        <f t="shared" si="12"/>
        <v>0</v>
      </c>
      <c r="P25" s="36"/>
      <c r="Q25" s="36">
        <f>SUM(D25:F25)</f>
        <v>36652330.843510024</v>
      </c>
      <c r="R25" s="36">
        <f>SUM(G25:I25)</f>
        <v>7585172.5068799984</v>
      </c>
      <c r="S25" s="36">
        <f>SUM(J25:L25)</f>
        <v>0</v>
      </c>
      <c r="T25" s="36">
        <f>SUM(M25:O25)</f>
        <v>0</v>
      </c>
      <c r="U25" s="36">
        <f>SUM(D25:O25)</f>
        <v>44237503.350390024</v>
      </c>
    </row>
    <row r="26" spans="1:21">
      <c r="A26" s="33">
        <v>16</v>
      </c>
      <c r="B26" s="2" t="s">
        <v>26</v>
      </c>
      <c r="C26" s="33" t="str">
        <f>"("&amp;A25&amp;") / ("&amp;A18&amp;")"</f>
        <v>(15) / (9)</v>
      </c>
      <c r="D26" s="5">
        <f>D25/D18</f>
        <v>86.497439117535222</v>
      </c>
      <c r="E26" s="5">
        <f t="shared" ref="E26:O26" si="13">E25/E18</f>
        <v>75.867573780203344</v>
      </c>
      <c r="F26" s="5">
        <f t="shared" si="13"/>
        <v>52.692463487100859</v>
      </c>
      <c r="G26" s="5">
        <f t="shared" si="13"/>
        <v>32.752506402740757</v>
      </c>
      <c r="H26" s="5">
        <f t="shared" si="13"/>
        <v>7.693361765052015</v>
      </c>
      <c r="I26" s="5">
        <f t="shared" si="13"/>
        <v>4.0311250229777524</v>
      </c>
      <c r="J26" s="5" t="e">
        <f t="shared" si="13"/>
        <v>#DIV/0!</v>
      </c>
      <c r="K26" s="5" t="e">
        <f t="shared" si="13"/>
        <v>#DIV/0!</v>
      </c>
      <c r="L26" s="5" t="e">
        <f t="shared" si="13"/>
        <v>#DIV/0!</v>
      </c>
      <c r="M26" s="5" t="e">
        <f t="shared" si="13"/>
        <v>#DIV/0!</v>
      </c>
      <c r="N26" s="5" t="e">
        <f t="shared" si="13"/>
        <v>#DIV/0!</v>
      </c>
      <c r="O26" s="5" t="e">
        <f t="shared" si="13"/>
        <v>#DIV/0!</v>
      </c>
      <c r="P26" s="5"/>
      <c r="Q26" s="69">
        <f>Q25/Q18</f>
        <v>71.673515814122254</v>
      </c>
      <c r="R26" s="69">
        <f>R25/R18</f>
        <v>14.854072110385665</v>
      </c>
      <c r="S26" s="69" t="e">
        <f>S25/S18</f>
        <v>#DIV/0!</v>
      </c>
      <c r="T26" s="69" t="e">
        <f>T25/T18</f>
        <v>#DIV/0!</v>
      </c>
      <c r="U26" s="69">
        <f>U25/U18</f>
        <v>43.284169516782882</v>
      </c>
    </row>
    <row r="27" spans="1:21">
      <c r="A27" s="33">
        <v>17</v>
      </c>
      <c r="B27" s="18" t="s">
        <v>27</v>
      </c>
      <c r="C27" s="33" t="str">
        <f>"("&amp;A$23&amp;") - ("&amp;A25&amp;")"</f>
        <v>(13) - (15)</v>
      </c>
      <c r="D27" s="19">
        <f t="shared" ref="D27:O27" si="14">D20-D25</f>
        <v>-1830340.0264102221</v>
      </c>
      <c r="E27" s="19">
        <f t="shared" si="14"/>
        <v>-1918672.781487884</v>
      </c>
      <c r="F27" s="19">
        <f t="shared" si="14"/>
        <v>-194169.0337839406</v>
      </c>
      <c r="G27" s="19">
        <f t="shared" si="14"/>
        <v>127962.70013268199</v>
      </c>
      <c r="H27" s="19">
        <f t="shared" si="14"/>
        <v>1469475.5460741371</v>
      </c>
      <c r="I27" s="19">
        <f t="shared" si="14"/>
        <v>1450511.6165493764</v>
      </c>
      <c r="J27" s="19">
        <f t="shared" si="14"/>
        <v>0</v>
      </c>
      <c r="K27" s="19">
        <f t="shared" si="14"/>
        <v>0</v>
      </c>
      <c r="L27" s="19">
        <f t="shared" si="14"/>
        <v>0</v>
      </c>
      <c r="M27" s="19">
        <f t="shared" si="14"/>
        <v>0</v>
      </c>
      <c r="N27" s="19">
        <f t="shared" si="14"/>
        <v>0</v>
      </c>
      <c r="O27" s="19">
        <f t="shared" si="14"/>
        <v>0</v>
      </c>
      <c r="P27" s="19"/>
      <c r="Q27" s="36">
        <f>SUM(D27:F27)</f>
        <v>-3943181.8416820467</v>
      </c>
      <c r="R27" s="36">
        <f>SUM(G27:I27)</f>
        <v>3047949.8627561955</v>
      </c>
      <c r="S27" s="36">
        <f>SUM(J27:L27)</f>
        <v>0</v>
      </c>
      <c r="T27" s="36">
        <f>SUM(M27:O27)</f>
        <v>0</v>
      </c>
      <c r="U27" s="36">
        <f>SUM(D27:O27)</f>
        <v>-895231.97892585117</v>
      </c>
    </row>
    <row r="28" spans="1:21">
      <c r="A28" s="33">
        <v>18</v>
      </c>
      <c r="B28" s="18" t="s">
        <v>28</v>
      </c>
      <c r="C28" s="33" t="s">
        <v>29</v>
      </c>
      <c r="D28" s="132">
        <v>80018.805274602084</v>
      </c>
      <c r="E28" s="132">
        <v>83880.536661087317</v>
      </c>
      <c r="F28" s="132">
        <v>8488.6818189663154</v>
      </c>
      <c r="G28" s="132">
        <v>-5594.2733244005913</v>
      </c>
      <c r="H28" s="132">
        <v>-64242.531923269125</v>
      </c>
      <c r="I28" s="132">
        <v>-63413.466852305639</v>
      </c>
      <c r="J28" s="132"/>
      <c r="K28" s="132"/>
      <c r="L28" s="132"/>
      <c r="M28" s="132"/>
      <c r="N28" s="132"/>
      <c r="O28" s="132"/>
      <c r="P28" s="36"/>
      <c r="Q28" s="36">
        <f>SUM(D28:F28)</f>
        <v>172388.0237546557</v>
      </c>
      <c r="R28" s="36">
        <f>SUM(G28:I28)</f>
        <v>-133250.27209997535</v>
      </c>
      <c r="S28" s="36">
        <f>SUM(J28:L28)</f>
        <v>0</v>
      </c>
      <c r="T28" s="36">
        <f>SUM(M28:O28)</f>
        <v>0</v>
      </c>
      <c r="U28" s="36">
        <f>SUM(D28:O28)</f>
        <v>39137.751654680345</v>
      </c>
    </row>
    <row r="29" spans="1:21" ht="14.45" customHeight="1">
      <c r="A29" s="33">
        <v>19</v>
      </c>
      <c r="B29" s="18"/>
      <c r="C29" s="33" t="s">
        <v>30</v>
      </c>
      <c r="D29" s="160">
        <v>6.3100000000000003E-2</v>
      </c>
      <c r="E29" s="160">
        <f>D29</f>
        <v>6.3100000000000003E-2</v>
      </c>
      <c r="F29" s="160">
        <f t="shared" ref="F29:O29" si="15">E29</f>
        <v>6.3100000000000003E-2</v>
      </c>
      <c r="G29" s="160">
        <v>7.4999999999999997E-2</v>
      </c>
      <c r="H29" s="160">
        <f t="shared" si="15"/>
        <v>7.4999999999999997E-2</v>
      </c>
      <c r="I29" s="160">
        <f t="shared" si="15"/>
        <v>7.4999999999999997E-2</v>
      </c>
      <c r="J29" s="160">
        <v>0</v>
      </c>
      <c r="K29" s="160">
        <f t="shared" si="15"/>
        <v>0</v>
      </c>
      <c r="L29" s="160">
        <f t="shared" si="15"/>
        <v>0</v>
      </c>
      <c r="M29" s="160">
        <v>0</v>
      </c>
      <c r="N29" s="160">
        <f t="shared" si="15"/>
        <v>0</v>
      </c>
      <c r="O29" s="160">
        <f t="shared" si="15"/>
        <v>0</v>
      </c>
      <c r="P29" s="160"/>
      <c r="Q29" s="39"/>
      <c r="R29" s="39"/>
      <c r="S29" s="39"/>
      <c r="T29" s="39"/>
      <c r="U29" s="39"/>
    </row>
    <row r="30" spans="1:21">
      <c r="A30" s="33">
        <v>20</v>
      </c>
      <c r="B30" s="18" t="s">
        <v>31</v>
      </c>
      <c r="C30" s="33" t="s">
        <v>35</v>
      </c>
      <c r="D30" s="3">
        <f>(D27+D28)/2*D29/12</f>
        <v>-4601.8862105690678</v>
      </c>
      <c r="E30" s="3">
        <f>(D32+(E27+E28)/2)*E29/12</f>
        <v>-14051.945283152498</v>
      </c>
      <c r="F30" s="3">
        <f t="shared" ref="F30:O30" si="16">(E32+(F27+F28)/2)*F29/12</f>
        <v>-19437.994297831439</v>
      </c>
      <c r="G30" s="3">
        <f t="shared" si="16"/>
        <v>-23423.133939467516</v>
      </c>
      <c r="H30" s="106">
        <f t="shared" si="16"/>
        <v>-18795.77402359185</v>
      </c>
      <c r="I30" s="3">
        <f t="shared" si="16"/>
        <v>-10187.212724214489</v>
      </c>
      <c r="J30" s="3">
        <f t="shared" si="16"/>
        <v>0</v>
      </c>
      <c r="K30" s="3">
        <f>(J32+(K27+K28)/2)*K29/12</f>
        <v>0</v>
      </c>
      <c r="L30" s="3">
        <f t="shared" si="16"/>
        <v>0</v>
      </c>
      <c r="M30" s="3">
        <f t="shared" si="16"/>
        <v>0</v>
      </c>
      <c r="N30" s="3">
        <f t="shared" si="16"/>
        <v>0</v>
      </c>
      <c r="O30" s="3">
        <f t="shared" si="16"/>
        <v>0</v>
      </c>
      <c r="P30" s="3"/>
      <c r="Q30" s="36">
        <f>SUM(D30:F30)</f>
        <v>-38091.825791553005</v>
      </c>
      <c r="R30" s="36">
        <f>SUM(G30:I30)</f>
        <v>-52406.120687273855</v>
      </c>
      <c r="S30" s="36">
        <f>SUM(J30:L30)</f>
        <v>0</v>
      </c>
      <c r="T30" s="36">
        <f>SUM(M30:O30)</f>
        <v>0</v>
      </c>
      <c r="U30" s="3">
        <f>SUM(D30:O30)</f>
        <v>-90497.946478826867</v>
      </c>
    </row>
    <row r="31" spans="1:21" ht="15.75" thickBot="1">
      <c r="A31" s="33">
        <v>21</v>
      </c>
      <c r="B31" s="4" t="s">
        <v>32</v>
      </c>
      <c r="C31" s="33"/>
      <c r="D31" s="6">
        <f>D27+D28+D30</f>
        <v>-1754923.1073461892</v>
      </c>
      <c r="E31" s="6">
        <f t="shared" ref="E31:O31" si="17">E27+E28+E30</f>
        <v>-1848844.1901099491</v>
      </c>
      <c r="F31" s="6">
        <f t="shared" si="17"/>
        <v>-205118.34626280572</v>
      </c>
      <c r="G31" s="6">
        <f t="shared" si="17"/>
        <v>98945.292868813878</v>
      </c>
      <c r="H31" s="6">
        <f t="shared" si="17"/>
        <v>1386437.2401272762</v>
      </c>
      <c r="I31" s="6">
        <f t="shared" si="17"/>
        <v>1376910.9369728563</v>
      </c>
      <c r="J31" s="6">
        <f t="shared" si="17"/>
        <v>0</v>
      </c>
      <c r="K31" s="6">
        <f t="shared" si="17"/>
        <v>0</v>
      </c>
      <c r="L31" s="6">
        <f t="shared" si="17"/>
        <v>0</v>
      </c>
      <c r="M31" s="6">
        <f t="shared" si="17"/>
        <v>0</v>
      </c>
      <c r="N31" s="6">
        <f t="shared" si="17"/>
        <v>0</v>
      </c>
      <c r="O31" s="6">
        <f t="shared" si="17"/>
        <v>0</v>
      </c>
      <c r="P31" s="6"/>
      <c r="Q31" s="37">
        <f>Q27+Q28+Q30</f>
        <v>-3808885.6437189439</v>
      </c>
      <c r="R31" s="37">
        <f>R27+R28+R30</f>
        <v>2862293.4699689462</v>
      </c>
      <c r="S31" s="37">
        <f>S27+S28+S30</f>
        <v>0</v>
      </c>
      <c r="T31" s="37">
        <f>T27+T28+T30</f>
        <v>0</v>
      </c>
      <c r="U31" s="37">
        <f>U27+U28+U30</f>
        <v>-946592.17374999775</v>
      </c>
    </row>
    <row r="32" spans="1:21" ht="15.75" thickBot="1">
      <c r="A32" s="33">
        <v>22</v>
      </c>
      <c r="B32" s="18" t="s">
        <v>154</v>
      </c>
      <c r="C32" s="33" t="str">
        <f>"Σ(("&amp;A27&amp;") ,("&amp;A28&amp;") , ("&amp;A30&amp;"))"</f>
        <v>Σ((17) ,(18) , (20))</v>
      </c>
      <c r="D32" s="36">
        <f>D27+D28+D30</f>
        <v>-1754923.1073461892</v>
      </c>
      <c r="E32" s="36">
        <f>D32+E27+E28+E30</f>
        <v>-3603767.2974561383</v>
      </c>
      <c r="F32" s="36">
        <f t="shared" ref="F32:N32" si="18">E32+F27+F28+F30</f>
        <v>-3808885.6437189439</v>
      </c>
      <c r="G32" s="36">
        <f t="shared" si="18"/>
        <v>-3709940.35085013</v>
      </c>
      <c r="H32" s="36">
        <f t="shared" si="18"/>
        <v>-2323503.1107228538</v>
      </c>
      <c r="I32" s="36">
        <f t="shared" si="18"/>
        <v>-946592.17374999763</v>
      </c>
      <c r="J32" s="36">
        <f t="shared" si="18"/>
        <v>-946592.17374999763</v>
      </c>
      <c r="K32" s="36">
        <f t="shared" si="18"/>
        <v>-946592.17374999763</v>
      </c>
      <c r="L32" s="36">
        <f t="shared" si="18"/>
        <v>-946592.17374999763</v>
      </c>
      <c r="M32" s="36">
        <f t="shared" si="18"/>
        <v>-946592.17374999763</v>
      </c>
      <c r="N32" s="36">
        <f t="shared" si="18"/>
        <v>-946592.17374999763</v>
      </c>
      <c r="O32" s="63">
        <f>N32+O27+O28+O30</f>
        <v>-946592.17374999763</v>
      </c>
      <c r="P32" s="15"/>
      <c r="Q32" s="36"/>
      <c r="R32" s="36"/>
      <c r="S32" s="36"/>
      <c r="T32" s="36"/>
      <c r="U32" s="165"/>
    </row>
    <row r="33" spans="1:21" ht="36.75" hidden="1" customHeight="1">
      <c r="A33" s="228" t="s">
        <v>278</v>
      </c>
      <c r="B33" s="228"/>
      <c r="C33" s="228"/>
      <c r="D33" s="228"/>
      <c r="E33" s="228"/>
      <c r="F33" s="228"/>
      <c r="G33" s="228"/>
      <c r="H33" s="228"/>
      <c r="I33" s="228"/>
      <c r="J33" s="228"/>
      <c r="K33" s="228"/>
      <c r="L33" s="228"/>
      <c r="M33" s="228"/>
      <c r="N33" s="228"/>
      <c r="O33" s="228"/>
      <c r="P33" s="228"/>
      <c r="Q33" s="228"/>
      <c r="R33" s="228"/>
      <c r="S33" s="228"/>
      <c r="T33" s="228"/>
      <c r="U33" s="228"/>
    </row>
    <row r="34" spans="1:21">
      <c r="A34" s="33"/>
      <c r="B34" s="1" t="s">
        <v>33</v>
      </c>
      <c r="C34" s="33"/>
      <c r="D34" s="33"/>
      <c r="E34" s="33"/>
      <c r="F34" s="33"/>
      <c r="G34" s="33"/>
      <c r="H34" s="33"/>
      <c r="I34" s="33"/>
      <c r="J34" s="33"/>
      <c r="K34" s="33"/>
      <c r="L34" s="33"/>
      <c r="M34" s="33"/>
      <c r="N34" s="33"/>
      <c r="O34" s="33"/>
      <c r="P34" s="33"/>
      <c r="Q34" s="36"/>
      <c r="R34" s="36"/>
      <c r="S34" s="36"/>
      <c r="T34" s="36"/>
      <c r="U34" s="36"/>
    </row>
    <row r="35" spans="1:21">
      <c r="A35" s="33">
        <v>23</v>
      </c>
      <c r="B35" s="18" t="s">
        <v>20</v>
      </c>
      <c r="C35" s="33" t="s">
        <v>21</v>
      </c>
      <c r="D35" s="127">
        <v>3597</v>
      </c>
      <c r="E35" s="127">
        <v>3472</v>
      </c>
      <c r="F35" s="127">
        <v>3567</v>
      </c>
      <c r="G35" s="127">
        <v>3675</v>
      </c>
      <c r="H35" s="127">
        <v>3438</v>
      </c>
      <c r="I35" s="127">
        <v>3554</v>
      </c>
      <c r="J35" s="127"/>
      <c r="K35" s="127"/>
      <c r="L35" s="127"/>
      <c r="M35" s="127"/>
      <c r="N35" s="127"/>
      <c r="O35" s="127"/>
      <c r="P35" s="127"/>
      <c r="Q35" s="35">
        <f t="shared" ref="Q35:Q42" si="19">SUM(D35:F35)</f>
        <v>10636</v>
      </c>
      <c r="R35" s="35">
        <f t="shared" ref="R35:R42" si="20">SUM(G35:I35)</f>
        <v>10667</v>
      </c>
      <c r="S35" s="35">
        <f t="shared" ref="S35:S42" si="21">SUM(J35:L35)</f>
        <v>0</v>
      </c>
      <c r="T35" s="35">
        <f t="shared" ref="T35:T42" si="22">SUM(M35:O35)</f>
        <v>0</v>
      </c>
      <c r="U35" s="35">
        <f t="shared" ref="U35:U42" si="23">SUM(D35:O35)</f>
        <v>21303</v>
      </c>
    </row>
    <row r="36" spans="1:21">
      <c r="A36" s="33">
        <v>24</v>
      </c>
      <c r="B36" s="2" t="s">
        <v>150</v>
      </c>
      <c r="C36" s="33" t="s">
        <v>21</v>
      </c>
      <c r="D36" s="127">
        <v>9518811.2583700009</v>
      </c>
      <c r="E36" s="127">
        <v>7783337.8826400004</v>
      </c>
      <c r="F36" s="127">
        <v>7598098.3178899996</v>
      </c>
      <c r="G36" s="127">
        <v>4902386.38</v>
      </c>
      <c r="H36" s="127">
        <v>2554554.58</v>
      </c>
      <c r="I36" s="127">
        <v>2182704.25232</v>
      </c>
      <c r="J36" s="127"/>
      <c r="K36" s="127"/>
      <c r="L36" s="127"/>
      <c r="M36" s="127"/>
      <c r="N36" s="127"/>
      <c r="O36" s="127"/>
      <c r="P36" s="127"/>
      <c r="Q36" s="35">
        <f t="shared" si="19"/>
        <v>24900247.458900001</v>
      </c>
      <c r="R36" s="35">
        <f t="shared" si="20"/>
        <v>9639645.2123199999</v>
      </c>
      <c r="S36" s="35">
        <f t="shared" si="21"/>
        <v>0</v>
      </c>
      <c r="T36" s="35">
        <f t="shared" si="22"/>
        <v>0</v>
      </c>
      <c r="U36" s="35">
        <f t="shared" si="23"/>
        <v>34539892.671219997</v>
      </c>
    </row>
    <row r="37" spans="1:21">
      <c r="A37" s="33">
        <v>25</v>
      </c>
      <c r="B37" s="18" t="s">
        <v>37</v>
      </c>
      <c r="C37" s="33" t="s">
        <v>21</v>
      </c>
      <c r="D37" s="128">
        <v>4636027.7106800005</v>
      </c>
      <c r="E37" s="128">
        <v>2633476.38796</v>
      </c>
      <c r="F37" s="128">
        <v>2866271.8928600005</v>
      </c>
      <c r="G37" s="128">
        <v>1930123.60192</v>
      </c>
      <c r="H37" s="128">
        <v>1270763.7474400001</v>
      </c>
      <c r="I37" s="128">
        <v>997561.86777000013</v>
      </c>
      <c r="J37" s="128"/>
      <c r="K37" s="128"/>
      <c r="L37" s="128"/>
      <c r="M37" s="128"/>
      <c r="N37" s="128"/>
      <c r="O37" s="128"/>
      <c r="P37" s="128"/>
      <c r="Q37" s="36">
        <f t="shared" si="19"/>
        <v>10135775.991500001</v>
      </c>
      <c r="R37" s="36">
        <f t="shared" si="20"/>
        <v>4198449.2171300007</v>
      </c>
      <c r="S37" s="36">
        <f t="shared" si="21"/>
        <v>0</v>
      </c>
      <c r="T37" s="36">
        <f t="shared" si="22"/>
        <v>0</v>
      </c>
      <c r="U37" s="36">
        <f t="shared" si="23"/>
        <v>14334225.208630001</v>
      </c>
    </row>
    <row r="38" spans="1:21">
      <c r="A38" s="33">
        <v>26</v>
      </c>
      <c r="B38" s="18" t="s">
        <v>24</v>
      </c>
      <c r="C38" s="33" t="s">
        <v>21</v>
      </c>
      <c r="D38" s="128">
        <v>456594.97000000003</v>
      </c>
      <c r="E38" s="128">
        <v>400381.12</v>
      </c>
      <c r="F38" s="128">
        <v>509276.3</v>
      </c>
      <c r="G38" s="128">
        <v>433353.05</v>
      </c>
      <c r="H38" s="128">
        <v>476875.5</v>
      </c>
      <c r="I38" s="128">
        <v>453463.06</v>
      </c>
      <c r="J38" s="128"/>
      <c r="K38" s="128"/>
      <c r="L38" s="128"/>
      <c r="M38" s="128"/>
      <c r="N38" s="128"/>
      <c r="O38" s="128"/>
      <c r="P38" s="128"/>
      <c r="Q38" s="36">
        <f t="shared" si="19"/>
        <v>1366252.3900000001</v>
      </c>
      <c r="R38" s="36">
        <f t="shared" si="20"/>
        <v>1363691.61</v>
      </c>
      <c r="S38" s="36">
        <f t="shared" si="21"/>
        <v>0</v>
      </c>
      <c r="T38" s="36">
        <f t="shared" si="22"/>
        <v>0</v>
      </c>
      <c r="U38" s="36">
        <f t="shared" si="23"/>
        <v>2729944.0000000005</v>
      </c>
    </row>
    <row r="39" spans="1:21" ht="30" customHeight="1">
      <c r="A39" s="33">
        <v>27</v>
      </c>
      <c r="B39" s="18" t="s">
        <v>141</v>
      </c>
      <c r="C39" s="33" t="s">
        <v>21</v>
      </c>
      <c r="D39" s="127">
        <v>51</v>
      </c>
      <c r="E39" s="127">
        <v>54</v>
      </c>
      <c r="F39" s="127">
        <v>56</v>
      </c>
      <c r="G39" s="127">
        <v>57</v>
      </c>
      <c r="H39" s="127">
        <v>64</v>
      </c>
      <c r="I39" s="127">
        <v>60</v>
      </c>
      <c r="J39" s="127"/>
      <c r="K39" s="127"/>
      <c r="L39" s="127"/>
      <c r="M39" s="127"/>
      <c r="N39" s="127"/>
      <c r="O39" s="127"/>
      <c r="P39" s="127"/>
      <c r="Q39" s="35">
        <f t="shared" si="19"/>
        <v>161</v>
      </c>
      <c r="R39" s="35">
        <f t="shared" si="20"/>
        <v>181</v>
      </c>
      <c r="S39" s="35">
        <f t="shared" si="21"/>
        <v>0</v>
      </c>
      <c r="T39" s="35">
        <f t="shared" si="22"/>
        <v>0</v>
      </c>
      <c r="U39" s="35">
        <f t="shared" si="23"/>
        <v>342</v>
      </c>
    </row>
    <row r="40" spans="1:21">
      <c r="A40" s="33">
        <v>28</v>
      </c>
      <c r="B40" s="2" t="s">
        <v>151</v>
      </c>
      <c r="C40" s="33" t="s">
        <v>21</v>
      </c>
      <c r="D40" s="127">
        <v>184166.74494999999</v>
      </c>
      <c r="E40" s="127">
        <v>202541.17522</v>
      </c>
      <c r="F40" s="127">
        <v>182882.60936</v>
      </c>
      <c r="G40" s="127">
        <v>116354.489</v>
      </c>
      <c r="H40" s="127">
        <v>182427</v>
      </c>
      <c r="I40" s="127">
        <v>75029.768700000001</v>
      </c>
      <c r="J40" s="127"/>
      <c r="K40" s="127"/>
      <c r="L40" s="127"/>
      <c r="M40" s="127"/>
      <c r="N40" s="127"/>
      <c r="O40" s="127"/>
      <c r="P40" s="127"/>
      <c r="Q40" s="35">
        <f t="shared" si="19"/>
        <v>569590.52952999994</v>
      </c>
      <c r="R40" s="35">
        <f t="shared" si="20"/>
        <v>373811.25770000002</v>
      </c>
      <c r="S40" s="35">
        <f t="shared" si="21"/>
        <v>0</v>
      </c>
      <c r="T40" s="35">
        <f t="shared" si="22"/>
        <v>0</v>
      </c>
      <c r="U40" s="35">
        <f t="shared" si="23"/>
        <v>943401.78723000002</v>
      </c>
    </row>
    <row r="41" spans="1:21">
      <c r="A41" s="33">
        <v>29</v>
      </c>
      <c r="B41" s="18" t="s">
        <v>143</v>
      </c>
      <c r="C41" s="33" t="s">
        <v>21</v>
      </c>
      <c r="D41" s="128">
        <v>55670.31</v>
      </c>
      <c r="E41" s="128">
        <v>61654.9</v>
      </c>
      <c r="F41" s="128">
        <v>57884.58</v>
      </c>
      <c r="G41" s="128">
        <v>40274.230000000003</v>
      </c>
      <c r="H41" s="128">
        <v>51154.87</v>
      </c>
      <c r="I41" s="128">
        <v>27410.47</v>
      </c>
      <c r="J41" s="128"/>
      <c r="K41" s="128"/>
      <c r="L41" s="128"/>
      <c r="M41" s="128"/>
      <c r="N41" s="128"/>
      <c r="O41" s="128"/>
      <c r="P41" s="128"/>
      <c r="Q41" s="36">
        <f t="shared" si="19"/>
        <v>175209.78999999998</v>
      </c>
      <c r="R41" s="36">
        <f t="shared" si="20"/>
        <v>118839.57</v>
      </c>
      <c r="S41" s="36">
        <f t="shared" si="21"/>
        <v>0</v>
      </c>
      <c r="T41" s="36">
        <f t="shared" si="22"/>
        <v>0</v>
      </c>
      <c r="U41" s="36">
        <f t="shared" si="23"/>
        <v>294049.36</v>
      </c>
    </row>
    <row r="42" spans="1:21">
      <c r="A42" s="33">
        <v>30</v>
      </c>
      <c r="B42" s="18" t="s">
        <v>152</v>
      </c>
      <c r="C42" s="33" t="s">
        <v>21</v>
      </c>
      <c r="D42" s="128">
        <v>6333.89</v>
      </c>
      <c r="E42" s="128">
        <v>7213.18</v>
      </c>
      <c r="F42" s="128">
        <v>7019.46</v>
      </c>
      <c r="G42" s="128">
        <v>7075.2999999999993</v>
      </c>
      <c r="H42" s="128">
        <v>8328.2100000000009</v>
      </c>
      <c r="I42" s="128">
        <v>7628.87</v>
      </c>
      <c r="J42" s="128"/>
      <c r="K42" s="128"/>
      <c r="L42" s="128"/>
      <c r="M42" s="128"/>
      <c r="N42" s="128"/>
      <c r="O42" s="128"/>
      <c r="P42" s="128"/>
      <c r="Q42" s="36">
        <f t="shared" si="19"/>
        <v>20566.53</v>
      </c>
      <c r="R42" s="36">
        <f t="shared" si="20"/>
        <v>23032.38</v>
      </c>
      <c r="S42" s="36">
        <f t="shared" si="21"/>
        <v>0</v>
      </c>
      <c r="T42" s="36">
        <f t="shared" si="22"/>
        <v>0</v>
      </c>
      <c r="U42" s="36">
        <f t="shared" si="23"/>
        <v>43598.91</v>
      </c>
    </row>
    <row r="43" spans="1:21">
      <c r="A43" s="33"/>
      <c r="B43" s="1"/>
      <c r="C43" s="33"/>
      <c r="D43" s="33"/>
      <c r="E43" s="33"/>
      <c r="F43" s="33"/>
      <c r="G43" s="33"/>
      <c r="H43" s="33"/>
      <c r="I43" s="33"/>
      <c r="J43" s="33"/>
      <c r="K43" s="33"/>
      <c r="L43" s="33"/>
      <c r="M43" s="33"/>
      <c r="N43" s="33"/>
      <c r="O43" s="33"/>
      <c r="P43" s="33"/>
      <c r="Q43" s="36"/>
      <c r="R43" s="36"/>
      <c r="S43" s="36"/>
      <c r="T43" s="36"/>
      <c r="U43" s="36"/>
    </row>
    <row r="44" spans="1:21">
      <c r="A44" s="33">
        <v>31</v>
      </c>
      <c r="B44" s="18" t="s">
        <v>155</v>
      </c>
      <c r="C44" s="33" t="str">
        <f>"("&amp;A35&amp;") - ("&amp;A39&amp;")"</f>
        <v>(23) - (27)</v>
      </c>
      <c r="D44" s="129">
        <f>D35-D39</f>
        <v>3546</v>
      </c>
      <c r="E44" s="129">
        <f>E35-E39</f>
        <v>3418</v>
      </c>
      <c r="F44" s="129">
        <f>F35-F39</f>
        <v>3511</v>
      </c>
      <c r="G44" s="129">
        <f>G35-G39</f>
        <v>3618</v>
      </c>
      <c r="H44" s="35">
        <f t="shared" ref="H44:O44" si="24">H35-H39</f>
        <v>3374</v>
      </c>
      <c r="I44" s="35">
        <f t="shared" si="24"/>
        <v>3494</v>
      </c>
      <c r="J44" s="35">
        <f t="shared" si="24"/>
        <v>0</v>
      </c>
      <c r="K44" s="35">
        <f t="shared" si="24"/>
        <v>0</v>
      </c>
      <c r="L44" s="35">
        <f t="shared" si="24"/>
        <v>0</v>
      </c>
      <c r="M44" s="35">
        <f t="shared" si="24"/>
        <v>0</v>
      </c>
      <c r="N44" s="35">
        <f t="shared" si="24"/>
        <v>0</v>
      </c>
      <c r="O44" s="35">
        <f t="shared" si="24"/>
        <v>0</v>
      </c>
      <c r="P44" s="35"/>
      <c r="Q44" s="35">
        <f>SUM(D44:F44)</f>
        <v>10475</v>
      </c>
      <c r="R44" s="35">
        <f>SUM(G44:I44)</f>
        <v>10486</v>
      </c>
      <c r="S44" s="35">
        <f>SUM(J44:L44)</f>
        <v>0</v>
      </c>
      <c r="T44" s="35">
        <f>SUM(M44:O44)</f>
        <v>0</v>
      </c>
      <c r="U44" s="35">
        <f>SUM(D44:O44)</f>
        <v>20961</v>
      </c>
    </row>
    <row r="45" spans="1:21">
      <c r="A45" s="167">
        <v>32</v>
      </c>
      <c r="B45" s="56" t="s">
        <v>22</v>
      </c>
      <c r="C45" s="157" t="s">
        <v>72</v>
      </c>
      <c r="D45" s="213">
        <v>737.81145094171109</v>
      </c>
      <c r="E45" s="213">
        <v>621.5622644046332</v>
      </c>
      <c r="F45" s="213">
        <v>643.90438333358611</v>
      </c>
      <c r="G45" s="213">
        <v>396.20980893301066</v>
      </c>
      <c r="H45" s="213">
        <v>266.74844042889305</v>
      </c>
      <c r="I45" s="213">
        <v>206.7079357039589</v>
      </c>
      <c r="J45" s="213">
        <v>165.03975557695699</v>
      </c>
      <c r="K45" s="213">
        <v>171.67540576434766</v>
      </c>
      <c r="L45" s="213">
        <v>230.72724722352257</v>
      </c>
      <c r="M45" s="213">
        <v>446.34452172761593</v>
      </c>
      <c r="N45" s="213">
        <v>532.51120953658051</v>
      </c>
      <c r="O45" s="213">
        <v>747.73757642518342</v>
      </c>
      <c r="P45" s="216" t="s">
        <v>158</v>
      </c>
      <c r="Q45" s="69">
        <f>Q46/Q44</f>
        <v>668.40358135165297</v>
      </c>
      <c r="R45" s="69">
        <f>R46/R44</f>
        <v>291.41081957623021</v>
      </c>
      <c r="S45" s="69" t="e">
        <f>S46/S44</f>
        <v>#DIV/0!</v>
      </c>
      <c r="T45" s="69" t="e">
        <f>T46/T44</f>
        <v>#DIV/0!</v>
      </c>
      <c r="U45" s="69">
        <f>U46/U44</f>
        <v>479.80828055602859</v>
      </c>
    </row>
    <row r="46" spans="1:21">
      <c r="A46" s="33">
        <v>33</v>
      </c>
      <c r="B46" s="18" t="s">
        <v>23</v>
      </c>
      <c r="C46" s="33" t="str">
        <f>"("&amp;A44&amp;") x ("&amp;A45&amp;")"</f>
        <v>(31) x (32)</v>
      </c>
      <c r="D46" s="36">
        <f t="shared" ref="D46:N46" si="25">D44*D45</f>
        <v>2616279.4050393077</v>
      </c>
      <c r="E46" s="36">
        <f t="shared" si="25"/>
        <v>2124499.8197350362</v>
      </c>
      <c r="F46" s="36">
        <f t="shared" si="25"/>
        <v>2260748.2898842208</v>
      </c>
      <c r="G46" s="36">
        <f t="shared" si="25"/>
        <v>1433487.0887196325</v>
      </c>
      <c r="H46" s="36">
        <f t="shared" si="25"/>
        <v>900009.23800708517</v>
      </c>
      <c r="I46" s="36">
        <f t="shared" si="25"/>
        <v>722237.52734963235</v>
      </c>
      <c r="J46" s="36">
        <f t="shared" si="25"/>
        <v>0</v>
      </c>
      <c r="K46" s="36">
        <f t="shared" si="25"/>
        <v>0</v>
      </c>
      <c r="L46" s="36">
        <f t="shared" si="25"/>
        <v>0</v>
      </c>
      <c r="M46" s="36">
        <f t="shared" si="25"/>
        <v>0</v>
      </c>
      <c r="N46" s="36">
        <f t="shared" si="25"/>
        <v>0</v>
      </c>
      <c r="O46" s="132">
        <f>O44*O45</f>
        <v>0</v>
      </c>
      <c r="P46" s="217" t="s">
        <v>171</v>
      </c>
      <c r="Q46" s="36">
        <f>SUM(D46:F46)</f>
        <v>7001527.5146585647</v>
      </c>
      <c r="R46" s="36">
        <f>SUM(G46:I46)</f>
        <v>3055733.8540763501</v>
      </c>
      <c r="S46" s="36">
        <f>SUM(J46:L46)</f>
        <v>0</v>
      </c>
      <c r="T46" s="36">
        <f>SUM(M46:O46)</f>
        <v>0</v>
      </c>
      <c r="U46" s="36">
        <f>SUM(D46:O46)</f>
        <v>10057261.368734915</v>
      </c>
    </row>
    <row r="47" spans="1:21">
      <c r="A47" s="33"/>
      <c r="B47" s="18"/>
      <c r="C47" s="33"/>
      <c r="D47" s="36"/>
      <c r="E47" s="36"/>
      <c r="F47" s="36"/>
      <c r="G47" s="36"/>
      <c r="H47" s="36"/>
      <c r="I47" s="36"/>
      <c r="J47" s="36"/>
      <c r="K47" s="36"/>
      <c r="L47" s="36"/>
      <c r="M47" s="36"/>
      <c r="N47" s="36"/>
      <c r="O47" s="36"/>
      <c r="P47" s="36"/>
      <c r="Q47" s="34"/>
      <c r="R47" s="34"/>
      <c r="S47" s="34"/>
      <c r="T47" s="34"/>
      <c r="U47" s="34"/>
    </row>
    <row r="48" spans="1:21">
      <c r="A48" s="33">
        <v>34</v>
      </c>
      <c r="B48" s="18" t="s">
        <v>170</v>
      </c>
      <c r="C48" s="33" t="str">
        <f>"("&amp;A36&amp;") - ("&amp;A40&amp;")"</f>
        <v>(24) - (28)</v>
      </c>
      <c r="D48" s="129">
        <f t="shared" ref="D48:G50" si="26">D36-D40</f>
        <v>9334644.5134200007</v>
      </c>
      <c r="E48" s="129">
        <f t="shared" si="26"/>
        <v>7580796.7074200008</v>
      </c>
      <c r="F48" s="129">
        <f t="shared" si="26"/>
        <v>7415215.7085299995</v>
      </c>
      <c r="G48" s="129">
        <f t="shared" si="26"/>
        <v>4786031.8909999998</v>
      </c>
      <c r="H48" s="35">
        <f t="shared" ref="H48:O50" si="27">H36-H40</f>
        <v>2372127.58</v>
      </c>
      <c r="I48" s="35">
        <f t="shared" si="27"/>
        <v>2107674.4836200001</v>
      </c>
      <c r="J48" s="35">
        <f t="shared" si="27"/>
        <v>0</v>
      </c>
      <c r="K48" s="35">
        <f t="shared" si="27"/>
        <v>0</v>
      </c>
      <c r="L48" s="35">
        <f t="shared" si="27"/>
        <v>0</v>
      </c>
      <c r="M48" s="35">
        <f t="shared" si="27"/>
        <v>0</v>
      </c>
      <c r="N48" s="35">
        <f t="shared" si="27"/>
        <v>0</v>
      </c>
      <c r="O48" s="35">
        <f t="shared" si="27"/>
        <v>0</v>
      </c>
      <c r="P48" s="35"/>
      <c r="Q48" s="35">
        <f>SUM(D48:F48)</f>
        <v>24330656.929370001</v>
      </c>
      <c r="R48" s="35">
        <f>SUM(G48:I48)</f>
        <v>9265833.95462</v>
      </c>
      <c r="S48" s="35">
        <f>SUM(J48:L48)</f>
        <v>0</v>
      </c>
      <c r="T48" s="35">
        <f>SUM(M48:O48)</f>
        <v>0</v>
      </c>
      <c r="U48" s="35">
        <f>SUM(D48:O48)</f>
        <v>33596490.883990005</v>
      </c>
    </row>
    <row r="49" spans="1:21" ht="15" customHeight="1">
      <c r="A49" s="33">
        <v>35</v>
      </c>
      <c r="B49" s="154" t="s">
        <v>168</v>
      </c>
      <c r="C49" s="33" t="str">
        <f>"("&amp;A37&amp;") - ("&amp;A41&amp;")"</f>
        <v>(25) - (29)</v>
      </c>
      <c r="D49" s="133">
        <f t="shared" si="26"/>
        <v>4580357.4006800009</v>
      </c>
      <c r="E49" s="133">
        <f t="shared" si="26"/>
        <v>2571821.4879600001</v>
      </c>
      <c r="F49" s="133">
        <f t="shared" si="26"/>
        <v>2808387.3128600004</v>
      </c>
      <c r="G49" s="133">
        <f t="shared" si="26"/>
        <v>1889849.3719200001</v>
      </c>
      <c r="H49" s="19">
        <f t="shared" si="27"/>
        <v>1219608.87744</v>
      </c>
      <c r="I49" s="19">
        <f t="shared" si="27"/>
        <v>970151.39777000016</v>
      </c>
      <c r="J49" s="19">
        <f t="shared" si="27"/>
        <v>0</v>
      </c>
      <c r="K49" s="19">
        <f t="shared" si="27"/>
        <v>0</v>
      </c>
      <c r="L49" s="19">
        <f t="shared" si="27"/>
        <v>0</v>
      </c>
      <c r="M49" s="19">
        <f t="shared" si="27"/>
        <v>0</v>
      </c>
      <c r="N49" s="19">
        <f t="shared" si="27"/>
        <v>0</v>
      </c>
      <c r="O49" s="19">
        <f t="shared" si="27"/>
        <v>0</v>
      </c>
      <c r="P49" s="19"/>
      <c r="Q49" s="36">
        <f>SUM(D49:F49)</f>
        <v>9960566.2015000023</v>
      </c>
      <c r="R49" s="36">
        <f>SUM(G49:I49)</f>
        <v>4079609.6471299999</v>
      </c>
      <c r="S49" s="36">
        <f>SUM(J49:L49)</f>
        <v>0</v>
      </c>
      <c r="T49" s="36">
        <f>SUM(M49:O49)</f>
        <v>0</v>
      </c>
      <c r="U49" s="36">
        <f>SUM(D49:O49)</f>
        <v>14040175.848630004</v>
      </c>
    </row>
    <row r="50" spans="1:21">
      <c r="A50" s="33">
        <v>36</v>
      </c>
      <c r="B50" s="18" t="s">
        <v>169</v>
      </c>
      <c r="C50" s="33" t="str">
        <f>"("&amp;A38&amp;") - ("&amp;A42&amp;")"</f>
        <v>(26) - (30)</v>
      </c>
      <c r="D50" s="133">
        <f t="shared" si="26"/>
        <v>450261.08</v>
      </c>
      <c r="E50" s="133">
        <f t="shared" si="26"/>
        <v>393167.94</v>
      </c>
      <c r="F50" s="133">
        <f t="shared" si="26"/>
        <v>502256.83999999997</v>
      </c>
      <c r="G50" s="133">
        <f t="shared" si="26"/>
        <v>426277.75</v>
      </c>
      <c r="H50" s="19">
        <f t="shared" si="27"/>
        <v>468547.29</v>
      </c>
      <c r="I50" s="19">
        <f t="shared" si="27"/>
        <v>445834.19</v>
      </c>
      <c r="J50" s="19">
        <f t="shared" si="27"/>
        <v>0</v>
      </c>
      <c r="K50" s="19">
        <f t="shared" si="27"/>
        <v>0</v>
      </c>
      <c r="L50" s="19">
        <f t="shared" si="27"/>
        <v>0</v>
      </c>
      <c r="M50" s="19">
        <f t="shared" si="27"/>
        <v>0</v>
      </c>
      <c r="N50" s="19">
        <f t="shared" si="27"/>
        <v>0</v>
      </c>
      <c r="O50" s="19">
        <f t="shared" si="27"/>
        <v>0</v>
      </c>
      <c r="P50" s="19"/>
      <c r="Q50" s="36">
        <f>SUM(D50:F50)</f>
        <v>1345685.8599999999</v>
      </c>
      <c r="R50" s="36">
        <f>SUM(G50:I50)</f>
        <v>1340659.23</v>
      </c>
      <c r="S50" s="36">
        <f>SUM(J50:L50)</f>
        <v>0</v>
      </c>
      <c r="T50" s="36">
        <f>SUM(M50:O50)</f>
        <v>0</v>
      </c>
      <c r="U50" s="36">
        <f>SUM(D50:O50)</f>
        <v>2686345.09</v>
      </c>
    </row>
    <row r="51" spans="1:21">
      <c r="A51" s="33">
        <v>37</v>
      </c>
      <c r="B51" s="18" t="s">
        <v>25</v>
      </c>
      <c r="C51" s="33" t="str">
        <f>"("&amp;A49&amp;") - ("&amp;A50&amp;")"</f>
        <v>(35) - (36)</v>
      </c>
      <c r="D51" s="36">
        <f t="shared" ref="D51:O51" si="28">D49-D50</f>
        <v>4130096.3206800008</v>
      </c>
      <c r="E51" s="36">
        <f t="shared" si="28"/>
        <v>2178653.5479600001</v>
      </c>
      <c r="F51" s="36">
        <f t="shared" si="28"/>
        <v>2306130.4728600006</v>
      </c>
      <c r="G51" s="36">
        <f t="shared" si="28"/>
        <v>1463571.6219200001</v>
      </c>
      <c r="H51" s="36">
        <f t="shared" si="28"/>
        <v>751061.58743999992</v>
      </c>
      <c r="I51" s="36">
        <f t="shared" si="28"/>
        <v>524317.20777000021</v>
      </c>
      <c r="J51" s="36">
        <f t="shared" si="28"/>
        <v>0</v>
      </c>
      <c r="K51" s="36">
        <f t="shared" si="28"/>
        <v>0</v>
      </c>
      <c r="L51" s="36">
        <f t="shared" si="28"/>
        <v>0</v>
      </c>
      <c r="M51" s="36">
        <f t="shared" si="28"/>
        <v>0</v>
      </c>
      <c r="N51" s="36">
        <f t="shared" si="28"/>
        <v>0</v>
      </c>
      <c r="O51" s="36">
        <f t="shared" si="28"/>
        <v>0</v>
      </c>
      <c r="P51" s="36"/>
      <c r="Q51" s="36">
        <f>SUM(D51:F51)</f>
        <v>8614880.341500001</v>
      </c>
      <c r="R51" s="36">
        <f>SUM(G51:I51)</f>
        <v>2738950.41713</v>
      </c>
      <c r="S51" s="36">
        <f>SUM(J51:L51)</f>
        <v>0</v>
      </c>
      <c r="T51" s="36">
        <f>SUM(M51:O51)</f>
        <v>0</v>
      </c>
      <c r="U51" s="36">
        <f>SUM(D51:O51)</f>
        <v>11353830.758630004</v>
      </c>
    </row>
    <row r="52" spans="1:21">
      <c r="A52" s="33">
        <v>38</v>
      </c>
      <c r="B52" s="2" t="s">
        <v>34</v>
      </c>
      <c r="C52" s="33" t="str">
        <f>"("&amp;A51&amp;") / ("&amp;A44&amp;")"</f>
        <v>(37) / (31)</v>
      </c>
      <c r="D52" s="38">
        <f>D51/D44</f>
        <v>1164.7197745854487</v>
      </c>
      <c r="E52" s="38">
        <f t="shared" ref="E52:O52" si="29">E51/E44</f>
        <v>637.40595317729674</v>
      </c>
      <c r="F52" s="38">
        <f t="shared" si="29"/>
        <v>656.83009765309043</v>
      </c>
      <c r="G52" s="38">
        <f t="shared" si="29"/>
        <v>404.52504751796573</v>
      </c>
      <c r="H52" s="38">
        <f t="shared" si="29"/>
        <v>222.60272301126258</v>
      </c>
      <c r="I52" s="38">
        <f t="shared" si="29"/>
        <v>150.0621659330281</v>
      </c>
      <c r="J52" s="38" t="e">
        <f t="shared" si="29"/>
        <v>#DIV/0!</v>
      </c>
      <c r="K52" s="38" t="e">
        <f t="shared" si="29"/>
        <v>#DIV/0!</v>
      </c>
      <c r="L52" s="38" t="e">
        <f t="shared" si="29"/>
        <v>#DIV/0!</v>
      </c>
      <c r="M52" s="38" t="e">
        <f t="shared" si="29"/>
        <v>#DIV/0!</v>
      </c>
      <c r="N52" s="38" t="e">
        <f t="shared" si="29"/>
        <v>#DIV/0!</v>
      </c>
      <c r="O52" s="38" t="e">
        <f t="shared" si="29"/>
        <v>#DIV/0!</v>
      </c>
      <c r="P52" s="38"/>
      <c r="Q52" s="69">
        <f>Q51/Q44</f>
        <v>822.42294429594278</v>
      </c>
      <c r="R52" s="69">
        <f>R51/R44</f>
        <v>261.20068826339883</v>
      </c>
      <c r="S52" s="69" t="e">
        <f>S51/S44</f>
        <v>#DIV/0!</v>
      </c>
      <c r="T52" s="69" t="e">
        <f>T51/T44</f>
        <v>#DIV/0!</v>
      </c>
      <c r="U52" s="69">
        <f>U51/U44</f>
        <v>541.66455601498035</v>
      </c>
    </row>
    <row r="53" spans="1:21">
      <c r="A53" s="33">
        <v>39</v>
      </c>
      <c r="B53" s="18" t="s">
        <v>27</v>
      </c>
      <c r="C53" s="33" t="str">
        <f>"("&amp;A46&amp;") - ("&amp;A51&amp;")"</f>
        <v>(33) - (37)</v>
      </c>
      <c r="D53" s="36">
        <f>D46-D51</f>
        <v>-1513816.9156406932</v>
      </c>
      <c r="E53" s="36">
        <f t="shared" ref="E53:O53" si="30">E46-E51</f>
        <v>-54153.728224963881</v>
      </c>
      <c r="F53" s="36">
        <f t="shared" si="30"/>
        <v>-45382.182975779753</v>
      </c>
      <c r="G53" s="36">
        <f t="shared" si="30"/>
        <v>-30084.533200367587</v>
      </c>
      <c r="H53" s="36">
        <f t="shared" si="30"/>
        <v>148947.65056708525</v>
      </c>
      <c r="I53" s="36">
        <f t="shared" si="30"/>
        <v>197920.31957963214</v>
      </c>
      <c r="J53" s="36">
        <f t="shared" si="30"/>
        <v>0</v>
      </c>
      <c r="K53" s="36">
        <f t="shared" si="30"/>
        <v>0</v>
      </c>
      <c r="L53" s="36">
        <f t="shared" si="30"/>
        <v>0</v>
      </c>
      <c r="M53" s="36">
        <f t="shared" si="30"/>
        <v>0</v>
      </c>
      <c r="N53" s="36">
        <f t="shared" si="30"/>
        <v>0</v>
      </c>
      <c r="O53" s="36">
        <f t="shared" si="30"/>
        <v>0</v>
      </c>
      <c r="P53" s="36"/>
      <c r="Q53" s="36">
        <f>SUM(D53:F53)</f>
        <v>-1613352.8268414368</v>
      </c>
      <c r="R53" s="36">
        <f>SUM(G53:I53)</f>
        <v>316783.4369463498</v>
      </c>
      <c r="S53" s="36">
        <f>SUM(J53:L53)</f>
        <v>0</v>
      </c>
      <c r="T53" s="36">
        <f>SUM(M53:O53)</f>
        <v>0</v>
      </c>
      <c r="U53" s="36">
        <f>SUM(D53:O53)</f>
        <v>-1296569.3898950871</v>
      </c>
    </row>
    <row r="54" spans="1:21">
      <c r="A54" s="33">
        <v>40</v>
      </c>
      <c r="B54" s="18" t="s">
        <v>28</v>
      </c>
      <c r="C54" s="33" t="s">
        <v>29</v>
      </c>
      <c r="D54" s="132">
        <v>66181.047917979828</v>
      </c>
      <c r="E54" s="132">
        <v>2367.4926905389711</v>
      </c>
      <c r="F54" s="132">
        <v>1984.0182753351392</v>
      </c>
      <c r="G54" s="132">
        <v>1315.2356224536702</v>
      </c>
      <c r="H54" s="132">
        <v>-6511.6933874918332</v>
      </c>
      <c r="I54" s="132">
        <v>-8652.680531382357</v>
      </c>
      <c r="J54" s="132"/>
      <c r="K54" s="132"/>
      <c r="L54" s="132"/>
      <c r="M54" s="132"/>
      <c r="N54" s="132"/>
      <c r="O54" s="132"/>
      <c r="P54" s="36"/>
      <c r="Q54" s="36">
        <f>SUM(D54:F54)</f>
        <v>70532.558883853941</v>
      </c>
      <c r="R54" s="36">
        <f>SUM(G54:I54)</f>
        <v>-13849.13829642052</v>
      </c>
      <c r="S54" s="36">
        <f>SUM(J54:L54)</f>
        <v>0</v>
      </c>
      <c r="T54" s="36">
        <f>SUM(M54:O54)</f>
        <v>0</v>
      </c>
      <c r="U54" s="36">
        <f>SUM(D54:O54)</f>
        <v>56683.420587433415</v>
      </c>
    </row>
    <row r="55" spans="1:21" ht="14.45" customHeight="1">
      <c r="A55" s="33">
        <v>41</v>
      </c>
      <c r="B55" s="18"/>
      <c r="C55" s="33" t="s">
        <v>30</v>
      </c>
      <c r="D55" s="160">
        <f>D29</f>
        <v>6.3100000000000003E-2</v>
      </c>
      <c r="E55" s="160">
        <f t="shared" ref="E55:O55" si="31">E29</f>
        <v>6.3100000000000003E-2</v>
      </c>
      <c r="F55" s="160">
        <f t="shared" si="31"/>
        <v>6.3100000000000003E-2</v>
      </c>
      <c r="G55" s="160">
        <f t="shared" si="31"/>
        <v>7.4999999999999997E-2</v>
      </c>
      <c r="H55" s="160">
        <f t="shared" si="31"/>
        <v>7.4999999999999997E-2</v>
      </c>
      <c r="I55" s="160">
        <f t="shared" si="31"/>
        <v>7.4999999999999997E-2</v>
      </c>
      <c r="J55" s="160">
        <f t="shared" si="31"/>
        <v>0</v>
      </c>
      <c r="K55" s="160">
        <f t="shared" si="31"/>
        <v>0</v>
      </c>
      <c r="L55" s="160">
        <f t="shared" si="31"/>
        <v>0</v>
      </c>
      <c r="M55" s="160">
        <f t="shared" si="31"/>
        <v>0</v>
      </c>
      <c r="N55" s="160">
        <f t="shared" si="31"/>
        <v>0</v>
      </c>
      <c r="O55" s="160">
        <f t="shared" si="31"/>
        <v>0</v>
      </c>
      <c r="P55" s="39"/>
      <c r="Q55" s="39"/>
      <c r="R55" s="39"/>
      <c r="S55" s="39"/>
      <c r="T55" s="39"/>
      <c r="U55" s="39"/>
    </row>
    <row r="56" spans="1:21">
      <c r="A56" s="33">
        <v>42</v>
      </c>
      <c r="B56" s="18" t="s">
        <v>31</v>
      </c>
      <c r="C56" s="33" t="s">
        <v>35</v>
      </c>
      <c r="D56" s="3">
        <f>(D53+D54)/2*D55/12</f>
        <v>-3806.0759688876337</v>
      </c>
      <c r="E56" s="3">
        <f>(D58+(E53+E54)/2)*E55/12</f>
        <v>-7768.3201981709281</v>
      </c>
      <c r="F56" s="3">
        <f t="shared" ref="F56:O56" si="32">(E58+(F53+F54)/2)*F55/12</f>
        <v>-8059.4242674971547</v>
      </c>
      <c r="G56" s="3">
        <f t="shared" si="32"/>
        <v>-9855.2421073818459</v>
      </c>
      <c r="H56" s="106">
        <f t="shared" si="32"/>
        <v>-9561.629059297733</v>
      </c>
      <c r="I56" s="3">
        <f t="shared" si="32"/>
        <v>-8584.8155027063349</v>
      </c>
      <c r="J56" s="3">
        <f t="shared" si="32"/>
        <v>0</v>
      </c>
      <c r="K56" s="3">
        <f t="shared" si="32"/>
        <v>0</v>
      </c>
      <c r="L56" s="3">
        <f t="shared" si="32"/>
        <v>0</v>
      </c>
      <c r="M56" s="3">
        <f t="shared" si="32"/>
        <v>0</v>
      </c>
      <c r="N56" s="3">
        <f t="shared" si="32"/>
        <v>0</v>
      </c>
      <c r="O56" s="3">
        <f t="shared" si="32"/>
        <v>0</v>
      </c>
      <c r="P56" s="3"/>
      <c r="Q56" s="36">
        <f>SUM(D56:F56)</f>
        <v>-19633.820434555717</v>
      </c>
      <c r="R56" s="36">
        <f>SUM(G56:I56)</f>
        <v>-28001.686669385912</v>
      </c>
      <c r="S56" s="36">
        <f>SUM(J56:L56)</f>
        <v>0</v>
      </c>
      <c r="T56" s="36">
        <f>SUM(M56:O56)</f>
        <v>0</v>
      </c>
      <c r="U56" s="3">
        <f>SUM(D56:O56)</f>
        <v>-47635.507103941629</v>
      </c>
    </row>
    <row r="57" spans="1:21" ht="15.75" thickBot="1">
      <c r="A57" s="33">
        <v>43</v>
      </c>
      <c r="B57" s="4" t="s">
        <v>36</v>
      </c>
      <c r="C57" s="33"/>
      <c r="D57" s="6">
        <f>D53+D54+D56</f>
        <v>-1451441.943691601</v>
      </c>
      <c r="E57" s="6">
        <f t="shared" ref="E57:O57" si="33">E53+E54+E56</f>
        <v>-59554.555732595836</v>
      </c>
      <c r="F57" s="6">
        <f t="shared" si="33"/>
        <v>-51457.588967941767</v>
      </c>
      <c r="G57" s="6">
        <f t="shared" si="33"/>
        <v>-38624.539685295764</v>
      </c>
      <c r="H57" s="6">
        <f t="shared" si="33"/>
        <v>132874.32812029569</v>
      </c>
      <c r="I57" s="6">
        <f t="shared" si="33"/>
        <v>180682.82354554345</v>
      </c>
      <c r="J57" s="6">
        <f t="shared" si="33"/>
        <v>0</v>
      </c>
      <c r="K57" s="6">
        <f t="shared" si="33"/>
        <v>0</v>
      </c>
      <c r="L57" s="6">
        <f t="shared" si="33"/>
        <v>0</v>
      </c>
      <c r="M57" s="6">
        <f t="shared" si="33"/>
        <v>0</v>
      </c>
      <c r="N57" s="6">
        <f t="shared" si="33"/>
        <v>0</v>
      </c>
      <c r="O57" s="6">
        <f t="shared" si="33"/>
        <v>0</v>
      </c>
      <c r="P57" s="6"/>
      <c r="Q57" s="37">
        <f>Q53+Q54+Q56</f>
        <v>-1562454.0883921385</v>
      </c>
      <c r="R57" s="37">
        <f>R53+R54+R56</f>
        <v>274932.61198054336</v>
      </c>
      <c r="S57" s="37">
        <f>S53+S54+S56</f>
        <v>0</v>
      </c>
      <c r="T57" s="37">
        <f>T53+T54+T56</f>
        <v>0</v>
      </c>
      <c r="U57" s="37">
        <f>U53+U54+U56</f>
        <v>-1287521.4764115952</v>
      </c>
    </row>
    <row r="58" spans="1:21" ht="15.75" thickBot="1">
      <c r="A58" s="33">
        <v>44</v>
      </c>
      <c r="B58" s="18" t="s">
        <v>154</v>
      </c>
      <c r="C58" s="33" t="str">
        <f>"Σ(("&amp;A53&amp;") ,("&amp;A54&amp;") , ("&amp;A56&amp;"))"</f>
        <v>Σ((39) ,(40) , (42))</v>
      </c>
      <c r="D58" s="36">
        <f>D53+D54+D56</f>
        <v>-1451441.943691601</v>
      </c>
      <c r="E58" s="36">
        <f>D58+E53+E54+E56</f>
        <v>-1510996.4994241968</v>
      </c>
      <c r="F58" s="36">
        <f t="shared" ref="F58:O58" si="34">E58+F53+F54+F56</f>
        <v>-1562454.0883921385</v>
      </c>
      <c r="G58" s="36">
        <f t="shared" si="34"/>
        <v>-1601078.6280774341</v>
      </c>
      <c r="H58" s="36">
        <f t="shared" si="34"/>
        <v>-1468204.2999571385</v>
      </c>
      <c r="I58" s="36">
        <f t="shared" si="34"/>
        <v>-1287521.4764115952</v>
      </c>
      <c r="J58" s="36">
        <f t="shared" si="34"/>
        <v>-1287521.4764115952</v>
      </c>
      <c r="K58" s="36">
        <f t="shared" si="34"/>
        <v>-1287521.4764115952</v>
      </c>
      <c r="L58" s="36">
        <f t="shared" si="34"/>
        <v>-1287521.4764115952</v>
      </c>
      <c r="M58" s="36">
        <f t="shared" si="34"/>
        <v>-1287521.4764115952</v>
      </c>
      <c r="N58" s="36">
        <f t="shared" si="34"/>
        <v>-1287521.4764115952</v>
      </c>
      <c r="O58" s="63">
        <f t="shared" si="34"/>
        <v>-1287521.4764115952</v>
      </c>
      <c r="P58" s="15"/>
      <c r="Q58" s="36"/>
      <c r="R58" s="36"/>
      <c r="S58" s="36"/>
      <c r="T58" s="36"/>
    </row>
    <row r="59" spans="1:21" ht="15.75" thickBot="1">
      <c r="A59" s="33"/>
      <c r="B59" s="18"/>
      <c r="C59" s="18"/>
      <c r="D59" s="18"/>
      <c r="E59" s="18"/>
      <c r="F59" s="18"/>
      <c r="G59" s="18"/>
      <c r="H59" s="18"/>
      <c r="I59" s="18"/>
      <c r="J59" s="18"/>
      <c r="K59" s="18"/>
      <c r="L59" s="18"/>
      <c r="M59" s="18"/>
      <c r="N59" s="18"/>
      <c r="O59" s="18"/>
      <c r="P59" s="18"/>
      <c r="Q59" s="18"/>
      <c r="R59" s="18"/>
      <c r="S59" s="18"/>
      <c r="T59" s="18"/>
      <c r="U59" s="165"/>
    </row>
    <row r="60" spans="1:21" ht="15.75" thickBot="1">
      <c r="A60" s="1">
        <v>45</v>
      </c>
      <c r="B60" s="4" t="s">
        <v>156</v>
      </c>
      <c r="C60" s="1" t="str">
        <f>"("&amp;A31&amp;") + ("&amp;A58&amp;")"</f>
        <v>(21) + (44)</v>
      </c>
      <c r="D60" s="36">
        <f t="shared" ref="D60:O60" si="35">D32+D58</f>
        <v>-3206365.0510377903</v>
      </c>
      <c r="E60" s="36">
        <f t="shared" si="35"/>
        <v>-5114763.7968803346</v>
      </c>
      <c r="F60" s="36">
        <f t="shared" si="35"/>
        <v>-5371339.7321110824</v>
      </c>
      <c r="G60" s="36">
        <f t="shared" si="35"/>
        <v>-5311018.9789275639</v>
      </c>
      <c r="H60" s="36">
        <f t="shared" si="35"/>
        <v>-3791707.4106799923</v>
      </c>
      <c r="I60" s="36">
        <f t="shared" si="35"/>
        <v>-2234113.6501615928</v>
      </c>
      <c r="J60" s="36">
        <f t="shared" si="35"/>
        <v>-2234113.6501615928</v>
      </c>
      <c r="K60" s="36">
        <f t="shared" si="35"/>
        <v>-2234113.6501615928</v>
      </c>
      <c r="L60" s="36">
        <f t="shared" si="35"/>
        <v>-2234113.6501615928</v>
      </c>
      <c r="M60" s="36">
        <f t="shared" si="35"/>
        <v>-2234113.6501615928</v>
      </c>
      <c r="N60" s="36">
        <f t="shared" si="35"/>
        <v>-2234113.6501615928</v>
      </c>
      <c r="O60" s="63">
        <f t="shared" si="35"/>
        <v>-2234113.6501615928</v>
      </c>
      <c r="P60" s="15"/>
    </row>
    <row r="61" spans="1:21" ht="37.5" customHeight="1">
      <c r="A61" s="228"/>
      <c r="B61" s="228"/>
      <c r="C61" s="228"/>
      <c r="D61" s="228"/>
      <c r="E61" s="228"/>
      <c r="F61" s="228"/>
      <c r="G61" s="228"/>
      <c r="H61" s="228"/>
      <c r="I61" s="228"/>
      <c r="J61" s="228"/>
      <c r="K61" s="228"/>
      <c r="L61" s="228"/>
      <c r="M61" s="228"/>
      <c r="N61" s="228"/>
      <c r="O61" s="228"/>
      <c r="P61" s="228"/>
      <c r="Q61" s="228"/>
      <c r="R61" s="228"/>
      <c r="S61" s="228"/>
      <c r="T61" s="228"/>
      <c r="U61" s="228"/>
    </row>
    <row r="64" spans="1:21">
      <c r="D64" s="203"/>
      <c r="E64" s="203"/>
      <c r="F64" s="203"/>
      <c r="G64" s="203"/>
      <c r="H64" s="203"/>
      <c r="I64" s="203"/>
      <c r="J64" s="203"/>
      <c r="K64" s="203"/>
      <c r="L64" s="203"/>
      <c r="M64" s="203"/>
      <c r="N64" s="203"/>
      <c r="O64" s="203"/>
    </row>
    <row r="65" spans="4:15">
      <c r="D65" s="171"/>
      <c r="E65" s="171"/>
      <c r="F65" s="171"/>
      <c r="G65" s="171"/>
      <c r="H65" s="171"/>
      <c r="I65" s="171"/>
      <c r="J65" s="171"/>
      <c r="K65" s="171"/>
      <c r="L65" s="171"/>
      <c r="M65" s="171"/>
      <c r="N65" s="171"/>
      <c r="O65" s="171"/>
    </row>
    <row r="66" spans="4:15">
      <c r="D66" s="203"/>
      <c r="E66" s="203"/>
      <c r="F66" s="203"/>
      <c r="G66" s="203"/>
      <c r="H66" s="203"/>
      <c r="I66" s="203"/>
      <c r="J66" s="203"/>
      <c r="K66" s="203"/>
      <c r="L66" s="203"/>
      <c r="M66" s="203"/>
      <c r="N66" s="203"/>
      <c r="O66" s="203"/>
    </row>
    <row r="68" spans="4:15">
      <c r="D68" s="204"/>
      <c r="E68" s="204"/>
      <c r="F68" s="204"/>
      <c r="G68" s="204"/>
      <c r="H68" s="204"/>
      <c r="I68" s="204"/>
      <c r="J68" s="204"/>
      <c r="K68" s="204"/>
      <c r="L68" s="204"/>
      <c r="M68" s="204"/>
      <c r="N68" s="204"/>
      <c r="O68" s="204"/>
    </row>
    <row r="69" spans="4:15">
      <c r="D69" s="204"/>
      <c r="E69" s="204"/>
      <c r="F69" s="204"/>
      <c r="G69" s="204"/>
      <c r="H69" s="204"/>
      <c r="I69" s="204"/>
      <c r="J69" s="204"/>
      <c r="K69" s="204"/>
      <c r="L69" s="204"/>
      <c r="M69" s="204"/>
      <c r="N69" s="204"/>
      <c r="O69" s="204"/>
    </row>
    <row r="70" spans="4:15">
      <c r="D70" s="205"/>
      <c r="E70" s="205"/>
      <c r="F70" s="205"/>
      <c r="G70" s="205"/>
      <c r="H70" s="205"/>
      <c r="I70" s="205"/>
      <c r="J70" s="205"/>
      <c r="K70" s="205"/>
      <c r="L70" s="205"/>
      <c r="M70" s="205"/>
      <c r="N70" s="205"/>
      <c r="O70" s="205"/>
    </row>
    <row r="72" spans="4:15">
      <c r="D72" s="203"/>
      <c r="E72" s="203"/>
      <c r="F72" s="203"/>
      <c r="G72" s="203"/>
      <c r="H72" s="203"/>
      <c r="I72" s="203"/>
      <c r="J72" s="203"/>
      <c r="K72" s="203"/>
      <c r="L72" s="203"/>
      <c r="M72" s="203"/>
      <c r="N72" s="203"/>
      <c r="O72" s="203"/>
    </row>
    <row r="75" spans="4:15">
      <c r="N75" s="204"/>
    </row>
    <row r="77" spans="4:15">
      <c r="E77" s="206"/>
      <c r="F77" s="206"/>
      <c r="G77" s="206"/>
      <c r="H77" s="206"/>
      <c r="I77" s="206"/>
      <c r="J77" s="206"/>
      <c r="K77" s="206"/>
      <c r="L77" s="206"/>
      <c r="M77" s="206"/>
      <c r="N77" s="206"/>
      <c r="O77" s="206"/>
    </row>
    <row r="78" spans="4:15">
      <c r="E78" s="206"/>
      <c r="F78" s="206"/>
      <c r="G78" s="206"/>
      <c r="H78" s="206"/>
      <c r="I78" s="206"/>
      <c r="J78" s="206"/>
      <c r="K78" s="206"/>
      <c r="L78" s="206"/>
      <c r="M78" s="206"/>
      <c r="N78" s="206"/>
      <c r="O78" s="206"/>
    </row>
  </sheetData>
  <mergeCells count="2">
    <mergeCell ref="A33:U33"/>
    <mergeCell ref="A61:U61"/>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2023</oddHeader>
    <oddFooter>&amp;Cfile: &amp;F / &amp;A</oddFooter>
  </headerFooter>
  <rowBreaks count="1" manualBreakCount="1">
    <brk id="33"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4"/>
  <sheetViews>
    <sheetView tabSelected="1" view="pageBreakPreview" zoomScale="60" zoomScaleNormal="100" workbookViewId="0">
      <selection activeCell="AA14" sqref="AA14"/>
    </sheetView>
  </sheetViews>
  <sheetFormatPr defaultRowHeight="15"/>
  <cols>
    <col min="1" max="1" width="7.28515625" customWidth="1"/>
    <col min="2" max="2" width="36.28515625" customWidth="1"/>
    <col min="3" max="3" width="6.28515625" customWidth="1"/>
    <col min="4" max="4" width="9.85546875" customWidth="1"/>
    <col min="5" max="5" width="14.42578125" bestFit="1" customWidth="1"/>
    <col min="6" max="6" width="18" bestFit="1" customWidth="1"/>
    <col min="7" max="7" width="14.42578125" bestFit="1" customWidth="1"/>
    <col min="8" max="8" width="3" customWidth="1"/>
    <col min="9" max="9" width="17.42578125" bestFit="1" customWidth="1"/>
    <col min="10" max="11" width="15" bestFit="1" customWidth="1"/>
    <col min="12" max="12" width="18.85546875" bestFit="1" customWidth="1"/>
    <col min="13" max="14" width="11.42578125" customWidth="1"/>
    <col min="15" max="15" width="13.28515625" bestFit="1" customWidth="1"/>
  </cols>
  <sheetData>
    <row r="1" spans="1:12" ht="31.15" customHeight="1">
      <c r="A1" s="229" t="s">
        <v>41</v>
      </c>
      <c r="B1" s="229"/>
      <c r="C1" s="229"/>
      <c r="D1" s="229"/>
      <c r="E1" s="229"/>
      <c r="F1" s="229"/>
      <c r="G1" s="229"/>
      <c r="H1" s="229"/>
    </row>
    <row r="2" spans="1:12" ht="19.149999999999999" customHeight="1"/>
    <row r="3" spans="1:12">
      <c r="A3" s="20" t="s">
        <v>42</v>
      </c>
      <c r="C3" s="9" t="s">
        <v>96</v>
      </c>
    </row>
    <row r="4" spans="1:12">
      <c r="A4" s="232"/>
      <c r="B4" s="232"/>
      <c r="C4" s="232"/>
      <c r="D4" s="232"/>
      <c r="E4" s="232"/>
      <c r="F4" s="232"/>
      <c r="G4" s="232"/>
    </row>
    <row r="5" spans="1:12" ht="26.25">
      <c r="A5" s="49" t="s">
        <v>43</v>
      </c>
      <c r="B5" s="50" t="s">
        <v>44</v>
      </c>
      <c r="C5" s="51" t="s">
        <v>45</v>
      </c>
      <c r="D5" s="49" t="s">
        <v>46</v>
      </c>
      <c r="E5" s="49" t="s">
        <v>47</v>
      </c>
      <c r="F5" s="49" t="s">
        <v>48</v>
      </c>
      <c r="G5" s="49" t="s">
        <v>49</v>
      </c>
      <c r="I5" s="231" t="s">
        <v>157</v>
      </c>
      <c r="J5" s="231"/>
      <c r="L5" s="108"/>
    </row>
    <row r="6" spans="1:12">
      <c r="A6" s="22" t="s">
        <v>50</v>
      </c>
      <c r="B6" s="21" t="s">
        <v>51</v>
      </c>
      <c r="C6" s="23" t="s">
        <v>52</v>
      </c>
      <c r="D6" s="24" t="s">
        <v>275</v>
      </c>
      <c r="E6" s="25">
        <v>-16125774.1</v>
      </c>
      <c r="F6" s="26">
        <v>14988183.17</v>
      </c>
      <c r="G6" s="25">
        <v>-1137590.93</v>
      </c>
      <c r="I6" s="16">
        <f>F6-'Interest Reconciliation'!C26-'Interest Reconciliation'!D26</f>
        <v>16125774.1</v>
      </c>
      <c r="J6" s="16">
        <f>G6-'Interest Reconciliation'!F26</f>
        <v>0</v>
      </c>
    </row>
    <row r="7" spans="1:12">
      <c r="A7" s="22" t="s">
        <v>50</v>
      </c>
      <c r="B7" s="21" t="s">
        <v>51</v>
      </c>
      <c r="C7" s="23" t="s">
        <v>52</v>
      </c>
      <c r="D7" s="24" t="s">
        <v>276</v>
      </c>
      <c r="E7" s="25">
        <v>-1137590.93</v>
      </c>
      <c r="F7" s="26">
        <v>-701954.17</v>
      </c>
      <c r="G7" s="25">
        <v>-1839545.1</v>
      </c>
      <c r="I7" s="16">
        <f>F7-'Interest Reconciliation'!C27-'Interest Reconciliation'!D27</f>
        <v>1.3642420526593924E-11</v>
      </c>
      <c r="J7" s="16">
        <f>G7-'Interest Reconciliation'!F27</f>
        <v>0</v>
      </c>
    </row>
    <row r="8" spans="1:12">
      <c r="A8" s="22" t="s">
        <v>50</v>
      </c>
      <c r="B8" s="21" t="s">
        <v>51</v>
      </c>
      <c r="C8" s="23" t="s">
        <v>52</v>
      </c>
      <c r="D8" s="24" t="s">
        <v>277</v>
      </c>
      <c r="E8" s="25">
        <v>-1839545.1</v>
      </c>
      <c r="F8" s="26">
        <v>-357301.39</v>
      </c>
      <c r="G8" s="25">
        <v>-2196846.4900000002</v>
      </c>
      <c r="I8" s="16">
        <f>F8-'Interest Reconciliation'!C28-'Interest Reconciliation'!D28</f>
        <v>-1.8189894035458565E-11</v>
      </c>
      <c r="J8" s="16">
        <f>G8-'Interest Reconciliation'!F28</f>
        <v>0</v>
      </c>
    </row>
    <row r="9" spans="1:12">
      <c r="A9" s="22" t="s">
        <v>50</v>
      </c>
      <c r="B9" s="21" t="s">
        <v>51</v>
      </c>
      <c r="C9" s="23" t="s">
        <v>52</v>
      </c>
      <c r="D9" s="24" t="s">
        <v>286</v>
      </c>
      <c r="E9" s="25">
        <v>-2196846.4900000002</v>
      </c>
      <c r="F9" s="26">
        <v>-414593.14</v>
      </c>
      <c r="G9" s="25">
        <v>-2611439.63</v>
      </c>
      <c r="I9" s="16">
        <f>F9-'Interest Reconciliation'!C29-'Interest Reconciliation'!D29</f>
        <v>-176.96999999999935</v>
      </c>
      <c r="J9" s="16">
        <f>G9-'Interest Reconciliation'!F29</f>
        <v>-176.96999999973923</v>
      </c>
    </row>
    <row r="10" spans="1:12">
      <c r="A10" s="22" t="s">
        <v>50</v>
      </c>
      <c r="B10" s="21" t="s">
        <v>51</v>
      </c>
      <c r="C10" s="23" t="s">
        <v>52</v>
      </c>
      <c r="D10" s="24" t="s">
        <v>287</v>
      </c>
      <c r="E10" s="25">
        <v>-2611439.63</v>
      </c>
      <c r="F10" s="26">
        <v>1032534.47</v>
      </c>
      <c r="G10" s="25">
        <v>-1578905.16</v>
      </c>
      <c r="I10" s="16">
        <f>F10-'Interest Reconciliation'!C30-'Interest Reconciliation'!D30</f>
        <v>176.96999999999025</v>
      </c>
      <c r="J10" s="16">
        <f>G10-'Interest Reconciliation'!F30</f>
        <v>0</v>
      </c>
    </row>
    <row r="11" spans="1:12">
      <c r="A11" s="22" t="s">
        <v>50</v>
      </c>
      <c r="B11" s="21" t="s">
        <v>51</v>
      </c>
      <c r="C11" s="23" t="s">
        <v>52</v>
      </c>
      <c r="D11" s="24" t="s">
        <v>288</v>
      </c>
      <c r="E11" s="25">
        <v>-1578905.16</v>
      </c>
      <c r="F11" s="26">
        <v>-1814696.81</v>
      </c>
      <c r="G11" s="25">
        <v>-3393601.97</v>
      </c>
      <c r="I11" s="16">
        <f>F11-'Interest Reconciliation'!C31-'Interest Reconciliation'!D31</f>
        <v>-1.673470251262188E-10</v>
      </c>
      <c r="J11" s="16">
        <f>G11-'Interest Reconciliation'!F31</f>
        <v>0</v>
      </c>
    </row>
    <row r="12" spans="1:12" hidden="1">
      <c r="A12" s="22" t="s">
        <v>50</v>
      </c>
      <c r="B12" s="21" t="s">
        <v>51</v>
      </c>
      <c r="C12" s="23" t="s">
        <v>52</v>
      </c>
      <c r="D12" s="24"/>
      <c r="E12" s="25"/>
      <c r="F12" s="26"/>
      <c r="G12" s="25"/>
      <c r="I12" s="16">
        <f>F12-'Interest Reconciliation'!C32-'Interest Reconciliation'!D32</f>
        <v>0</v>
      </c>
      <c r="J12" s="16">
        <f>G12-'Interest Reconciliation'!F32</f>
        <v>3393601.97</v>
      </c>
    </row>
    <row r="13" spans="1:12" hidden="1">
      <c r="A13" s="22" t="s">
        <v>50</v>
      </c>
      <c r="B13" s="21" t="s">
        <v>51</v>
      </c>
      <c r="C13" s="23" t="s">
        <v>52</v>
      </c>
      <c r="D13" s="24"/>
      <c r="E13" s="25"/>
      <c r="F13" s="26"/>
      <c r="G13" s="25"/>
      <c r="I13" s="16">
        <f>F13-'Interest Reconciliation'!C33-'Interest Reconciliation'!D33</f>
        <v>0</v>
      </c>
      <c r="J13" s="16">
        <f>G13-'Interest Reconciliation'!F33</f>
        <v>3393601.97</v>
      </c>
    </row>
    <row r="14" spans="1:12" hidden="1">
      <c r="A14" s="22" t="s">
        <v>50</v>
      </c>
      <c r="B14" s="21" t="s">
        <v>51</v>
      </c>
      <c r="C14" s="23" t="s">
        <v>52</v>
      </c>
      <c r="D14" s="24"/>
      <c r="E14" s="25"/>
      <c r="F14" s="26"/>
      <c r="G14" s="25"/>
      <c r="I14" s="16">
        <f>F14-'Interest Reconciliation'!C34-'Interest Reconciliation'!D34</f>
        <v>0</v>
      </c>
      <c r="J14" s="16">
        <f>G14-'Interest Reconciliation'!F34</f>
        <v>3393601.97</v>
      </c>
    </row>
    <row r="15" spans="1:12" hidden="1">
      <c r="A15" s="22" t="s">
        <v>50</v>
      </c>
      <c r="B15" s="21" t="s">
        <v>51</v>
      </c>
      <c r="C15" s="23" t="s">
        <v>52</v>
      </c>
      <c r="D15" s="24"/>
      <c r="E15" s="25"/>
      <c r="F15" s="26"/>
      <c r="G15" s="25"/>
      <c r="I15" s="16">
        <f>F15-'Interest Reconciliation'!C35-'Interest Reconciliation'!D35</f>
        <v>0</v>
      </c>
      <c r="J15" s="16">
        <f>G15-'Interest Reconciliation'!F35</f>
        <v>3393601.97</v>
      </c>
    </row>
    <row r="16" spans="1:12" hidden="1">
      <c r="A16" s="22" t="s">
        <v>50</v>
      </c>
      <c r="B16" s="21" t="s">
        <v>51</v>
      </c>
      <c r="C16" s="23" t="s">
        <v>52</v>
      </c>
      <c r="D16" s="24"/>
      <c r="E16" s="25"/>
      <c r="F16" s="26"/>
      <c r="G16" s="25"/>
      <c r="I16" s="16">
        <f>F16-'Interest Reconciliation'!C36-'Interest Reconciliation'!D36</f>
        <v>0</v>
      </c>
      <c r="J16" s="16">
        <f>G16-'Interest Reconciliation'!F36</f>
        <v>3393601.97</v>
      </c>
    </row>
    <row r="17" spans="1:12" hidden="1">
      <c r="A17" s="22" t="s">
        <v>50</v>
      </c>
      <c r="B17" s="21" t="s">
        <v>51</v>
      </c>
      <c r="C17" s="23" t="s">
        <v>52</v>
      </c>
      <c r="D17" s="24"/>
      <c r="E17" s="25"/>
      <c r="F17" s="26"/>
      <c r="G17" s="25"/>
      <c r="I17" s="16">
        <f>F17-'Interest Reconciliation'!C37-'Interest Reconciliation'!D37</f>
        <v>0</v>
      </c>
      <c r="J17" s="16">
        <f>G17-'Interest Reconciliation'!F37</f>
        <v>3393601.97</v>
      </c>
    </row>
    <row r="18" spans="1:12">
      <c r="A18" s="27"/>
      <c r="B18" s="41"/>
      <c r="C18" s="42"/>
      <c r="D18" s="41"/>
      <c r="E18" s="43"/>
      <c r="F18" s="44">
        <f>SUM(F6:F17)</f>
        <v>12732172.129999999</v>
      </c>
      <c r="G18" s="43"/>
      <c r="I18" s="16"/>
      <c r="J18" s="16"/>
    </row>
    <row r="19" spans="1:12">
      <c r="A19" s="22" t="s">
        <v>50</v>
      </c>
      <c r="B19" s="21" t="s">
        <v>51</v>
      </c>
      <c r="C19" s="23" t="s">
        <v>53</v>
      </c>
      <c r="D19" s="24" t="s">
        <v>275</v>
      </c>
      <c r="E19" s="25">
        <v>-1069340.6399999999</v>
      </c>
      <c r="F19" s="26">
        <v>-685582.47</v>
      </c>
      <c r="G19" s="25">
        <v>-1754923.11</v>
      </c>
      <c r="I19" s="16">
        <f>F19-'Interest Reconciliation'!L26-'Interest Reconciliation'!M26</f>
        <v>1069340.6399999999</v>
      </c>
      <c r="J19" s="16">
        <f>G19-'Interest Reconciliation'!O26</f>
        <v>0</v>
      </c>
      <c r="L19" s="16"/>
    </row>
    <row r="20" spans="1:12">
      <c r="A20" s="22" t="s">
        <v>50</v>
      </c>
      <c r="B20" s="21" t="s">
        <v>51</v>
      </c>
      <c r="C20" s="23" t="s">
        <v>53</v>
      </c>
      <c r="D20" s="24" t="s">
        <v>276</v>
      </c>
      <c r="E20" s="25">
        <v>-1754923.11</v>
      </c>
      <c r="F20" s="26">
        <v>-1848844.19</v>
      </c>
      <c r="G20" s="25">
        <v>-3603767.3</v>
      </c>
      <c r="I20" s="16">
        <f>F20-'Interest Reconciliation'!L27-'Interest Reconciliation'!M27</f>
        <v>4.7293724492192268E-11</v>
      </c>
      <c r="J20" s="16">
        <f>G20-'Interest Reconciliation'!O27</f>
        <v>0</v>
      </c>
      <c r="L20" s="16"/>
    </row>
    <row r="21" spans="1:12">
      <c r="A21" s="22" t="s">
        <v>50</v>
      </c>
      <c r="B21" s="21" t="s">
        <v>51</v>
      </c>
      <c r="C21" s="23" t="s">
        <v>53</v>
      </c>
      <c r="D21" s="24" t="s">
        <v>277</v>
      </c>
      <c r="E21" s="25">
        <v>-3603767.3</v>
      </c>
      <c r="F21" s="26">
        <v>-205118.34</v>
      </c>
      <c r="G21" s="25">
        <v>-3808885.64</v>
      </c>
      <c r="I21" s="16">
        <f>F21-'Interest Reconciliation'!L28-'Interest Reconciliation'!M28</f>
        <v>0</v>
      </c>
      <c r="J21" s="16">
        <f>G21-'Interest Reconciliation'!O28</f>
        <v>0</v>
      </c>
      <c r="L21" s="16"/>
    </row>
    <row r="22" spans="1:12">
      <c r="A22" s="22" t="s">
        <v>50</v>
      </c>
      <c r="B22" s="21" t="s">
        <v>51</v>
      </c>
      <c r="C22" s="23" t="s">
        <v>53</v>
      </c>
      <c r="D22" s="24" t="s">
        <v>286</v>
      </c>
      <c r="E22" s="25">
        <v>-3808885.64</v>
      </c>
      <c r="F22" s="26">
        <v>98855.39</v>
      </c>
      <c r="G22" s="25">
        <v>-3710030.25</v>
      </c>
      <c r="I22" s="16">
        <f>F22-'Interest Reconciliation'!L29-'Interest Reconciliation'!M29</f>
        <v>-89.909999999992579</v>
      </c>
      <c r="J22" s="16">
        <f>G22-'Interest Reconciliation'!O29</f>
        <v>-89.910000000149012</v>
      </c>
      <c r="L22" s="16"/>
    </row>
    <row r="23" spans="1:12">
      <c r="A23" s="22" t="s">
        <v>50</v>
      </c>
      <c r="B23" s="21" t="s">
        <v>51</v>
      </c>
      <c r="C23" s="23" t="s">
        <v>53</v>
      </c>
      <c r="D23" s="24" t="s">
        <v>287</v>
      </c>
      <c r="E23" s="25">
        <v>-3710030.25</v>
      </c>
      <c r="F23" s="26">
        <v>1386527.15</v>
      </c>
      <c r="G23" s="25">
        <v>-2323503.1</v>
      </c>
      <c r="I23" s="16">
        <f>F23-'Interest Reconciliation'!L30-'Interest Reconciliation'!M30</f>
        <v>89.909999999897991</v>
      </c>
      <c r="J23" s="16">
        <f>G23-'Interest Reconciliation'!O30</f>
        <v>0</v>
      </c>
      <c r="L23" s="16"/>
    </row>
    <row r="24" spans="1:12">
      <c r="A24" s="22" t="s">
        <v>50</v>
      </c>
      <c r="B24" s="21" t="s">
        <v>51</v>
      </c>
      <c r="C24" s="23" t="s">
        <v>53</v>
      </c>
      <c r="D24" s="24" t="s">
        <v>288</v>
      </c>
      <c r="E24" s="25">
        <v>-2323503.1</v>
      </c>
      <c r="F24" s="26">
        <v>1376910.94</v>
      </c>
      <c r="G24" s="25">
        <v>-946592.16</v>
      </c>
      <c r="I24" s="16">
        <f>F24-'Interest Reconciliation'!L31-'Interest Reconciliation'!M31</f>
        <v>3.637978807091713E-11</v>
      </c>
      <c r="J24" s="16">
        <f>G24-'Interest Reconciliation'!O31</f>
        <v>0</v>
      </c>
      <c r="L24" s="16"/>
    </row>
    <row r="25" spans="1:12" hidden="1">
      <c r="A25" s="22" t="s">
        <v>50</v>
      </c>
      <c r="B25" s="21" t="s">
        <v>51</v>
      </c>
      <c r="C25" s="23" t="s">
        <v>53</v>
      </c>
      <c r="D25" s="24"/>
      <c r="E25" s="25"/>
      <c r="F25" s="26"/>
      <c r="G25" s="25"/>
      <c r="I25" s="16">
        <f>F25-'Interest Reconciliation'!L32-'Interest Reconciliation'!M32</f>
        <v>0</v>
      </c>
      <c r="J25" s="16">
        <f>G25-'Interest Reconciliation'!O32</f>
        <v>946592.16000000015</v>
      </c>
      <c r="L25" s="16"/>
    </row>
    <row r="26" spans="1:12" hidden="1">
      <c r="A26" s="22" t="s">
        <v>50</v>
      </c>
      <c r="B26" s="21" t="s">
        <v>51</v>
      </c>
      <c r="C26" s="23" t="s">
        <v>53</v>
      </c>
      <c r="D26" s="24"/>
      <c r="E26" s="25"/>
      <c r="F26" s="26"/>
      <c r="G26" s="25"/>
      <c r="I26" s="16">
        <f>F26-'Interest Reconciliation'!L33-'Interest Reconciliation'!M33</f>
        <v>0</v>
      </c>
      <c r="J26" s="16">
        <f>G26-'Interest Reconciliation'!O33</f>
        <v>946592.16000000015</v>
      </c>
      <c r="L26" s="16"/>
    </row>
    <row r="27" spans="1:12" hidden="1">
      <c r="A27" s="22" t="s">
        <v>50</v>
      </c>
      <c r="B27" s="21" t="s">
        <v>51</v>
      </c>
      <c r="C27" s="23" t="s">
        <v>53</v>
      </c>
      <c r="D27" s="24"/>
      <c r="E27" s="25"/>
      <c r="F27" s="26"/>
      <c r="G27" s="25"/>
      <c r="I27" s="16">
        <f>F27-'Interest Reconciliation'!L34-'Interest Reconciliation'!M34</f>
        <v>0</v>
      </c>
      <c r="J27" s="16">
        <f>G27-'Interest Reconciliation'!O34</f>
        <v>946592.16000000015</v>
      </c>
      <c r="L27" s="16"/>
    </row>
    <row r="28" spans="1:12" hidden="1">
      <c r="A28" s="22" t="s">
        <v>50</v>
      </c>
      <c r="B28" s="21" t="s">
        <v>51</v>
      </c>
      <c r="C28" s="23" t="s">
        <v>53</v>
      </c>
      <c r="D28" s="24"/>
      <c r="E28" s="25"/>
      <c r="F28" s="26"/>
      <c r="G28" s="25"/>
      <c r="I28" s="16">
        <f>F28-'Interest Reconciliation'!L35-'Interest Reconciliation'!M35</f>
        <v>0</v>
      </c>
      <c r="J28" s="16">
        <f>G28-'Interest Reconciliation'!O35</f>
        <v>946592.16000000015</v>
      </c>
      <c r="L28" s="16"/>
    </row>
    <row r="29" spans="1:12" hidden="1">
      <c r="A29" s="22" t="s">
        <v>50</v>
      </c>
      <c r="B29" s="21" t="s">
        <v>51</v>
      </c>
      <c r="C29" s="23" t="s">
        <v>53</v>
      </c>
      <c r="D29" s="24"/>
      <c r="E29" s="25"/>
      <c r="F29" s="26"/>
      <c r="G29" s="25"/>
      <c r="I29" s="16">
        <f>F29-'Interest Reconciliation'!L36-'Interest Reconciliation'!M36</f>
        <v>0</v>
      </c>
      <c r="J29" s="16">
        <f>G29-'Interest Reconciliation'!O36</f>
        <v>946592.16000000015</v>
      </c>
      <c r="L29" s="16"/>
    </row>
    <row r="30" spans="1:12" hidden="1">
      <c r="A30" s="22" t="s">
        <v>50</v>
      </c>
      <c r="B30" s="21" t="s">
        <v>51</v>
      </c>
      <c r="C30" s="23" t="s">
        <v>53</v>
      </c>
      <c r="D30" s="24"/>
      <c r="E30" s="25"/>
      <c r="F30" s="26"/>
      <c r="G30" s="25"/>
      <c r="I30" s="16">
        <f>F30-'Interest Reconciliation'!L37-'Interest Reconciliation'!M37</f>
        <v>0</v>
      </c>
      <c r="J30" s="16">
        <f>G30-'Interest Reconciliation'!O37</f>
        <v>946592.16000000015</v>
      </c>
      <c r="L30" s="16"/>
    </row>
    <row r="31" spans="1:12">
      <c r="A31" s="28"/>
      <c r="B31" s="41"/>
      <c r="C31" s="42"/>
      <c r="D31" s="41"/>
      <c r="E31" s="43"/>
      <c r="F31" s="44">
        <f>SUM(F19:F30)</f>
        <v>122748.47999999998</v>
      </c>
      <c r="G31" s="43"/>
      <c r="I31" s="16"/>
      <c r="J31" s="16"/>
      <c r="K31" s="16"/>
      <c r="L31" s="13"/>
    </row>
    <row r="32" spans="1:12" ht="14.45" customHeight="1">
      <c r="A32" s="45"/>
      <c r="B32" s="46"/>
      <c r="C32" s="45"/>
      <c r="D32" s="45"/>
      <c r="E32" s="47"/>
      <c r="F32" s="48">
        <f>F18+F31</f>
        <v>12854920.609999999</v>
      </c>
      <c r="G32" s="47"/>
      <c r="I32" s="16"/>
      <c r="J32" s="16"/>
      <c r="K32" s="16"/>
      <c r="L32" s="13"/>
    </row>
    <row r="33" spans="1:12">
      <c r="A33" s="22" t="s">
        <v>54</v>
      </c>
      <c r="B33" s="21" t="s">
        <v>55</v>
      </c>
      <c r="C33" s="23" t="s">
        <v>52</v>
      </c>
      <c r="D33" s="24" t="s">
        <v>275</v>
      </c>
      <c r="E33" s="25">
        <v>384923.6</v>
      </c>
      <c r="F33" s="26">
        <v>962475.69</v>
      </c>
      <c r="G33" s="25">
        <v>1347399.29</v>
      </c>
      <c r="H33" s="152"/>
      <c r="I33" s="16">
        <f>F33-'Interest Reconciliation'!C43-'Interest Reconciliation'!D43</f>
        <v>-384923.60000000009</v>
      </c>
      <c r="J33" s="16">
        <f>G33-'Interest Reconciliation'!F43</f>
        <v>0</v>
      </c>
      <c r="K33" s="16"/>
      <c r="L33" s="13"/>
    </row>
    <row r="34" spans="1:12">
      <c r="A34" s="22" t="s">
        <v>54</v>
      </c>
      <c r="B34" s="21" t="s">
        <v>55</v>
      </c>
      <c r="C34" s="23" t="s">
        <v>52</v>
      </c>
      <c r="D34" s="24" t="s">
        <v>276</v>
      </c>
      <c r="E34" s="25">
        <v>1347399.29</v>
      </c>
      <c r="F34" s="26">
        <v>340948.42</v>
      </c>
      <c r="G34" s="25">
        <v>1688347.71</v>
      </c>
      <c r="H34" s="91"/>
      <c r="I34" s="16">
        <f>F34-'Interest Reconciliation'!C44-'Interest Reconciliation'!D44</f>
        <v>0</v>
      </c>
      <c r="J34" s="16">
        <f>G34-'Interest Reconciliation'!F44</f>
        <v>0</v>
      </c>
      <c r="K34" s="16"/>
      <c r="L34" s="13"/>
    </row>
    <row r="35" spans="1:12">
      <c r="A35" s="22" t="s">
        <v>54</v>
      </c>
      <c r="B35" s="21" t="s">
        <v>55</v>
      </c>
      <c r="C35" s="23" t="s">
        <v>52</v>
      </c>
      <c r="D35" s="24" t="s">
        <v>277</v>
      </c>
      <c r="E35" s="25">
        <v>1688347.71</v>
      </c>
      <c r="F35" s="26">
        <v>-965994.48</v>
      </c>
      <c r="G35" s="25">
        <v>722353.23</v>
      </c>
      <c r="H35" s="91"/>
      <c r="I35" s="16">
        <f>F35-'Interest Reconciliation'!C45-'Interest Reconciliation'!D45</f>
        <v>9.0949470177292824E-12</v>
      </c>
      <c r="J35" s="16">
        <f>G35-'Interest Reconciliation'!F45</f>
        <v>0</v>
      </c>
      <c r="K35" s="16"/>
      <c r="L35" s="13"/>
    </row>
    <row r="36" spans="1:12">
      <c r="A36" s="22" t="s">
        <v>54</v>
      </c>
      <c r="B36" s="21" t="s">
        <v>55</v>
      </c>
      <c r="C36" s="23" t="s">
        <v>52</v>
      </c>
      <c r="D36" s="24" t="s">
        <v>286</v>
      </c>
      <c r="E36" s="25">
        <v>722353.23</v>
      </c>
      <c r="F36" s="26">
        <v>901473.9</v>
      </c>
      <c r="G36" s="25">
        <v>1623827.13</v>
      </c>
      <c r="H36" s="91"/>
      <c r="I36" s="16">
        <f>F36-'Interest Reconciliation'!C46-'Interest Reconciliation'!D46</f>
        <v>-1719.0299999999534</v>
      </c>
      <c r="J36" s="16">
        <f>G36-'Interest Reconciliation'!F46</f>
        <v>-1719.0300000002608</v>
      </c>
      <c r="K36" s="16"/>
      <c r="L36" s="13"/>
    </row>
    <row r="37" spans="1:12">
      <c r="A37" s="22" t="s">
        <v>54</v>
      </c>
      <c r="B37" s="21" t="s">
        <v>55</v>
      </c>
      <c r="C37" s="23" t="s">
        <v>52</v>
      </c>
      <c r="D37" s="24" t="s">
        <v>287</v>
      </c>
      <c r="E37" s="25">
        <v>1623827.13</v>
      </c>
      <c r="F37" s="26">
        <v>170059.71</v>
      </c>
      <c r="G37" s="25">
        <v>1793886.84</v>
      </c>
      <c r="H37" s="91"/>
      <c r="I37" s="16">
        <f>F37-'Interest Reconciliation'!C47-'Interest Reconciliation'!D47</f>
        <v>1719.0300000000007</v>
      </c>
      <c r="J37" s="16">
        <f>G37-'Interest Reconciliation'!F47</f>
        <v>0</v>
      </c>
      <c r="K37" s="16"/>
      <c r="L37" s="13"/>
    </row>
    <row r="38" spans="1:12">
      <c r="A38" s="22" t="s">
        <v>54</v>
      </c>
      <c r="B38" s="21" t="s">
        <v>55</v>
      </c>
      <c r="C38" s="23" t="s">
        <v>52</v>
      </c>
      <c r="D38" s="24" t="s">
        <v>288</v>
      </c>
      <c r="E38" s="25">
        <v>1793886.84</v>
      </c>
      <c r="F38" s="26">
        <v>1196696.95</v>
      </c>
      <c r="G38" s="25">
        <v>2990583.79</v>
      </c>
      <c r="H38" s="91"/>
      <c r="I38" s="16">
        <f>F38-'Interest Reconciliation'!C48-'Interest Reconciliation'!D48</f>
        <v>-1.0186340659856796E-10</v>
      </c>
      <c r="J38" s="16">
        <f>G38-'Interest Reconciliation'!F48</f>
        <v>0</v>
      </c>
      <c r="K38" s="16"/>
      <c r="L38" s="13"/>
    </row>
    <row r="39" spans="1:12" hidden="1">
      <c r="A39" s="22" t="s">
        <v>54</v>
      </c>
      <c r="B39" s="21" t="s">
        <v>55</v>
      </c>
      <c r="C39" s="23" t="s">
        <v>52</v>
      </c>
      <c r="D39" s="24"/>
      <c r="E39" s="25"/>
      <c r="F39" s="26"/>
      <c r="G39" s="25"/>
      <c r="H39" s="91"/>
      <c r="I39" s="16">
        <f>F39-'Interest Reconciliation'!C49-'Interest Reconciliation'!D49</f>
        <v>0</v>
      </c>
      <c r="J39" s="16">
        <f>G39-'Interest Reconciliation'!F49</f>
        <v>-2990583.7900000005</v>
      </c>
      <c r="K39" s="16"/>
      <c r="L39" s="13"/>
    </row>
    <row r="40" spans="1:12" hidden="1">
      <c r="A40" s="22" t="s">
        <v>54</v>
      </c>
      <c r="B40" s="21" t="s">
        <v>55</v>
      </c>
      <c r="C40" s="23" t="s">
        <v>52</v>
      </c>
      <c r="D40" s="24"/>
      <c r="E40" s="25"/>
      <c r="F40" s="26"/>
      <c r="G40" s="25"/>
      <c r="H40" s="91"/>
      <c r="I40" s="16">
        <f>F40-'Interest Reconciliation'!C50-'Interest Reconciliation'!D50</f>
        <v>0</v>
      </c>
      <c r="J40" s="16">
        <f>G40-'Interest Reconciliation'!F50</f>
        <v>-2990583.7900000005</v>
      </c>
      <c r="K40" s="16"/>
      <c r="L40" s="13"/>
    </row>
    <row r="41" spans="1:12" hidden="1">
      <c r="A41" s="22" t="s">
        <v>54</v>
      </c>
      <c r="B41" s="21" t="s">
        <v>55</v>
      </c>
      <c r="C41" s="23" t="s">
        <v>52</v>
      </c>
      <c r="D41" s="24"/>
      <c r="E41" s="25"/>
      <c r="F41" s="26"/>
      <c r="G41" s="25"/>
      <c r="H41" s="91"/>
      <c r="I41" s="16">
        <f>F41-'Interest Reconciliation'!C51-'Interest Reconciliation'!D51</f>
        <v>0</v>
      </c>
      <c r="J41" s="16">
        <f>G41-'Interest Reconciliation'!F51</f>
        <v>-2990583.7900000005</v>
      </c>
      <c r="K41" s="16"/>
      <c r="L41" s="13"/>
    </row>
    <row r="42" spans="1:12" hidden="1">
      <c r="A42" s="22" t="s">
        <v>54</v>
      </c>
      <c r="B42" s="21" t="s">
        <v>55</v>
      </c>
      <c r="C42" s="23" t="s">
        <v>52</v>
      </c>
      <c r="D42" s="24"/>
      <c r="E42" s="25"/>
      <c r="F42" s="26"/>
      <c r="G42" s="25"/>
      <c r="H42" s="91"/>
      <c r="I42" s="16">
        <f>F42-'Interest Reconciliation'!C52-'Interest Reconciliation'!D52</f>
        <v>0</v>
      </c>
      <c r="J42" s="16">
        <f>G42-'Interest Reconciliation'!F52</f>
        <v>-2990583.7900000005</v>
      </c>
      <c r="K42" s="16"/>
      <c r="L42" s="13"/>
    </row>
    <row r="43" spans="1:12" hidden="1">
      <c r="A43" s="22" t="s">
        <v>54</v>
      </c>
      <c r="B43" s="21" t="s">
        <v>55</v>
      </c>
      <c r="C43" s="23" t="s">
        <v>52</v>
      </c>
      <c r="D43" s="24"/>
      <c r="E43" s="25"/>
      <c r="F43" s="26"/>
      <c r="G43" s="25"/>
      <c r="H43" s="91"/>
      <c r="I43" s="16">
        <f>F43-'Interest Reconciliation'!C53-'Interest Reconciliation'!D53</f>
        <v>0</v>
      </c>
      <c r="J43" s="16">
        <f>G43-'Interest Reconciliation'!F53</f>
        <v>-2990583.7900000005</v>
      </c>
      <c r="K43" s="16"/>
      <c r="L43" s="13"/>
    </row>
    <row r="44" spans="1:12" hidden="1">
      <c r="A44" s="22" t="s">
        <v>54</v>
      </c>
      <c r="B44" s="21" t="s">
        <v>55</v>
      </c>
      <c r="C44" s="23" t="s">
        <v>52</v>
      </c>
      <c r="D44" s="24"/>
      <c r="E44" s="25"/>
      <c r="F44" s="26"/>
      <c r="G44" s="25"/>
      <c r="H44" s="91"/>
      <c r="I44" s="16">
        <f>F44-'Interest Reconciliation'!C54-'Interest Reconciliation'!D54</f>
        <v>0</v>
      </c>
      <c r="J44" s="16">
        <f>G44-'Interest Reconciliation'!F54</f>
        <v>-2990583.7900000005</v>
      </c>
      <c r="K44" s="16"/>
      <c r="L44" s="13"/>
    </row>
    <row r="45" spans="1:12">
      <c r="A45" s="27"/>
      <c r="B45" s="41"/>
      <c r="C45" s="42"/>
      <c r="D45" s="41"/>
      <c r="E45" s="43"/>
      <c r="F45" s="44">
        <f>SUM(F33:F35)</f>
        <v>337429.62999999989</v>
      </c>
      <c r="G45" s="43"/>
      <c r="I45" s="16"/>
      <c r="J45" s="16"/>
    </row>
    <row r="46" spans="1:12">
      <c r="A46" s="22" t="s">
        <v>54</v>
      </c>
      <c r="B46" s="21" t="s">
        <v>55</v>
      </c>
      <c r="C46" s="23" t="s">
        <v>53</v>
      </c>
      <c r="D46" s="24" t="s">
        <v>275</v>
      </c>
      <c r="E46" s="25">
        <v>1226597.18</v>
      </c>
      <c r="F46" s="26">
        <v>-2678039.13</v>
      </c>
      <c r="G46" s="25">
        <v>-1451441.95</v>
      </c>
      <c r="I46" s="16">
        <f>F46-'Interest Reconciliation'!L43-'Interest Reconciliation'!M43</f>
        <v>-1226597.1799999997</v>
      </c>
      <c r="J46" s="16">
        <f>G46-'Interest Reconciliation'!O43</f>
        <v>0</v>
      </c>
      <c r="L46" s="16"/>
    </row>
    <row r="47" spans="1:12">
      <c r="A47" s="22" t="s">
        <v>54</v>
      </c>
      <c r="B47" s="21" t="s">
        <v>55</v>
      </c>
      <c r="C47" s="23" t="s">
        <v>53</v>
      </c>
      <c r="D47" s="24" t="s">
        <v>276</v>
      </c>
      <c r="E47" s="25">
        <v>-1451441.95</v>
      </c>
      <c r="F47" s="26">
        <v>-59554.559999999998</v>
      </c>
      <c r="G47" s="25">
        <v>-1510996.51</v>
      </c>
      <c r="I47" s="16">
        <f>F47-'Interest Reconciliation'!L44-'Interest Reconciliation'!M44</f>
        <v>0</v>
      </c>
      <c r="J47" s="16">
        <f>G47-'Interest Reconciliation'!O44</f>
        <v>0</v>
      </c>
      <c r="L47" s="16"/>
    </row>
    <row r="48" spans="1:12">
      <c r="A48" s="22" t="s">
        <v>54</v>
      </c>
      <c r="B48" s="21" t="s">
        <v>55</v>
      </c>
      <c r="C48" s="23" t="s">
        <v>53</v>
      </c>
      <c r="D48" s="24" t="s">
        <v>277</v>
      </c>
      <c r="E48" s="25">
        <v>-1510996.51</v>
      </c>
      <c r="F48" s="26">
        <v>-51457.58</v>
      </c>
      <c r="G48" s="25">
        <v>-1562454.09</v>
      </c>
      <c r="H48" t="s">
        <v>158</v>
      </c>
      <c r="I48" s="16">
        <f>F48-'Interest Reconciliation'!L45-'Interest Reconciliation'!M45</f>
        <v>0</v>
      </c>
      <c r="J48" s="16">
        <f>G48-'Interest Reconciliation'!O45</f>
        <v>0</v>
      </c>
      <c r="L48" s="16"/>
    </row>
    <row r="49" spans="1:12">
      <c r="A49" s="22" t="s">
        <v>54</v>
      </c>
      <c r="B49" s="21" t="s">
        <v>55</v>
      </c>
      <c r="C49" s="23" t="s">
        <v>53</v>
      </c>
      <c r="D49" s="24" t="s">
        <v>286</v>
      </c>
      <c r="E49" s="25">
        <v>-1562454.09</v>
      </c>
      <c r="F49" s="26">
        <v>-38815.17</v>
      </c>
      <c r="G49" s="25">
        <v>-1601269.26</v>
      </c>
      <c r="I49" s="16">
        <f>F49-'Interest Reconciliation'!L46-'Interest Reconciliation'!M46</f>
        <v>-190.6299999999992</v>
      </c>
      <c r="J49" s="16">
        <f>G49-'Interest Reconciliation'!O46</f>
        <v>-190.62999999988824</v>
      </c>
      <c r="L49" s="16"/>
    </row>
    <row r="50" spans="1:12">
      <c r="A50" s="22" t="s">
        <v>54</v>
      </c>
      <c r="B50" s="21" t="s">
        <v>55</v>
      </c>
      <c r="C50" s="23" t="s">
        <v>53</v>
      </c>
      <c r="D50" s="24" t="s">
        <v>287</v>
      </c>
      <c r="E50" s="25">
        <v>-1601269.26</v>
      </c>
      <c r="F50" s="26">
        <v>133064.95999999999</v>
      </c>
      <c r="G50" s="25">
        <v>-1468204.3</v>
      </c>
      <c r="I50" s="16">
        <f>F50-'Interest Reconciliation'!L47-'Interest Reconciliation'!M47</f>
        <v>190.6299999999992</v>
      </c>
      <c r="J50" s="16">
        <f>G50-'Interest Reconciliation'!O47</f>
        <v>0</v>
      </c>
      <c r="L50" s="16"/>
    </row>
    <row r="51" spans="1:12">
      <c r="A51" s="22" t="s">
        <v>54</v>
      </c>
      <c r="B51" s="21" t="s">
        <v>55</v>
      </c>
      <c r="C51" s="23" t="s">
        <v>53</v>
      </c>
      <c r="D51" s="24" t="s">
        <v>288</v>
      </c>
      <c r="E51" s="25">
        <v>-1468204.3</v>
      </c>
      <c r="F51" s="26">
        <v>180682.82</v>
      </c>
      <c r="G51" s="25">
        <v>-1287521.48</v>
      </c>
      <c r="I51" s="16">
        <f>F51-'Interest Reconciliation'!L48-'Interest Reconciliation'!M48</f>
        <v>0</v>
      </c>
      <c r="J51" s="16">
        <f>G51-'Interest Reconciliation'!O48</f>
        <v>0</v>
      </c>
      <c r="L51" s="16"/>
    </row>
    <row r="52" spans="1:12" hidden="1">
      <c r="A52" s="22" t="s">
        <v>54</v>
      </c>
      <c r="B52" s="21" t="s">
        <v>55</v>
      </c>
      <c r="C52" s="23" t="s">
        <v>53</v>
      </c>
      <c r="D52" s="24"/>
      <c r="E52" s="25"/>
      <c r="F52" s="26"/>
      <c r="G52" s="25"/>
      <c r="I52" s="16">
        <f>F52-'Interest Reconciliation'!L49-'Interest Reconciliation'!M49</f>
        <v>0</v>
      </c>
      <c r="J52" s="16">
        <f>G52-'Interest Reconciliation'!O49</f>
        <v>1287521.4800000002</v>
      </c>
      <c r="L52" s="16"/>
    </row>
    <row r="53" spans="1:12" hidden="1">
      <c r="A53" s="22" t="s">
        <v>54</v>
      </c>
      <c r="B53" s="21" t="s">
        <v>55</v>
      </c>
      <c r="C53" s="23" t="s">
        <v>53</v>
      </c>
      <c r="D53" s="24"/>
      <c r="E53" s="25"/>
      <c r="F53" s="26"/>
      <c r="G53" s="25"/>
      <c r="I53" s="16">
        <f>F53-'Interest Reconciliation'!L50-'Interest Reconciliation'!M50</f>
        <v>0</v>
      </c>
      <c r="J53" s="16">
        <f>G53-'Interest Reconciliation'!O50</f>
        <v>1287521.4800000002</v>
      </c>
      <c r="L53" s="16"/>
    </row>
    <row r="54" spans="1:12" hidden="1">
      <c r="A54" s="22" t="s">
        <v>54</v>
      </c>
      <c r="B54" s="21" t="s">
        <v>55</v>
      </c>
      <c r="C54" s="23" t="s">
        <v>53</v>
      </c>
      <c r="D54" s="24"/>
      <c r="E54" s="25"/>
      <c r="F54" s="26"/>
      <c r="G54" s="25"/>
      <c r="I54" s="16">
        <f>F54-'Interest Reconciliation'!L51-'Interest Reconciliation'!M51</f>
        <v>0</v>
      </c>
      <c r="J54" s="16">
        <f>G54-'Interest Reconciliation'!O51</f>
        <v>1287521.4800000002</v>
      </c>
      <c r="L54" s="16"/>
    </row>
    <row r="55" spans="1:12" hidden="1">
      <c r="A55" s="22" t="s">
        <v>54</v>
      </c>
      <c r="B55" s="21" t="s">
        <v>55</v>
      </c>
      <c r="C55" s="23" t="s">
        <v>53</v>
      </c>
      <c r="D55" s="24"/>
      <c r="E55" s="25"/>
      <c r="F55" s="26"/>
      <c r="G55" s="25"/>
      <c r="I55" s="16">
        <f>F55-'Interest Reconciliation'!L52-'Interest Reconciliation'!M52</f>
        <v>0</v>
      </c>
      <c r="J55" s="16">
        <f>G55-'Interest Reconciliation'!O52</f>
        <v>1287521.4800000002</v>
      </c>
      <c r="L55" s="16"/>
    </row>
    <row r="56" spans="1:12" hidden="1">
      <c r="A56" s="22" t="s">
        <v>54</v>
      </c>
      <c r="B56" s="21" t="s">
        <v>55</v>
      </c>
      <c r="C56" s="23" t="s">
        <v>53</v>
      </c>
      <c r="D56" s="24"/>
      <c r="E56" s="25"/>
      <c r="F56" s="26"/>
      <c r="G56" s="25"/>
      <c r="I56" s="16">
        <f>F56-'Interest Reconciliation'!L53-'Interest Reconciliation'!M53</f>
        <v>0</v>
      </c>
      <c r="J56" s="16">
        <f>G56-'Interest Reconciliation'!O53</f>
        <v>1287521.4800000002</v>
      </c>
      <c r="L56" s="16"/>
    </row>
    <row r="57" spans="1:12" hidden="1">
      <c r="A57" s="22" t="s">
        <v>54</v>
      </c>
      <c r="B57" s="21" t="s">
        <v>55</v>
      </c>
      <c r="C57" s="23" t="s">
        <v>53</v>
      </c>
      <c r="D57" s="24"/>
      <c r="E57" s="25"/>
      <c r="F57" s="26"/>
      <c r="G57" s="25"/>
      <c r="I57" s="16">
        <f>F57-'Interest Reconciliation'!L54-'Interest Reconciliation'!M54</f>
        <v>0</v>
      </c>
      <c r="J57" s="16">
        <f>G57-'Interest Reconciliation'!O54</f>
        <v>1287521.4800000002</v>
      </c>
      <c r="L57" s="16"/>
    </row>
    <row r="58" spans="1:12" hidden="1">
      <c r="A58" s="22" t="s">
        <v>54</v>
      </c>
      <c r="B58" s="21" t="s">
        <v>55</v>
      </c>
      <c r="C58" s="23" t="s">
        <v>53</v>
      </c>
      <c r="D58" s="24"/>
      <c r="E58" s="25"/>
      <c r="F58" s="26"/>
      <c r="G58" s="25"/>
      <c r="I58" s="16">
        <f>F58-'Interest Reconciliation'!L55-'Interest Reconciliation'!M55</f>
        <v>0</v>
      </c>
      <c r="J58" s="16">
        <f>G58-'Interest Reconciliation'!O55</f>
        <v>0</v>
      </c>
      <c r="L58" s="16"/>
    </row>
    <row r="59" spans="1:12">
      <c r="A59" s="28"/>
      <c r="B59" s="41"/>
      <c r="C59" s="42"/>
      <c r="D59" s="41"/>
      <c r="E59" s="43"/>
      <c r="F59" s="44">
        <f>SUM(F47:F58)</f>
        <v>163920.47</v>
      </c>
      <c r="G59" s="43"/>
      <c r="I59" s="16"/>
      <c r="J59" s="16"/>
    </row>
    <row r="60" spans="1:12">
      <c r="A60" s="45"/>
      <c r="B60" s="46"/>
      <c r="C60" s="45"/>
      <c r="D60" s="45"/>
      <c r="E60" s="47"/>
      <c r="F60" s="48">
        <f>F45+F59</f>
        <v>501350.09999999986</v>
      </c>
      <c r="G60" s="47"/>
      <c r="I60" s="16"/>
      <c r="J60" s="16"/>
    </row>
    <row r="61" spans="1:12">
      <c r="A61" s="223" t="s">
        <v>264</v>
      </c>
      <c r="B61" s="10"/>
      <c r="C61" s="10"/>
      <c r="D61" s="10"/>
      <c r="E61" s="11"/>
      <c r="F61" s="12"/>
      <c r="G61" s="11"/>
      <c r="I61" s="16"/>
      <c r="J61" s="16"/>
    </row>
    <row r="62" spans="1:12">
      <c r="A62" s="20" t="s">
        <v>42</v>
      </c>
      <c r="C62" s="85" t="s">
        <v>283</v>
      </c>
      <c r="I62" s="16"/>
      <c r="J62" s="16"/>
    </row>
    <row r="63" spans="1:12">
      <c r="I63" s="16"/>
      <c r="J63" s="16"/>
    </row>
    <row r="64" spans="1:12" ht="26.25">
      <c r="A64" s="49" t="s">
        <v>43</v>
      </c>
      <c r="B64" s="50" t="s">
        <v>44</v>
      </c>
      <c r="C64" s="51" t="s">
        <v>45</v>
      </c>
      <c r="D64" s="49" t="s">
        <v>46</v>
      </c>
      <c r="E64" s="49" t="s">
        <v>47</v>
      </c>
      <c r="F64" s="49" t="s">
        <v>48</v>
      </c>
      <c r="G64" s="49" t="s">
        <v>49</v>
      </c>
      <c r="I64" s="16"/>
      <c r="J64" s="16"/>
    </row>
    <row r="65" spans="1:12">
      <c r="A65" s="22" t="s">
        <v>73</v>
      </c>
      <c r="B65" s="21" t="s">
        <v>74</v>
      </c>
      <c r="C65" s="23" t="s">
        <v>52</v>
      </c>
      <c r="D65" s="24" t="s">
        <v>275</v>
      </c>
      <c r="E65" s="25">
        <v>0</v>
      </c>
      <c r="F65" s="26">
        <v>-16210568.800000001</v>
      </c>
      <c r="G65" s="25">
        <v>-16210568.800000001</v>
      </c>
      <c r="I65" s="16">
        <f>F65-'Interest Reconciliation'!C60-'Interest Reconciliation'!D60</f>
        <v>-16125774.100000001</v>
      </c>
      <c r="J65" s="16">
        <f>G65-'Interest Reconciliation'!F60</f>
        <v>0</v>
      </c>
      <c r="K65" s="13">
        <f>I65+I6</f>
        <v>0</v>
      </c>
    </row>
    <row r="66" spans="1:12">
      <c r="A66" s="22" t="s">
        <v>73</v>
      </c>
      <c r="B66" s="21" t="s">
        <v>74</v>
      </c>
      <c r="C66" s="23" t="s">
        <v>52</v>
      </c>
      <c r="D66" s="24" t="s">
        <v>276</v>
      </c>
      <c r="E66" s="25">
        <v>-16210568.800000001</v>
      </c>
      <c r="F66" s="26">
        <v>-85240.57</v>
      </c>
      <c r="G66" s="25">
        <v>-16295809.369999999</v>
      </c>
      <c r="I66" s="16">
        <f>F66-'Interest Reconciliation'!C61-'Interest Reconciliation'!D61</f>
        <v>0</v>
      </c>
      <c r="J66" s="16">
        <f>G66-'Interest Reconciliation'!F61</f>
        <v>0</v>
      </c>
    </row>
    <row r="67" spans="1:12">
      <c r="A67" s="22" t="s">
        <v>73</v>
      </c>
      <c r="B67" s="21" t="s">
        <v>74</v>
      </c>
      <c r="C67" s="23" t="s">
        <v>52</v>
      </c>
      <c r="D67" s="24" t="s">
        <v>277</v>
      </c>
      <c r="E67" s="25">
        <v>-16295809.369999999</v>
      </c>
      <c r="F67" s="26">
        <v>-85688.8</v>
      </c>
      <c r="G67" s="25">
        <v>-16381498.17</v>
      </c>
      <c r="I67" s="16">
        <f>F67-'Interest Reconciliation'!C62-'Interest Reconciliation'!D62</f>
        <v>0</v>
      </c>
      <c r="J67" s="16">
        <f>G67-'Interest Reconciliation'!F62</f>
        <v>0</v>
      </c>
    </row>
    <row r="68" spans="1:12">
      <c r="A68" s="22" t="s">
        <v>73</v>
      </c>
      <c r="B68" s="21" t="s">
        <v>74</v>
      </c>
      <c r="C68" s="23" t="s">
        <v>52</v>
      </c>
      <c r="D68" s="24" t="s">
        <v>286</v>
      </c>
      <c r="E68" s="25">
        <v>-16381498.17</v>
      </c>
      <c r="F68" s="26">
        <v>-102384.36</v>
      </c>
      <c r="G68" s="25">
        <v>-16483882.529999999</v>
      </c>
      <c r="I68" s="16">
        <f>F68-'Interest Reconciliation'!C63-'Interest Reconciliation'!D63</f>
        <v>0</v>
      </c>
      <c r="J68" s="16">
        <f>G68-'Interest Reconciliation'!F63</f>
        <v>0</v>
      </c>
    </row>
    <row r="69" spans="1:12">
      <c r="A69" s="22" t="s">
        <v>73</v>
      </c>
      <c r="B69" s="21" t="s">
        <v>74</v>
      </c>
      <c r="C69" s="23" t="s">
        <v>52</v>
      </c>
      <c r="D69" s="24" t="s">
        <v>287</v>
      </c>
      <c r="E69" s="25">
        <v>-16483882.529999999</v>
      </c>
      <c r="F69" s="26">
        <v>-103024.27</v>
      </c>
      <c r="G69" s="25">
        <v>-16586906.800000001</v>
      </c>
      <c r="I69" s="16">
        <f>F69-'Interest Reconciliation'!C64-'Interest Reconciliation'!D64</f>
        <v>0</v>
      </c>
      <c r="J69" s="16">
        <f>G69-'Interest Reconciliation'!F64</f>
        <v>0</v>
      </c>
    </row>
    <row r="70" spans="1:12">
      <c r="A70" s="22" t="s">
        <v>73</v>
      </c>
      <c r="B70" s="21" t="s">
        <v>74</v>
      </c>
      <c r="C70" s="23" t="s">
        <v>52</v>
      </c>
      <c r="D70" s="24" t="s">
        <v>288</v>
      </c>
      <c r="E70" s="25">
        <v>-16586906.800000001</v>
      </c>
      <c r="F70" s="26">
        <v>-103668.17</v>
      </c>
      <c r="G70" s="25">
        <v>-16690574.970000001</v>
      </c>
      <c r="I70" s="16">
        <f>F70-'Interest Reconciliation'!C65-'Interest Reconciliation'!D65</f>
        <v>0</v>
      </c>
      <c r="J70" s="16">
        <f>G70-'Interest Reconciliation'!F65</f>
        <v>0</v>
      </c>
    </row>
    <row r="71" spans="1:12" hidden="1">
      <c r="A71" s="22" t="s">
        <v>73</v>
      </c>
      <c r="B71" s="21" t="s">
        <v>74</v>
      </c>
      <c r="C71" s="23" t="s">
        <v>52</v>
      </c>
      <c r="D71" s="24"/>
      <c r="E71" s="25"/>
      <c r="F71" s="26"/>
      <c r="G71" s="25"/>
      <c r="I71" s="16">
        <f>F71-'Interest Reconciliation'!C66-'Interest Reconciliation'!D66</f>
        <v>0</v>
      </c>
      <c r="J71" s="16">
        <f>G71-'Interest Reconciliation'!F66</f>
        <v>16690574.969999999</v>
      </c>
    </row>
    <row r="72" spans="1:12" hidden="1">
      <c r="A72" s="22" t="s">
        <v>73</v>
      </c>
      <c r="B72" s="21" t="s">
        <v>74</v>
      </c>
      <c r="C72" s="23" t="s">
        <v>52</v>
      </c>
      <c r="D72" s="24"/>
      <c r="E72" s="25"/>
      <c r="F72" s="26"/>
      <c r="G72" s="25"/>
      <c r="I72" s="16">
        <f>F72-'Interest Reconciliation'!C67-'Interest Reconciliation'!D67</f>
        <v>0</v>
      </c>
      <c r="J72" s="16">
        <f>G72-'Interest Reconciliation'!F67</f>
        <v>16690574.969999999</v>
      </c>
    </row>
    <row r="73" spans="1:12" hidden="1">
      <c r="A73" s="22" t="s">
        <v>73</v>
      </c>
      <c r="B73" s="21" t="s">
        <v>74</v>
      </c>
      <c r="C73" s="23" t="s">
        <v>52</v>
      </c>
      <c r="D73" s="24"/>
      <c r="E73" s="25"/>
      <c r="F73" s="26"/>
      <c r="G73" s="25"/>
      <c r="I73" s="16">
        <f>F73-'Interest Reconciliation'!C68-'Interest Reconciliation'!D68</f>
        <v>0</v>
      </c>
      <c r="J73" s="16">
        <f>G73-'Interest Reconciliation'!F68</f>
        <v>16690574.969999999</v>
      </c>
    </row>
    <row r="74" spans="1:12" hidden="1">
      <c r="A74" s="22" t="s">
        <v>73</v>
      </c>
      <c r="B74" s="21" t="s">
        <v>74</v>
      </c>
      <c r="C74" s="23" t="s">
        <v>52</v>
      </c>
      <c r="D74" s="24"/>
      <c r="E74" s="25"/>
      <c r="F74" s="26"/>
      <c r="G74" s="25"/>
      <c r="I74" s="16">
        <f>F74-'Interest Reconciliation'!C69-'Interest Reconciliation'!D69</f>
        <v>-16690574.969999999</v>
      </c>
      <c r="J74" s="16">
        <f>G74-'Interest Reconciliation'!F69</f>
        <v>0</v>
      </c>
    </row>
    <row r="75" spans="1:12" hidden="1">
      <c r="A75" s="22" t="s">
        <v>73</v>
      </c>
      <c r="B75" s="21" t="s">
        <v>74</v>
      </c>
      <c r="C75" s="23" t="s">
        <v>52</v>
      </c>
      <c r="D75" s="24"/>
      <c r="E75" s="25"/>
      <c r="F75" s="26"/>
      <c r="G75" s="25"/>
      <c r="I75" s="16">
        <f>F75-'Interest Reconciliation'!C70-'Interest Reconciliation'!D70</f>
        <v>0</v>
      </c>
      <c r="J75" s="16">
        <f>G75-'Interest Reconciliation'!F70</f>
        <v>0</v>
      </c>
    </row>
    <row r="76" spans="1:12" hidden="1">
      <c r="A76" s="22" t="s">
        <v>73</v>
      </c>
      <c r="B76" s="21" t="s">
        <v>74</v>
      </c>
      <c r="C76" s="23" t="s">
        <v>52</v>
      </c>
      <c r="D76" s="24"/>
      <c r="E76" s="25"/>
      <c r="F76" s="26"/>
      <c r="G76" s="25"/>
      <c r="I76" s="16">
        <f>F76-'Interest Reconciliation'!C71-'Interest Reconciliation'!D71</f>
        <v>0</v>
      </c>
      <c r="J76" s="16">
        <f>G76-'Interest Reconciliation'!F71</f>
        <v>0</v>
      </c>
    </row>
    <row r="77" spans="1:12">
      <c r="A77" s="27"/>
      <c r="B77" s="41"/>
      <c r="C77" s="42"/>
      <c r="D77" s="41"/>
      <c r="E77" s="43"/>
      <c r="F77" s="44">
        <f>SUM(F65:F76)</f>
        <v>-16690574.970000001</v>
      </c>
      <c r="G77" s="43"/>
      <c r="I77" s="16"/>
      <c r="J77" s="16"/>
    </row>
    <row r="78" spans="1:12">
      <c r="A78" s="22" t="s">
        <v>73</v>
      </c>
      <c r="B78" s="21" t="s">
        <v>74</v>
      </c>
      <c r="C78" s="23" t="s">
        <v>53</v>
      </c>
      <c r="D78" s="24" t="s">
        <v>275</v>
      </c>
      <c r="E78" s="25">
        <v>0</v>
      </c>
      <c r="F78" s="26">
        <v>-1074963.5900000001</v>
      </c>
      <c r="G78" s="25">
        <v>-1074963.5900000001</v>
      </c>
      <c r="I78" s="16">
        <f>F78-'Interest Reconciliation'!L60-'Interest Reconciliation'!M60</f>
        <v>-1069340.6400000001</v>
      </c>
      <c r="J78" s="16">
        <f>G78-'Interest Reconciliation'!O60</f>
        <v>3.5208160988986492E-4</v>
      </c>
      <c r="K78" s="13">
        <f>I78+I19</f>
        <v>0</v>
      </c>
      <c r="L78" s="16"/>
    </row>
    <row r="79" spans="1:12">
      <c r="A79" s="22" t="s">
        <v>73</v>
      </c>
      <c r="B79" s="21" t="s">
        <v>74</v>
      </c>
      <c r="C79" s="23" t="s">
        <v>53</v>
      </c>
      <c r="D79" s="24" t="s">
        <v>276</v>
      </c>
      <c r="E79" s="25">
        <v>-1074963.5900000001</v>
      </c>
      <c r="F79" s="26">
        <v>-5652.52</v>
      </c>
      <c r="G79" s="25">
        <v>-1080616.1100000001</v>
      </c>
      <c r="I79" s="16">
        <f>F79-'Interest Reconciliation'!L61-'Interest Reconciliation'!M61</f>
        <v>0</v>
      </c>
      <c r="J79" s="16">
        <f>G79-'Interest Reconciliation'!O61</f>
        <v>3.5208160988986492E-4</v>
      </c>
      <c r="L79" s="16"/>
    </row>
    <row r="80" spans="1:12">
      <c r="A80" s="22" t="s">
        <v>73</v>
      </c>
      <c r="B80" s="21" t="s">
        <v>74</v>
      </c>
      <c r="C80" s="23" t="s">
        <v>53</v>
      </c>
      <c r="D80" s="24" t="s">
        <v>277</v>
      </c>
      <c r="E80" s="25">
        <v>-1080616.1100000001</v>
      </c>
      <c r="F80" s="26">
        <v>-5682.24</v>
      </c>
      <c r="G80" s="25">
        <v>-1086298.3500000001</v>
      </c>
      <c r="I80" s="16">
        <f>F80-'Interest Reconciliation'!L62-'Interest Reconciliation'!M62</f>
        <v>0</v>
      </c>
      <c r="J80" s="16">
        <f>G80-'Interest Reconciliation'!O62</f>
        <v>3.5208160988986492E-4</v>
      </c>
      <c r="L80" s="16"/>
    </row>
    <row r="81" spans="1:12">
      <c r="A81" s="22" t="s">
        <v>73</v>
      </c>
      <c r="B81" s="21" t="s">
        <v>74</v>
      </c>
      <c r="C81" s="23" t="s">
        <v>53</v>
      </c>
      <c r="D81" s="24" t="s">
        <v>286</v>
      </c>
      <c r="E81" s="25">
        <v>-1086298.3500000001</v>
      </c>
      <c r="F81" s="26">
        <v>-6789.36</v>
      </c>
      <c r="G81" s="25">
        <v>-1093087.71</v>
      </c>
      <c r="I81" s="16">
        <f>F81-'Interest Reconciliation'!L63-'Interest Reconciliation'!M63</f>
        <v>0</v>
      </c>
      <c r="J81" s="16">
        <f>G81-'Interest Reconciliation'!O63</f>
        <v>3.5208184272050858E-4</v>
      </c>
      <c r="L81" s="16"/>
    </row>
    <row r="82" spans="1:12">
      <c r="A82" s="22" t="s">
        <v>73</v>
      </c>
      <c r="B82" s="21" t="s">
        <v>74</v>
      </c>
      <c r="C82" s="23" t="s">
        <v>53</v>
      </c>
      <c r="D82" s="24" t="s">
        <v>287</v>
      </c>
      <c r="E82" s="25">
        <v>-1093087.71</v>
      </c>
      <c r="F82" s="26">
        <v>-6831.8</v>
      </c>
      <c r="G82" s="25">
        <v>-1099919.51</v>
      </c>
      <c r="I82" s="16">
        <f>F82-'Interest Reconciliation'!L64-'Interest Reconciliation'!M64</f>
        <v>0</v>
      </c>
      <c r="J82" s="16">
        <f>G82-'Interest Reconciliation'!O64</f>
        <v>3.5208184272050858E-4</v>
      </c>
      <c r="L82" s="16"/>
    </row>
    <row r="83" spans="1:12">
      <c r="A83" s="22" t="s">
        <v>73</v>
      </c>
      <c r="B83" s="21" t="s">
        <v>74</v>
      </c>
      <c r="C83" s="23" t="s">
        <v>53</v>
      </c>
      <c r="D83" s="24" t="s">
        <v>288</v>
      </c>
      <c r="E83" s="25">
        <v>-1099919.51</v>
      </c>
      <c r="F83" s="26">
        <v>-6874.5</v>
      </c>
      <c r="G83" s="25">
        <v>-1106794.01</v>
      </c>
      <c r="I83" s="16">
        <f>F83-'Interest Reconciliation'!L65-'Interest Reconciliation'!M65</f>
        <v>0</v>
      </c>
      <c r="J83" s="16">
        <f>G83-'Interest Reconciliation'!O65</f>
        <v>3.5208184272050858E-4</v>
      </c>
      <c r="L83" s="16"/>
    </row>
    <row r="84" spans="1:12" hidden="1">
      <c r="A84" s="22" t="s">
        <v>73</v>
      </c>
      <c r="B84" s="21" t="s">
        <v>74</v>
      </c>
      <c r="C84" s="23" t="s">
        <v>53</v>
      </c>
      <c r="D84" s="24"/>
      <c r="E84" s="25"/>
      <c r="F84" s="26"/>
      <c r="G84" s="25"/>
      <c r="I84" s="16">
        <f>F84-'Interest Reconciliation'!L66-'Interest Reconciliation'!M66</f>
        <v>0</v>
      </c>
      <c r="J84" s="16">
        <f>G84-'Interest Reconciliation'!O66</f>
        <v>1106794.0103520819</v>
      </c>
      <c r="L84" s="16"/>
    </row>
    <row r="85" spans="1:12" hidden="1">
      <c r="A85" s="22" t="s">
        <v>73</v>
      </c>
      <c r="B85" s="21" t="s">
        <v>74</v>
      </c>
      <c r="C85" s="23" t="s">
        <v>53</v>
      </c>
      <c r="D85" s="24"/>
      <c r="E85" s="25"/>
      <c r="F85" s="26"/>
      <c r="G85" s="25"/>
      <c r="I85" s="16">
        <f>F85-'Interest Reconciliation'!L67-'Interest Reconciliation'!M67</f>
        <v>0</v>
      </c>
      <c r="J85" s="16">
        <f>G85-'Interest Reconciliation'!O67</f>
        <v>1106794.0103520819</v>
      </c>
      <c r="L85" s="16"/>
    </row>
    <row r="86" spans="1:12" hidden="1">
      <c r="A86" s="22" t="s">
        <v>73</v>
      </c>
      <c r="B86" s="21" t="s">
        <v>74</v>
      </c>
      <c r="C86" s="23" t="s">
        <v>53</v>
      </c>
      <c r="D86" s="24"/>
      <c r="E86" s="25"/>
      <c r="F86" s="26"/>
      <c r="G86" s="25"/>
      <c r="I86" s="16">
        <f>F86-'Interest Reconciliation'!L68-'Interest Reconciliation'!M68</f>
        <v>0</v>
      </c>
      <c r="J86" s="16">
        <f>G86-'Interest Reconciliation'!O68</f>
        <v>1106794.0103520819</v>
      </c>
      <c r="L86" s="16"/>
    </row>
    <row r="87" spans="1:12" hidden="1">
      <c r="A87" s="22" t="s">
        <v>73</v>
      </c>
      <c r="B87" s="21" t="s">
        <v>74</v>
      </c>
      <c r="C87" s="23" t="s">
        <v>53</v>
      </c>
      <c r="D87" s="24"/>
      <c r="E87" s="25"/>
      <c r="F87" s="26"/>
      <c r="G87" s="25"/>
      <c r="I87" s="16">
        <f>F87-'Interest Reconciliation'!L69-'Interest Reconciliation'!M69</f>
        <v>-1106794.0103520819</v>
      </c>
      <c r="J87" s="16">
        <f>G87-'Interest Reconciliation'!O69</f>
        <v>0</v>
      </c>
      <c r="L87" s="16"/>
    </row>
    <row r="88" spans="1:12" hidden="1">
      <c r="A88" s="22" t="s">
        <v>73</v>
      </c>
      <c r="B88" s="21" t="s">
        <v>74</v>
      </c>
      <c r="C88" s="23" t="s">
        <v>53</v>
      </c>
      <c r="D88" s="24"/>
      <c r="E88" s="25"/>
      <c r="F88" s="26"/>
      <c r="G88" s="25"/>
      <c r="I88" s="16">
        <f>F88-'Interest Reconciliation'!L70-'Interest Reconciliation'!M70</f>
        <v>0</v>
      </c>
      <c r="J88" s="16">
        <f>G88-'Interest Reconciliation'!O70</f>
        <v>0</v>
      </c>
      <c r="L88" s="16"/>
    </row>
    <row r="89" spans="1:12" hidden="1">
      <c r="A89" s="22" t="s">
        <v>73</v>
      </c>
      <c r="B89" s="21" t="s">
        <v>74</v>
      </c>
      <c r="C89" s="23" t="s">
        <v>53</v>
      </c>
      <c r="D89" s="24"/>
      <c r="E89" s="25"/>
      <c r="F89" s="26"/>
      <c r="G89" s="25"/>
      <c r="I89" s="16">
        <f>F89-'Interest Reconciliation'!L71-'Interest Reconciliation'!M71</f>
        <v>0</v>
      </c>
      <c r="J89" s="16">
        <f>G89-'Interest Reconciliation'!O71</f>
        <v>0</v>
      </c>
      <c r="L89" s="16"/>
    </row>
    <row r="90" spans="1:12">
      <c r="A90" s="28"/>
      <c r="B90" s="41"/>
      <c r="C90" s="42"/>
      <c r="D90" s="41"/>
      <c r="E90" s="43"/>
      <c r="F90" s="44">
        <f>SUM(F78:F89)</f>
        <v>-1106794.0100000002</v>
      </c>
      <c r="G90" s="43"/>
      <c r="I90" s="16"/>
      <c r="J90" s="16"/>
    </row>
    <row r="91" spans="1:12">
      <c r="A91" s="45"/>
      <c r="B91" s="46"/>
      <c r="C91" s="45"/>
      <c r="D91" s="45"/>
      <c r="E91" s="47"/>
      <c r="F91" s="48">
        <f>F77+F90</f>
        <v>-17797368.98</v>
      </c>
      <c r="G91" s="47"/>
      <c r="I91" s="16"/>
      <c r="J91" s="16"/>
    </row>
    <row r="92" spans="1:12">
      <c r="A92" s="22" t="s">
        <v>75</v>
      </c>
      <c r="B92" s="21" t="s">
        <v>76</v>
      </c>
      <c r="C92" s="23" t="s">
        <v>52</v>
      </c>
      <c r="D92" s="24" t="s">
        <v>275</v>
      </c>
      <c r="E92" s="25">
        <v>0</v>
      </c>
      <c r="F92" s="26">
        <v>386947.66</v>
      </c>
      <c r="G92" s="25">
        <v>386947.66</v>
      </c>
      <c r="I92" s="16">
        <f>F92-'Interest Reconciliation'!C78-'Interest Reconciliation'!D78</f>
        <v>384923.6</v>
      </c>
      <c r="J92" s="16">
        <f>G92-'Interest Reconciliation'!F78</f>
        <v>0</v>
      </c>
      <c r="K92" s="13">
        <f>I92+I33</f>
        <v>0</v>
      </c>
    </row>
    <row r="93" spans="1:12">
      <c r="A93" s="22" t="s">
        <v>75</v>
      </c>
      <c r="B93" s="21" t="s">
        <v>76</v>
      </c>
      <c r="C93" s="23" t="s">
        <v>52</v>
      </c>
      <c r="D93" s="24" t="s">
        <v>276</v>
      </c>
      <c r="E93" s="25">
        <v>386947.66</v>
      </c>
      <c r="F93" s="26">
        <v>2034.7</v>
      </c>
      <c r="G93" s="25">
        <v>388982.36</v>
      </c>
      <c r="I93" s="16">
        <f>F93-'Interest Reconciliation'!C79-'Interest Reconciliation'!D79</f>
        <v>0</v>
      </c>
      <c r="J93" s="16">
        <f>G93-'Interest Reconciliation'!F79</f>
        <v>0</v>
      </c>
    </row>
    <row r="94" spans="1:12">
      <c r="A94" s="22" t="s">
        <v>75</v>
      </c>
      <c r="B94" s="21" t="s">
        <v>76</v>
      </c>
      <c r="C94" s="23" t="s">
        <v>52</v>
      </c>
      <c r="D94" s="24" t="s">
        <v>277</v>
      </c>
      <c r="E94" s="25">
        <v>388982.36</v>
      </c>
      <c r="F94" s="26">
        <v>2045.4</v>
      </c>
      <c r="G94" s="25">
        <v>391027.76</v>
      </c>
      <c r="I94" s="16">
        <f>F94-'Interest Reconciliation'!C80-'Interest Reconciliation'!D80</f>
        <v>0</v>
      </c>
      <c r="J94" s="16">
        <f>G94-'Interest Reconciliation'!F80</f>
        <v>0</v>
      </c>
    </row>
    <row r="95" spans="1:12">
      <c r="A95" s="22" t="s">
        <v>75</v>
      </c>
      <c r="B95" s="21" t="s">
        <v>76</v>
      </c>
      <c r="C95" s="23" t="s">
        <v>52</v>
      </c>
      <c r="D95" s="24" t="s">
        <v>286</v>
      </c>
      <c r="E95" s="25">
        <v>391027.76</v>
      </c>
      <c r="F95" s="26">
        <v>2443.92</v>
      </c>
      <c r="G95" s="25">
        <v>393471.68</v>
      </c>
      <c r="I95" s="16">
        <f>F95-'Interest Reconciliation'!C81-'Interest Reconciliation'!D81</f>
        <v>0</v>
      </c>
      <c r="J95" s="16">
        <f>G95-'Interest Reconciliation'!F81</f>
        <v>0</v>
      </c>
    </row>
    <row r="96" spans="1:12">
      <c r="A96" s="22" t="s">
        <v>75</v>
      </c>
      <c r="B96" s="21" t="s">
        <v>76</v>
      </c>
      <c r="C96" s="23" t="s">
        <v>52</v>
      </c>
      <c r="D96" s="24" t="s">
        <v>287</v>
      </c>
      <c r="E96" s="25">
        <v>393471.68</v>
      </c>
      <c r="F96" s="26">
        <v>2459.1999999999998</v>
      </c>
      <c r="G96" s="25">
        <v>395930.88</v>
      </c>
      <c r="I96" s="16">
        <f>F96-'Interest Reconciliation'!C82-'Interest Reconciliation'!D82</f>
        <v>0</v>
      </c>
      <c r="J96" s="16">
        <f>G96-'Interest Reconciliation'!F82</f>
        <v>0</v>
      </c>
    </row>
    <row r="97" spans="1:12">
      <c r="A97" s="22" t="s">
        <v>75</v>
      </c>
      <c r="B97" s="21" t="s">
        <v>76</v>
      </c>
      <c r="C97" s="23" t="s">
        <v>52</v>
      </c>
      <c r="D97" s="24" t="s">
        <v>288</v>
      </c>
      <c r="E97" s="25">
        <v>395930.88</v>
      </c>
      <c r="F97" s="26">
        <v>2474.5700000000002</v>
      </c>
      <c r="G97" s="25">
        <v>398405.45</v>
      </c>
      <c r="I97" s="16">
        <f>F97-'Interest Reconciliation'!C83-'Interest Reconciliation'!D83</f>
        <v>0</v>
      </c>
      <c r="J97" s="16">
        <f>G97-'Interest Reconciliation'!F83</f>
        <v>0</v>
      </c>
    </row>
    <row r="98" spans="1:12" hidden="1">
      <c r="A98" s="22" t="s">
        <v>75</v>
      </c>
      <c r="B98" s="21" t="s">
        <v>76</v>
      </c>
      <c r="C98" s="23" t="s">
        <v>52</v>
      </c>
      <c r="D98" s="24"/>
      <c r="E98" s="25"/>
      <c r="F98" s="26"/>
      <c r="G98" s="25"/>
      <c r="I98" s="16">
        <f>F98-'Interest Reconciliation'!C84-'Interest Reconciliation'!D84</f>
        <v>0</v>
      </c>
      <c r="J98" s="16">
        <f>G98-'Interest Reconciliation'!F84</f>
        <v>-398405.45000000042</v>
      </c>
    </row>
    <row r="99" spans="1:12" hidden="1">
      <c r="A99" s="22" t="s">
        <v>75</v>
      </c>
      <c r="B99" s="21" t="s">
        <v>76</v>
      </c>
      <c r="C99" s="23" t="s">
        <v>52</v>
      </c>
      <c r="D99" s="24"/>
      <c r="E99" s="25"/>
      <c r="F99" s="26"/>
      <c r="G99" s="25"/>
      <c r="I99" s="16">
        <f>F99-'Interest Reconciliation'!C85-'Interest Reconciliation'!D85</f>
        <v>0</v>
      </c>
      <c r="J99" s="16">
        <f>G99-'Interest Reconciliation'!F85</f>
        <v>-398405.45000000042</v>
      </c>
    </row>
    <row r="100" spans="1:12" hidden="1">
      <c r="A100" s="22" t="s">
        <v>75</v>
      </c>
      <c r="B100" s="21" t="s">
        <v>76</v>
      </c>
      <c r="C100" s="23" t="s">
        <v>52</v>
      </c>
      <c r="D100" s="24"/>
      <c r="E100" s="25"/>
      <c r="F100" s="26"/>
      <c r="G100" s="25"/>
      <c r="I100" s="16">
        <f>F100-'Interest Reconciliation'!C86-'Interest Reconciliation'!D86</f>
        <v>0</v>
      </c>
      <c r="J100" s="16">
        <f>G100-'Interest Reconciliation'!F86</f>
        <v>-398405.45000000042</v>
      </c>
    </row>
    <row r="101" spans="1:12" hidden="1">
      <c r="A101" s="22" t="s">
        <v>75</v>
      </c>
      <c r="B101" s="21" t="s">
        <v>76</v>
      </c>
      <c r="C101" s="23" t="s">
        <v>52</v>
      </c>
      <c r="D101" s="24"/>
      <c r="E101" s="25"/>
      <c r="F101" s="26"/>
      <c r="G101" s="25"/>
      <c r="I101" s="16">
        <f>F101-'Interest Reconciliation'!C87-'Interest Reconciliation'!D87</f>
        <v>398405.45000000042</v>
      </c>
      <c r="J101" s="16">
        <f>G101-'Interest Reconciliation'!F87</f>
        <v>0</v>
      </c>
    </row>
    <row r="102" spans="1:12" hidden="1">
      <c r="A102" s="22" t="s">
        <v>75</v>
      </c>
      <c r="B102" s="21" t="s">
        <v>76</v>
      </c>
      <c r="C102" s="23" t="s">
        <v>52</v>
      </c>
      <c r="D102" s="24"/>
      <c r="E102" s="25"/>
      <c r="F102" s="26"/>
      <c r="G102" s="25"/>
      <c r="I102" s="16">
        <f>F102-'Interest Reconciliation'!C88-'Interest Reconciliation'!D88</f>
        <v>0</v>
      </c>
      <c r="J102" s="16">
        <f>G102-'Interest Reconciliation'!F88</f>
        <v>0</v>
      </c>
    </row>
    <row r="103" spans="1:12" hidden="1">
      <c r="A103" s="22" t="s">
        <v>75</v>
      </c>
      <c r="B103" s="21" t="s">
        <v>76</v>
      </c>
      <c r="C103" s="23" t="s">
        <v>52</v>
      </c>
      <c r="D103" s="24"/>
      <c r="E103" s="25"/>
      <c r="F103" s="26"/>
      <c r="G103" s="25"/>
      <c r="I103" s="16">
        <f>F103-'Interest Reconciliation'!C89-'Interest Reconciliation'!D89</f>
        <v>0</v>
      </c>
      <c r="J103" s="16">
        <f>G103-'Interest Reconciliation'!F89</f>
        <v>0</v>
      </c>
    </row>
    <row r="104" spans="1:12">
      <c r="A104" s="27"/>
      <c r="B104" s="41"/>
      <c r="C104" s="42"/>
      <c r="D104" s="41"/>
      <c r="E104" s="43"/>
      <c r="F104" s="44">
        <f>SUM(F92:F103)</f>
        <v>398405.45</v>
      </c>
      <c r="G104" s="43"/>
      <c r="I104" s="16"/>
      <c r="J104" s="16"/>
    </row>
    <row r="105" spans="1:12" ht="18" customHeight="1">
      <c r="A105" s="22" t="s">
        <v>75</v>
      </c>
      <c r="B105" s="21" t="s">
        <v>76</v>
      </c>
      <c r="C105" s="23" t="s">
        <v>53</v>
      </c>
      <c r="D105" s="24" t="s">
        <v>275</v>
      </c>
      <c r="E105" s="25">
        <v>0</v>
      </c>
      <c r="F105" s="26">
        <v>1309123.55</v>
      </c>
      <c r="G105" s="25">
        <v>1309123.55</v>
      </c>
      <c r="I105" s="16">
        <f>F105-'Interest Reconciliation'!L78-'Interest Reconciliation'!M78</f>
        <v>1302275.75</v>
      </c>
      <c r="J105" s="16">
        <f>G105-'Interest Reconciliation'!O78</f>
        <v>0</v>
      </c>
      <c r="K105" s="13">
        <f>I105+I46</f>
        <v>75678.570000000298</v>
      </c>
      <c r="L105" s="16" t="s">
        <v>281</v>
      </c>
    </row>
    <row r="106" spans="1:12" ht="18" customHeight="1">
      <c r="A106" s="22" t="s">
        <v>75</v>
      </c>
      <c r="B106" s="21" t="s">
        <v>76</v>
      </c>
      <c r="C106" s="23" t="s">
        <v>53</v>
      </c>
      <c r="D106" s="24" t="s">
        <v>276</v>
      </c>
      <c r="E106" s="25">
        <v>1309123.55</v>
      </c>
      <c r="F106" s="26">
        <v>6883.81</v>
      </c>
      <c r="G106" s="25">
        <v>1316007.3600000001</v>
      </c>
      <c r="I106" s="16">
        <f>F106-'Interest Reconciliation'!L79-'Interest Reconciliation'!M79</f>
        <v>0</v>
      </c>
      <c r="J106" s="16">
        <f>G106-'Interest Reconciliation'!O79</f>
        <v>0</v>
      </c>
      <c r="L106" s="16"/>
    </row>
    <row r="107" spans="1:12" ht="18" customHeight="1">
      <c r="A107" s="22" t="s">
        <v>75</v>
      </c>
      <c r="B107" s="21" t="s">
        <v>76</v>
      </c>
      <c r="C107" s="23" t="s">
        <v>53</v>
      </c>
      <c r="D107" s="24" t="s">
        <v>277</v>
      </c>
      <c r="E107" s="25">
        <v>1316007.3600000001</v>
      </c>
      <c r="F107" s="26">
        <v>6920.01</v>
      </c>
      <c r="G107" s="25">
        <v>1322927.3700000001</v>
      </c>
      <c r="I107" s="16">
        <f>F107-'Interest Reconciliation'!L80-'Interest Reconciliation'!M80</f>
        <v>0</v>
      </c>
      <c r="J107" s="16">
        <f>G107-'Interest Reconciliation'!O80</f>
        <v>0</v>
      </c>
      <c r="L107" s="16"/>
    </row>
    <row r="108" spans="1:12" ht="18" customHeight="1">
      <c r="A108" s="22" t="s">
        <v>75</v>
      </c>
      <c r="B108" s="21" t="s">
        <v>76</v>
      </c>
      <c r="C108" s="23" t="s">
        <v>53</v>
      </c>
      <c r="D108" s="24" t="s">
        <v>286</v>
      </c>
      <c r="E108" s="25">
        <v>1322927.3700000001</v>
      </c>
      <c r="F108" s="26">
        <v>8268.2999999999993</v>
      </c>
      <c r="G108" s="25">
        <v>1331195.67</v>
      </c>
      <c r="I108" s="16">
        <f>F108-'Interest Reconciliation'!L81-'Interest Reconciliation'!M81</f>
        <v>0</v>
      </c>
      <c r="J108" s="16">
        <f>G108-'Interest Reconciliation'!O81</f>
        <v>0</v>
      </c>
      <c r="L108" s="16"/>
    </row>
    <row r="109" spans="1:12" ht="18" customHeight="1">
      <c r="A109" s="22" t="s">
        <v>75</v>
      </c>
      <c r="B109" s="21" t="s">
        <v>76</v>
      </c>
      <c r="C109" s="23" t="s">
        <v>53</v>
      </c>
      <c r="D109" s="24" t="s">
        <v>287</v>
      </c>
      <c r="E109" s="25">
        <v>1331195.67</v>
      </c>
      <c r="F109" s="26">
        <v>8319.9699999999993</v>
      </c>
      <c r="G109" s="25">
        <v>1339515.6399999999</v>
      </c>
      <c r="I109" s="16">
        <f>F109-'Interest Reconciliation'!L82-'Interest Reconciliation'!M82</f>
        <v>0</v>
      </c>
      <c r="J109" s="16">
        <f>G109-'Interest Reconciliation'!O82</f>
        <v>0</v>
      </c>
      <c r="L109" s="16"/>
    </row>
    <row r="110" spans="1:12" ht="18" customHeight="1">
      <c r="A110" s="22" t="s">
        <v>75</v>
      </c>
      <c r="B110" s="21" t="s">
        <v>76</v>
      </c>
      <c r="C110" s="23" t="s">
        <v>53</v>
      </c>
      <c r="D110" s="24" t="s">
        <v>288</v>
      </c>
      <c r="E110" s="25">
        <v>1339515.6399999999</v>
      </c>
      <c r="F110" s="26">
        <v>8371.9699999999993</v>
      </c>
      <c r="G110" s="25">
        <v>1347887.61</v>
      </c>
      <c r="I110" s="16">
        <f>F110-'Interest Reconciliation'!L83-'Interest Reconciliation'!M83</f>
        <v>0</v>
      </c>
      <c r="J110" s="16">
        <f>G110-'Interest Reconciliation'!O83</f>
        <v>0</v>
      </c>
      <c r="L110" s="16"/>
    </row>
    <row r="111" spans="1:12" ht="18" hidden="1" customHeight="1">
      <c r="A111" s="22" t="s">
        <v>75</v>
      </c>
      <c r="B111" s="21" t="s">
        <v>76</v>
      </c>
      <c r="C111" s="23" t="s">
        <v>53</v>
      </c>
      <c r="D111" s="24"/>
      <c r="E111" s="25"/>
      <c r="F111" s="26"/>
      <c r="G111" s="25"/>
      <c r="I111" s="16">
        <f>F111-'Interest Reconciliation'!L84-'Interest Reconciliation'!M84</f>
        <v>0</v>
      </c>
      <c r="J111" s="16">
        <f>G111-'Interest Reconciliation'!O84</f>
        <v>-1347887.61</v>
      </c>
      <c r="L111" s="16"/>
    </row>
    <row r="112" spans="1:12" ht="18" hidden="1" customHeight="1">
      <c r="A112" s="22" t="s">
        <v>75</v>
      </c>
      <c r="B112" s="21" t="s">
        <v>76</v>
      </c>
      <c r="C112" s="23" t="s">
        <v>53</v>
      </c>
      <c r="D112" s="24"/>
      <c r="E112" s="25"/>
      <c r="F112" s="26"/>
      <c r="G112" s="25"/>
      <c r="I112" s="16">
        <f>F112-'Interest Reconciliation'!L85-'Interest Reconciliation'!M85</f>
        <v>0</v>
      </c>
      <c r="J112" s="16">
        <f>G112-'Interest Reconciliation'!O85</f>
        <v>-1347887.61</v>
      </c>
      <c r="L112" s="16"/>
    </row>
    <row r="113" spans="1:12" ht="18" hidden="1" customHeight="1">
      <c r="A113" s="22" t="s">
        <v>75</v>
      </c>
      <c r="B113" s="21" t="s">
        <v>76</v>
      </c>
      <c r="C113" s="23" t="s">
        <v>53</v>
      </c>
      <c r="D113" s="24"/>
      <c r="E113" s="25"/>
      <c r="F113" s="26"/>
      <c r="G113" s="25"/>
      <c r="I113" s="16">
        <f>F113-'Interest Reconciliation'!L86-'Interest Reconciliation'!M86</f>
        <v>0</v>
      </c>
      <c r="J113" s="16">
        <f>G113-'Interest Reconciliation'!O86</f>
        <v>-1347887.61</v>
      </c>
      <c r="L113" s="16"/>
    </row>
    <row r="114" spans="1:12" ht="18" hidden="1" customHeight="1">
      <c r="A114" s="22" t="s">
        <v>75</v>
      </c>
      <c r="B114" s="21" t="s">
        <v>76</v>
      </c>
      <c r="C114" s="23" t="s">
        <v>53</v>
      </c>
      <c r="D114" s="24"/>
      <c r="E114" s="25"/>
      <c r="F114" s="26"/>
      <c r="G114" s="25"/>
      <c r="I114" s="16">
        <f>F114-'Interest Reconciliation'!L87-'Interest Reconciliation'!M87</f>
        <v>1347887.61</v>
      </c>
      <c r="J114" s="16">
        <f>G114-'Interest Reconciliation'!O87</f>
        <v>0</v>
      </c>
      <c r="L114" s="16"/>
    </row>
    <row r="115" spans="1:12" ht="18" hidden="1" customHeight="1">
      <c r="A115" s="22" t="s">
        <v>75</v>
      </c>
      <c r="B115" s="21" t="s">
        <v>76</v>
      </c>
      <c r="C115" s="23" t="s">
        <v>53</v>
      </c>
      <c r="D115" s="24"/>
      <c r="E115" s="25"/>
      <c r="F115" s="26"/>
      <c r="G115" s="25"/>
      <c r="I115" s="16">
        <f>F115-'Interest Reconciliation'!L88-'Interest Reconciliation'!M88</f>
        <v>0</v>
      </c>
      <c r="J115" s="16">
        <f>G115-'Interest Reconciliation'!O88</f>
        <v>0</v>
      </c>
      <c r="L115" s="16"/>
    </row>
    <row r="116" spans="1:12" ht="18" hidden="1" customHeight="1">
      <c r="A116" s="22" t="s">
        <v>75</v>
      </c>
      <c r="B116" s="21" t="s">
        <v>76</v>
      </c>
      <c r="C116" s="23" t="s">
        <v>53</v>
      </c>
      <c r="D116" s="24"/>
      <c r="E116" s="25"/>
      <c r="F116" s="26"/>
      <c r="G116" s="25"/>
      <c r="I116" s="16">
        <f>F116-'Interest Reconciliation'!L89-'Interest Reconciliation'!M89</f>
        <v>0</v>
      </c>
      <c r="J116" s="16">
        <f>G116-'Interest Reconciliation'!O89</f>
        <v>0</v>
      </c>
      <c r="L116" s="16"/>
    </row>
    <row r="117" spans="1:12" ht="18" customHeight="1">
      <c r="A117" s="28"/>
      <c r="B117" s="41"/>
      <c r="C117" s="42"/>
      <c r="D117" s="41"/>
      <c r="E117" s="43"/>
      <c r="F117" s="44">
        <f>SUM(F105:F116)</f>
        <v>1347887.61</v>
      </c>
      <c r="G117" s="43"/>
    </row>
    <row r="118" spans="1:12" ht="18" customHeight="1">
      <c r="A118" s="45"/>
      <c r="B118" s="46"/>
      <c r="C118" s="45"/>
      <c r="D118" s="45"/>
      <c r="E118" s="47"/>
      <c r="F118" s="48">
        <f>F104+F117</f>
        <v>1746293.06</v>
      </c>
      <c r="G118" s="47"/>
    </row>
    <row r="119" spans="1:12" ht="14.45" customHeight="1"/>
    <row r="120" spans="1:12">
      <c r="A120" s="20" t="s">
        <v>42</v>
      </c>
      <c r="C120" s="85" t="s">
        <v>101</v>
      </c>
    </row>
    <row r="121" spans="1:12">
      <c r="C121" s="29" t="s">
        <v>102</v>
      </c>
    </row>
    <row r="122" spans="1:12">
      <c r="A122" s="153"/>
      <c r="B122" s="153"/>
      <c r="C122" s="153"/>
      <c r="D122" s="153"/>
      <c r="E122" s="153"/>
      <c r="F122" s="153"/>
      <c r="G122" s="153"/>
    </row>
    <row r="123" spans="1:12" ht="25.5">
      <c r="A123" s="95" t="s">
        <v>43</v>
      </c>
      <c r="B123" s="80" t="s">
        <v>44</v>
      </c>
      <c r="C123" s="81" t="s">
        <v>45</v>
      </c>
      <c r="D123" s="82" t="s">
        <v>46</v>
      </c>
      <c r="E123" s="83" t="s">
        <v>47</v>
      </c>
      <c r="F123" s="82" t="s">
        <v>48</v>
      </c>
      <c r="G123" s="82" t="s">
        <v>49</v>
      </c>
    </row>
    <row r="124" spans="1:12">
      <c r="A124" s="97" t="s">
        <v>56</v>
      </c>
      <c r="B124" s="21" t="s">
        <v>57</v>
      </c>
      <c r="C124" s="23" t="s">
        <v>52</v>
      </c>
      <c r="D124" s="24" t="s">
        <v>275</v>
      </c>
      <c r="E124" s="25">
        <v>0</v>
      </c>
      <c r="F124" s="26">
        <v>0</v>
      </c>
      <c r="G124" s="25">
        <v>0</v>
      </c>
      <c r="I124" s="16">
        <f>F124-'Interest Reconciliation'!C95-'Interest Reconciliation'!D95-'Interest Reconciliation'!E95</f>
        <v>0</v>
      </c>
      <c r="J124" s="16">
        <f>G124-'Interest Reconciliation'!F95</f>
        <v>0</v>
      </c>
    </row>
    <row r="125" spans="1:12">
      <c r="A125" s="97" t="s">
        <v>56</v>
      </c>
      <c r="B125" s="21" t="s">
        <v>57</v>
      </c>
      <c r="C125" s="23" t="s">
        <v>52</v>
      </c>
      <c r="D125" s="24" t="s">
        <v>276</v>
      </c>
      <c r="E125" s="25">
        <v>0</v>
      </c>
      <c r="F125" s="26">
        <v>0</v>
      </c>
      <c r="G125" s="25">
        <v>0</v>
      </c>
      <c r="I125" s="16">
        <f>F125-'Interest Reconciliation'!C96-'Interest Reconciliation'!D96-'Interest Reconciliation'!E96</f>
        <v>0</v>
      </c>
      <c r="J125" s="16">
        <f>G125-'Interest Reconciliation'!F96</f>
        <v>0</v>
      </c>
    </row>
    <row r="126" spans="1:12">
      <c r="A126" s="97" t="s">
        <v>56</v>
      </c>
      <c r="B126" s="21" t="s">
        <v>57</v>
      </c>
      <c r="C126" s="23" t="s">
        <v>52</v>
      </c>
      <c r="D126" s="24" t="s">
        <v>277</v>
      </c>
      <c r="E126" s="25">
        <v>0</v>
      </c>
      <c r="F126" s="26">
        <v>0</v>
      </c>
      <c r="G126" s="25">
        <v>0</v>
      </c>
      <c r="I126" s="16">
        <f>F126-'Interest Reconciliation'!C97-'Interest Reconciliation'!D97-'Interest Reconciliation'!E97</f>
        <v>0</v>
      </c>
      <c r="J126" s="16">
        <f>G126-'Interest Reconciliation'!F97</f>
        <v>0</v>
      </c>
    </row>
    <row r="127" spans="1:12">
      <c r="A127" s="97" t="s">
        <v>56</v>
      </c>
      <c r="B127" s="21" t="s">
        <v>57</v>
      </c>
      <c r="C127" s="23" t="s">
        <v>52</v>
      </c>
      <c r="D127" s="24" t="s">
        <v>286</v>
      </c>
      <c r="E127" s="25">
        <v>0</v>
      </c>
      <c r="F127" s="26">
        <v>0</v>
      </c>
      <c r="G127" s="25">
        <v>0</v>
      </c>
      <c r="I127" s="16">
        <f>F127-'Interest Reconciliation'!C98-'Interest Reconciliation'!D98-'Interest Reconciliation'!E98</f>
        <v>0</v>
      </c>
      <c r="J127" s="16">
        <f>G127-'Interest Reconciliation'!F98</f>
        <v>0</v>
      </c>
    </row>
    <row r="128" spans="1:12">
      <c r="A128" s="97" t="s">
        <v>56</v>
      </c>
      <c r="B128" s="21" t="s">
        <v>57</v>
      </c>
      <c r="C128" s="23" t="s">
        <v>52</v>
      </c>
      <c r="D128" s="24" t="s">
        <v>287</v>
      </c>
      <c r="E128" s="25">
        <v>0</v>
      </c>
      <c r="F128" s="26">
        <v>0</v>
      </c>
      <c r="G128" s="25">
        <v>0</v>
      </c>
      <c r="I128" s="16">
        <f>F128-'Interest Reconciliation'!C99-'Interest Reconciliation'!D99-'Interest Reconciliation'!E99</f>
        <v>0</v>
      </c>
      <c r="J128" s="16">
        <f>G128-'Interest Reconciliation'!F99</f>
        <v>0</v>
      </c>
    </row>
    <row r="129" spans="1:12">
      <c r="A129" s="97" t="s">
        <v>56</v>
      </c>
      <c r="B129" s="21" t="s">
        <v>57</v>
      </c>
      <c r="C129" s="23" t="s">
        <v>52</v>
      </c>
      <c r="D129" s="24" t="s">
        <v>288</v>
      </c>
      <c r="E129" s="25">
        <v>0</v>
      </c>
      <c r="F129" s="26">
        <v>0</v>
      </c>
      <c r="G129" s="25">
        <v>0</v>
      </c>
      <c r="I129" s="16">
        <f>F129-'Interest Reconciliation'!C100-'Interest Reconciliation'!D100-'Interest Reconciliation'!E100</f>
        <v>0</v>
      </c>
      <c r="J129" s="16">
        <f>G129-'Interest Reconciliation'!F100</f>
        <v>0</v>
      </c>
    </row>
    <row r="130" spans="1:12" hidden="1">
      <c r="A130" s="97" t="s">
        <v>56</v>
      </c>
      <c r="B130" s="21" t="s">
        <v>57</v>
      </c>
      <c r="C130" s="23" t="s">
        <v>52</v>
      </c>
      <c r="D130" s="24"/>
      <c r="E130" s="25"/>
      <c r="F130" s="26"/>
      <c r="G130" s="25"/>
      <c r="I130" s="16">
        <f>F130-'Interest Reconciliation'!C101-'Interest Reconciliation'!D101-'Interest Reconciliation'!E101</f>
        <v>0</v>
      </c>
      <c r="J130" s="16">
        <f>G130-'Interest Reconciliation'!F101</f>
        <v>0</v>
      </c>
    </row>
    <row r="131" spans="1:12" hidden="1">
      <c r="A131" s="97" t="s">
        <v>56</v>
      </c>
      <c r="B131" s="21" t="s">
        <v>57</v>
      </c>
      <c r="C131" s="23" t="s">
        <v>52</v>
      </c>
      <c r="D131" s="24"/>
      <c r="E131" s="25"/>
      <c r="F131" s="26"/>
      <c r="G131" s="25"/>
      <c r="I131" s="16">
        <f>F131-'Interest Reconciliation'!C102-'Interest Reconciliation'!D102-'Interest Reconciliation'!E102</f>
        <v>0</v>
      </c>
      <c r="J131" s="16">
        <f>G131-'Interest Reconciliation'!F102</f>
        <v>0</v>
      </c>
    </row>
    <row r="132" spans="1:12" hidden="1">
      <c r="A132" s="97" t="s">
        <v>56</v>
      </c>
      <c r="B132" s="21" t="s">
        <v>57</v>
      </c>
      <c r="C132" s="23" t="s">
        <v>52</v>
      </c>
      <c r="D132" s="24"/>
      <c r="E132" s="25"/>
      <c r="F132" s="26"/>
      <c r="G132" s="25"/>
      <c r="I132" s="16">
        <f>F132-'Interest Reconciliation'!C103-'Interest Reconciliation'!D103-'Interest Reconciliation'!E103</f>
        <v>0</v>
      </c>
      <c r="J132" s="16">
        <f>G132-'Interest Reconciliation'!F103</f>
        <v>0</v>
      </c>
    </row>
    <row r="133" spans="1:12" hidden="1">
      <c r="A133" s="97" t="s">
        <v>56</v>
      </c>
      <c r="B133" s="21" t="s">
        <v>57</v>
      </c>
      <c r="C133" s="23" t="s">
        <v>52</v>
      </c>
      <c r="D133" s="24"/>
      <c r="E133" s="25"/>
      <c r="F133" s="26"/>
      <c r="G133" s="25"/>
      <c r="I133" s="16">
        <f>F133-'Interest Reconciliation'!C104-'Interest Reconciliation'!D104-'Interest Reconciliation'!E104</f>
        <v>0</v>
      </c>
      <c r="J133" s="16">
        <f>G133-'Interest Reconciliation'!F104</f>
        <v>0</v>
      </c>
    </row>
    <row r="134" spans="1:12" hidden="1">
      <c r="A134" s="97" t="s">
        <v>56</v>
      </c>
      <c r="B134" s="21" t="s">
        <v>57</v>
      </c>
      <c r="C134" s="23" t="s">
        <v>52</v>
      </c>
      <c r="D134" s="24"/>
      <c r="E134" s="25"/>
      <c r="F134" s="26"/>
      <c r="G134" s="25"/>
      <c r="I134" s="16">
        <f>F134-'Interest Reconciliation'!C105-'Interest Reconciliation'!D105-'Interest Reconciliation'!E105</f>
        <v>0</v>
      </c>
      <c r="J134" s="16">
        <f>G134-'Interest Reconciliation'!F105</f>
        <v>0</v>
      </c>
    </row>
    <row r="135" spans="1:12" hidden="1">
      <c r="A135" s="97" t="s">
        <v>56</v>
      </c>
      <c r="B135" s="21" t="s">
        <v>57</v>
      </c>
      <c r="C135" s="23" t="s">
        <v>52</v>
      </c>
      <c r="D135" s="24"/>
      <c r="E135" s="25"/>
      <c r="F135" s="26"/>
      <c r="G135" s="25"/>
      <c r="I135" s="16">
        <f>F135-'Interest Reconciliation'!C106-'Interest Reconciliation'!D106-'Interest Reconciliation'!E106</f>
        <v>0</v>
      </c>
      <c r="J135" s="16">
        <f>G135-'Interest Reconciliation'!F106</f>
        <v>0</v>
      </c>
    </row>
    <row r="136" spans="1:12">
      <c r="A136" s="98"/>
      <c r="B136" s="41"/>
      <c r="C136" s="41"/>
      <c r="D136" s="41"/>
      <c r="E136" s="43"/>
      <c r="F136" s="44">
        <f>SUM(F124:F135)</f>
        <v>0</v>
      </c>
      <c r="G136" s="43"/>
    </row>
    <row r="137" spans="1:12">
      <c r="A137" s="97" t="s">
        <v>56</v>
      </c>
      <c r="B137" s="21" t="s">
        <v>57</v>
      </c>
      <c r="C137" s="23" t="s">
        <v>53</v>
      </c>
      <c r="D137" s="24" t="s">
        <v>275</v>
      </c>
      <c r="E137" s="25">
        <v>4757665.17</v>
      </c>
      <c r="F137" s="26">
        <v>-822231.01</v>
      </c>
      <c r="G137" s="25">
        <v>3935434.16</v>
      </c>
      <c r="I137" s="16">
        <f>F137-'Interest Reconciliation'!L95-'Interest Reconciliation'!M95-'Interest Reconciliation'!N95</f>
        <v>0</v>
      </c>
      <c r="J137" s="16">
        <f>G137-'Interest Reconciliation'!O95</f>
        <v>0</v>
      </c>
      <c r="L137" s="16"/>
    </row>
    <row r="138" spans="1:12">
      <c r="A138" s="97" t="s">
        <v>56</v>
      </c>
      <c r="B138" s="21" t="s">
        <v>57</v>
      </c>
      <c r="C138" s="23" t="s">
        <v>53</v>
      </c>
      <c r="D138" s="24" t="s">
        <v>276</v>
      </c>
      <c r="E138" s="25">
        <v>3935434.16</v>
      </c>
      <c r="F138" s="26">
        <v>-727465.07</v>
      </c>
      <c r="G138" s="25">
        <v>3207969.09</v>
      </c>
      <c r="I138" s="16">
        <f>F138-'Interest Reconciliation'!L96-'Interest Reconciliation'!M96-'Interest Reconciliation'!N96-'Interest Reconciliation'!L95</f>
        <v>1.1641532182693481E-10</v>
      </c>
      <c r="J138" s="16">
        <f>G138-'Interest Reconciliation'!O96</f>
        <v>0</v>
      </c>
      <c r="L138" s="16"/>
    </row>
    <row r="139" spans="1:12">
      <c r="A139" s="97" t="s">
        <v>56</v>
      </c>
      <c r="B139" s="21" t="s">
        <v>57</v>
      </c>
      <c r="C139" s="23" t="s">
        <v>53</v>
      </c>
      <c r="D139" s="24" t="s">
        <v>277</v>
      </c>
      <c r="E139" s="25">
        <v>3207969.09</v>
      </c>
      <c r="F139" s="26">
        <v>-601413.84</v>
      </c>
      <c r="G139" s="25">
        <v>2606555.25</v>
      </c>
      <c r="I139" s="16">
        <f>F139-'Interest Reconciliation'!L97-'Interest Reconciliation'!M97-'Interest Reconciliation'!N97-'Interest Reconciliation'!L96</f>
        <v>0</v>
      </c>
      <c r="J139" s="16">
        <f>G139-'Interest Reconciliation'!O97</f>
        <v>0</v>
      </c>
      <c r="L139" s="16"/>
    </row>
    <row r="140" spans="1:12">
      <c r="A140" s="97" t="s">
        <v>56</v>
      </c>
      <c r="B140" s="21" t="s">
        <v>57</v>
      </c>
      <c r="C140" s="23" t="s">
        <v>53</v>
      </c>
      <c r="D140" s="24" t="s">
        <v>286</v>
      </c>
      <c r="E140" s="25">
        <v>2606555.25</v>
      </c>
      <c r="F140" s="26">
        <v>-390558.87</v>
      </c>
      <c r="G140" s="25">
        <v>2215996.38</v>
      </c>
      <c r="I140" s="16">
        <f>F140-'Interest Reconciliation'!L98-'Interest Reconciliation'!M98-'Interest Reconciliation'!N98-'Interest Reconciliation'!L97</f>
        <v>0</v>
      </c>
      <c r="J140" s="16">
        <f>G140-'Interest Reconciliation'!O98</f>
        <v>0</v>
      </c>
      <c r="L140" s="16"/>
    </row>
    <row r="141" spans="1:12">
      <c r="A141" s="97" t="s">
        <v>56</v>
      </c>
      <c r="B141" s="21" t="s">
        <v>57</v>
      </c>
      <c r="C141" s="23" t="s">
        <v>53</v>
      </c>
      <c r="D141" s="24" t="s">
        <v>287</v>
      </c>
      <c r="E141" s="25">
        <v>2215996.38</v>
      </c>
      <c r="F141" s="26">
        <v>-111498.91</v>
      </c>
      <c r="G141" s="25">
        <v>2104497.4700000002</v>
      </c>
      <c r="I141" s="16">
        <f>F141-'Interest Reconciliation'!L99-'Interest Reconciliation'!M99-'Interest Reconciliation'!N99-'Interest Reconciliation'!L98</f>
        <v>0</v>
      </c>
      <c r="J141" s="16">
        <f>G141-'Interest Reconciliation'!O99</f>
        <v>0</v>
      </c>
      <c r="L141" s="16"/>
    </row>
    <row r="142" spans="1:12">
      <c r="A142" s="97" t="s">
        <v>56</v>
      </c>
      <c r="B142" s="21" t="s">
        <v>57</v>
      </c>
      <c r="C142" s="23" t="s">
        <v>53</v>
      </c>
      <c r="D142" s="24" t="s">
        <v>288</v>
      </c>
      <c r="E142" s="25">
        <v>2104497.4700000002</v>
      </c>
      <c r="F142" s="26">
        <v>-75460.33</v>
      </c>
      <c r="G142" s="25">
        <v>2029037.14</v>
      </c>
      <c r="I142" s="16">
        <f>F142-'Interest Reconciliation'!L100-'Interest Reconciliation'!M100-'Interest Reconciliation'!N100-'Interest Reconciliation'!L99</f>
        <v>0</v>
      </c>
      <c r="J142" s="16">
        <f>G142-'Interest Reconciliation'!O100</f>
        <v>0</v>
      </c>
      <c r="L142" s="16"/>
    </row>
    <row r="143" spans="1:12" hidden="1">
      <c r="A143" s="97" t="s">
        <v>56</v>
      </c>
      <c r="B143" s="21" t="s">
        <v>57</v>
      </c>
      <c r="C143" s="23" t="s">
        <v>53</v>
      </c>
      <c r="D143" s="24"/>
      <c r="E143" s="25"/>
      <c r="F143" s="26"/>
      <c r="G143" s="25"/>
      <c r="I143" s="16">
        <f>F143-'Interest Reconciliation'!L101-'Interest Reconciliation'!M101-'Interest Reconciliation'!N101-'Interest Reconciliation'!L100</f>
        <v>0</v>
      </c>
      <c r="J143" s="16">
        <f>G143-'Interest Reconciliation'!O101</f>
        <v>-2029037.1399999987</v>
      </c>
      <c r="L143" s="16"/>
    </row>
    <row r="144" spans="1:12" hidden="1">
      <c r="A144" s="97" t="s">
        <v>56</v>
      </c>
      <c r="B144" s="21" t="s">
        <v>57</v>
      </c>
      <c r="C144" s="23" t="s">
        <v>53</v>
      </c>
      <c r="D144" s="24"/>
      <c r="E144" s="25"/>
      <c r="F144" s="26"/>
      <c r="G144" s="25"/>
      <c r="I144" s="16">
        <f>F144-'Interest Reconciliation'!L102-'Interest Reconciliation'!M102-'Interest Reconciliation'!N102-'Interest Reconciliation'!L101</f>
        <v>0</v>
      </c>
      <c r="J144" s="16">
        <f>G144-'Interest Reconciliation'!O102</f>
        <v>-2029037.1399999987</v>
      </c>
      <c r="L144" s="16"/>
    </row>
    <row r="145" spans="1:12" hidden="1">
      <c r="A145" s="97" t="s">
        <v>56</v>
      </c>
      <c r="B145" s="21" t="s">
        <v>57</v>
      </c>
      <c r="C145" s="23" t="s">
        <v>53</v>
      </c>
      <c r="D145" s="24"/>
      <c r="E145" s="25"/>
      <c r="F145" s="26"/>
      <c r="G145" s="25"/>
      <c r="I145" s="16">
        <f>F145-'Interest Reconciliation'!L103-'Interest Reconciliation'!M103-'Interest Reconciliation'!N103-'Interest Reconciliation'!L102</f>
        <v>0</v>
      </c>
      <c r="J145" s="16">
        <f>G145-'Interest Reconciliation'!O103</f>
        <v>-2029037.1399999987</v>
      </c>
      <c r="L145" s="16"/>
    </row>
    <row r="146" spans="1:12" hidden="1">
      <c r="A146" s="97" t="s">
        <v>56</v>
      </c>
      <c r="B146" s="21" t="s">
        <v>57</v>
      </c>
      <c r="C146" s="23" t="s">
        <v>53</v>
      </c>
      <c r="D146" s="24"/>
      <c r="E146" s="25"/>
      <c r="F146" s="26"/>
      <c r="G146" s="25"/>
      <c r="I146" s="16">
        <f>F146-'Interest Reconciliation'!L104-'Interest Reconciliation'!M104-'Interest Reconciliation'!N104-'Interest Reconciliation'!L103</f>
        <v>1106794.0103520819</v>
      </c>
      <c r="J146" s="16">
        <f>G146-'Interest Reconciliation'!O104</f>
        <v>-922243.12964791688</v>
      </c>
      <c r="L146" s="16"/>
    </row>
    <row r="147" spans="1:12" hidden="1">
      <c r="A147" s="97" t="s">
        <v>56</v>
      </c>
      <c r="B147" s="21" t="s">
        <v>57</v>
      </c>
      <c r="C147" s="23" t="s">
        <v>53</v>
      </c>
      <c r="D147" s="24"/>
      <c r="E147" s="25"/>
      <c r="F147" s="26"/>
      <c r="G147" s="25"/>
      <c r="I147" s="16">
        <f>F147-'Interest Reconciliation'!L105-'Interest Reconciliation'!M105-'Interest Reconciliation'!N105-'Interest Reconciliation'!L104</f>
        <v>1106794.0103520819</v>
      </c>
      <c r="J147" s="16">
        <f>G147-'Interest Reconciliation'!O105</f>
        <v>-922243.12964791688</v>
      </c>
      <c r="L147" s="16"/>
    </row>
    <row r="148" spans="1:12" hidden="1">
      <c r="A148" s="97" t="s">
        <v>56</v>
      </c>
      <c r="B148" s="21" t="s">
        <v>57</v>
      </c>
      <c r="C148" s="23" t="s">
        <v>53</v>
      </c>
      <c r="D148" s="24"/>
      <c r="E148" s="25"/>
      <c r="F148" s="26"/>
      <c r="G148" s="25"/>
      <c r="I148" s="16">
        <f>F148-'Interest Reconciliation'!L106-'Interest Reconciliation'!M106-'Interest Reconciliation'!N106-'Interest Reconciliation'!L105</f>
        <v>0</v>
      </c>
      <c r="J148" s="16">
        <f>G148-'Interest Reconciliation'!O106</f>
        <v>-922243.12964791688</v>
      </c>
      <c r="L148" s="16"/>
    </row>
    <row r="149" spans="1:12">
      <c r="A149" s="99"/>
      <c r="B149" s="41"/>
      <c r="C149" s="41"/>
      <c r="D149" s="41"/>
      <c r="E149" s="43"/>
      <c r="F149" s="44">
        <f>SUM(F137:F148)</f>
        <v>-2728628.0300000003</v>
      </c>
      <c r="G149" s="43"/>
      <c r="I149" s="16"/>
      <c r="J149" s="16"/>
    </row>
    <row r="150" spans="1:12">
      <c r="A150" s="96"/>
      <c r="B150" s="45"/>
      <c r="C150" s="90"/>
      <c r="D150" s="45"/>
      <c r="E150" s="47"/>
      <c r="F150" s="48">
        <f>F136+F149</f>
        <v>-2728628.0300000003</v>
      </c>
      <c r="G150" s="47"/>
      <c r="I150" s="16"/>
      <c r="J150" s="16"/>
    </row>
    <row r="151" spans="1:12">
      <c r="A151" s="98" t="s">
        <v>94</v>
      </c>
      <c r="B151" s="21" t="s">
        <v>57</v>
      </c>
      <c r="C151" s="101" t="s">
        <v>52</v>
      </c>
      <c r="D151" s="24" t="s">
        <v>275</v>
      </c>
      <c r="E151" s="25">
        <v>-527404.67000000004</v>
      </c>
      <c r="F151" s="26">
        <v>-203190.48</v>
      </c>
      <c r="G151" s="25">
        <v>-730595.15</v>
      </c>
      <c r="I151" s="16">
        <f>F151-'Interest Reconciliation'!C111-'Interest Reconciliation'!D111-'Interest Reconciliation'!E111</f>
        <v>0</v>
      </c>
      <c r="J151" s="16">
        <f>G151-'Interest Reconciliation'!F111</f>
        <v>0</v>
      </c>
    </row>
    <row r="152" spans="1:12">
      <c r="A152" s="98" t="s">
        <v>94</v>
      </c>
      <c r="B152" s="21" t="s">
        <v>57</v>
      </c>
      <c r="C152" s="101" t="s">
        <v>52</v>
      </c>
      <c r="D152" s="24" t="s">
        <v>276</v>
      </c>
      <c r="E152" s="25">
        <v>-730595.15</v>
      </c>
      <c r="F152" s="26">
        <v>-206920.15</v>
      </c>
      <c r="G152" s="25">
        <v>-937515.3</v>
      </c>
      <c r="I152" s="16">
        <f>F152-'Interest Reconciliation'!C112-'Interest Reconciliation'!D112-'Interest Reconciliation'!E112</f>
        <v>0</v>
      </c>
      <c r="J152" s="16">
        <f>G152-'Interest Reconciliation'!F112</f>
        <v>0</v>
      </c>
    </row>
    <row r="153" spans="1:12">
      <c r="A153" s="98" t="s">
        <v>94</v>
      </c>
      <c r="B153" s="21" t="s">
        <v>57</v>
      </c>
      <c r="C153" s="101" t="s">
        <v>52</v>
      </c>
      <c r="D153" s="24" t="s">
        <v>277</v>
      </c>
      <c r="E153" s="25">
        <v>-937515.3</v>
      </c>
      <c r="F153" s="26">
        <v>-240577.28</v>
      </c>
      <c r="G153" s="25">
        <v>-1178092.58</v>
      </c>
      <c r="I153" s="16">
        <f>F153-'Interest Reconciliation'!C113-'Interest Reconciliation'!D113-'Interest Reconciliation'!E113</f>
        <v>0</v>
      </c>
      <c r="J153" s="16">
        <f>G153-'Interest Reconciliation'!F113</f>
        <v>0</v>
      </c>
    </row>
    <row r="154" spans="1:12">
      <c r="A154" s="98" t="s">
        <v>94</v>
      </c>
      <c r="B154" s="21" t="s">
        <v>57</v>
      </c>
      <c r="C154" s="101" t="s">
        <v>52</v>
      </c>
      <c r="D154" s="24" t="s">
        <v>286</v>
      </c>
      <c r="E154" s="25">
        <v>-1178092.58</v>
      </c>
      <c r="F154" s="26">
        <v>-197655.23</v>
      </c>
      <c r="G154" s="25">
        <v>-1375747.81</v>
      </c>
      <c r="I154" s="16">
        <f>F154-'Interest Reconciliation'!C114-'Interest Reconciliation'!D114-'Interest Reconciliation'!E114</f>
        <v>0</v>
      </c>
      <c r="J154" s="16">
        <f>G154-'Interest Reconciliation'!F114</f>
        <v>0</v>
      </c>
    </row>
    <row r="155" spans="1:12">
      <c r="A155" s="98" t="s">
        <v>94</v>
      </c>
      <c r="B155" s="21" t="s">
        <v>57</v>
      </c>
      <c r="C155" s="101" t="s">
        <v>52</v>
      </c>
      <c r="D155" s="24" t="s">
        <v>287</v>
      </c>
      <c r="E155" s="25">
        <v>-1375747.81</v>
      </c>
      <c r="F155" s="26">
        <v>-233491.24</v>
      </c>
      <c r="G155" s="25">
        <v>-1609239.05</v>
      </c>
      <c r="I155" s="16">
        <f>F155-'Interest Reconciliation'!C115-'Interest Reconciliation'!D115-'Interest Reconciliation'!E115</f>
        <v>0</v>
      </c>
      <c r="J155" s="16">
        <f>G155-'Interest Reconciliation'!F115</f>
        <v>0</v>
      </c>
    </row>
    <row r="156" spans="1:12">
      <c r="A156" s="98" t="s">
        <v>94</v>
      </c>
      <c r="B156" s="21" t="s">
        <v>57</v>
      </c>
      <c r="C156" s="101" t="s">
        <v>52</v>
      </c>
      <c r="D156" s="24" t="s">
        <v>288</v>
      </c>
      <c r="E156" s="25">
        <v>-1609239.05</v>
      </c>
      <c r="F156" s="26">
        <v>-240614.15</v>
      </c>
      <c r="G156" s="25">
        <v>-1849853.2</v>
      </c>
      <c r="I156" s="16">
        <f>F156-'Interest Reconciliation'!C116-'Interest Reconciliation'!D116-'Interest Reconciliation'!E116</f>
        <v>0</v>
      </c>
      <c r="J156" s="16">
        <f>G156-'Interest Reconciliation'!F116</f>
        <v>0</v>
      </c>
    </row>
    <row r="157" spans="1:12" hidden="1">
      <c r="A157" s="98" t="s">
        <v>94</v>
      </c>
      <c r="B157" s="21" t="s">
        <v>57</v>
      </c>
      <c r="C157" s="101" t="s">
        <v>52</v>
      </c>
      <c r="D157" s="24"/>
      <c r="E157" s="25"/>
      <c r="F157" s="26"/>
      <c r="G157" s="25"/>
      <c r="I157" s="16">
        <f>F157-'Interest Reconciliation'!C117-'Interest Reconciliation'!D117-'Interest Reconciliation'!E117</f>
        <v>0</v>
      </c>
      <c r="J157" s="16">
        <f>G157-'Interest Reconciliation'!F117</f>
        <v>1849853.1999999997</v>
      </c>
    </row>
    <row r="158" spans="1:12" hidden="1">
      <c r="A158" s="98" t="s">
        <v>94</v>
      </c>
      <c r="B158" s="21" t="s">
        <v>57</v>
      </c>
      <c r="C158" s="101" t="s">
        <v>52</v>
      </c>
      <c r="D158" s="24"/>
      <c r="E158" s="25"/>
      <c r="F158" s="26"/>
      <c r="G158" s="25"/>
      <c r="I158" s="16">
        <f>F158-'Interest Reconciliation'!C118-'Interest Reconciliation'!D118-'Interest Reconciliation'!E118</f>
        <v>0</v>
      </c>
      <c r="J158" s="16">
        <f>G158-'Interest Reconciliation'!F118</f>
        <v>1849853.1999999997</v>
      </c>
    </row>
    <row r="159" spans="1:12" hidden="1">
      <c r="A159" s="98" t="s">
        <v>94</v>
      </c>
      <c r="B159" s="21" t="s">
        <v>57</v>
      </c>
      <c r="C159" s="101" t="s">
        <v>52</v>
      </c>
      <c r="D159" s="24"/>
      <c r="E159" s="25"/>
      <c r="F159" s="26"/>
      <c r="G159" s="25"/>
      <c r="I159" s="16">
        <f>F159-'Interest Reconciliation'!C119-'Interest Reconciliation'!D119-'Interest Reconciliation'!E119</f>
        <v>-398405.45000000042</v>
      </c>
      <c r="J159" s="16">
        <f>G159-'Interest Reconciliation'!F119</f>
        <v>1849853.1999999997</v>
      </c>
    </row>
    <row r="160" spans="1:12" hidden="1">
      <c r="A160" s="98" t="s">
        <v>94</v>
      </c>
      <c r="B160" s="21" t="s">
        <v>57</v>
      </c>
      <c r="C160" s="101" t="s">
        <v>52</v>
      </c>
      <c r="D160" s="24"/>
      <c r="E160" s="25"/>
      <c r="F160" s="26"/>
      <c r="G160" s="25"/>
      <c r="I160" s="16">
        <f>F160-'Interest Reconciliation'!C120-'Interest Reconciliation'!D120-'Interest Reconciliation'!E120</f>
        <v>0</v>
      </c>
      <c r="J160" s="16">
        <f>G160-'Interest Reconciliation'!F120</f>
        <v>1451447.7499999993</v>
      </c>
    </row>
    <row r="161" spans="1:13" hidden="1">
      <c r="A161" s="98" t="s">
        <v>94</v>
      </c>
      <c r="B161" s="21" t="s">
        <v>57</v>
      </c>
      <c r="C161" s="101" t="s">
        <v>52</v>
      </c>
      <c r="D161" s="24"/>
      <c r="E161" s="25"/>
      <c r="F161" s="26"/>
      <c r="G161" s="25"/>
      <c r="I161" s="16">
        <f>F161-'Interest Reconciliation'!C121-'Interest Reconciliation'!D121-'Interest Reconciliation'!E121</f>
        <v>0</v>
      </c>
      <c r="J161" s="16">
        <f>G161-'Interest Reconciliation'!F121</f>
        <v>1451447.7499999993</v>
      </c>
    </row>
    <row r="162" spans="1:13" hidden="1">
      <c r="A162" s="98" t="s">
        <v>94</v>
      </c>
      <c r="B162" s="21" t="s">
        <v>57</v>
      </c>
      <c r="C162" s="101" t="s">
        <v>52</v>
      </c>
      <c r="D162" s="24"/>
      <c r="E162" s="25"/>
      <c r="F162" s="26"/>
      <c r="G162" s="25"/>
      <c r="I162" s="16">
        <f>F162-'Interest Reconciliation'!C122-'Interest Reconciliation'!D122-'Interest Reconciliation'!E122</f>
        <v>0</v>
      </c>
      <c r="J162" s="16">
        <f>G162-'Interest Reconciliation'!F122</f>
        <v>1451447.7499999993</v>
      </c>
    </row>
    <row r="163" spans="1:13">
      <c r="A163" s="102"/>
      <c r="B163" s="41"/>
      <c r="C163" s="100"/>
      <c r="D163" s="41"/>
      <c r="E163" s="43"/>
      <c r="F163" s="44">
        <f>SUM(F151:F162)</f>
        <v>-1322448.5299999998</v>
      </c>
      <c r="G163" s="43"/>
      <c r="I163" s="16"/>
      <c r="J163" s="16"/>
    </row>
    <row r="164" spans="1:13">
      <c r="A164" s="98" t="s">
        <v>94</v>
      </c>
      <c r="B164" s="21" t="s">
        <v>76</v>
      </c>
      <c r="C164" s="23" t="s">
        <v>53</v>
      </c>
      <c r="D164" s="24" t="s">
        <v>275</v>
      </c>
      <c r="E164" s="25">
        <v>1840273.41</v>
      </c>
      <c r="F164" s="26">
        <v>-251342.73</v>
      </c>
      <c r="G164" s="25">
        <v>1588930.68</v>
      </c>
      <c r="I164" s="16">
        <f>F164-'Interest Reconciliation'!L111-'Interest Reconciliation'!M111-'Interest Reconciliation'!N111</f>
        <v>0</v>
      </c>
      <c r="J164" s="16">
        <f>G164-'Interest Reconciliation'!O111</f>
        <v>0</v>
      </c>
      <c r="L164" s="16"/>
    </row>
    <row r="165" spans="1:13">
      <c r="A165" s="98" t="s">
        <v>94</v>
      </c>
      <c r="B165" s="21" t="s">
        <v>76</v>
      </c>
      <c r="C165" s="23" t="s">
        <v>53</v>
      </c>
      <c r="D165" s="24" t="s">
        <v>276</v>
      </c>
      <c r="E165" s="25">
        <v>1588930.68</v>
      </c>
      <c r="F165" s="26">
        <v>-205726.21</v>
      </c>
      <c r="G165" s="25">
        <v>1383204.47</v>
      </c>
      <c r="I165" s="16">
        <f>F165-'Interest Reconciliation'!L112-'Interest Reconciliation'!M112-'Interest Reconciliation'!N112</f>
        <v>0</v>
      </c>
      <c r="J165" s="16">
        <f>G165-'Interest Reconciliation'!O112</f>
        <v>0</v>
      </c>
      <c r="L165" s="16"/>
    </row>
    <row r="166" spans="1:13">
      <c r="A166" s="98" t="s">
        <v>94</v>
      </c>
      <c r="B166" s="21" t="s">
        <v>76</v>
      </c>
      <c r="C166" s="23" t="s">
        <v>53</v>
      </c>
      <c r="D166" s="24" t="s">
        <v>277</v>
      </c>
      <c r="E166" s="25">
        <v>1383204.47</v>
      </c>
      <c r="F166" s="26">
        <v>-201762.14</v>
      </c>
      <c r="G166" s="25">
        <v>1181442.33</v>
      </c>
      <c r="I166" s="16">
        <f>F166-'Interest Reconciliation'!L113-'Interest Reconciliation'!M113-'Interest Reconciliation'!N113</f>
        <v>0</v>
      </c>
      <c r="J166" s="16">
        <f>G166-'Interest Reconciliation'!O113</f>
        <v>0</v>
      </c>
      <c r="L166" s="16"/>
    </row>
    <row r="167" spans="1:13">
      <c r="A167" s="98" t="s">
        <v>94</v>
      </c>
      <c r="B167" s="21" t="s">
        <v>76</v>
      </c>
      <c r="C167" s="23" t="s">
        <v>53</v>
      </c>
      <c r="D167" s="24" t="s">
        <v>286</v>
      </c>
      <c r="E167" s="25">
        <v>1181442.33</v>
      </c>
      <c r="F167" s="26">
        <v>-127554.9</v>
      </c>
      <c r="G167" s="25">
        <v>1053887.43</v>
      </c>
      <c r="I167" s="16">
        <f>F167-'Interest Reconciliation'!L114-'Interest Reconciliation'!M114-'Interest Reconciliation'!N114</f>
        <v>0</v>
      </c>
      <c r="J167" s="16">
        <f>G167-'Interest Reconciliation'!O114</f>
        <v>0</v>
      </c>
      <c r="L167" s="16"/>
    </row>
    <row r="168" spans="1:13">
      <c r="A168" s="98" t="s">
        <v>94</v>
      </c>
      <c r="B168" s="21" t="s">
        <v>76</v>
      </c>
      <c r="C168" s="23" t="s">
        <v>53</v>
      </c>
      <c r="D168" s="24" t="s">
        <v>287</v>
      </c>
      <c r="E168" s="25">
        <v>1053887.43</v>
      </c>
      <c r="F168" s="26">
        <v>-63727.46</v>
      </c>
      <c r="G168" s="25">
        <v>990159.97</v>
      </c>
      <c r="I168" s="16">
        <f>F168-'Interest Reconciliation'!L115-'Interest Reconciliation'!M115-'Interest Reconciliation'!N115</f>
        <v>0</v>
      </c>
      <c r="J168" s="16">
        <f>G168-'Interest Reconciliation'!O115</f>
        <v>0</v>
      </c>
      <c r="L168" s="16"/>
    </row>
    <row r="169" spans="1:13">
      <c r="A169" s="98" t="s">
        <v>94</v>
      </c>
      <c r="B169" s="21" t="s">
        <v>76</v>
      </c>
      <c r="C169" s="23" t="s">
        <v>53</v>
      </c>
      <c r="D169" s="24" t="s">
        <v>288</v>
      </c>
      <c r="E169" s="25">
        <v>990159.97</v>
      </c>
      <c r="F169" s="26">
        <v>-53890.94</v>
      </c>
      <c r="G169" s="25">
        <v>936269.03</v>
      </c>
      <c r="I169" s="16">
        <f>F169-'Interest Reconciliation'!L116-'Interest Reconciliation'!M116-'Interest Reconciliation'!N116</f>
        <v>0</v>
      </c>
      <c r="J169" s="16">
        <f>G169-'Interest Reconciliation'!O116</f>
        <v>0</v>
      </c>
      <c r="L169" s="16"/>
    </row>
    <row r="170" spans="1:13" hidden="1">
      <c r="A170" s="98" t="s">
        <v>94</v>
      </c>
      <c r="B170" s="21" t="s">
        <v>76</v>
      </c>
      <c r="C170" s="23" t="s">
        <v>53</v>
      </c>
      <c r="D170" s="24"/>
      <c r="E170" s="25"/>
      <c r="F170" s="26"/>
      <c r="G170" s="25"/>
      <c r="I170" s="16">
        <f>F170-'Interest Reconciliation'!L117-'Interest Reconciliation'!M117-'Interest Reconciliation'!N117</f>
        <v>0</v>
      </c>
      <c r="J170" s="16">
        <f>G170-'Interest Reconciliation'!O117</f>
        <v>-936269.02999999945</v>
      </c>
      <c r="L170" s="16"/>
    </row>
    <row r="171" spans="1:13" hidden="1">
      <c r="A171" s="98" t="s">
        <v>94</v>
      </c>
      <c r="B171" s="21" t="s">
        <v>76</v>
      </c>
      <c r="C171" s="23" t="s">
        <v>53</v>
      </c>
      <c r="D171" s="24"/>
      <c r="E171" s="25"/>
      <c r="F171" s="26"/>
      <c r="G171" s="25"/>
      <c r="I171" s="16">
        <f>F171-'Interest Reconciliation'!L118-'Interest Reconciliation'!M118-'Interest Reconciliation'!N118</f>
        <v>0</v>
      </c>
      <c r="J171" s="16">
        <f>G171-'Interest Reconciliation'!O118</f>
        <v>-936269.02999999945</v>
      </c>
      <c r="L171" s="16"/>
    </row>
    <row r="172" spans="1:13" hidden="1">
      <c r="A172" s="98" t="s">
        <v>94</v>
      </c>
      <c r="B172" s="21" t="s">
        <v>76</v>
      </c>
      <c r="C172" s="23" t="s">
        <v>53</v>
      </c>
      <c r="D172" s="24"/>
      <c r="E172" s="25"/>
      <c r="F172" s="26"/>
      <c r="G172" s="25"/>
      <c r="I172" s="16">
        <f>F172-'Interest Reconciliation'!L119-'Interest Reconciliation'!M119-'Interest Reconciliation'!N119</f>
        <v>-1347887.61</v>
      </c>
      <c r="J172" s="16">
        <f>G172-'Interest Reconciliation'!O119</f>
        <v>-936269.02999999945</v>
      </c>
      <c r="L172" s="16"/>
    </row>
    <row r="173" spans="1:13" hidden="1">
      <c r="A173" s="98" t="s">
        <v>94</v>
      </c>
      <c r="B173" s="21" t="s">
        <v>76</v>
      </c>
      <c r="C173" s="23" t="s">
        <v>53</v>
      </c>
      <c r="D173" s="24"/>
      <c r="E173" s="25"/>
      <c r="F173" s="26"/>
      <c r="G173" s="25"/>
      <c r="I173" s="16">
        <f>F173-'Interest Reconciliation'!L120-'Interest Reconciliation'!M120-'Interest Reconciliation'!N120</f>
        <v>0</v>
      </c>
      <c r="J173" s="16">
        <f>G173-'Interest Reconciliation'!O120</f>
        <v>-2284156.6399999997</v>
      </c>
      <c r="L173" s="16"/>
    </row>
    <row r="174" spans="1:13" hidden="1">
      <c r="A174" s="98" t="s">
        <v>94</v>
      </c>
      <c r="B174" s="21" t="s">
        <v>76</v>
      </c>
      <c r="C174" s="23" t="s">
        <v>53</v>
      </c>
      <c r="D174" s="24"/>
      <c r="E174" s="25"/>
      <c r="F174" s="26"/>
      <c r="G174" s="25"/>
      <c r="I174" s="16">
        <f>F174-'Interest Reconciliation'!L121-'Interest Reconciliation'!M121-'Interest Reconciliation'!N121</f>
        <v>0</v>
      </c>
      <c r="J174" s="16">
        <f>G174-'Interest Reconciliation'!O121</f>
        <v>-2284156.6399999997</v>
      </c>
      <c r="L174" s="16"/>
    </row>
    <row r="175" spans="1:13" hidden="1">
      <c r="A175" s="98" t="s">
        <v>94</v>
      </c>
      <c r="B175" s="21" t="s">
        <v>76</v>
      </c>
      <c r="C175" s="23" t="s">
        <v>53</v>
      </c>
      <c r="D175" s="24"/>
      <c r="E175" s="25"/>
      <c r="F175" s="26"/>
      <c r="G175" s="25"/>
      <c r="I175" s="16">
        <f>F175-'Interest Reconciliation'!L122-'Interest Reconciliation'!M122-'Interest Reconciliation'!N122</f>
        <v>0</v>
      </c>
      <c r="J175" s="16">
        <f>G175-'Interest Reconciliation'!O122</f>
        <v>-2284156.6399999997</v>
      </c>
      <c r="L175" s="16"/>
    </row>
    <row r="176" spans="1:13">
      <c r="A176" s="99"/>
      <c r="B176" s="41"/>
      <c r="C176" s="41"/>
      <c r="D176" s="41"/>
      <c r="E176" s="43"/>
      <c r="F176" s="44">
        <f>SUM(F164:F175)</f>
        <v>-904004.38000000012</v>
      </c>
      <c r="G176" s="43"/>
      <c r="L176" s="13"/>
      <c r="M176" s="13"/>
    </row>
    <row r="177" spans="1:13">
      <c r="A177" s="109"/>
      <c r="B177" s="45"/>
      <c r="C177" s="45"/>
      <c r="D177" s="45"/>
      <c r="E177" s="47"/>
      <c r="F177" s="48">
        <f>F163+F176</f>
        <v>-2226452.91</v>
      </c>
      <c r="G177" s="47"/>
      <c r="L177" s="13"/>
      <c r="M177" s="13"/>
    </row>
    <row r="178" spans="1:13">
      <c r="A178" s="20" t="s">
        <v>42</v>
      </c>
      <c r="C178" s="29" t="s">
        <v>103</v>
      </c>
      <c r="L178" s="13"/>
      <c r="M178" s="13"/>
    </row>
    <row r="179" spans="1:13">
      <c r="A179" s="153"/>
      <c r="B179" s="153"/>
      <c r="C179" s="153"/>
      <c r="D179" s="153"/>
      <c r="E179" s="153"/>
      <c r="F179" s="153"/>
      <c r="G179" s="153"/>
      <c r="L179" s="13"/>
      <c r="M179" s="13"/>
    </row>
    <row r="180" spans="1:13" ht="25.5">
      <c r="A180" s="79" t="s">
        <v>43</v>
      </c>
      <c r="B180" s="80" t="s">
        <v>44</v>
      </c>
      <c r="C180" s="81" t="s">
        <v>45</v>
      </c>
      <c r="D180" s="82" t="s">
        <v>46</v>
      </c>
      <c r="E180" s="83" t="s">
        <v>47</v>
      </c>
      <c r="F180" s="82" t="s">
        <v>48</v>
      </c>
      <c r="G180" s="82" t="s">
        <v>49</v>
      </c>
    </row>
    <row r="181" spans="1:13">
      <c r="A181" s="22">
        <v>254328</v>
      </c>
      <c r="B181" s="21" t="s">
        <v>121</v>
      </c>
      <c r="C181" s="23" t="s">
        <v>52</v>
      </c>
      <c r="D181" s="24" t="s">
        <v>275</v>
      </c>
      <c r="E181" s="25">
        <v>-3696623.7</v>
      </c>
      <c r="F181" s="26">
        <v>600842.03</v>
      </c>
      <c r="G181" s="25">
        <v>-3095781.67</v>
      </c>
      <c r="I181" s="16">
        <f>F181-'Interest Reconciliation'!C127-'Interest Reconciliation'!D127-'Interest Reconciliation'!E127</f>
        <v>0</v>
      </c>
      <c r="J181" s="16">
        <f>G181-'Interest Reconciliation'!F127</f>
        <v>0</v>
      </c>
    </row>
    <row r="182" spans="1:13">
      <c r="A182" s="22">
        <v>254328</v>
      </c>
      <c r="B182" s="21" t="s">
        <v>121</v>
      </c>
      <c r="C182" s="23" t="s">
        <v>52</v>
      </c>
      <c r="D182" s="24" t="s">
        <v>276</v>
      </c>
      <c r="E182" s="25">
        <v>-3095781.67</v>
      </c>
      <c r="F182" s="26">
        <v>519401.31</v>
      </c>
      <c r="G182" s="25">
        <v>-2576380.36</v>
      </c>
      <c r="I182" s="16">
        <f>F182-'Interest Reconciliation'!C128-'Interest Reconciliation'!D128-'Interest Reconciliation'!E128</f>
        <v>0</v>
      </c>
      <c r="J182" s="16">
        <f>G182-'Interest Reconciliation'!F128</f>
        <v>0</v>
      </c>
    </row>
    <row r="183" spans="1:13">
      <c r="A183" s="22">
        <v>254328</v>
      </c>
      <c r="B183" s="21" t="s">
        <v>121</v>
      </c>
      <c r="C183" s="23" t="s">
        <v>52</v>
      </c>
      <c r="D183" s="24" t="s">
        <v>277</v>
      </c>
      <c r="E183" s="25">
        <v>-2576380.36</v>
      </c>
      <c r="F183" s="26">
        <v>528604.78</v>
      </c>
      <c r="G183" s="25">
        <v>-2047775.58</v>
      </c>
      <c r="I183" s="16">
        <f>F183-'Interest Reconciliation'!C129-'Interest Reconciliation'!D129-'Interest Reconciliation'!E129</f>
        <v>0</v>
      </c>
      <c r="J183" s="16">
        <f>G183-'Interest Reconciliation'!F129</f>
        <v>-1.862645149230957E-9</v>
      </c>
    </row>
    <row r="184" spans="1:13">
      <c r="A184" s="22">
        <v>254328</v>
      </c>
      <c r="B184" s="21" t="s">
        <v>121</v>
      </c>
      <c r="C184" s="23" t="s">
        <v>52</v>
      </c>
      <c r="D184" s="24" t="s">
        <v>286</v>
      </c>
      <c r="E184" s="25">
        <v>-2047775.58</v>
      </c>
      <c r="F184" s="26">
        <v>421244.22</v>
      </c>
      <c r="G184" s="25">
        <v>-1626531.36</v>
      </c>
      <c r="I184" s="16">
        <f>F184-'Interest Reconciliation'!C130-'Interest Reconciliation'!D130-'Interest Reconciliation'!E130</f>
        <v>0</v>
      </c>
      <c r="J184" s="16">
        <f>G184-'Interest Reconciliation'!F130</f>
        <v>-1.862645149230957E-9</v>
      </c>
    </row>
    <row r="185" spans="1:13">
      <c r="A185" s="22">
        <v>254328</v>
      </c>
      <c r="B185" s="21" t="s">
        <v>121</v>
      </c>
      <c r="C185" s="23" t="s">
        <v>52</v>
      </c>
      <c r="D185" s="24" t="s">
        <v>287</v>
      </c>
      <c r="E185" s="25">
        <v>-1626531.36</v>
      </c>
      <c r="F185" s="26">
        <v>371979.43</v>
      </c>
      <c r="G185" s="25">
        <v>-1254551.93</v>
      </c>
      <c r="I185" s="16">
        <f>F185-'Interest Reconciliation'!C131-'Interest Reconciliation'!D131-'Interest Reconciliation'!E131</f>
        <v>0</v>
      </c>
      <c r="J185" s="16">
        <f>G185-'Interest Reconciliation'!F131</f>
        <v>0</v>
      </c>
    </row>
    <row r="186" spans="1:13">
      <c r="A186" s="22">
        <v>254328</v>
      </c>
      <c r="B186" s="21" t="s">
        <v>121</v>
      </c>
      <c r="C186" s="23" t="s">
        <v>52</v>
      </c>
      <c r="D186" s="24" t="s">
        <v>288</v>
      </c>
      <c r="E186" s="25">
        <v>-1254551.93</v>
      </c>
      <c r="F186" s="26">
        <v>383298.18</v>
      </c>
      <c r="G186" s="25">
        <v>-871253.75</v>
      </c>
      <c r="I186" s="16">
        <f>F186-'Interest Reconciliation'!C132-'Interest Reconciliation'!D132-'Interest Reconciliation'!E132</f>
        <v>0</v>
      </c>
      <c r="J186" s="16">
        <f>G186-'Interest Reconciliation'!F132</f>
        <v>-1.7462298274040222E-9</v>
      </c>
    </row>
    <row r="187" spans="1:13" hidden="1">
      <c r="A187" s="22">
        <v>254328</v>
      </c>
      <c r="B187" s="21" t="s">
        <v>121</v>
      </c>
      <c r="C187" s="23" t="s">
        <v>52</v>
      </c>
      <c r="D187" s="24"/>
      <c r="E187" s="25"/>
      <c r="F187" s="26"/>
      <c r="G187" s="25"/>
      <c r="I187" s="16">
        <f>F187-'Interest Reconciliation'!C133-'Interest Reconciliation'!D133-'Interest Reconciliation'!E133</f>
        <v>0</v>
      </c>
      <c r="J187" s="16">
        <f>G187-'Interest Reconciliation'!F133</f>
        <v>871253.74999999825</v>
      </c>
    </row>
    <row r="188" spans="1:13" hidden="1">
      <c r="A188" s="22">
        <v>254328</v>
      </c>
      <c r="B188" s="21" t="s">
        <v>121</v>
      </c>
      <c r="C188" s="23" t="s">
        <v>52</v>
      </c>
      <c r="D188" s="24"/>
      <c r="E188" s="25"/>
      <c r="F188" s="26"/>
      <c r="G188" s="25"/>
      <c r="I188" s="16">
        <f>F188-'Interest Reconciliation'!C134-'Interest Reconciliation'!D134-'Interest Reconciliation'!E134</f>
        <v>0</v>
      </c>
      <c r="J188" s="16">
        <f>G188-'Interest Reconciliation'!F134</f>
        <v>871253.74999999825</v>
      </c>
    </row>
    <row r="189" spans="1:13" hidden="1">
      <c r="A189" s="22">
        <v>254328</v>
      </c>
      <c r="B189" s="21" t="s">
        <v>121</v>
      </c>
      <c r="C189" s="23" t="s">
        <v>52</v>
      </c>
      <c r="D189" s="24"/>
      <c r="E189" s="25"/>
      <c r="F189" s="26"/>
      <c r="G189" s="25"/>
      <c r="I189" s="16">
        <f>F189-'Interest Reconciliation'!C135-'Interest Reconciliation'!D135-'Interest Reconciliation'!E135</f>
        <v>16690574.969999999</v>
      </c>
      <c r="J189" s="16">
        <f>G189-'Interest Reconciliation'!F135</f>
        <v>871253.74999999825</v>
      </c>
    </row>
    <row r="190" spans="1:13" hidden="1">
      <c r="A190" s="22">
        <v>254328</v>
      </c>
      <c r="B190" s="21" t="s">
        <v>121</v>
      </c>
      <c r="C190" s="23" t="s">
        <v>52</v>
      </c>
      <c r="D190" s="24"/>
      <c r="E190" s="25"/>
      <c r="F190" s="26"/>
      <c r="G190" s="25"/>
      <c r="I190" s="16">
        <f>F190-'Interest Reconciliation'!C136-'Interest Reconciliation'!D136-'Interest Reconciliation'!E136</f>
        <v>0</v>
      </c>
      <c r="J190" s="16">
        <f>G190-'Interest Reconciliation'!F136</f>
        <v>17561828.719999999</v>
      </c>
    </row>
    <row r="191" spans="1:13" hidden="1">
      <c r="A191" s="22">
        <v>254328</v>
      </c>
      <c r="B191" s="21" t="s">
        <v>121</v>
      </c>
      <c r="C191" s="23" t="s">
        <v>52</v>
      </c>
      <c r="D191" s="24"/>
      <c r="E191" s="25"/>
      <c r="F191" s="26"/>
      <c r="G191" s="25"/>
      <c r="I191" s="16">
        <f>F191-'Interest Reconciliation'!C137-'Interest Reconciliation'!D137-'Interest Reconciliation'!E137</f>
        <v>0</v>
      </c>
      <c r="J191" s="16">
        <f>G191-'Interest Reconciliation'!F137</f>
        <v>17561828.719999999</v>
      </c>
    </row>
    <row r="192" spans="1:13" hidden="1">
      <c r="A192" s="22">
        <v>254328</v>
      </c>
      <c r="B192" s="21" t="s">
        <v>121</v>
      </c>
      <c r="C192" s="23" t="s">
        <v>52</v>
      </c>
      <c r="D192" s="24"/>
      <c r="E192" s="25"/>
      <c r="F192" s="26"/>
      <c r="G192" s="25"/>
      <c r="I192" s="16">
        <f>F192-'Interest Reconciliation'!C138-'Interest Reconciliation'!D138-'Interest Reconciliation'!E138</f>
        <v>0</v>
      </c>
      <c r="J192" s="16">
        <f>G192-'Interest Reconciliation'!F138</f>
        <v>17561828.719999999</v>
      </c>
    </row>
    <row r="193" spans="1:12">
      <c r="A193" s="98"/>
      <c r="B193" s="41"/>
      <c r="C193" s="41"/>
      <c r="D193" s="41"/>
      <c r="E193" s="43"/>
      <c r="F193" s="44">
        <f>SUM(F181:F192)</f>
        <v>2825369.95</v>
      </c>
      <c r="G193" s="43"/>
      <c r="I193" s="107"/>
    </row>
    <row r="194" spans="1:12">
      <c r="A194" s="22">
        <v>254328</v>
      </c>
      <c r="B194" s="21" t="s">
        <v>121</v>
      </c>
      <c r="C194" s="23" t="s">
        <v>53</v>
      </c>
      <c r="D194" s="24" t="s">
        <v>275</v>
      </c>
      <c r="E194" s="25">
        <v>0</v>
      </c>
      <c r="F194" s="26">
        <v>0</v>
      </c>
      <c r="G194" s="25">
        <v>0</v>
      </c>
      <c r="I194" s="16">
        <f>F194-'Interest Reconciliation'!L127-'Interest Reconciliation'!M127-'Interest Reconciliation'!N127</f>
        <v>0</v>
      </c>
      <c r="J194" s="16">
        <f>G194-'Interest Reconciliation'!O127</f>
        <v>0</v>
      </c>
      <c r="L194" s="16"/>
    </row>
    <row r="195" spans="1:12">
      <c r="A195" s="22">
        <v>254328</v>
      </c>
      <c r="B195" s="21" t="s">
        <v>121</v>
      </c>
      <c r="C195" s="23" t="s">
        <v>53</v>
      </c>
      <c r="D195" s="24" t="s">
        <v>276</v>
      </c>
      <c r="E195" s="25">
        <v>0</v>
      </c>
      <c r="F195" s="26">
        <v>0</v>
      </c>
      <c r="G195" s="25">
        <v>0</v>
      </c>
      <c r="I195" s="16">
        <f>F195-'Interest Reconciliation'!L128-'Interest Reconciliation'!M128-'Interest Reconciliation'!N128</f>
        <v>0</v>
      </c>
      <c r="J195" s="16">
        <f>G195-'Interest Reconciliation'!O128</f>
        <v>0</v>
      </c>
      <c r="L195" s="16"/>
    </row>
    <row r="196" spans="1:12">
      <c r="A196" s="22">
        <v>254328</v>
      </c>
      <c r="B196" s="21" t="s">
        <v>121</v>
      </c>
      <c r="C196" s="23" t="s">
        <v>53</v>
      </c>
      <c r="D196" s="24" t="s">
        <v>277</v>
      </c>
      <c r="E196" s="25">
        <v>0</v>
      </c>
      <c r="F196" s="26">
        <v>0</v>
      </c>
      <c r="G196" s="25">
        <v>0</v>
      </c>
      <c r="I196" s="16">
        <f>F196-'Interest Reconciliation'!L129-'Interest Reconciliation'!M129-'Interest Reconciliation'!N129</f>
        <v>0</v>
      </c>
      <c r="J196" s="16">
        <f>G196-'Interest Reconciliation'!O129</f>
        <v>0</v>
      </c>
      <c r="L196" s="16"/>
    </row>
    <row r="197" spans="1:12">
      <c r="A197" s="22">
        <v>254328</v>
      </c>
      <c r="B197" s="21" t="s">
        <v>121</v>
      </c>
      <c r="C197" s="23" t="s">
        <v>53</v>
      </c>
      <c r="D197" s="24" t="s">
        <v>286</v>
      </c>
      <c r="E197" s="25">
        <v>0</v>
      </c>
      <c r="F197" s="26">
        <v>0</v>
      </c>
      <c r="G197" s="25">
        <v>0</v>
      </c>
      <c r="I197" s="16">
        <f>F197-'Interest Reconciliation'!L130-'Interest Reconciliation'!M130-'Interest Reconciliation'!N130</f>
        <v>0</v>
      </c>
      <c r="J197" s="16">
        <f>G197-'Interest Reconciliation'!O130</f>
        <v>0</v>
      </c>
      <c r="L197" s="16"/>
    </row>
    <row r="198" spans="1:12">
      <c r="A198" s="22">
        <v>254328</v>
      </c>
      <c r="B198" s="21" t="s">
        <v>121</v>
      </c>
      <c r="C198" s="23" t="s">
        <v>53</v>
      </c>
      <c r="D198" s="24" t="s">
        <v>287</v>
      </c>
      <c r="E198" s="25">
        <v>0</v>
      </c>
      <c r="F198" s="26">
        <v>0</v>
      </c>
      <c r="G198" s="25">
        <v>0</v>
      </c>
      <c r="I198" s="16">
        <f>F198-'Interest Reconciliation'!L131-'Interest Reconciliation'!M131-'Interest Reconciliation'!N131</f>
        <v>0</v>
      </c>
      <c r="J198" s="16">
        <f>G198-'Interest Reconciliation'!O131</f>
        <v>0</v>
      </c>
      <c r="L198" s="16"/>
    </row>
    <row r="199" spans="1:12">
      <c r="A199" s="22">
        <v>254328</v>
      </c>
      <c r="B199" s="21" t="s">
        <v>121</v>
      </c>
      <c r="C199" s="23" t="s">
        <v>53</v>
      </c>
      <c r="D199" s="24" t="s">
        <v>288</v>
      </c>
      <c r="E199" s="25">
        <v>0</v>
      </c>
      <c r="F199" s="26">
        <v>0</v>
      </c>
      <c r="G199" s="25">
        <v>0</v>
      </c>
      <c r="I199" s="16">
        <f>F199-'Interest Reconciliation'!L132-'Interest Reconciliation'!M132-'Interest Reconciliation'!N132</f>
        <v>0</v>
      </c>
      <c r="J199" s="16">
        <f>G199-'Interest Reconciliation'!O132</f>
        <v>0</v>
      </c>
      <c r="L199" s="16"/>
    </row>
    <row r="200" spans="1:12" hidden="1">
      <c r="A200" s="22">
        <v>254328</v>
      </c>
      <c r="B200" s="21" t="s">
        <v>121</v>
      </c>
      <c r="C200" s="23" t="s">
        <v>53</v>
      </c>
      <c r="D200" s="24"/>
      <c r="E200" s="25"/>
      <c r="F200" s="26"/>
      <c r="G200" s="25"/>
      <c r="I200" s="16">
        <f>F200-'Interest Reconciliation'!L133-'Interest Reconciliation'!M133-'Interest Reconciliation'!N133</f>
        <v>0</v>
      </c>
      <c r="J200" s="16">
        <f>G200-'Interest Reconciliation'!O133</f>
        <v>0</v>
      </c>
      <c r="L200" s="16"/>
    </row>
    <row r="201" spans="1:12" hidden="1">
      <c r="A201" s="22">
        <v>254328</v>
      </c>
      <c r="B201" s="21" t="s">
        <v>121</v>
      </c>
      <c r="C201" s="23" t="s">
        <v>53</v>
      </c>
      <c r="D201" s="24"/>
      <c r="E201" s="25"/>
      <c r="F201" s="26"/>
      <c r="G201" s="25"/>
      <c r="I201" s="16">
        <f>F201-'Interest Reconciliation'!L134-'Interest Reconciliation'!M134-'Interest Reconciliation'!N134</f>
        <v>0</v>
      </c>
      <c r="J201" s="16">
        <f>G201-'Interest Reconciliation'!O134</f>
        <v>0</v>
      </c>
      <c r="L201" s="16"/>
    </row>
    <row r="202" spans="1:12" hidden="1">
      <c r="A202" s="22">
        <v>254328</v>
      </c>
      <c r="B202" s="21" t="s">
        <v>121</v>
      </c>
      <c r="C202" s="23" t="s">
        <v>53</v>
      </c>
      <c r="D202" s="24"/>
      <c r="E202" s="25"/>
      <c r="F202" s="26"/>
      <c r="G202" s="25"/>
      <c r="I202" s="16">
        <f>F202-'Interest Reconciliation'!L135-'Interest Reconciliation'!M135-'Interest Reconciliation'!N135</f>
        <v>1106794.0103520819</v>
      </c>
      <c r="J202" s="16">
        <f>G202-'Interest Reconciliation'!O135</f>
        <v>0</v>
      </c>
      <c r="L202" s="16"/>
    </row>
    <row r="203" spans="1:12" hidden="1">
      <c r="A203" s="22">
        <v>254328</v>
      </c>
      <c r="B203" s="21" t="s">
        <v>121</v>
      </c>
      <c r="C203" s="23" t="s">
        <v>53</v>
      </c>
      <c r="D203" s="24"/>
      <c r="E203" s="25"/>
      <c r="F203" s="26"/>
      <c r="G203" s="25"/>
      <c r="I203" s="16">
        <f>F203-'Interest Reconciliation'!L136-'Interest Reconciliation'!M136-'Interest Reconciliation'!N136</f>
        <v>-1106794.0103520819</v>
      </c>
      <c r="J203" s="16">
        <f>G203-'Interest Reconciliation'!O136</f>
        <v>0</v>
      </c>
      <c r="L203" s="16"/>
    </row>
    <row r="204" spans="1:12" hidden="1">
      <c r="A204" s="22">
        <v>254328</v>
      </c>
      <c r="B204" s="21" t="s">
        <v>121</v>
      </c>
      <c r="C204" s="23" t="s">
        <v>53</v>
      </c>
      <c r="D204" s="24"/>
      <c r="E204" s="25"/>
      <c r="F204" s="26"/>
      <c r="G204" s="25"/>
      <c r="I204" s="16">
        <f>F204-'Interest Reconciliation'!L137-'Interest Reconciliation'!M137-'Interest Reconciliation'!N137</f>
        <v>0</v>
      </c>
      <c r="J204" s="16">
        <f>G204-'Interest Reconciliation'!O137</f>
        <v>0</v>
      </c>
      <c r="L204" s="16"/>
    </row>
    <row r="205" spans="1:12" hidden="1">
      <c r="A205" s="22">
        <v>254328</v>
      </c>
      <c r="B205" s="21" t="s">
        <v>121</v>
      </c>
      <c r="C205" s="23" t="s">
        <v>53</v>
      </c>
      <c r="D205" s="24"/>
      <c r="E205" s="25"/>
      <c r="F205" s="26"/>
      <c r="G205" s="25"/>
      <c r="I205" s="16">
        <f>F205-'Interest Reconciliation'!L138-'Interest Reconciliation'!M138-'Interest Reconciliation'!N138</f>
        <v>0</v>
      </c>
      <c r="J205" s="16">
        <f>G205-'Interest Reconciliation'!O138</f>
        <v>0</v>
      </c>
      <c r="L205" s="16"/>
    </row>
    <row r="206" spans="1:12">
      <c r="A206" s="99"/>
      <c r="B206" s="41"/>
      <c r="C206" s="41"/>
      <c r="D206" s="41"/>
      <c r="E206" s="43"/>
      <c r="F206" s="44">
        <f>SUM(F194:F205)</f>
        <v>0</v>
      </c>
      <c r="G206" s="43"/>
      <c r="I206" s="16"/>
      <c r="J206" s="16"/>
    </row>
    <row r="207" spans="1:12">
      <c r="A207" s="96"/>
      <c r="B207" s="45"/>
      <c r="C207" s="90"/>
      <c r="D207" s="45"/>
      <c r="E207" s="47"/>
      <c r="F207" s="48">
        <f>F193+F206</f>
        <v>2825369.95</v>
      </c>
      <c r="G207" s="47"/>
      <c r="I207" s="16"/>
      <c r="J207" s="16"/>
    </row>
    <row r="208" spans="1:12" ht="15.75">
      <c r="A208" s="97" t="s">
        <v>99</v>
      </c>
      <c r="B208" s="21" t="s">
        <v>100</v>
      </c>
      <c r="C208" s="23" t="s">
        <v>52</v>
      </c>
      <c r="D208" s="24" t="s">
        <v>275</v>
      </c>
      <c r="E208" s="25">
        <v>0</v>
      </c>
      <c r="F208" s="26">
        <v>0</v>
      </c>
      <c r="G208" s="25">
        <v>0</v>
      </c>
      <c r="H208" s="84"/>
      <c r="I208" s="139">
        <f>F208-'Interest Reconciliation'!C143-'Interest Reconciliation'!D143-'Interest Reconciliation'!E143</f>
        <v>0</v>
      </c>
      <c r="J208" s="139">
        <f>G208-'Interest Reconciliation'!F143</f>
        <v>0</v>
      </c>
    </row>
    <row r="209" spans="1:12" ht="15.75">
      <c r="A209" s="97" t="s">
        <v>99</v>
      </c>
      <c r="B209" s="21" t="s">
        <v>100</v>
      </c>
      <c r="C209" s="23" t="s">
        <v>52</v>
      </c>
      <c r="D209" s="24" t="s">
        <v>276</v>
      </c>
      <c r="E209" s="25">
        <v>0</v>
      </c>
      <c r="F209" s="26">
        <v>0</v>
      </c>
      <c r="G209" s="25">
        <v>0</v>
      </c>
      <c r="H209" s="84"/>
      <c r="I209" s="139">
        <f>F209-'Interest Reconciliation'!C144-'Interest Reconciliation'!D144-'Interest Reconciliation'!E144</f>
        <v>0</v>
      </c>
      <c r="J209" s="139">
        <f>G209-'Interest Reconciliation'!F144</f>
        <v>0</v>
      </c>
    </row>
    <row r="210" spans="1:12" ht="15.75">
      <c r="A210" s="97" t="s">
        <v>99</v>
      </c>
      <c r="B210" s="21" t="s">
        <v>100</v>
      </c>
      <c r="C210" s="23" t="s">
        <v>52</v>
      </c>
      <c r="D210" s="24" t="s">
        <v>277</v>
      </c>
      <c r="E210" s="25">
        <v>0</v>
      </c>
      <c r="F210" s="26">
        <v>0</v>
      </c>
      <c r="G210" s="25">
        <v>0</v>
      </c>
      <c r="H210" s="84"/>
      <c r="I210" s="139">
        <f>F210-'Interest Reconciliation'!C145-'Interest Reconciliation'!D145-'Interest Reconciliation'!E145</f>
        <v>0</v>
      </c>
      <c r="J210" s="139">
        <f>G210-'Interest Reconciliation'!F145</f>
        <v>0</v>
      </c>
    </row>
    <row r="211" spans="1:12" ht="15.75">
      <c r="A211" s="97" t="s">
        <v>99</v>
      </c>
      <c r="B211" s="21" t="s">
        <v>100</v>
      </c>
      <c r="C211" s="23" t="s">
        <v>52</v>
      </c>
      <c r="D211" s="24" t="s">
        <v>286</v>
      </c>
      <c r="E211" s="25">
        <v>0</v>
      </c>
      <c r="F211" s="26">
        <v>0</v>
      </c>
      <c r="G211" s="25">
        <v>0</v>
      </c>
      <c r="H211" s="84"/>
      <c r="I211" s="139">
        <f>F211-'Interest Reconciliation'!C146-'Interest Reconciliation'!D146-'Interest Reconciliation'!E146</f>
        <v>0</v>
      </c>
      <c r="J211" s="139">
        <f>G211-'Interest Reconciliation'!F146</f>
        <v>0</v>
      </c>
    </row>
    <row r="212" spans="1:12" ht="15.75">
      <c r="A212" s="97" t="s">
        <v>99</v>
      </c>
      <c r="B212" s="21" t="s">
        <v>100</v>
      </c>
      <c r="C212" s="23" t="s">
        <v>52</v>
      </c>
      <c r="D212" s="24" t="s">
        <v>287</v>
      </c>
      <c r="E212" s="25">
        <v>0</v>
      </c>
      <c r="F212" s="26">
        <v>0</v>
      </c>
      <c r="G212" s="25">
        <v>0</v>
      </c>
      <c r="H212" s="84"/>
      <c r="I212" s="139">
        <f>F212-'Interest Reconciliation'!C147-'Interest Reconciliation'!D147-'Interest Reconciliation'!E147</f>
        <v>0</v>
      </c>
      <c r="J212" s="139">
        <f>G212-'Interest Reconciliation'!F147</f>
        <v>0</v>
      </c>
    </row>
    <row r="213" spans="1:12" ht="15.75">
      <c r="A213" s="97" t="s">
        <v>99</v>
      </c>
      <c r="B213" s="21" t="s">
        <v>100</v>
      </c>
      <c r="C213" s="23" t="s">
        <v>52</v>
      </c>
      <c r="D213" s="24" t="s">
        <v>288</v>
      </c>
      <c r="E213" s="25">
        <v>0</v>
      </c>
      <c r="F213" s="26">
        <v>0</v>
      </c>
      <c r="G213" s="25">
        <v>0</v>
      </c>
      <c r="H213" s="84"/>
      <c r="I213" s="139">
        <f>F213-'Interest Reconciliation'!C148-'Interest Reconciliation'!D148-'Interest Reconciliation'!E148</f>
        <v>0</v>
      </c>
      <c r="J213" s="139">
        <f>G213-'Interest Reconciliation'!F148</f>
        <v>0</v>
      </c>
    </row>
    <row r="214" spans="1:12" ht="15.75" hidden="1">
      <c r="A214" s="97" t="s">
        <v>99</v>
      </c>
      <c r="B214" s="21" t="s">
        <v>100</v>
      </c>
      <c r="C214" s="23" t="s">
        <v>52</v>
      </c>
      <c r="D214" s="24"/>
      <c r="E214" s="25"/>
      <c r="F214" s="26"/>
      <c r="G214" s="25"/>
      <c r="H214" s="84"/>
      <c r="I214" s="139">
        <f>F214-'Interest Reconciliation'!C149-'Interest Reconciliation'!D149-'Interest Reconciliation'!E149</f>
        <v>0</v>
      </c>
      <c r="J214" s="139">
        <f>G214-'Interest Reconciliation'!F149</f>
        <v>0</v>
      </c>
    </row>
    <row r="215" spans="1:12" ht="15.75" hidden="1">
      <c r="A215" s="97" t="s">
        <v>99</v>
      </c>
      <c r="B215" s="21" t="s">
        <v>100</v>
      </c>
      <c r="C215" s="23" t="s">
        <v>52</v>
      </c>
      <c r="D215" s="24"/>
      <c r="E215" s="25"/>
      <c r="F215" s="26"/>
      <c r="G215" s="25"/>
      <c r="H215" s="84"/>
      <c r="I215" s="139">
        <f>F215-'Interest Reconciliation'!C150-'Interest Reconciliation'!D150-'Interest Reconciliation'!E150</f>
        <v>0</v>
      </c>
      <c r="J215" s="139">
        <f>G215-'Interest Reconciliation'!F150</f>
        <v>0</v>
      </c>
    </row>
    <row r="216" spans="1:12" ht="15.75" hidden="1">
      <c r="A216" s="97" t="s">
        <v>99</v>
      </c>
      <c r="B216" s="21" t="s">
        <v>100</v>
      </c>
      <c r="C216" s="23" t="s">
        <v>52</v>
      </c>
      <c r="D216" s="24"/>
      <c r="E216" s="25"/>
      <c r="F216" s="26"/>
      <c r="G216" s="25"/>
      <c r="H216" s="84"/>
      <c r="I216" s="139">
        <f>F216-'Interest Reconciliation'!C151-'Interest Reconciliation'!D151-'Interest Reconciliation'!E151</f>
        <v>0</v>
      </c>
      <c r="J216" s="139">
        <f>G216-'Interest Reconciliation'!F151</f>
        <v>0</v>
      </c>
    </row>
    <row r="217" spans="1:12" ht="15.75" hidden="1">
      <c r="A217" s="97" t="s">
        <v>99</v>
      </c>
      <c r="B217" s="21" t="s">
        <v>100</v>
      </c>
      <c r="C217" s="23" t="s">
        <v>52</v>
      </c>
      <c r="D217" s="24"/>
      <c r="E217" s="25"/>
      <c r="F217" s="26"/>
      <c r="G217" s="25"/>
      <c r="H217" s="84"/>
      <c r="I217" s="139">
        <f>F217-'Interest Reconciliation'!C152-'Interest Reconciliation'!D152-'Interest Reconciliation'!E152</f>
        <v>0</v>
      </c>
      <c r="J217" s="139">
        <f>G217-'Interest Reconciliation'!F152</f>
        <v>0</v>
      </c>
    </row>
    <row r="218" spans="1:12" ht="15.75" hidden="1">
      <c r="A218" s="97" t="s">
        <v>99</v>
      </c>
      <c r="B218" s="21" t="s">
        <v>100</v>
      </c>
      <c r="C218" s="23" t="s">
        <v>52</v>
      </c>
      <c r="D218" s="24"/>
      <c r="E218" s="25"/>
      <c r="F218" s="26"/>
      <c r="G218" s="25"/>
      <c r="H218" s="84"/>
      <c r="I218" s="139">
        <f>F218-'Interest Reconciliation'!C153-'Interest Reconciliation'!D153-'Interest Reconciliation'!E153</f>
        <v>0</v>
      </c>
      <c r="J218" s="139">
        <f>G218-'Interest Reconciliation'!F153</f>
        <v>0</v>
      </c>
    </row>
    <row r="219" spans="1:12" ht="15.75" hidden="1">
      <c r="A219" s="97" t="s">
        <v>99</v>
      </c>
      <c r="B219" s="21" t="s">
        <v>100</v>
      </c>
      <c r="C219" s="23" t="s">
        <v>52</v>
      </c>
      <c r="D219" s="24"/>
      <c r="E219" s="25"/>
      <c r="F219" s="26"/>
      <c r="G219" s="25"/>
      <c r="H219" s="84"/>
      <c r="I219" s="139">
        <f>F219-'Interest Reconciliation'!C154-'Interest Reconciliation'!D154-'Interest Reconciliation'!E154</f>
        <v>0</v>
      </c>
      <c r="J219" s="139">
        <f>G219-'Interest Reconciliation'!F154</f>
        <v>0</v>
      </c>
    </row>
    <row r="220" spans="1:12">
      <c r="A220" s="98"/>
      <c r="B220" s="41"/>
      <c r="C220" s="41"/>
      <c r="D220" s="41"/>
      <c r="E220" s="43"/>
      <c r="F220" s="44">
        <f>SUM(F208:F219)</f>
        <v>0</v>
      </c>
      <c r="G220" s="43"/>
      <c r="I220" s="16"/>
      <c r="J220" s="16"/>
    </row>
    <row r="221" spans="1:12">
      <c r="A221" s="97" t="s">
        <v>99</v>
      </c>
      <c r="B221" s="21" t="s">
        <v>100</v>
      </c>
      <c r="C221" s="23" t="s">
        <v>53</v>
      </c>
      <c r="D221" s="24" t="s">
        <v>275</v>
      </c>
      <c r="E221" s="25">
        <v>0</v>
      </c>
      <c r="F221" s="26">
        <v>0</v>
      </c>
      <c r="G221" s="25">
        <v>0</v>
      </c>
      <c r="I221" s="139">
        <f>F221-'Interest Reconciliation'!L143-'Interest Reconciliation'!M143-'Interest Reconciliation'!N143</f>
        <v>0</v>
      </c>
      <c r="J221" s="139">
        <f>G221-'Interest Reconciliation'!O143</f>
        <v>0</v>
      </c>
      <c r="L221" s="16"/>
    </row>
    <row r="222" spans="1:12">
      <c r="A222" s="97" t="s">
        <v>99</v>
      </c>
      <c r="B222" s="21" t="s">
        <v>100</v>
      </c>
      <c r="C222" s="23" t="s">
        <v>53</v>
      </c>
      <c r="D222" s="24" t="s">
        <v>276</v>
      </c>
      <c r="E222" s="25">
        <v>0</v>
      </c>
      <c r="F222" s="26">
        <v>0</v>
      </c>
      <c r="G222" s="25">
        <v>0</v>
      </c>
      <c r="I222" s="139">
        <f>F222-'Interest Reconciliation'!L144-'Interest Reconciliation'!M144-'Interest Reconciliation'!N144</f>
        <v>0</v>
      </c>
      <c r="J222" s="139">
        <f>G222-'Interest Reconciliation'!O144</f>
        <v>0</v>
      </c>
      <c r="L222" s="16"/>
    </row>
    <row r="223" spans="1:12">
      <c r="A223" s="97" t="s">
        <v>99</v>
      </c>
      <c r="B223" s="21" t="s">
        <v>100</v>
      </c>
      <c r="C223" s="23" t="s">
        <v>53</v>
      </c>
      <c r="D223" s="24" t="s">
        <v>277</v>
      </c>
      <c r="E223" s="25">
        <v>0</v>
      </c>
      <c r="F223" s="26">
        <v>0</v>
      </c>
      <c r="G223" s="25">
        <v>0</v>
      </c>
      <c r="I223" s="139">
        <f>F223-'Interest Reconciliation'!L145-'Interest Reconciliation'!M145-'Interest Reconciliation'!N145</f>
        <v>0</v>
      </c>
      <c r="J223" s="139">
        <f>G223-'Interest Reconciliation'!O145</f>
        <v>0</v>
      </c>
      <c r="L223" s="16"/>
    </row>
    <row r="224" spans="1:12">
      <c r="A224" s="97" t="s">
        <v>99</v>
      </c>
      <c r="B224" s="21" t="s">
        <v>100</v>
      </c>
      <c r="C224" s="23" t="s">
        <v>53</v>
      </c>
      <c r="D224" s="24" t="s">
        <v>286</v>
      </c>
      <c r="E224" s="25">
        <v>0</v>
      </c>
      <c r="F224" s="26">
        <v>0</v>
      </c>
      <c r="G224" s="25">
        <v>0</v>
      </c>
      <c r="I224" s="139">
        <f>F224-'Interest Reconciliation'!L146-'Interest Reconciliation'!M146-'Interest Reconciliation'!N146</f>
        <v>0</v>
      </c>
      <c r="J224" s="139">
        <f>G224-'Interest Reconciliation'!O146</f>
        <v>0</v>
      </c>
      <c r="L224" s="16"/>
    </row>
    <row r="225" spans="1:12">
      <c r="A225" s="97" t="s">
        <v>99</v>
      </c>
      <c r="B225" s="21" t="s">
        <v>100</v>
      </c>
      <c r="C225" s="23" t="s">
        <v>53</v>
      </c>
      <c r="D225" s="24" t="s">
        <v>287</v>
      </c>
      <c r="E225" s="25">
        <v>0</v>
      </c>
      <c r="F225" s="26">
        <v>0</v>
      </c>
      <c r="G225" s="25">
        <v>0</v>
      </c>
      <c r="I225" s="139">
        <f>F225-'Interest Reconciliation'!L147-'Interest Reconciliation'!M147-'Interest Reconciliation'!N147</f>
        <v>0</v>
      </c>
      <c r="J225" s="139">
        <f>G225-'Interest Reconciliation'!O147</f>
        <v>0</v>
      </c>
      <c r="L225" s="16"/>
    </row>
    <row r="226" spans="1:12">
      <c r="A226" s="97" t="s">
        <v>99</v>
      </c>
      <c r="B226" s="21" t="s">
        <v>100</v>
      </c>
      <c r="C226" s="23" t="s">
        <v>53</v>
      </c>
      <c r="D226" s="24" t="s">
        <v>288</v>
      </c>
      <c r="E226" s="25">
        <v>0</v>
      </c>
      <c r="F226" s="26">
        <v>0</v>
      </c>
      <c r="G226" s="25">
        <v>0</v>
      </c>
      <c r="I226" s="139">
        <f>F226-'Interest Reconciliation'!L148-'Interest Reconciliation'!M148-'Interest Reconciliation'!N148</f>
        <v>0</v>
      </c>
      <c r="J226" s="139">
        <f>G226-'Interest Reconciliation'!O148</f>
        <v>0</v>
      </c>
      <c r="L226" s="16"/>
    </row>
    <row r="227" spans="1:12" hidden="1">
      <c r="A227" s="97" t="s">
        <v>99</v>
      </c>
      <c r="B227" s="21" t="s">
        <v>100</v>
      </c>
      <c r="C227" s="23" t="s">
        <v>53</v>
      </c>
      <c r="D227" s="24"/>
      <c r="E227" s="25"/>
      <c r="F227" s="26"/>
      <c r="G227" s="25"/>
      <c r="I227" s="139">
        <f>F227-'Interest Reconciliation'!L149-'Interest Reconciliation'!M149-'Interest Reconciliation'!N149</f>
        <v>0</v>
      </c>
      <c r="J227" s="139">
        <f>G227-'Interest Reconciliation'!O149</f>
        <v>0</v>
      </c>
      <c r="L227" s="16"/>
    </row>
    <row r="228" spans="1:12" hidden="1">
      <c r="A228" s="97" t="s">
        <v>99</v>
      </c>
      <c r="B228" s="21" t="s">
        <v>100</v>
      </c>
      <c r="C228" s="23" t="s">
        <v>53</v>
      </c>
      <c r="D228" s="24"/>
      <c r="E228" s="25"/>
      <c r="F228" s="26"/>
      <c r="G228" s="25"/>
      <c r="I228" s="139">
        <f>F228-'Interest Reconciliation'!L150-'Interest Reconciliation'!M150-'Interest Reconciliation'!N150</f>
        <v>0</v>
      </c>
      <c r="J228" s="139">
        <f>G228-'Interest Reconciliation'!O150</f>
        <v>0</v>
      </c>
      <c r="L228" s="16"/>
    </row>
    <row r="229" spans="1:12" hidden="1">
      <c r="A229" s="97" t="s">
        <v>99</v>
      </c>
      <c r="B229" s="21" t="s">
        <v>100</v>
      </c>
      <c r="C229" s="23" t="s">
        <v>53</v>
      </c>
      <c r="D229" s="24"/>
      <c r="E229" s="25"/>
      <c r="F229" s="26"/>
      <c r="G229" s="25"/>
      <c r="I229" s="139">
        <f>F229-'Interest Reconciliation'!L151-'Interest Reconciliation'!M151-'Interest Reconciliation'!N151</f>
        <v>0</v>
      </c>
      <c r="J229" s="139">
        <f>G229-'Interest Reconciliation'!O151</f>
        <v>0</v>
      </c>
      <c r="L229" s="16"/>
    </row>
    <row r="230" spans="1:12" hidden="1">
      <c r="A230" s="97" t="s">
        <v>99</v>
      </c>
      <c r="B230" s="21" t="s">
        <v>100</v>
      </c>
      <c r="C230" s="23" t="s">
        <v>53</v>
      </c>
      <c r="D230" s="24"/>
      <c r="E230" s="25"/>
      <c r="F230" s="26"/>
      <c r="G230" s="25"/>
      <c r="I230" s="139">
        <f>F230-'Interest Reconciliation'!L152-'Interest Reconciliation'!M152-'Interest Reconciliation'!N152</f>
        <v>0</v>
      </c>
      <c r="J230" s="139">
        <f>G230-'Interest Reconciliation'!O152</f>
        <v>0</v>
      </c>
      <c r="L230" s="16"/>
    </row>
    <row r="231" spans="1:12" hidden="1">
      <c r="A231" s="97" t="s">
        <v>99</v>
      </c>
      <c r="B231" s="21" t="s">
        <v>100</v>
      </c>
      <c r="C231" s="23" t="s">
        <v>53</v>
      </c>
      <c r="D231" s="24"/>
      <c r="E231" s="25"/>
      <c r="F231" s="26"/>
      <c r="G231" s="25"/>
      <c r="I231" s="139">
        <f>F231-'Interest Reconciliation'!L153-'Interest Reconciliation'!M153-'Interest Reconciliation'!N153</f>
        <v>0</v>
      </c>
      <c r="J231" s="139">
        <f>G231-'Interest Reconciliation'!O153</f>
        <v>0</v>
      </c>
      <c r="L231" s="16"/>
    </row>
    <row r="232" spans="1:12" hidden="1">
      <c r="A232" s="97" t="s">
        <v>99</v>
      </c>
      <c r="B232" s="21" t="s">
        <v>100</v>
      </c>
      <c r="C232" s="23" t="s">
        <v>53</v>
      </c>
      <c r="D232" s="24"/>
      <c r="E232" s="25"/>
      <c r="F232" s="26"/>
      <c r="G232" s="25"/>
      <c r="I232" s="139">
        <f>F232-'Interest Reconciliation'!L154-'Interest Reconciliation'!M154-'Interest Reconciliation'!N154</f>
        <v>0</v>
      </c>
      <c r="J232" s="139">
        <f>G232-'Interest Reconciliation'!O154</f>
        <v>0</v>
      </c>
      <c r="L232" s="16"/>
    </row>
    <row r="233" spans="1:12">
      <c r="A233" s="99"/>
      <c r="B233" s="41"/>
      <c r="C233" s="41"/>
      <c r="D233" s="41"/>
      <c r="E233" s="43"/>
      <c r="F233" s="44">
        <f>SUM(F221:F232)</f>
        <v>0</v>
      </c>
      <c r="G233" s="43"/>
    </row>
    <row r="234" spans="1:12">
      <c r="A234" s="96"/>
      <c r="B234" s="45"/>
      <c r="C234" s="90"/>
      <c r="D234" s="45"/>
      <c r="E234" s="47"/>
      <c r="F234" s="48">
        <f>F220+F233</f>
        <v>0</v>
      </c>
      <c r="G234" s="47"/>
    </row>
    <row r="236" spans="1:12">
      <c r="A236" s="20" t="s">
        <v>42</v>
      </c>
      <c r="C236" s="85" t="s">
        <v>97</v>
      </c>
    </row>
    <row r="238" spans="1:12" ht="31.15" customHeight="1">
      <c r="A238" s="49" t="s">
        <v>43</v>
      </c>
      <c r="B238" s="50" t="s">
        <v>44</v>
      </c>
      <c r="C238" s="51" t="s">
        <v>45</v>
      </c>
      <c r="D238" s="49" t="s">
        <v>46</v>
      </c>
      <c r="E238" s="49" t="s">
        <v>47</v>
      </c>
      <c r="F238" s="49" t="s">
        <v>48</v>
      </c>
      <c r="G238" s="49" t="s">
        <v>49</v>
      </c>
      <c r="J238" s="230" t="s">
        <v>120</v>
      </c>
      <c r="K238" s="230"/>
    </row>
    <row r="239" spans="1:12">
      <c r="A239" s="22" t="s">
        <v>58</v>
      </c>
      <c r="B239" s="21" t="s">
        <v>59</v>
      </c>
      <c r="C239" s="23" t="s">
        <v>52</v>
      </c>
      <c r="D239" s="24" t="s">
        <v>275</v>
      </c>
      <c r="E239" s="25">
        <v>4192624.58</v>
      </c>
      <c r="F239" s="26">
        <v>-110184.75</v>
      </c>
      <c r="G239" s="25">
        <v>4082439.83</v>
      </c>
      <c r="H239" s="91"/>
      <c r="I239" s="13"/>
      <c r="J239" s="94">
        <f>(G6+G33+G65+G92+G124+G151+G181+G208+G445+G472)*-0.21</f>
        <v>4082439.8160000001</v>
      </c>
      <c r="K239" s="94">
        <f>J239-G239</f>
        <v>-1.3999999966472387E-2</v>
      </c>
    </row>
    <row r="240" spans="1:12">
      <c r="A240" s="22" t="s">
        <v>58</v>
      </c>
      <c r="B240" s="21" t="s">
        <v>59</v>
      </c>
      <c r="C240" s="23" t="s">
        <v>52</v>
      </c>
      <c r="D240" s="24" t="s">
        <v>276</v>
      </c>
      <c r="E240" s="25">
        <v>4082439.83</v>
      </c>
      <c r="F240" s="26">
        <v>27663.4</v>
      </c>
      <c r="G240" s="25">
        <v>4110103.23</v>
      </c>
      <c r="H240" s="91"/>
      <c r="I240" s="13"/>
      <c r="J240" s="94">
        <f>(G7+G34+G66+G93+G125+G152+G182+G209+G446+G473)*-0.21</f>
        <v>4110103.2125999997</v>
      </c>
      <c r="K240" s="94">
        <f>J240-G240</f>
        <v>-1.7400000244379044E-2</v>
      </c>
    </row>
    <row r="241" spans="1:11">
      <c r="A241" s="22" t="s">
        <v>58</v>
      </c>
      <c r="B241" s="21" t="s">
        <v>59</v>
      </c>
      <c r="C241" s="23" t="s">
        <v>52</v>
      </c>
      <c r="D241" s="24" t="s">
        <v>277</v>
      </c>
      <c r="E241" s="25">
        <v>4110103.23</v>
      </c>
      <c r="F241" s="26">
        <v>234971.47</v>
      </c>
      <c r="G241" s="25">
        <v>4345074.7</v>
      </c>
      <c r="H241" s="91"/>
      <c r="I241" s="13"/>
      <c r="J241" s="94">
        <f>(G8+G35+G67+G94+G126+G153+G183+G210+G447+G474)*-0.21</f>
        <v>4345074.6842999998</v>
      </c>
      <c r="K241" s="94">
        <f>J241-G241</f>
        <v>-1.5700000338256359E-2</v>
      </c>
    </row>
    <row r="242" spans="1:11">
      <c r="A242" s="22" t="s">
        <v>58</v>
      </c>
      <c r="B242" s="21" t="s">
        <v>59</v>
      </c>
      <c r="C242" s="23" t="s">
        <v>52</v>
      </c>
      <c r="D242" s="24" t="s">
        <v>286</v>
      </c>
      <c r="E242" s="25">
        <v>4345074.7</v>
      </c>
      <c r="F242" s="26">
        <v>-128211.16</v>
      </c>
      <c r="G242" s="25">
        <v>4216863.54</v>
      </c>
      <c r="H242" s="91"/>
      <c r="I242" s="13"/>
      <c r="J242" s="94">
        <f t="shared" ref="J242:J250" si="0">(G9+G36+G68+G95+G127+G154+G184+G211+G448+G475)*-0.21</f>
        <v>4216863.5291999998</v>
      </c>
      <c r="K242" s="94">
        <f t="shared" ref="K242:K250" si="1">J242-G242</f>
        <v>-1.080000028014183E-2</v>
      </c>
    </row>
    <row r="243" spans="1:11">
      <c r="A243" s="22" t="s">
        <v>58</v>
      </c>
      <c r="B243" s="21" t="s">
        <v>59</v>
      </c>
      <c r="C243" s="23" t="s">
        <v>52</v>
      </c>
      <c r="D243" s="24" t="s">
        <v>287</v>
      </c>
      <c r="E243" s="25">
        <v>4216863.54</v>
      </c>
      <c r="F243" s="26">
        <v>-260508.63</v>
      </c>
      <c r="G243" s="25">
        <v>3956354.91</v>
      </c>
      <c r="H243" s="91"/>
      <c r="I243" s="13"/>
      <c r="J243" s="94">
        <f t="shared" si="0"/>
        <v>3956354.8961999994</v>
      </c>
      <c r="K243" s="94">
        <f t="shared" si="1"/>
        <v>-1.380000077188015E-2</v>
      </c>
    </row>
    <row r="244" spans="1:11">
      <c r="A244" s="22" t="s">
        <v>58</v>
      </c>
      <c r="B244" s="21" t="s">
        <v>59</v>
      </c>
      <c r="C244" s="23" t="s">
        <v>52</v>
      </c>
      <c r="D244" s="24" t="s">
        <v>288</v>
      </c>
      <c r="E244" s="25">
        <v>3956354.91</v>
      </c>
      <c r="F244" s="26">
        <v>121066.98</v>
      </c>
      <c r="G244" s="25">
        <v>4077421.89</v>
      </c>
      <c r="H244" s="91"/>
      <c r="I244" s="13"/>
      <c r="J244" s="94">
        <f t="shared" si="0"/>
        <v>4077421.8765000002</v>
      </c>
      <c r="K244" s="94">
        <f t="shared" si="1"/>
        <v>-1.3499999884516001E-2</v>
      </c>
    </row>
    <row r="245" spans="1:11" hidden="1">
      <c r="A245" s="22" t="s">
        <v>58</v>
      </c>
      <c r="B245" s="21" t="s">
        <v>59</v>
      </c>
      <c r="C245" s="23" t="s">
        <v>52</v>
      </c>
      <c r="D245" s="24"/>
      <c r="E245" s="25"/>
      <c r="F245" s="26"/>
      <c r="G245" s="25"/>
      <c r="H245" s="91"/>
      <c r="I245" s="13"/>
      <c r="J245" s="94">
        <f t="shared" si="0"/>
        <v>0</v>
      </c>
      <c r="K245" s="94">
        <f t="shared" si="1"/>
        <v>0</v>
      </c>
    </row>
    <row r="246" spans="1:11" hidden="1">
      <c r="A246" s="22" t="s">
        <v>58</v>
      </c>
      <c r="B246" s="21" t="s">
        <v>59</v>
      </c>
      <c r="C246" s="23" t="s">
        <v>52</v>
      </c>
      <c r="D246" s="24"/>
      <c r="E246" s="25"/>
      <c r="F246" s="26"/>
      <c r="G246" s="25"/>
      <c r="H246" s="91"/>
      <c r="I246" s="13"/>
      <c r="J246" s="94">
        <f t="shared" si="0"/>
        <v>0</v>
      </c>
      <c r="K246" s="94">
        <f t="shared" si="1"/>
        <v>0</v>
      </c>
    </row>
    <row r="247" spans="1:11" hidden="1">
      <c r="A247" s="22" t="s">
        <v>58</v>
      </c>
      <c r="B247" s="21" t="s">
        <v>59</v>
      </c>
      <c r="C247" s="23" t="s">
        <v>52</v>
      </c>
      <c r="D247" s="24"/>
      <c r="E247" s="25"/>
      <c r="F247" s="26"/>
      <c r="G247" s="25"/>
      <c r="H247" s="91"/>
      <c r="I247" s="13"/>
      <c r="J247" s="94">
        <f t="shared" si="0"/>
        <v>0</v>
      </c>
      <c r="K247" s="94">
        <f t="shared" si="1"/>
        <v>0</v>
      </c>
    </row>
    <row r="248" spans="1:11" hidden="1">
      <c r="A248" s="22" t="s">
        <v>58</v>
      </c>
      <c r="B248" s="21" t="s">
        <v>59</v>
      </c>
      <c r="C248" s="23" t="s">
        <v>52</v>
      </c>
      <c r="D248" s="24"/>
      <c r="E248" s="25"/>
      <c r="F248" s="26"/>
      <c r="G248" s="25"/>
      <c r="H248" s="91"/>
      <c r="I248" s="13"/>
      <c r="J248" s="94">
        <f t="shared" si="0"/>
        <v>0</v>
      </c>
      <c r="K248" s="94">
        <f t="shared" si="1"/>
        <v>0</v>
      </c>
    </row>
    <row r="249" spans="1:11" hidden="1">
      <c r="A249" s="22" t="s">
        <v>58</v>
      </c>
      <c r="B249" s="21" t="s">
        <v>59</v>
      </c>
      <c r="C249" s="23" t="s">
        <v>52</v>
      </c>
      <c r="D249" s="24"/>
      <c r="E249" s="25"/>
      <c r="F249" s="26"/>
      <c r="G249" s="25"/>
      <c r="H249" s="91"/>
      <c r="I249" s="13"/>
      <c r="J249" s="94">
        <f t="shared" si="0"/>
        <v>0</v>
      </c>
      <c r="K249" s="94">
        <f t="shared" si="1"/>
        <v>0</v>
      </c>
    </row>
    <row r="250" spans="1:11" hidden="1">
      <c r="A250" s="22" t="s">
        <v>58</v>
      </c>
      <c r="B250" s="21" t="s">
        <v>59</v>
      </c>
      <c r="C250" s="23" t="s">
        <v>52</v>
      </c>
      <c r="D250" s="24"/>
      <c r="E250" s="25"/>
      <c r="F250" s="26"/>
      <c r="G250" s="25"/>
      <c r="H250" s="91"/>
      <c r="I250" s="13"/>
      <c r="J250" s="94">
        <f t="shared" si="0"/>
        <v>0</v>
      </c>
      <c r="K250" s="94">
        <f t="shared" si="1"/>
        <v>0</v>
      </c>
    </row>
    <row r="251" spans="1:11">
      <c r="A251" s="27"/>
      <c r="B251" s="41"/>
      <c r="C251" s="42"/>
      <c r="D251" s="41"/>
      <c r="E251" s="43"/>
      <c r="F251" s="44">
        <f>SUM(F239:F250)</f>
        <v>-115202.69000000002</v>
      </c>
      <c r="G251" s="43"/>
    </row>
    <row r="252" spans="1:11">
      <c r="A252" s="22" t="s">
        <v>58</v>
      </c>
      <c r="B252" s="21" t="s">
        <v>59</v>
      </c>
      <c r="C252" s="23" t="s">
        <v>53</v>
      </c>
      <c r="D252" s="24" t="s">
        <v>275</v>
      </c>
      <c r="E252" s="25">
        <v>-1418591.12</v>
      </c>
      <c r="F252" s="26">
        <v>882637.43</v>
      </c>
      <c r="G252" s="25">
        <v>-535953.68999999994</v>
      </c>
      <c r="H252" s="91"/>
      <c r="J252" s="94">
        <f>(G19+G46+G78+G105+G137+G164+G194+G221+G458+G485)*-0.21</f>
        <v>-535953.54539999983</v>
      </c>
      <c r="K252" s="94">
        <f>J252-G252</f>
        <v>0.14460000011604279</v>
      </c>
    </row>
    <row r="253" spans="1:11">
      <c r="A253" s="22" t="s">
        <v>58</v>
      </c>
      <c r="B253" s="21" t="s">
        <v>59</v>
      </c>
      <c r="C253" s="23" t="s">
        <v>53</v>
      </c>
      <c r="D253" s="24" t="s">
        <v>276</v>
      </c>
      <c r="E253" s="25">
        <v>-535953.68999999994</v>
      </c>
      <c r="F253" s="26">
        <v>596475.34</v>
      </c>
      <c r="G253" s="25">
        <v>60521.65</v>
      </c>
      <c r="H253" s="91"/>
      <c r="J253" s="94">
        <f>(G20+G47+G79+G106+G138+G165+G195+G222+G459+G486)*-0.21</f>
        <v>60521.78999999995</v>
      </c>
      <c r="K253" s="94">
        <f>J253-G253</f>
        <v>0.13999999994848622</v>
      </c>
    </row>
    <row r="254" spans="1:11">
      <c r="A254" s="22" t="s">
        <v>58</v>
      </c>
      <c r="B254" s="21" t="s">
        <v>59</v>
      </c>
      <c r="C254" s="23" t="s">
        <v>53</v>
      </c>
      <c r="D254" s="24" t="s">
        <v>277</v>
      </c>
      <c r="E254" s="25">
        <v>60521.65</v>
      </c>
      <c r="F254" s="26">
        <v>222287.97</v>
      </c>
      <c r="G254" s="25">
        <v>282809.62</v>
      </c>
      <c r="H254" s="91"/>
      <c r="J254" s="94">
        <f>(G21+G48+G80+G107+G139+G166+G196+G223+G460+G487)*-0.21</f>
        <v>282809.75729999994</v>
      </c>
      <c r="K254" s="94">
        <f>J254-G254</f>
        <v>0.13729999994393438</v>
      </c>
    </row>
    <row r="255" spans="1:11">
      <c r="A255" s="22" t="s">
        <v>58</v>
      </c>
      <c r="B255" s="21" t="s">
        <v>59</v>
      </c>
      <c r="C255" s="23" t="s">
        <v>53</v>
      </c>
      <c r="D255" s="24" t="s">
        <v>286</v>
      </c>
      <c r="E255" s="25">
        <v>282809.62</v>
      </c>
      <c r="F255" s="26">
        <v>95884.87</v>
      </c>
      <c r="G255" s="25">
        <v>378694.49</v>
      </c>
      <c r="H255" s="91"/>
      <c r="J255" s="94">
        <f t="shared" ref="J255:J263" si="2">(G22+G49+G81+G108+G140+G167+G197+G224+G461+G488)*-0.21</f>
        <v>378694.62539999996</v>
      </c>
      <c r="K255" s="94">
        <f t="shared" ref="K255:K263" si="3">J255-G255</f>
        <v>0.13539999997010455</v>
      </c>
    </row>
    <row r="256" spans="1:11">
      <c r="A256" s="22" t="s">
        <v>58</v>
      </c>
      <c r="B256" s="21" t="s">
        <v>59</v>
      </c>
      <c r="C256" s="23" t="s">
        <v>53</v>
      </c>
      <c r="D256" s="24" t="s">
        <v>287</v>
      </c>
      <c r="E256" s="25">
        <v>378694.49</v>
      </c>
      <c r="F256" s="26">
        <v>-282629.32</v>
      </c>
      <c r="G256" s="25">
        <v>96065.17</v>
      </c>
      <c r="H256" s="91"/>
      <c r="J256" s="94">
        <f t="shared" si="2"/>
        <v>96065.304300000062</v>
      </c>
      <c r="K256" s="94">
        <f t="shared" si="3"/>
        <v>0.1343000000633765</v>
      </c>
    </row>
    <row r="257" spans="1:12">
      <c r="A257" s="22" t="s">
        <v>58</v>
      </c>
      <c r="B257" s="21" t="s">
        <v>59</v>
      </c>
      <c r="C257" s="23" t="s">
        <v>53</v>
      </c>
      <c r="D257" s="24" t="s">
        <v>288</v>
      </c>
      <c r="E257" s="25">
        <v>96065.17</v>
      </c>
      <c r="F257" s="26">
        <v>-300245.39</v>
      </c>
      <c r="G257" s="25">
        <v>-204180.22</v>
      </c>
      <c r="H257" s="91"/>
      <c r="J257" s="94">
        <f t="shared" si="2"/>
        <v>-204180.08729999993</v>
      </c>
      <c r="K257" s="94">
        <f t="shared" si="3"/>
        <v>0.13270000007469207</v>
      </c>
    </row>
    <row r="258" spans="1:12" hidden="1">
      <c r="A258" s="22" t="s">
        <v>58</v>
      </c>
      <c r="B258" s="21" t="s">
        <v>59</v>
      </c>
      <c r="C258" s="23" t="s">
        <v>53</v>
      </c>
      <c r="D258" s="24"/>
      <c r="E258" s="25"/>
      <c r="F258" s="26"/>
      <c r="G258" s="25"/>
      <c r="H258" s="91"/>
      <c r="J258" s="94">
        <f t="shared" si="2"/>
        <v>0</v>
      </c>
      <c r="K258" s="94">
        <f t="shared" si="3"/>
        <v>0</v>
      </c>
    </row>
    <row r="259" spans="1:12" hidden="1">
      <c r="A259" s="22" t="s">
        <v>58</v>
      </c>
      <c r="B259" s="21" t="s">
        <v>59</v>
      </c>
      <c r="C259" s="23" t="s">
        <v>53</v>
      </c>
      <c r="D259" s="24"/>
      <c r="E259" s="25"/>
      <c r="F259" s="26"/>
      <c r="G259" s="25"/>
      <c r="H259" s="91"/>
      <c r="J259" s="94">
        <f t="shared" si="2"/>
        <v>0</v>
      </c>
      <c r="K259" s="94">
        <f t="shared" si="3"/>
        <v>0</v>
      </c>
    </row>
    <row r="260" spans="1:12" hidden="1">
      <c r="A260" s="22" t="s">
        <v>58</v>
      </c>
      <c r="B260" s="21" t="s">
        <v>59</v>
      </c>
      <c r="C260" s="23" t="s">
        <v>53</v>
      </c>
      <c r="D260" s="24"/>
      <c r="E260" s="25"/>
      <c r="F260" s="26"/>
      <c r="G260" s="25"/>
      <c r="H260" s="91"/>
      <c r="J260" s="94">
        <f t="shared" si="2"/>
        <v>0</v>
      </c>
      <c r="K260" s="94">
        <f t="shared" si="3"/>
        <v>0</v>
      </c>
    </row>
    <row r="261" spans="1:12" hidden="1">
      <c r="A261" s="22" t="s">
        <v>58</v>
      </c>
      <c r="B261" s="21" t="s">
        <v>59</v>
      </c>
      <c r="C261" s="23" t="s">
        <v>53</v>
      </c>
      <c r="D261" s="24"/>
      <c r="E261" s="25"/>
      <c r="F261" s="26"/>
      <c r="G261" s="25"/>
      <c r="H261" s="91"/>
      <c r="J261" s="94">
        <f t="shared" si="2"/>
        <v>0</v>
      </c>
      <c r="K261" s="94">
        <f t="shared" si="3"/>
        <v>0</v>
      </c>
    </row>
    <row r="262" spans="1:12" hidden="1">
      <c r="A262" s="22" t="s">
        <v>58</v>
      </c>
      <c r="B262" s="21" t="s">
        <v>59</v>
      </c>
      <c r="C262" s="23" t="s">
        <v>53</v>
      </c>
      <c r="D262" s="24"/>
      <c r="E262" s="25"/>
      <c r="F262" s="26"/>
      <c r="G262" s="25"/>
      <c r="H262" s="91"/>
      <c r="J262" s="94">
        <f t="shared" si="2"/>
        <v>0</v>
      </c>
      <c r="K262" s="94">
        <f t="shared" si="3"/>
        <v>0</v>
      </c>
    </row>
    <row r="263" spans="1:12" hidden="1">
      <c r="A263" s="22" t="s">
        <v>58</v>
      </c>
      <c r="B263" s="21" t="s">
        <v>59</v>
      </c>
      <c r="C263" s="23" t="s">
        <v>53</v>
      </c>
      <c r="D263" s="24"/>
      <c r="E263" s="25"/>
      <c r="F263" s="26"/>
      <c r="G263" s="25"/>
      <c r="H263" s="91"/>
      <c r="J263" s="94">
        <f t="shared" si="2"/>
        <v>0</v>
      </c>
      <c r="K263" s="94">
        <f t="shared" si="3"/>
        <v>0</v>
      </c>
    </row>
    <row r="264" spans="1:12">
      <c r="A264" s="28"/>
      <c r="B264" s="41"/>
      <c r="C264" s="42"/>
      <c r="D264" s="41"/>
      <c r="E264" s="43"/>
      <c r="F264" s="44">
        <f>SUM(F252:F263)</f>
        <v>1214410.8999999999</v>
      </c>
      <c r="G264" s="43"/>
    </row>
    <row r="265" spans="1:12">
      <c r="A265" s="45"/>
      <c r="B265" s="46"/>
      <c r="C265" s="45"/>
      <c r="D265" s="45"/>
      <c r="E265" s="47"/>
      <c r="F265" s="48">
        <f>F251+F264</f>
        <v>1099208.21</v>
      </c>
      <c r="G265" s="47"/>
    </row>
    <row r="266" spans="1:12">
      <c r="A266" s="75"/>
      <c r="B266" s="78"/>
      <c r="C266" s="75"/>
      <c r="D266" s="75"/>
      <c r="E266" s="76"/>
      <c r="F266" s="77"/>
      <c r="G266" s="76"/>
    </row>
    <row r="267" spans="1:12" ht="15.75">
      <c r="A267" s="229" t="s">
        <v>60</v>
      </c>
      <c r="B267" s="229"/>
      <c r="C267" s="229"/>
      <c r="D267" s="229"/>
      <c r="E267" s="229"/>
      <c r="F267" s="229"/>
      <c r="G267" s="229"/>
    </row>
    <row r="268" spans="1:12" ht="15.75">
      <c r="A268" s="84"/>
      <c r="B268" s="84"/>
      <c r="C268" s="84"/>
      <c r="D268" s="84"/>
      <c r="E268" s="84"/>
      <c r="F268" s="84"/>
      <c r="G268" s="84"/>
    </row>
    <row r="269" spans="1:12">
      <c r="A269" s="20" t="s">
        <v>42</v>
      </c>
      <c r="C269" s="9" t="s">
        <v>96</v>
      </c>
    </row>
    <row r="270" spans="1:12">
      <c r="A270" s="232"/>
      <c r="B270" s="232"/>
      <c r="C270" s="232"/>
      <c r="D270" s="232"/>
      <c r="E270" s="232"/>
      <c r="F270" s="232"/>
      <c r="G270" s="232"/>
    </row>
    <row r="271" spans="1:12" ht="26.25">
      <c r="A271" s="49" t="s">
        <v>43</v>
      </c>
      <c r="B271" s="50" t="s">
        <v>44</v>
      </c>
      <c r="C271" s="51" t="s">
        <v>45</v>
      </c>
      <c r="D271" s="49" t="s">
        <v>46</v>
      </c>
      <c r="E271" s="49" t="s">
        <v>47</v>
      </c>
      <c r="F271" s="49" t="s">
        <v>48</v>
      </c>
      <c r="G271" s="49" t="s">
        <v>49</v>
      </c>
      <c r="I271" s="224" t="s">
        <v>271</v>
      </c>
      <c r="J271" s="224" t="s">
        <v>269</v>
      </c>
      <c r="K271" s="224" t="s">
        <v>268</v>
      </c>
      <c r="L271" s="224" t="s">
        <v>269</v>
      </c>
    </row>
    <row r="272" spans="1:12">
      <c r="A272" s="22" t="s">
        <v>61</v>
      </c>
      <c r="B272" s="21" t="s">
        <v>62</v>
      </c>
      <c r="C272" s="23" t="s">
        <v>52</v>
      </c>
      <c r="D272" s="24" t="s">
        <v>275</v>
      </c>
      <c r="E272" s="25">
        <v>0</v>
      </c>
      <c r="F272" s="26">
        <v>1134607.8600000001</v>
      </c>
      <c r="G272" s="25">
        <v>1134607.8600000001</v>
      </c>
      <c r="I272" s="16">
        <f>'Electric Deferral'!D29+'Electric Deferral'!D30</f>
        <v>-1134607.8596195662</v>
      </c>
      <c r="J272" s="16">
        <f>F272+I272</f>
        <v>3.8043386302888393E-4</v>
      </c>
    </row>
    <row r="273" spans="1:12">
      <c r="A273" s="22" t="s">
        <v>61</v>
      </c>
      <c r="B273" s="21" t="s">
        <v>62</v>
      </c>
      <c r="C273" s="23" t="s">
        <v>52</v>
      </c>
      <c r="D273" s="24" t="s">
        <v>276</v>
      </c>
      <c r="E273" s="25">
        <v>1134607.8600000001</v>
      </c>
      <c r="F273" s="26">
        <v>694147.31</v>
      </c>
      <c r="G273" s="25">
        <v>1828755.17</v>
      </c>
      <c r="I273" s="16">
        <f>'Electric Deferral'!E29+'Electric Deferral'!E30</f>
        <v>-694147.31049867906</v>
      </c>
      <c r="J273" s="16">
        <f>F273+I273</f>
        <v>-4.9867900088429451E-4</v>
      </c>
    </row>
    <row r="274" spans="1:12">
      <c r="A274" s="22" t="s">
        <v>61</v>
      </c>
      <c r="B274" s="21" t="s">
        <v>62</v>
      </c>
      <c r="C274" s="23" t="s">
        <v>52</v>
      </c>
      <c r="D274" s="24" t="s">
        <v>277</v>
      </c>
      <c r="E274" s="25">
        <v>1828755.17</v>
      </c>
      <c r="F274" s="26">
        <v>346716.87</v>
      </c>
      <c r="G274" s="25">
        <v>2175472.04</v>
      </c>
      <c r="I274" s="16">
        <f>'Electric Deferral'!F29+'Electric Deferral'!F30</f>
        <v>-346716.86939008499</v>
      </c>
      <c r="J274" s="16">
        <f t="shared" ref="J274:J283" si="4">F274+I274</f>
        <v>6.0991500504314899E-4</v>
      </c>
      <c r="K274" s="16">
        <f>'Electric Deferral'!U29+'Electric Deferral'!U30</f>
        <v>-3328704.833092276</v>
      </c>
      <c r="L274" s="16">
        <f>G274+K274</f>
        <v>-1153232.793092276</v>
      </c>
    </row>
    <row r="275" spans="1:12">
      <c r="A275" s="22" t="s">
        <v>61</v>
      </c>
      <c r="B275" s="21" t="s">
        <v>62</v>
      </c>
      <c r="C275" s="23" t="s">
        <v>52</v>
      </c>
      <c r="D275" s="24" t="s">
        <v>286</v>
      </c>
      <c r="E275" s="25">
        <v>2175472.04</v>
      </c>
      <c r="F275" s="26">
        <v>399437.64</v>
      </c>
      <c r="G275" s="25">
        <v>2574909.6800000002</v>
      </c>
      <c r="I275" s="16">
        <f>'Electric Deferral'!G29+'Electric Deferral'!G30</f>
        <v>-399437.63565294421</v>
      </c>
      <c r="J275" s="16">
        <f t="shared" si="4"/>
        <v>4.3470558011904359E-3</v>
      </c>
      <c r="K275" s="16"/>
      <c r="L275" s="16"/>
    </row>
    <row r="276" spans="1:12">
      <c r="A276" s="22" t="s">
        <v>61</v>
      </c>
      <c r="B276" s="21" t="s">
        <v>62</v>
      </c>
      <c r="C276" s="23" t="s">
        <v>52</v>
      </c>
      <c r="D276" s="24" t="s">
        <v>287</v>
      </c>
      <c r="E276" s="25">
        <v>2574909.6800000002</v>
      </c>
      <c r="F276" s="26">
        <v>-1045410.98</v>
      </c>
      <c r="G276" s="25">
        <v>1529498.7</v>
      </c>
      <c r="I276" s="16">
        <f>'Electric Deferral'!H29+'Electric Deferral'!H30</f>
        <v>1045410.9753472627</v>
      </c>
      <c r="J276" s="16">
        <f t="shared" si="4"/>
        <v>-4.6527372905984521E-3</v>
      </c>
      <c r="K276" s="16"/>
      <c r="L276" s="16"/>
    </row>
    <row r="277" spans="1:12">
      <c r="A277" s="22" t="s">
        <v>61</v>
      </c>
      <c r="B277" s="21" t="s">
        <v>62</v>
      </c>
      <c r="C277" s="23" t="s">
        <v>52</v>
      </c>
      <c r="D277" s="24" t="s">
        <v>288</v>
      </c>
      <c r="E277" s="25">
        <v>1529498.7</v>
      </c>
      <c r="F277" s="26">
        <v>1799206.13</v>
      </c>
      <c r="G277" s="25">
        <v>3328704.83</v>
      </c>
      <c r="I277" s="16">
        <f>'Electric Deferral'!I29+'Electric Deferral'!I30</f>
        <v>-1799206.1332782644</v>
      </c>
      <c r="J277" s="16">
        <f t="shared" si="4"/>
        <v>-3.2782645430415869E-3</v>
      </c>
      <c r="K277" s="16"/>
      <c r="L277" s="16"/>
    </row>
    <row r="278" spans="1:12" hidden="1">
      <c r="A278" s="22" t="s">
        <v>61</v>
      </c>
      <c r="B278" s="21" t="s">
        <v>62</v>
      </c>
      <c r="C278" s="23" t="s">
        <v>52</v>
      </c>
      <c r="D278" s="24"/>
      <c r="E278" s="25"/>
      <c r="F278" s="26"/>
      <c r="G278" s="25"/>
      <c r="I278" s="16">
        <f>'Electric Deferral'!J29+'Electric Deferral'!J30</f>
        <v>0</v>
      </c>
      <c r="J278" s="16">
        <f t="shared" si="4"/>
        <v>0</v>
      </c>
      <c r="K278" s="16"/>
      <c r="L278" s="16"/>
    </row>
    <row r="279" spans="1:12" hidden="1">
      <c r="A279" s="22" t="s">
        <v>61</v>
      </c>
      <c r="B279" s="21" t="s">
        <v>62</v>
      </c>
      <c r="C279" s="23" t="s">
        <v>52</v>
      </c>
      <c r="D279" s="24"/>
      <c r="E279" s="25"/>
      <c r="F279" s="26"/>
      <c r="G279" s="25"/>
      <c r="I279" s="16">
        <f>'Electric Deferral'!K29+'Electric Deferral'!K30</f>
        <v>0</v>
      </c>
      <c r="J279" s="16">
        <f t="shared" si="4"/>
        <v>0</v>
      </c>
      <c r="K279" s="16"/>
      <c r="L279" s="16"/>
    </row>
    <row r="280" spans="1:12" hidden="1">
      <c r="A280" s="22" t="s">
        <v>61</v>
      </c>
      <c r="B280" s="21" t="s">
        <v>62</v>
      </c>
      <c r="C280" s="23" t="s">
        <v>52</v>
      </c>
      <c r="D280" s="24"/>
      <c r="E280" s="25"/>
      <c r="F280" s="26"/>
      <c r="G280" s="25"/>
      <c r="I280" s="16">
        <f>'Electric Deferral'!L29+'Electric Deferral'!L30</f>
        <v>0</v>
      </c>
      <c r="J280" s="16">
        <f t="shared" si="4"/>
        <v>0</v>
      </c>
      <c r="K280" s="16"/>
      <c r="L280" s="16"/>
    </row>
    <row r="281" spans="1:12" hidden="1">
      <c r="A281" s="22" t="s">
        <v>61</v>
      </c>
      <c r="B281" s="21" t="s">
        <v>62</v>
      </c>
      <c r="C281" s="23" t="s">
        <v>52</v>
      </c>
      <c r="D281" s="24"/>
      <c r="E281" s="25"/>
      <c r="F281" s="26"/>
      <c r="G281" s="25"/>
      <c r="I281" s="16">
        <f>'Electric Deferral'!M29+'Electric Deferral'!M30</f>
        <v>0</v>
      </c>
      <c r="J281" s="16">
        <f t="shared" si="4"/>
        <v>0</v>
      </c>
      <c r="K281" s="16"/>
      <c r="L281" s="16"/>
    </row>
    <row r="282" spans="1:12" hidden="1">
      <c r="A282" s="22" t="s">
        <v>61</v>
      </c>
      <c r="B282" s="21" t="s">
        <v>62</v>
      </c>
      <c r="C282" s="23" t="s">
        <v>52</v>
      </c>
      <c r="D282" s="24"/>
      <c r="E282" s="25"/>
      <c r="F282" s="26"/>
      <c r="G282" s="25"/>
      <c r="I282" s="16">
        <f>'Electric Deferral'!N29+'Electric Deferral'!N30</f>
        <v>0</v>
      </c>
      <c r="J282" s="16">
        <f t="shared" si="4"/>
        <v>0</v>
      </c>
      <c r="K282" s="16"/>
      <c r="L282" s="16"/>
    </row>
    <row r="283" spans="1:12" hidden="1">
      <c r="A283" s="22" t="s">
        <v>61</v>
      </c>
      <c r="B283" s="21" t="s">
        <v>62</v>
      </c>
      <c r="C283" s="23" t="s">
        <v>52</v>
      </c>
      <c r="D283" s="24"/>
      <c r="E283" s="25"/>
      <c r="F283" s="26"/>
      <c r="G283" s="25"/>
      <c r="I283" s="16">
        <f>'Electric Deferral'!O29+'Electric Deferral'!O30</f>
        <v>0</v>
      </c>
      <c r="J283" s="16">
        <f t="shared" si="4"/>
        <v>0</v>
      </c>
      <c r="K283" s="16"/>
      <c r="L283" s="16"/>
    </row>
    <row r="284" spans="1:12">
      <c r="A284" s="28"/>
      <c r="B284" s="45"/>
      <c r="C284" s="52"/>
      <c r="D284" s="45"/>
      <c r="E284" s="47"/>
      <c r="F284" s="48">
        <f>SUM(F272:F283)</f>
        <v>3328704.83</v>
      </c>
      <c r="G284" s="47"/>
    </row>
    <row r="285" spans="1:12">
      <c r="A285" s="22" t="s">
        <v>63</v>
      </c>
      <c r="B285" s="21" t="s">
        <v>64</v>
      </c>
      <c r="C285" s="23" t="s">
        <v>52</v>
      </c>
      <c r="D285" s="24" t="s">
        <v>275</v>
      </c>
      <c r="E285" s="25">
        <v>0</v>
      </c>
      <c r="F285" s="26">
        <v>-1343866.04</v>
      </c>
      <c r="G285" s="25">
        <v>-1343866.04</v>
      </c>
      <c r="I285" s="16">
        <f>'Electric Deferral'!D57+'Electric Deferral'!D58</f>
        <v>1343866.038901703</v>
      </c>
      <c r="J285" s="16">
        <f>F285+I285</f>
        <v>-1.0982970707118511E-3</v>
      </c>
    </row>
    <row r="286" spans="1:12">
      <c r="A286" s="22" t="s">
        <v>63</v>
      </c>
      <c r="B286" s="21" t="s">
        <v>64</v>
      </c>
      <c r="C286" s="23" t="s">
        <v>52</v>
      </c>
      <c r="D286" s="24" t="s">
        <v>276</v>
      </c>
      <c r="E286" s="25">
        <v>-1343866.04</v>
      </c>
      <c r="F286" s="26">
        <v>-332987.86</v>
      </c>
      <c r="G286" s="25">
        <v>-1676853.9</v>
      </c>
      <c r="I286" s="16">
        <f>'Electric Deferral'!E57+'Electric Deferral'!E58</f>
        <v>332987.85606626963</v>
      </c>
      <c r="J286" s="16">
        <f t="shared" ref="J286:J296" si="5">F286+I286</f>
        <v>-3.9337303605861962E-3</v>
      </c>
    </row>
    <row r="287" spans="1:12">
      <c r="A287" s="22" t="s">
        <v>63</v>
      </c>
      <c r="B287" s="21" t="s">
        <v>64</v>
      </c>
      <c r="C287" s="23" t="s">
        <v>52</v>
      </c>
      <c r="D287" s="24" t="s">
        <v>277</v>
      </c>
      <c r="E287" s="25">
        <v>-1676853.9</v>
      </c>
      <c r="F287" s="26">
        <v>972315.99</v>
      </c>
      <c r="G287" s="25">
        <v>-704537.91</v>
      </c>
      <c r="I287" s="16">
        <f>'Electric Deferral'!F57+'Electric Deferral'!F58</f>
        <v>-972315.9884438155</v>
      </c>
      <c r="J287" s="16">
        <f t="shared" si="5"/>
        <v>1.5561844920739532E-3</v>
      </c>
      <c r="K287" s="16">
        <f>'Electric Deferral'!U57+'Electric Deferral'!U58</f>
        <v>2939896.8053969517</v>
      </c>
      <c r="L287" s="16">
        <f>G287+K287</f>
        <v>2235358.8953969516</v>
      </c>
    </row>
    <row r="288" spans="1:12">
      <c r="A288" s="22" t="s">
        <v>63</v>
      </c>
      <c r="B288" s="21" t="s">
        <v>64</v>
      </c>
      <c r="C288" s="23" t="s">
        <v>52</v>
      </c>
      <c r="D288" s="24" t="s">
        <v>286</v>
      </c>
      <c r="E288" s="25">
        <v>-704537.91</v>
      </c>
      <c r="F288" s="26">
        <v>-895878.6</v>
      </c>
      <c r="G288" s="25">
        <v>-1600416.51</v>
      </c>
      <c r="I288" s="16">
        <f>'Electric Deferral'!G57+'Electric Deferral'!G58</f>
        <v>895878.60337545793</v>
      </c>
      <c r="J288" s="16">
        <f t="shared" si="5"/>
        <v>3.3754579490050673E-3</v>
      </c>
      <c r="K288" s="16"/>
      <c r="L288" s="16"/>
    </row>
    <row r="289" spans="1:12">
      <c r="A289" s="22" t="s">
        <v>63</v>
      </c>
      <c r="B289" s="21" t="s">
        <v>64</v>
      </c>
      <c r="C289" s="23" t="s">
        <v>52</v>
      </c>
      <c r="D289" s="24" t="s">
        <v>287</v>
      </c>
      <c r="E289" s="25">
        <v>-1600416.51</v>
      </c>
      <c r="F289" s="26">
        <v>-157688.24</v>
      </c>
      <c r="G289" s="25">
        <v>-1758104.75</v>
      </c>
      <c r="I289" s="16">
        <f>'Electric Deferral'!H57+'Electric Deferral'!H58</f>
        <v>157688.23872706224</v>
      </c>
      <c r="J289" s="16">
        <f t="shared" si="5"/>
        <v>-1.272937748581171E-3</v>
      </c>
      <c r="K289" s="16"/>
      <c r="L289" s="16"/>
    </row>
    <row r="290" spans="1:12">
      <c r="A290" s="22" t="s">
        <v>63</v>
      </c>
      <c r="B290" s="21" t="s">
        <v>64</v>
      </c>
      <c r="C290" s="23" t="s">
        <v>52</v>
      </c>
      <c r="D290" s="24" t="s">
        <v>288</v>
      </c>
      <c r="E290" s="25">
        <v>-1758104.75</v>
      </c>
      <c r="F290" s="26">
        <v>-1181792.06</v>
      </c>
      <c r="G290" s="25">
        <v>-2939896.81</v>
      </c>
      <c r="I290" s="16">
        <f>'Electric Deferral'!I57+'Electric Deferral'!I58</f>
        <v>1181792.0567702746</v>
      </c>
      <c r="J290" s="16">
        <f t="shared" si="5"/>
        <v>-3.2297254074364901E-3</v>
      </c>
      <c r="K290" s="16"/>
      <c r="L290" s="16"/>
    </row>
    <row r="291" spans="1:12" hidden="1">
      <c r="A291" s="22" t="s">
        <v>63</v>
      </c>
      <c r="B291" s="21" t="s">
        <v>64</v>
      </c>
      <c r="C291" s="23" t="s">
        <v>52</v>
      </c>
      <c r="D291" s="24"/>
      <c r="E291" s="25"/>
      <c r="F291" s="26"/>
      <c r="G291" s="25"/>
      <c r="I291" s="16">
        <f>'Electric Deferral'!J57+'Electric Deferral'!J58</f>
        <v>0</v>
      </c>
      <c r="J291" s="16">
        <f t="shared" si="5"/>
        <v>0</v>
      </c>
      <c r="K291" s="16"/>
      <c r="L291" s="16"/>
    </row>
    <row r="292" spans="1:12" hidden="1">
      <c r="A292" s="22" t="s">
        <v>63</v>
      </c>
      <c r="B292" s="21" t="s">
        <v>64</v>
      </c>
      <c r="C292" s="23" t="s">
        <v>52</v>
      </c>
      <c r="D292" s="24"/>
      <c r="E292" s="25"/>
      <c r="F292" s="26"/>
      <c r="G292" s="25"/>
      <c r="I292" s="16">
        <f>'Electric Deferral'!K57+'Electric Deferral'!K58</f>
        <v>0</v>
      </c>
      <c r="J292" s="16">
        <f t="shared" si="5"/>
        <v>0</v>
      </c>
      <c r="K292" s="16"/>
      <c r="L292" s="16"/>
    </row>
    <row r="293" spans="1:12" hidden="1">
      <c r="A293" s="22" t="s">
        <v>63</v>
      </c>
      <c r="B293" s="21" t="s">
        <v>64</v>
      </c>
      <c r="C293" s="23" t="s">
        <v>52</v>
      </c>
      <c r="D293" s="24"/>
      <c r="E293" s="25"/>
      <c r="F293" s="26"/>
      <c r="G293" s="25"/>
      <c r="I293" s="16">
        <f>'Electric Deferral'!L57+'Electric Deferral'!L58</f>
        <v>0</v>
      </c>
      <c r="J293" s="16">
        <f t="shared" si="5"/>
        <v>0</v>
      </c>
      <c r="K293" s="16"/>
      <c r="L293" s="16"/>
    </row>
    <row r="294" spans="1:12" hidden="1">
      <c r="A294" s="22" t="s">
        <v>63</v>
      </c>
      <c r="B294" s="21" t="s">
        <v>64</v>
      </c>
      <c r="C294" s="23" t="s">
        <v>52</v>
      </c>
      <c r="D294" s="24"/>
      <c r="E294" s="25"/>
      <c r="F294" s="26"/>
      <c r="G294" s="25"/>
      <c r="I294" s="16">
        <f>'Electric Deferral'!M57+'Electric Deferral'!M58</f>
        <v>0</v>
      </c>
      <c r="J294" s="16">
        <f t="shared" si="5"/>
        <v>0</v>
      </c>
      <c r="K294" s="16"/>
      <c r="L294" s="16"/>
    </row>
    <row r="295" spans="1:12" hidden="1">
      <c r="A295" s="22" t="s">
        <v>63</v>
      </c>
      <c r="B295" s="21" t="s">
        <v>64</v>
      </c>
      <c r="C295" s="23" t="s">
        <v>52</v>
      </c>
      <c r="D295" s="24"/>
      <c r="E295" s="25"/>
      <c r="F295" s="26"/>
      <c r="G295" s="25"/>
      <c r="I295" s="16">
        <f>'Electric Deferral'!N57+'Electric Deferral'!N58</f>
        <v>0</v>
      </c>
      <c r="J295" s="16">
        <f t="shared" si="5"/>
        <v>0</v>
      </c>
      <c r="K295" s="16"/>
      <c r="L295" s="16"/>
    </row>
    <row r="296" spans="1:12" hidden="1">
      <c r="A296" s="22" t="s">
        <v>63</v>
      </c>
      <c r="B296" s="21" t="s">
        <v>64</v>
      </c>
      <c r="C296" s="23" t="s">
        <v>52</v>
      </c>
      <c r="D296" s="24"/>
      <c r="E296" s="25"/>
      <c r="F296" s="26"/>
      <c r="G296" s="25"/>
      <c r="I296" s="16">
        <f>'Electric Deferral'!O57+'Electric Deferral'!O58</f>
        <v>0</v>
      </c>
      <c r="J296" s="16">
        <f t="shared" si="5"/>
        <v>0</v>
      </c>
      <c r="K296" s="16"/>
      <c r="L296" s="16"/>
    </row>
    <row r="297" spans="1:12">
      <c r="A297" s="28"/>
      <c r="B297" s="45"/>
      <c r="C297" s="52"/>
      <c r="D297" s="45"/>
      <c r="E297" s="47"/>
      <c r="F297" s="48">
        <f>SUM(F285:F296)</f>
        <v>-2939896.8099999996</v>
      </c>
      <c r="G297" s="47"/>
    </row>
    <row r="298" spans="1:12">
      <c r="A298" s="22" t="s">
        <v>65</v>
      </c>
      <c r="B298" s="21" t="s">
        <v>62</v>
      </c>
      <c r="C298" s="23" t="s">
        <v>53</v>
      </c>
      <c r="D298" s="24" t="s">
        <v>275</v>
      </c>
      <c r="E298" s="25">
        <v>0</v>
      </c>
      <c r="F298" s="26">
        <v>1750321.22</v>
      </c>
      <c r="G298" s="25">
        <v>1750321.22</v>
      </c>
      <c r="I298" s="16">
        <f>'Nat Gas Deferral'!D27+'Nat Gas Deferral'!D28</f>
        <v>-1750321.22113562</v>
      </c>
      <c r="J298" s="16">
        <f>F298+I298</f>
        <v>-1.1356200557202101E-3</v>
      </c>
    </row>
    <row r="299" spans="1:12">
      <c r="A299" s="22" t="s">
        <v>65</v>
      </c>
      <c r="B299" s="21" t="s">
        <v>62</v>
      </c>
      <c r="C299" s="23" t="s">
        <v>53</v>
      </c>
      <c r="D299" s="24" t="s">
        <v>276</v>
      </c>
      <c r="E299" s="25">
        <v>1750321.22</v>
      </c>
      <c r="F299" s="26">
        <v>1834792.24</v>
      </c>
      <c r="G299" s="25">
        <v>3585113.46</v>
      </c>
      <c r="I299" s="16">
        <f>'Nat Gas Deferral'!E27+'Nat Gas Deferral'!E28</f>
        <v>-1834792.2448267967</v>
      </c>
      <c r="J299" s="16">
        <f t="shared" ref="J299:J309" si="6">F299+I299</f>
        <v>-4.8267967067658901E-3</v>
      </c>
    </row>
    <row r="300" spans="1:12">
      <c r="A300" s="22" t="s">
        <v>65</v>
      </c>
      <c r="B300" s="21" t="s">
        <v>62</v>
      </c>
      <c r="C300" s="23" t="s">
        <v>53</v>
      </c>
      <c r="D300" s="24" t="s">
        <v>277</v>
      </c>
      <c r="E300" s="25">
        <v>3585113.46</v>
      </c>
      <c r="F300" s="26">
        <v>185680.35</v>
      </c>
      <c r="G300" s="25">
        <v>3770793.81</v>
      </c>
      <c r="I300" s="16">
        <f>'Nat Gas Deferral'!F27+'Nat Gas Deferral'!F28</f>
        <v>-185680.35196497428</v>
      </c>
      <c r="J300" s="16">
        <f t="shared" si="6"/>
        <v>-1.9649742753244936E-3</v>
      </c>
      <c r="K300" s="16">
        <f>'Nat Gas Deferral'!U27+'Nat Gas Deferral'!U28</f>
        <v>-856094.22727117082</v>
      </c>
      <c r="L300" s="16">
        <f>G300+K300</f>
        <v>2914699.5827288292</v>
      </c>
    </row>
    <row r="301" spans="1:12">
      <c r="A301" s="22" t="s">
        <v>65</v>
      </c>
      <c r="B301" s="21" t="s">
        <v>62</v>
      </c>
      <c r="C301" s="23" t="s">
        <v>53</v>
      </c>
      <c r="D301" s="24" t="s">
        <v>286</v>
      </c>
      <c r="E301" s="25">
        <v>3770793.81</v>
      </c>
      <c r="F301" s="26">
        <v>-122368.43</v>
      </c>
      <c r="G301" s="25">
        <v>3648425.38</v>
      </c>
      <c r="I301" s="16">
        <f>'Nat Gas Deferral'!G27+'Nat Gas Deferral'!G28</f>
        <v>122368.42680828139</v>
      </c>
      <c r="J301" s="16">
        <f t="shared" si="6"/>
        <v>-3.1917185988277197E-3</v>
      </c>
      <c r="K301" s="16"/>
      <c r="L301" s="16"/>
    </row>
    <row r="302" spans="1:12">
      <c r="A302" s="22" t="s">
        <v>65</v>
      </c>
      <c r="B302" s="21" t="s">
        <v>62</v>
      </c>
      <c r="C302" s="23" t="s">
        <v>53</v>
      </c>
      <c r="D302" s="24" t="s">
        <v>287</v>
      </c>
      <c r="E302" s="25">
        <v>3648425.38</v>
      </c>
      <c r="F302" s="26">
        <v>-1405233.01</v>
      </c>
      <c r="G302" s="25">
        <v>2243192.37</v>
      </c>
      <c r="I302" s="16">
        <f>'Nat Gas Deferral'!H27+'Nat Gas Deferral'!H28</f>
        <v>1405233.0141508679</v>
      </c>
      <c r="J302" s="16">
        <f t="shared" si="6"/>
        <v>4.1508679278194904E-3</v>
      </c>
      <c r="K302" s="16"/>
      <c r="L302" s="16"/>
    </row>
    <row r="303" spans="1:12">
      <c r="A303" s="22" t="s">
        <v>65</v>
      </c>
      <c r="B303" s="21" t="s">
        <v>62</v>
      </c>
      <c r="C303" s="23" t="s">
        <v>53</v>
      </c>
      <c r="D303" s="24" t="s">
        <v>288</v>
      </c>
      <c r="E303" s="25">
        <v>2243192.37</v>
      </c>
      <c r="F303" s="26">
        <v>-1387098.15</v>
      </c>
      <c r="G303" s="25">
        <v>856094.22</v>
      </c>
      <c r="I303" s="16">
        <f>'Nat Gas Deferral'!I27+'Nat Gas Deferral'!I28</f>
        <v>1387098.1496970707</v>
      </c>
      <c r="J303" s="16">
        <f t="shared" si="6"/>
        <v>-3.0292919836938381E-4</v>
      </c>
      <c r="K303" s="16"/>
      <c r="L303" s="16"/>
    </row>
    <row r="304" spans="1:12" hidden="1">
      <c r="A304" s="22" t="s">
        <v>65</v>
      </c>
      <c r="B304" s="21" t="s">
        <v>62</v>
      </c>
      <c r="C304" s="23" t="s">
        <v>53</v>
      </c>
      <c r="D304" s="24"/>
      <c r="E304" s="25"/>
      <c r="F304" s="26"/>
      <c r="G304" s="25"/>
      <c r="I304" s="16">
        <f>'Nat Gas Deferral'!J27+'Nat Gas Deferral'!J28</f>
        <v>0</v>
      </c>
      <c r="J304" s="16">
        <f t="shared" si="6"/>
        <v>0</v>
      </c>
      <c r="K304" s="16"/>
      <c r="L304" s="16"/>
    </row>
    <row r="305" spans="1:14" hidden="1">
      <c r="A305" s="22" t="s">
        <v>65</v>
      </c>
      <c r="B305" s="21" t="s">
        <v>62</v>
      </c>
      <c r="C305" s="23" t="s">
        <v>53</v>
      </c>
      <c r="D305" s="24"/>
      <c r="E305" s="25"/>
      <c r="F305" s="26"/>
      <c r="G305" s="25"/>
      <c r="I305" s="16">
        <f>'Nat Gas Deferral'!K27+'Nat Gas Deferral'!K28</f>
        <v>0</v>
      </c>
      <c r="J305" s="16">
        <f t="shared" si="6"/>
        <v>0</v>
      </c>
      <c r="K305" s="16"/>
      <c r="L305" s="16"/>
    </row>
    <row r="306" spans="1:14" hidden="1">
      <c r="A306" s="22" t="s">
        <v>65</v>
      </c>
      <c r="B306" s="21" t="s">
        <v>62</v>
      </c>
      <c r="C306" s="23" t="s">
        <v>53</v>
      </c>
      <c r="D306" s="24"/>
      <c r="E306" s="25"/>
      <c r="F306" s="26"/>
      <c r="G306" s="25"/>
      <c r="I306" s="16">
        <f>'Nat Gas Deferral'!L27+'Nat Gas Deferral'!L28</f>
        <v>0</v>
      </c>
      <c r="J306" s="16">
        <f t="shared" si="6"/>
        <v>0</v>
      </c>
      <c r="K306" s="16"/>
      <c r="L306" s="16"/>
    </row>
    <row r="307" spans="1:14" hidden="1">
      <c r="A307" s="22" t="s">
        <v>65</v>
      </c>
      <c r="B307" s="21" t="s">
        <v>62</v>
      </c>
      <c r="C307" s="23" t="s">
        <v>53</v>
      </c>
      <c r="D307" s="24"/>
      <c r="E307" s="25"/>
      <c r="F307" s="26"/>
      <c r="G307" s="25"/>
      <c r="I307" s="16">
        <f>'Nat Gas Deferral'!M27+'Nat Gas Deferral'!M28</f>
        <v>0</v>
      </c>
      <c r="J307" s="16">
        <f t="shared" si="6"/>
        <v>0</v>
      </c>
      <c r="K307" s="16"/>
      <c r="L307" s="16"/>
    </row>
    <row r="308" spans="1:14" hidden="1">
      <c r="A308" s="22" t="s">
        <v>65</v>
      </c>
      <c r="B308" s="21" t="s">
        <v>62</v>
      </c>
      <c r="C308" s="23" t="s">
        <v>53</v>
      </c>
      <c r="D308" s="24"/>
      <c r="E308" s="25"/>
      <c r="F308" s="26"/>
      <c r="G308" s="25"/>
      <c r="I308" s="16">
        <f>'Nat Gas Deferral'!N27+'Nat Gas Deferral'!N28</f>
        <v>0</v>
      </c>
      <c r="J308" s="16">
        <f t="shared" si="6"/>
        <v>0</v>
      </c>
      <c r="K308" s="16"/>
      <c r="L308" s="16"/>
    </row>
    <row r="309" spans="1:14" hidden="1">
      <c r="A309" s="22" t="s">
        <v>65</v>
      </c>
      <c r="B309" s="21" t="s">
        <v>62</v>
      </c>
      <c r="C309" s="23" t="s">
        <v>53</v>
      </c>
      <c r="D309" s="24"/>
      <c r="E309" s="25"/>
      <c r="F309" s="26"/>
      <c r="G309" s="25"/>
      <c r="I309" s="16">
        <f>'Nat Gas Deferral'!O27+'Nat Gas Deferral'!O28</f>
        <v>0</v>
      </c>
      <c r="J309" s="16">
        <f t="shared" si="6"/>
        <v>0</v>
      </c>
      <c r="K309" s="16"/>
      <c r="L309" s="16"/>
    </row>
    <row r="310" spans="1:14">
      <c r="A310" s="28"/>
      <c r="B310" s="45"/>
      <c r="C310" s="52"/>
      <c r="D310" s="45"/>
      <c r="E310" s="47"/>
      <c r="F310" s="48">
        <f>SUM(F298:F309)</f>
        <v>856094.2200000002</v>
      </c>
      <c r="G310" s="47"/>
    </row>
    <row r="311" spans="1:14">
      <c r="A311" s="22" t="s">
        <v>66</v>
      </c>
      <c r="B311" s="21" t="s">
        <v>64</v>
      </c>
      <c r="C311" s="23" t="s">
        <v>53</v>
      </c>
      <c r="D311" s="24" t="s">
        <v>275</v>
      </c>
      <c r="E311" s="25">
        <v>0</v>
      </c>
      <c r="F311" s="26">
        <v>1372111.81</v>
      </c>
      <c r="G311" s="25">
        <v>1372111.81</v>
      </c>
      <c r="I311" s="16">
        <f>'Nat Gas Deferral'!D53+'Nat Gas Deferral'!D54</f>
        <v>-1447635.8677227134</v>
      </c>
      <c r="J311" s="16">
        <f>F311+I311</f>
        <v>-75524.057722713333</v>
      </c>
    </row>
    <row r="312" spans="1:14">
      <c r="A312" s="22" t="s">
        <v>66</v>
      </c>
      <c r="B312" s="21" t="s">
        <v>64</v>
      </c>
      <c r="C312" s="23" t="s">
        <v>53</v>
      </c>
      <c r="D312" s="24" t="s">
        <v>276</v>
      </c>
      <c r="E312" s="25">
        <v>1372111.81</v>
      </c>
      <c r="F312" s="26">
        <v>51786.239999999998</v>
      </c>
      <c r="G312" s="25">
        <v>1423898.05</v>
      </c>
      <c r="I312" s="16">
        <f>'Nat Gas Deferral'!E53+'Nat Gas Deferral'!E54</f>
        <v>-51786.235534424908</v>
      </c>
      <c r="J312" s="16">
        <f t="shared" ref="J312" si="7">F312+I312</f>
        <v>4.4655750898527913E-3</v>
      </c>
    </row>
    <row r="313" spans="1:14">
      <c r="A313" s="22" t="s">
        <v>66</v>
      </c>
      <c r="B313" s="21" t="s">
        <v>64</v>
      </c>
      <c r="C313" s="23" t="s">
        <v>53</v>
      </c>
      <c r="D313" s="24" t="s">
        <v>277</v>
      </c>
      <c r="E313" s="25">
        <v>1423898.05</v>
      </c>
      <c r="F313" s="26">
        <v>43398.16</v>
      </c>
      <c r="G313" s="25">
        <v>1467296.21</v>
      </c>
      <c r="H313" t="s">
        <v>158</v>
      </c>
      <c r="I313" s="16">
        <f>'Nat Gas Deferral'!F53+'Nat Gas Deferral'!F54</f>
        <v>-43398.164700444613</v>
      </c>
      <c r="J313" s="16">
        <f>F313+I313</f>
        <v>-4.700444609625265E-3</v>
      </c>
      <c r="K313" s="16">
        <f>'Nat Gas Deferral'!U53+'Nat Gas Deferral'!U54</f>
        <v>-1239885.9693076536</v>
      </c>
      <c r="L313" s="16">
        <f>G313+K313</f>
        <v>227410.24069234636</v>
      </c>
      <c r="M313" s="13">
        <f>L313+K105</f>
        <v>303088.81069234665</v>
      </c>
      <c r="N313" t="s">
        <v>282</v>
      </c>
    </row>
    <row r="314" spans="1:14">
      <c r="A314" s="22" t="s">
        <v>66</v>
      </c>
      <c r="B314" s="21" t="s">
        <v>64</v>
      </c>
      <c r="C314" s="23" t="s">
        <v>53</v>
      </c>
      <c r="D314" s="24" t="s">
        <v>286</v>
      </c>
      <c r="E314" s="25">
        <v>1467296.21</v>
      </c>
      <c r="F314" s="26">
        <v>28769.3</v>
      </c>
      <c r="G314" s="25">
        <v>1496065.51</v>
      </c>
      <c r="I314" s="16">
        <f>'Nat Gas Deferral'!G53+'Nat Gas Deferral'!G54</f>
        <v>-28769.297577913916</v>
      </c>
      <c r="J314" s="16">
        <f t="shared" ref="J314:J322" si="8">F314+I314</f>
        <v>2.4220860832429025E-3</v>
      </c>
      <c r="K314" s="16"/>
      <c r="L314" s="16"/>
      <c r="M314" s="13"/>
    </row>
    <row r="315" spans="1:14">
      <c r="A315" s="22" t="s">
        <v>66</v>
      </c>
      <c r="B315" s="21" t="s">
        <v>64</v>
      </c>
      <c r="C315" s="23" t="s">
        <v>53</v>
      </c>
      <c r="D315" s="24" t="s">
        <v>287</v>
      </c>
      <c r="E315" s="25">
        <v>1496065.51</v>
      </c>
      <c r="F315" s="26">
        <v>-142435.96</v>
      </c>
      <c r="G315" s="25">
        <v>1353629.55</v>
      </c>
      <c r="I315" s="16">
        <f>'Nat Gas Deferral'!H53+'Nat Gas Deferral'!H54</f>
        <v>142435.95717959342</v>
      </c>
      <c r="J315" s="16">
        <f t="shared" si="8"/>
        <v>-2.8204065747559071E-3</v>
      </c>
      <c r="K315" s="16"/>
      <c r="L315" s="16"/>
      <c r="M315" s="13"/>
    </row>
    <row r="316" spans="1:14">
      <c r="A316" s="22" t="s">
        <v>66</v>
      </c>
      <c r="B316" s="21" t="s">
        <v>64</v>
      </c>
      <c r="C316" s="23" t="s">
        <v>53</v>
      </c>
      <c r="D316" s="24" t="s">
        <v>288</v>
      </c>
      <c r="E316" s="25">
        <v>1353629.55</v>
      </c>
      <c r="F316" s="26">
        <v>-189267.64</v>
      </c>
      <c r="G316" s="25">
        <v>1164361.9099999999</v>
      </c>
      <c r="I316" s="16">
        <f>'Nat Gas Deferral'!I53+'Nat Gas Deferral'!I54</f>
        <v>189267.63904824978</v>
      </c>
      <c r="J316" s="16">
        <f t="shared" si="8"/>
        <v>-9.5175023307092488E-4</v>
      </c>
      <c r="K316" s="16"/>
      <c r="L316" s="16"/>
      <c r="M316" s="13"/>
    </row>
    <row r="317" spans="1:14" hidden="1">
      <c r="A317" s="22" t="s">
        <v>66</v>
      </c>
      <c r="B317" s="21" t="s">
        <v>64</v>
      </c>
      <c r="C317" s="23" t="s">
        <v>53</v>
      </c>
      <c r="D317" s="24"/>
      <c r="E317" s="25"/>
      <c r="F317" s="26"/>
      <c r="G317" s="25"/>
      <c r="I317" s="16">
        <f>'Nat Gas Deferral'!J53+'Nat Gas Deferral'!J54</f>
        <v>0</v>
      </c>
      <c r="J317" s="16">
        <f t="shared" si="8"/>
        <v>0</v>
      </c>
      <c r="K317" s="16"/>
      <c r="L317" s="16"/>
      <c r="M317" s="13"/>
    </row>
    <row r="318" spans="1:14" hidden="1">
      <c r="A318" s="22" t="s">
        <v>66</v>
      </c>
      <c r="B318" s="21" t="s">
        <v>64</v>
      </c>
      <c r="C318" s="23" t="s">
        <v>53</v>
      </c>
      <c r="D318" s="24"/>
      <c r="E318" s="25"/>
      <c r="F318" s="26"/>
      <c r="G318" s="25"/>
      <c r="I318" s="16">
        <f>'Nat Gas Deferral'!K53+'Nat Gas Deferral'!K54</f>
        <v>0</v>
      </c>
      <c r="J318" s="16">
        <f t="shared" si="8"/>
        <v>0</v>
      </c>
      <c r="K318" s="16"/>
      <c r="L318" s="16"/>
      <c r="M318" s="13"/>
    </row>
    <row r="319" spans="1:14" hidden="1">
      <c r="A319" s="22" t="s">
        <v>66</v>
      </c>
      <c r="B319" s="21" t="s">
        <v>64</v>
      </c>
      <c r="C319" s="23" t="s">
        <v>53</v>
      </c>
      <c r="D319" s="24"/>
      <c r="E319" s="25"/>
      <c r="F319" s="26"/>
      <c r="G319" s="25"/>
      <c r="I319" s="16">
        <f>'Nat Gas Deferral'!L53+'Nat Gas Deferral'!L54</f>
        <v>0</v>
      </c>
      <c r="J319" s="16">
        <f t="shared" si="8"/>
        <v>0</v>
      </c>
      <c r="K319" s="16"/>
      <c r="L319" s="16"/>
      <c r="M319" s="13"/>
    </row>
    <row r="320" spans="1:14" hidden="1">
      <c r="A320" s="22" t="s">
        <v>66</v>
      </c>
      <c r="B320" s="21" t="s">
        <v>64</v>
      </c>
      <c r="C320" s="23" t="s">
        <v>53</v>
      </c>
      <c r="D320" s="24"/>
      <c r="E320" s="25"/>
      <c r="F320" s="26"/>
      <c r="G320" s="25"/>
      <c r="I320" s="16">
        <f>'Nat Gas Deferral'!M53+'Nat Gas Deferral'!M54</f>
        <v>0</v>
      </c>
      <c r="J320" s="16">
        <f t="shared" si="8"/>
        <v>0</v>
      </c>
      <c r="K320" s="16"/>
      <c r="L320" s="16"/>
      <c r="M320" s="13"/>
    </row>
    <row r="321" spans="1:13" hidden="1">
      <c r="A321" s="22" t="s">
        <v>66</v>
      </c>
      <c r="B321" s="21" t="s">
        <v>64</v>
      </c>
      <c r="C321" s="23" t="s">
        <v>53</v>
      </c>
      <c r="D321" s="24"/>
      <c r="E321" s="25"/>
      <c r="F321" s="26"/>
      <c r="G321" s="25"/>
      <c r="I321" s="16">
        <f>'Nat Gas Deferral'!N53+'Nat Gas Deferral'!N54</f>
        <v>0</v>
      </c>
      <c r="J321" s="16">
        <f t="shared" si="8"/>
        <v>0</v>
      </c>
      <c r="K321" s="16"/>
      <c r="L321" s="16"/>
      <c r="M321" s="13"/>
    </row>
    <row r="322" spans="1:13" hidden="1">
      <c r="A322" s="22" t="s">
        <v>66</v>
      </c>
      <c r="B322" s="21" t="s">
        <v>64</v>
      </c>
      <c r="C322" s="23" t="s">
        <v>53</v>
      </c>
      <c r="D322" s="24"/>
      <c r="E322" s="25"/>
      <c r="F322" s="26"/>
      <c r="G322" s="25"/>
      <c r="I322" s="16">
        <f>'Nat Gas Deferral'!O53+'Nat Gas Deferral'!O54</f>
        <v>0</v>
      </c>
      <c r="J322" s="16">
        <f t="shared" si="8"/>
        <v>0</v>
      </c>
      <c r="K322" s="16"/>
      <c r="L322" s="16"/>
      <c r="M322" s="13"/>
    </row>
    <row r="323" spans="1:13">
      <c r="A323" s="28"/>
      <c r="B323" s="45"/>
      <c r="C323" s="52"/>
      <c r="D323" s="45"/>
      <c r="E323" s="47"/>
      <c r="F323" s="48">
        <f>SUM(F311:F322)</f>
        <v>1164361.9100000001</v>
      </c>
      <c r="G323" s="47"/>
    </row>
    <row r="324" spans="1:13">
      <c r="A324" s="223" t="s">
        <v>264</v>
      </c>
    </row>
    <row r="325" spans="1:13">
      <c r="A325" s="20" t="s">
        <v>42</v>
      </c>
      <c r="C325" s="86" t="s">
        <v>104</v>
      </c>
    </row>
    <row r="327" spans="1:13" ht="26.25">
      <c r="A327" s="103" t="s">
        <v>43</v>
      </c>
      <c r="B327" s="50" t="s">
        <v>44</v>
      </c>
      <c r="C327" s="51" t="s">
        <v>45</v>
      </c>
      <c r="D327" s="49" t="s">
        <v>46</v>
      </c>
      <c r="E327" s="49" t="s">
        <v>47</v>
      </c>
      <c r="F327" s="49" t="s">
        <v>48</v>
      </c>
      <c r="G327" s="49" t="s">
        <v>49</v>
      </c>
      <c r="I327" s="224" t="s">
        <v>270</v>
      </c>
      <c r="J327" s="224" t="s">
        <v>269</v>
      </c>
    </row>
    <row r="328" spans="1:13">
      <c r="A328" s="97" t="s">
        <v>105</v>
      </c>
      <c r="B328" s="87" t="s">
        <v>106</v>
      </c>
      <c r="C328" s="23" t="s">
        <v>52</v>
      </c>
      <c r="D328" s="24" t="s">
        <v>275</v>
      </c>
      <c r="E328" s="25">
        <v>0</v>
      </c>
      <c r="F328" s="26">
        <v>-618653.56999999995</v>
      </c>
      <c r="G328" s="25">
        <v>-618653.56999999995</v>
      </c>
      <c r="I328" s="225">
        <f>'Interest Reconciliation'!E127</f>
        <v>618653.56999999995</v>
      </c>
      <c r="J328" s="114">
        <f>F328+I328</f>
        <v>0</v>
      </c>
    </row>
    <row r="329" spans="1:13">
      <c r="A329" s="97" t="s">
        <v>105</v>
      </c>
      <c r="B329" s="87" t="s">
        <v>106</v>
      </c>
      <c r="C329" s="23" t="s">
        <v>52</v>
      </c>
      <c r="D329" s="24" t="s">
        <v>276</v>
      </c>
      <c r="E329" s="25">
        <v>-618653.56999999995</v>
      </c>
      <c r="F329" s="26">
        <v>-534275.26</v>
      </c>
      <c r="G329" s="25">
        <v>-1152928.83</v>
      </c>
      <c r="I329" s="225">
        <f>'Interest Reconciliation'!E128</f>
        <v>534275.26</v>
      </c>
      <c r="J329" s="114">
        <f t="shared" ref="J329:J339" si="9">F329+I329</f>
        <v>0</v>
      </c>
    </row>
    <row r="330" spans="1:13">
      <c r="A330" s="97" t="s">
        <v>105</v>
      </c>
      <c r="B330" s="87" t="s">
        <v>106</v>
      </c>
      <c r="C330" s="23" t="s">
        <v>52</v>
      </c>
      <c r="D330" s="24" t="s">
        <v>277</v>
      </c>
      <c r="E330" s="25">
        <v>-1152928.83</v>
      </c>
      <c r="F330" s="26">
        <v>-540730.57999999996</v>
      </c>
      <c r="G330" s="25">
        <v>-1693659.41</v>
      </c>
      <c r="I330" s="225">
        <f>'Interest Reconciliation'!E129</f>
        <v>540730.57999999996</v>
      </c>
      <c r="J330" s="114">
        <f t="shared" si="9"/>
        <v>0</v>
      </c>
    </row>
    <row r="331" spans="1:13">
      <c r="A331" s="97" t="s">
        <v>105</v>
      </c>
      <c r="B331" s="87" t="s">
        <v>106</v>
      </c>
      <c r="C331" s="23" t="s">
        <v>52</v>
      </c>
      <c r="D331" s="24" t="s">
        <v>286</v>
      </c>
      <c r="E331" s="25">
        <v>-1693659.41</v>
      </c>
      <c r="F331" s="26">
        <v>-432690.66</v>
      </c>
      <c r="G331" s="25">
        <v>-2126350.0699999998</v>
      </c>
      <c r="I331" s="225">
        <f>'Interest Reconciliation'!E130</f>
        <v>432690.66</v>
      </c>
      <c r="J331" s="114">
        <f t="shared" si="9"/>
        <v>0</v>
      </c>
    </row>
    <row r="332" spans="1:13">
      <c r="A332" s="97" t="s">
        <v>105</v>
      </c>
      <c r="B332" s="87" t="s">
        <v>106</v>
      </c>
      <c r="C332" s="23" t="s">
        <v>52</v>
      </c>
      <c r="D332" s="24" t="s">
        <v>287</v>
      </c>
      <c r="E332" s="25">
        <v>-2126350.0699999998</v>
      </c>
      <c r="F332" s="26">
        <v>-380954.77</v>
      </c>
      <c r="G332" s="25">
        <v>-2507304.84</v>
      </c>
      <c r="I332" s="225">
        <f>'Interest Reconciliation'!E131</f>
        <v>380954.77</v>
      </c>
      <c r="J332" s="114">
        <f t="shared" si="9"/>
        <v>0</v>
      </c>
    </row>
    <row r="333" spans="1:13">
      <c r="A333" s="97" t="s">
        <v>105</v>
      </c>
      <c r="B333" s="87" t="s">
        <v>106</v>
      </c>
      <c r="C333" s="23" t="s">
        <v>52</v>
      </c>
      <c r="D333" s="24" t="s">
        <v>288</v>
      </c>
      <c r="E333" s="25">
        <v>-2507304.84</v>
      </c>
      <c r="F333" s="26">
        <v>-389920.63</v>
      </c>
      <c r="G333" s="25">
        <v>-2897225.47</v>
      </c>
      <c r="I333" s="225">
        <f>'Interest Reconciliation'!E132</f>
        <v>389920.63</v>
      </c>
      <c r="J333" s="114">
        <f t="shared" si="9"/>
        <v>0</v>
      </c>
    </row>
    <row r="334" spans="1:13" hidden="1">
      <c r="A334" s="97" t="s">
        <v>105</v>
      </c>
      <c r="B334" s="87" t="s">
        <v>106</v>
      </c>
      <c r="C334" s="23" t="s">
        <v>52</v>
      </c>
      <c r="D334" s="24"/>
      <c r="E334" s="25"/>
      <c r="F334" s="26"/>
      <c r="G334" s="25"/>
      <c r="I334" s="225">
        <f>'Interest Reconciliation'!E133</f>
        <v>0</v>
      </c>
      <c r="J334" s="114">
        <f t="shared" si="9"/>
        <v>0</v>
      </c>
    </row>
    <row r="335" spans="1:13" hidden="1">
      <c r="A335" s="97" t="s">
        <v>105</v>
      </c>
      <c r="B335" s="87" t="s">
        <v>106</v>
      </c>
      <c r="C335" s="23" t="s">
        <v>52</v>
      </c>
      <c r="D335" s="24"/>
      <c r="E335" s="25"/>
      <c r="F335" s="26"/>
      <c r="G335" s="25"/>
      <c r="I335" s="225">
        <f>'Interest Reconciliation'!E134</f>
        <v>0</v>
      </c>
      <c r="J335" s="114">
        <f t="shared" si="9"/>
        <v>0</v>
      </c>
    </row>
    <row r="336" spans="1:13" hidden="1">
      <c r="A336" s="97" t="s">
        <v>105</v>
      </c>
      <c r="B336" s="87" t="s">
        <v>106</v>
      </c>
      <c r="C336" s="23" t="s">
        <v>52</v>
      </c>
      <c r="D336" s="24"/>
      <c r="E336" s="25"/>
      <c r="F336" s="26"/>
      <c r="G336" s="25"/>
      <c r="I336" s="225">
        <f>'Interest Reconciliation'!E135</f>
        <v>0</v>
      </c>
      <c r="J336" s="114">
        <f t="shared" si="9"/>
        <v>0</v>
      </c>
    </row>
    <row r="337" spans="1:10" hidden="1">
      <c r="A337" s="97" t="s">
        <v>105</v>
      </c>
      <c r="B337" s="87" t="s">
        <v>106</v>
      </c>
      <c r="C337" s="23" t="s">
        <v>52</v>
      </c>
      <c r="D337" s="24"/>
      <c r="E337" s="25"/>
      <c r="F337" s="26"/>
      <c r="G337" s="25"/>
      <c r="I337" s="225">
        <f>'Interest Reconciliation'!E136</f>
        <v>0</v>
      </c>
      <c r="J337" s="114">
        <f t="shared" si="9"/>
        <v>0</v>
      </c>
    </row>
    <row r="338" spans="1:10" hidden="1">
      <c r="A338" s="97" t="s">
        <v>105</v>
      </c>
      <c r="B338" s="87" t="s">
        <v>106</v>
      </c>
      <c r="C338" s="23" t="s">
        <v>52</v>
      </c>
      <c r="D338" s="24"/>
      <c r="E338" s="25"/>
      <c r="F338" s="26"/>
      <c r="G338" s="25"/>
      <c r="I338" s="225">
        <f>'Interest Reconciliation'!E137</f>
        <v>0</v>
      </c>
      <c r="J338" s="114">
        <f t="shared" si="9"/>
        <v>0</v>
      </c>
    </row>
    <row r="339" spans="1:10" hidden="1">
      <c r="A339" s="97" t="s">
        <v>105</v>
      </c>
      <c r="B339" s="87" t="s">
        <v>106</v>
      </c>
      <c r="C339" s="23" t="s">
        <v>52</v>
      </c>
      <c r="D339" s="24"/>
      <c r="E339" s="25"/>
      <c r="F339" s="26"/>
      <c r="G339" s="25"/>
      <c r="I339" s="225">
        <f>'Interest Reconciliation'!E138</f>
        <v>0</v>
      </c>
      <c r="J339" s="114">
        <f t="shared" si="9"/>
        <v>0</v>
      </c>
    </row>
    <row r="340" spans="1:10">
      <c r="A340" s="98"/>
      <c r="B340" s="45"/>
      <c r="C340" s="52"/>
      <c r="D340" s="45"/>
      <c r="E340" s="47"/>
      <c r="F340" s="48">
        <f>SUM(F328:F339)</f>
        <v>-2897225.47</v>
      </c>
      <c r="G340" s="47"/>
    </row>
    <row r="341" spans="1:10">
      <c r="A341" s="97" t="s">
        <v>107</v>
      </c>
      <c r="B341" s="87" t="s">
        <v>108</v>
      </c>
      <c r="C341" s="23" t="s">
        <v>52</v>
      </c>
      <c r="D341" s="24" t="s">
        <v>275</v>
      </c>
      <c r="E341" s="25">
        <v>0</v>
      </c>
      <c r="F341" s="26">
        <v>199891.66</v>
      </c>
      <c r="G341" s="25">
        <v>199891.66</v>
      </c>
      <c r="I341" s="114">
        <f>'Interest Reconciliation'!E111</f>
        <v>-199891.66</v>
      </c>
      <c r="J341" s="114">
        <f>F341+I341</f>
        <v>0</v>
      </c>
    </row>
    <row r="342" spans="1:10">
      <c r="A342" s="97" t="s">
        <v>107</v>
      </c>
      <c r="B342" s="87" t="s">
        <v>108</v>
      </c>
      <c r="C342" s="23" t="s">
        <v>52</v>
      </c>
      <c r="D342" s="24" t="s">
        <v>276</v>
      </c>
      <c r="E342" s="25">
        <v>199891.66</v>
      </c>
      <c r="F342" s="26">
        <v>202545.91</v>
      </c>
      <c r="G342" s="25">
        <v>402437.57</v>
      </c>
      <c r="I342" s="114">
        <f>'Interest Reconciliation'!E112</f>
        <v>-202545.91</v>
      </c>
      <c r="J342" s="114">
        <f t="shared" ref="J342:J352" si="10">F342+I342</f>
        <v>0</v>
      </c>
    </row>
    <row r="343" spans="1:10">
      <c r="A343" s="97" t="s">
        <v>107</v>
      </c>
      <c r="B343" s="87" t="s">
        <v>108</v>
      </c>
      <c r="C343" s="23" t="s">
        <v>52</v>
      </c>
      <c r="D343" s="24" t="s">
        <v>277</v>
      </c>
      <c r="E343" s="25">
        <v>402437.57</v>
      </c>
      <c r="F343" s="26">
        <v>235029.58</v>
      </c>
      <c r="G343" s="25">
        <v>637467.15</v>
      </c>
      <c r="I343" s="114">
        <f>'Interest Reconciliation'!E113</f>
        <v>-235029.58</v>
      </c>
      <c r="J343" s="114">
        <f t="shared" si="10"/>
        <v>0</v>
      </c>
    </row>
    <row r="344" spans="1:10">
      <c r="A344" s="97" t="s">
        <v>107</v>
      </c>
      <c r="B344" s="87" t="s">
        <v>108</v>
      </c>
      <c r="C344" s="23" t="s">
        <v>52</v>
      </c>
      <c r="D344" s="24" t="s">
        <v>286</v>
      </c>
      <c r="E344" s="25">
        <v>637467.15</v>
      </c>
      <c r="F344" s="26">
        <v>189699.34</v>
      </c>
      <c r="G344" s="25">
        <v>827166.49</v>
      </c>
      <c r="I344" s="114">
        <f>'Interest Reconciliation'!E114</f>
        <v>-189699.34</v>
      </c>
      <c r="J344" s="114">
        <f t="shared" si="10"/>
        <v>0</v>
      </c>
    </row>
    <row r="345" spans="1:10">
      <c r="A345" s="97" t="s">
        <v>107</v>
      </c>
      <c r="B345" s="87" t="s">
        <v>108</v>
      </c>
      <c r="C345" s="23" t="s">
        <v>52</v>
      </c>
      <c r="D345" s="24" t="s">
        <v>287</v>
      </c>
      <c r="E345" s="25">
        <v>827166.49</v>
      </c>
      <c r="F345" s="26">
        <v>224192.22</v>
      </c>
      <c r="G345" s="25">
        <v>1051358.71</v>
      </c>
      <c r="I345" s="114">
        <f>'Interest Reconciliation'!E115</f>
        <v>-224192.22</v>
      </c>
      <c r="J345" s="114">
        <f t="shared" si="10"/>
        <v>0</v>
      </c>
    </row>
    <row r="346" spans="1:10">
      <c r="A346" s="97" t="s">
        <v>107</v>
      </c>
      <c r="B346" s="87" t="s">
        <v>108</v>
      </c>
      <c r="C346" s="23" t="s">
        <v>52</v>
      </c>
      <c r="D346" s="24" t="s">
        <v>288</v>
      </c>
      <c r="E346" s="25">
        <v>1051358.71</v>
      </c>
      <c r="F346" s="26">
        <v>229838.16</v>
      </c>
      <c r="G346" s="25">
        <v>1281196.8700000001</v>
      </c>
      <c r="I346" s="114">
        <f>'Interest Reconciliation'!E116</f>
        <v>-229838.16</v>
      </c>
      <c r="J346" s="114">
        <f t="shared" si="10"/>
        <v>0</v>
      </c>
    </row>
    <row r="347" spans="1:10" hidden="1">
      <c r="A347" s="97" t="s">
        <v>107</v>
      </c>
      <c r="B347" s="87" t="s">
        <v>108</v>
      </c>
      <c r="C347" s="23" t="s">
        <v>52</v>
      </c>
      <c r="D347" s="24"/>
      <c r="E347" s="25"/>
      <c r="F347" s="26"/>
      <c r="G347" s="25"/>
      <c r="I347" s="114">
        <f>'Interest Reconciliation'!E117</f>
        <v>0</v>
      </c>
      <c r="J347" s="114">
        <f t="shared" si="10"/>
        <v>0</v>
      </c>
    </row>
    <row r="348" spans="1:10" hidden="1">
      <c r="A348" s="97" t="s">
        <v>107</v>
      </c>
      <c r="B348" s="87" t="s">
        <v>108</v>
      </c>
      <c r="C348" s="23" t="s">
        <v>52</v>
      </c>
      <c r="D348" s="24"/>
      <c r="E348" s="25"/>
      <c r="F348" s="26"/>
      <c r="G348" s="25"/>
      <c r="I348" s="114">
        <f>'Interest Reconciliation'!E118</f>
        <v>0</v>
      </c>
      <c r="J348" s="114">
        <f t="shared" si="10"/>
        <v>0</v>
      </c>
    </row>
    <row r="349" spans="1:10" hidden="1">
      <c r="A349" s="97" t="s">
        <v>107</v>
      </c>
      <c r="B349" s="87" t="s">
        <v>108</v>
      </c>
      <c r="C349" s="23" t="s">
        <v>52</v>
      </c>
      <c r="D349" s="24"/>
      <c r="E349" s="25"/>
      <c r="F349" s="26"/>
      <c r="G349" s="25"/>
      <c r="I349" s="114">
        <f>'Interest Reconciliation'!E119</f>
        <v>0</v>
      </c>
      <c r="J349" s="114">
        <f t="shared" si="10"/>
        <v>0</v>
      </c>
    </row>
    <row r="350" spans="1:10" hidden="1">
      <c r="A350" s="97" t="s">
        <v>107</v>
      </c>
      <c r="B350" s="87" t="s">
        <v>108</v>
      </c>
      <c r="C350" s="23" t="s">
        <v>52</v>
      </c>
      <c r="D350" s="24"/>
      <c r="E350" s="25"/>
      <c r="F350" s="26"/>
      <c r="G350" s="25"/>
      <c r="I350" s="114">
        <f>'Interest Reconciliation'!E120</f>
        <v>0</v>
      </c>
      <c r="J350" s="114">
        <f t="shared" si="10"/>
        <v>0</v>
      </c>
    </row>
    <row r="351" spans="1:10" hidden="1">
      <c r="A351" s="97" t="s">
        <v>107</v>
      </c>
      <c r="B351" s="87" t="s">
        <v>108</v>
      </c>
      <c r="C351" s="23" t="s">
        <v>52</v>
      </c>
      <c r="D351" s="24"/>
      <c r="E351" s="25"/>
      <c r="F351" s="26"/>
      <c r="G351" s="25"/>
      <c r="I351" s="114">
        <f>'Interest Reconciliation'!E121</f>
        <v>0</v>
      </c>
      <c r="J351" s="114">
        <f t="shared" si="10"/>
        <v>0</v>
      </c>
    </row>
    <row r="352" spans="1:10" hidden="1">
      <c r="A352" s="97" t="s">
        <v>107</v>
      </c>
      <c r="B352" s="87" t="s">
        <v>108</v>
      </c>
      <c r="C352" s="23" t="s">
        <v>52</v>
      </c>
      <c r="D352" s="24"/>
      <c r="E352" s="25"/>
      <c r="F352" s="26"/>
      <c r="G352" s="25"/>
      <c r="I352" s="114">
        <f>'Interest Reconciliation'!E122</f>
        <v>0</v>
      </c>
      <c r="J352" s="114">
        <f t="shared" si="10"/>
        <v>0</v>
      </c>
    </row>
    <row r="353" spans="1:10">
      <c r="A353" s="98"/>
      <c r="B353" s="45"/>
      <c r="C353" s="52"/>
      <c r="D353" s="45"/>
      <c r="E353" s="47"/>
      <c r="F353" s="48">
        <f>SUM(F341:F352)</f>
        <v>1281196.8699999999</v>
      </c>
      <c r="G353" s="47"/>
    </row>
    <row r="354" spans="1:10">
      <c r="A354" s="97" t="s">
        <v>109</v>
      </c>
      <c r="B354" s="87" t="s">
        <v>106</v>
      </c>
      <c r="C354" s="23" t="s">
        <v>53</v>
      </c>
      <c r="D354" s="24" t="s">
        <v>275</v>
      </c>
      <c r="E354" s="25">
        <v>0</v>
      </c>
      <c r="F354" s="26">
        <v>845026.68</v>
      </c>
      <c r="G354" s="25">
        <v>845026.68</v>
      </c>
      <c r="I354" s="114">
        <f>'Interest Reconciliation'!N95</f>
        <v>-845026.68</v>
      </c>
      <c r="J354" s="114">
        <f>F354+I354</f>
        <v>0</v>
      </c>
    </row>
    <row r="355" spans="1:10">
      <c r="A355" s="97" t="s">
        <v>109</v>
      </c>
      <c r="B355" s="87" t="s">
        <v>106</v>
      </c>
      <c r="C355" s="23" t="s">
        <v>53</v>
      </c>
      <c r="D355" s="24" t="s">
        <v>276</v>
      </c>
      <c r="E355" s="25">
        <v>845026.68</v>
      </c>
      <c r="F355" s="26">
        <v>746197.02</v>
      </c>
      <c r="G355" s="25">
        <v>1591223.7</v>
      </c>
      <c r="I355" s="114">
        <f>'Interest Reconciliation'!N96</f>
        <v>-746197.02</v>
      </c>
      <c r="J355" s="114">
        <f t="shared" ref="J355:J356" si="11">F355+I355</f>
        <v>0</v>
      </c>
    </row>
    <row r="356" spans="1:10">
      <c r="A356" s="97" t="s">
        <v>109</v>
      </c>
      <c r="B356" s="87" t="s">
        <v>106</v>
      </c>
      <c r="C356" s="23" t="s">
        <v>53</v>
      </c>
      <c r="D356" s="24" t="s">
        <v>277</v>
      </c>
      <c r="E356" s="25">
        <v>1591223.7</v>
      </c>
      <c r="F356" s="26">
        <v>616661.11</v>
      </c>
      <c r="G356" s="25">
        <v>2207884.81</v>
      </c>
      <c r="I356" s="114">
        <f>'Interest Reconciliation'!N97</f>
        <v>-616661.11</v>
      </c>
      <c r="J356" s="114">
        <f t="shared" si="11"/>
        <v>0</v>
      </c>
    </row>
    <row r="357" spans="1:10">
      <c r="A357" s="97" t="s">
        <v>109</v>
      </c>
      <c r="B357" s="87" t="s">
        <v>106</v>
      </c>
      <c r="C357" s="23" t="s">
        <v>53</v>
      </c>
      <c r="D357" s="24" t="s">
        <v>286</v>
      </c>
      <c r="E357" s="25">
        <v>2207884.81</v>
      </c>
      <c r="F357" s="26">
        <v>405582.4</v>
      </c>
      <c r="G357" s="25">
        <v>2613467.21</v>
      </c>
      <c r="I357" s="114">
        <f>'Interest Reconciliation'!N98</f>
        <v>-405582.4</v>
      </c>
      <c r="J357" s="114">
        <f t="shared" ref="J357:J365" si="12">F357+I357</f>
        <v>0</v>
      </c>
    </row>
    <row r="358" spans="1:10">
      <c r="A358" s="97" t="s">
        <v>109</v>
      </c>
      <c r="B358" s="87" t="s">
        <v>106</v>
      </c>
      <c r="C358" s="23" t="s">
        <v>53</v>
      </c>
      <c r="D358" s="24" t="s">
        <v>287</v>
      </c>
      <c r="E358" s="25">
        <v>2613467.21</v>
      </c>
      <c r="F358" s="26">
        <v>124958.39</v>
      </c>
      <c r="G358" s="25">
        <v>2738425.6</v>
      </c>
      <c r="I358" s="114">
        <f>'Interest Reconciliation'!N99</f>
        <v>-124958.39</v>
      </c>
      <c r="J358" s="114">
        <f t="shared" si="12"/>
        <v>0</v>
      </c>
    </row>
    <row r="359" spans="1:10">
      <c r="A359" s="97" t="s">
        <v>109</v>
      </c>
      <c r="B359" s="87" t="s">
        <v>106</v>
      </c>
      <c r="C359" s="23" t="s">
        <v>53</v>
      </c>
      <c r="D359" s="24" t="s">
        <v>288</v>
      </c>
      <c r="E359" s="25">
        <v>2738425.6</v>
      </c>
      <c r="F359" s="26">
        <v>88337.38</v>
      </c>
      <c r="G359" s="25">
        <v>2826762.98</v>
      </c>
      <c r="I359" s="114">
        <f>'Interest Reconciliation'!N100</f>
        <v>-88337.38</v>
      </c>
      <c r="J359" s="114">
        <f t="shared" si="12"/>
        <v>0</v>
      </c>
    </row>
    <row r="360" spans="1:10" hidden="1">
      <c r="A360" s="97" t="s">
        <v>109</v>
      </c>
      <c r="B360" s="87" t="s">
        <v>106</v>
      </c>
      <c r="C360" s="23" t="s">
        <v>53</v>
      </c>
      <c r="D360" s="24"/>
      <c r="E360" s="25"/>
      <c r="F360" s="26"/>
      <c r="G360" s="25"/>
      <c r="I360" s="114">
        <f>'Interest Reconciliation'!N101</f>
        <v>0</v>
      </c>
      <c r="J360" s="114">
        <f t="shared" si="12"/>
        <v>0</v>
      </c>
    </row>
    <row r="361" spans="1:10" hidden="1">
      <c r="A361" s="97" t="s">
        <v>109</v>
      </c>
      <c r="B361" s="87" t="s">
        <v>106</v>
      </c>
      <c r="C361" s="23" t="s">
        <v>53</v>
      </c>
      <c r="D361" s="24"/>
      <c r="E361" s="25"/>
      <c r="F361" s="26"/>
      <c r="G361" s="25"/>
      <c r="I361" s="114">
        <f>'Interest Reconciliation'!N102</f>
        <v>0</v>
      </c>
      <c r="J361" s="114">
        <f t="shared" si="12"/>
        <v>0</v>
      </c>
    </row>
    <row r="362" spans="1:10" hidden="1">
      <c r="A362" s="97" t="s">
        <v>109</v>
      </c>
      <c r="B362" s="87" t="s">
        <v>106</v>
      </c>
      <c r="C362" s="23" t="s">
        <v>53</v>
      </c>
      <c r="D362" s="24"/>
      <c r="E362" s="25"/>
      <c r="F362" s="26"/>
      <c r="G362" s="25"/>
      <c r="I362" s="114">
        <f>'Interest Reconciliation'!N103</f>
        <v>0</v>
      </c>
      <c r="J362" s="114">
        <f t="shared" si="12"/>
        <v>0</v>
      </c>
    </row>
    <row r="363" spans="1:10" hidden="1">
      <c r="A363" s="97" t="s">
        <v>109</v>
      </c>
      <c r="B363" s="87" t="s">
        <v>106</v>
      </c>
      <c r="C363" s="23" t="s">
        <v>53</v>
      </c>
      <c r="D363" s="24"/>
      <c r="E363" s="25"/>
      <c r="F363" s="26"/>
      <c r="G363" s="25"/>
      <c r="I363" s="114">
        <f>'Interest Reconciliation'!N104</f>
        <v>0</v>
      </c>
      <c r="J363" s="114">
        <f t="shared" si="12"/>
        <v>0</v>
      </c>
    </row>
    <row r="364" spans="1:10" hidden="1">
      <c r="A364" s="97" t="s">
        <v>109</v>
      </c>
      <c r="B364" s="87" t="s">
        <v>106</v>
      </c>
      <c r="C364" s="23" t="s">
        <v>53</v>
      </c>
      <c r="D364" s="24"/>
      <c r="E364" s="25"/>
      <c r="F364" s="26"/>
      <c r="G364" s="25"/>
      <c r="I364" s="114">
        <f>'Interest Reconciliation'!N105</f>
        <v>0</v>
      </c>
      <c r="J364" s="114">
        <f t="shared" si="12"/>
        <v>0</v>
      </c>
    </row>
    <row r="365" spans="1:10" hidden="1">
      <c r="A365" s="97" t="s">
        <v>109</v>
      </c>
      <c r="B365" s="87" t="s">
        <v>106</v>
      </c>
      <c r="C365" s="23" t="s">
        <v>53</v>
      </c>
      <c r="D365" s="24"/>
      <c r="E365" s="25"/>
      <c r="F365" s="26"/>
      <c r="G365" s="25"/>
      <c r="I365" s="114">
        <f>'Interest Reconciliation'!N106</f>
        <v>0</v>
      </c>
      <c r="J365" s="114">
        <f t="shared" si="12"/>
        <v>0</v>
      </c>
    </row>
    <row r="366" spans="1:10">
      <c r="A366" s="99"/>
      <c r="B366" s="45"/>
      <c r="C366" s="52"/>
      <c r="D366" s="45"/>
      <c r="E366" s="47"/>
      <c r="F366" s="48">
        <f>SUM(F354:F365)</f>
        <v>2826762.98</v>
      </c>
      <c r="G366" s="47"/>
    </row>
    <row r="367" spans="1:10">
      <c r="A367" s="97" t="s">
        <v>110</v>
      </c>
      <c r="B367" s="87" t="s">
        <v>108</v>
      </c>
      <c r="C367" s="23" t="s">
        <v>53</v>
      </c>
      <c r="D367" s="24" t="s">
        <v>275</v>
      </c>
      <c r="E367" s="25">
        <v>0</v>
      </c>
      <c r="F367" s="26">
        <v>260335.04</v>
      </c>
      <c r="G367" s="25">
        <v>260335.04</v>
      </c>
      <c r="I367" s="114">
        <f>'Interest Reconciliation'!N111</f>
        <v>-260335.04</v>
      </c>
      <c r="J367" s="114">
        <f>F367+I367</f>
        <v>0</v>
      </c>
    </row>
    <row r="368" spans="1:10">
      <c r="A368" s="97" t="s">
        <v>110</v>
      </c>
      <c r="B368" s="87" t="s">
        <v>108</v>
      </c>
      <c r="C368" s="23" t="s">
        <v>53</v>
      </c>
      <c r="D368" s="24" t="s">
        <v>276</v>
      </c>
      <c r="E368" s="25">
        <v>260335.04</v>
      </c>
      <c r="F368" s="26">
        <v>213519.96</v>
      </c>
      <c r="G368" s="25">
        <v>473855</v>
      </c>
      <c r="I368" s="114">
        <f>'Interest Reconciliation'!N112</f>
        <v>-213519.96</v>
      </c>
      <c r="J368" s="114">
        <f t="shared" ref="J368:J369" si="13">F368+I368</f>
        <v>0</v>
      </c>
    </row>
    <row r="369" spans="1:10">
      <c r="A369" s="97" t="s">
        <v>110</v>
      </c>
      <c r="B369" s="87" t="s">
        <v>108</v>
      </c>
      <c r="C369" s="23" t="s">
        <v>53</v>
      </c>
      <c r="D369" s="24" t="s">
        <v>277</v>
      </c>
      <c r="E369" s="25">
        <v>473855</v>
      </c>
      <c r="F369" s="26">
        <v>208487.34</v>
      </c>
      <c r="G369" s="25">
        <v>682342.34</v>
      </c>
      <c r="I369" s="114">
        <f>'Interest Reconciliation'!N113</f>
        <v>-208487.34</v>
      </c>
      <c r="J369" s="114">
        <f t="shared" si="13"/>
        <v>0</v>
      </c>
    </row>
    <row r="370" spans="1:10">
      <c r="A370" s="97" t="s">
        <v>110</v>
      </c>
      <c r="B370" s="87" t="s">
        <v>108</v>
      </c>
      <c r="C370" s="23" t="s">
        <v>53</v>
      </c>
      <c r="D370" s="24" t="s">
        <v>286</v>
      </c>
      <c r="E370" s="25">
        <v>682342.34</v>
      </c>
      <c r="F370" s="26">
        <v>134518.54</v>
      </c>
      <c r="G370" s="25">
        <v>816860.88</v>
      </c>
      <c r="I370" s="114">
        <f>'Interest Reconciliation'!N114</f>
        <v>-134518.54</v>
      </c>
      <c r="J370" s="114">
        <f t="shared" ref="J370:J378" si="14">F370+I370</f>
        <v>0</v>
      </c>
    </row>
    <row r="371" spans="1:10">
      <c r="A371" s="97" t="s">
        <v>110</v>
      </c>
      <c r="B371" s="87" t="s">
        <v>108</v>
      </c>
      <c r="C371" s="23" t="s">
        <v>53</v>
      </c>
      <c r="D371" s="24" t="s">
        <v>287</v>
      </c>
      <c r="E371" s="25">
        <v>816860.88</v>
      </c>
      <c r="F371" s="26">
        <v>70095.210000000006</v>
      </c>
      <c r="G371" s="25">
        <v>886956.09</v>
      </c>
      <c r="I371" s="114">
        <f>'Interest Reconciliation'!N115</f>
        <v>-70095.210000000006</v>
      </c>
      <c r="J371" s="114">
        <f t="shared" si="14"/>
        <v>0</v>
      </c>
    </row>
    <row r="372" spans="1:10">
      <c r="A372" s="97" t="s">
        <v>110</v>
      </c>
      <c r="B372" s="87" t="s">
        <v>108</v>
      </c>
      <c r="C372" s="23" t="s">
        <v>53</v>
      </c>
      <c r="D372" s="24" t="s">
        <v>288</v>
      </c>
      <c r="E372" s="25">
        <v>886956.09</v>
      </c>
      <c r="F372" s="26">
        <v>59892.28</v>
      </c>
      <c r="G372" s="25">
        <v>946848.37</v>
      </c>
      <c r="I372" s="114">
        <f>'Interest Reconciliation'!N116</f>
        <v>-59892.28</v>
      </c>
      <c r="J372" s="114">
        <f t="shared" si="14"/>
        <v>0</v>
      </c>
    </row>
    <row r="373" spans="1:10" hidden="1">
      <c r="A373" s="97" t="s">
        <v>110</v>
      </c>
      <c r="B373" s="87" t="s">
        <v>108</v>
      </c>
      <c r="C373" s="23" t="s">
        <v>53</v>
      </c>
      <c r="D373" s="24"/>
      <c r="E373" s="25"/>
      <c r="F373" s="26"/>
      <c r="G373" s="25"/>
      <c r="I373" s="114">
        <f>'Interest Reconciliation'!N117</f>
        <v>0</v>
      </c>
      <c r="J373" s="114">
        <f t="shared" si="14"/>
        <v>0</v>
      </c>
    </row>
    <row r="374" spans="1:10" hidden="1">
      <c r="A374" s="97" t="s">
        <v>110</v>
      </c>
      <c r="B374" s="87" t="s">
        <v>108</v>
      </c>
      <c r="C374" s="23" t="s">
        <v>53</v>
      </c>
      <c r="D374" s="24"/>
      <c r="E374" s="25"/>
      <c r="F374" s="26"/>
      <c r="G374" s="25"/>
      <c r="I374" s="114">
        <f>'Interest Reconciliation'!N118</f>
        <v>0</v>
      </c>
      <c r="J374" s="114">
        <f t="shared" si="14"/>
        <v>0</v>
      </c>
    </row>
    <row r="375" spans="1:10" hidden="1">
      <c r="A375" s="97" t="s">
        <v>110</v>
      </c>
      <c r="B375" s="87" t="s">
        <v>108</v>
      </c>
      <c r="C375" s="23" t="s">
        <v>53</v>
      </c>
      <c r="D375" s="24"/>
      <c r="E375" s="25"/>
      <c r="F375" s="26"/>
      <c r="G375" s="25"/>
      <c r="I375" s="114">
        <f>'Interest Reconciliation'!N119</f>
        <v>0</v>
      </c>
      <c r="J375" s="114">
        <f t="shared" si="14"/>
        <v>0</v>
      </c>
    </row>
    <row r="376" spans="1:10" hidden="1">
      <c r="A376" s="97" t="s">
        <v>110</v>
      </c>
      <c r="B376" s="87" t="s">
        <v>108</v>
      </c>
      <c r="C376" s="23" t="s">
        <v>53</v>
      </c>
      <c r="D376" s="24"/>
      <c r="E376" s="25"/>
      <c r="F376" s="26"/>
      <c r="G376" s="25"/>
      <c r="I376" s="114">
        <f>'Interest Reconciliation'!N120</f>
        <v>0</v>
      </c>
      <c r="J376" s="114">
        <f t="shared" si="14"/>
        <v>0</v>
      </c>
    </row>
    <row r="377" spans="1:10" hidden="1">
      <c r="A377" s="97" t="s">
        <v>110</v>
      </c>
      <c r="B377" s="87" t="s">
        <v>108</v>
      </c>
      <c r="C377" s="23" t="s">
        <v>53</v>
      </c>
      <c r="D377" s="24"/>
      <c r="E377" s="25"/>
      <c r="F377" s="26"/>
      <c r="G377" s="25"/>
      <c r="I377" s="114">
        <f>'Interest Reconciliation'!N121</f>
        <v>0</v>
      </c>
      <c r="J377" s="114">
        <f t="shared" si="14"/>
        <v>0</v>
      </c>
    </row>
    <row r="378" spans="1:10" hidden="1">
      <c r="A378" s="97" t="s">
        <v>110</v>
      </c>
      <c r="B378" s="87" t="s">
        <v>108</v>
      </c>
      <c r="C378" s="23" t="s">
        <v>53</v>
      </c>
      <c r="D378" s="24"/>
      <c r="E378" s="25"/>
      <c r="F378" s="26"/>
      <c r="G378" s="25"/>
      <c r="I378" s="114">
        <f>'Interest Reconciliation'!N122</f>
        <v>0</v>
      </c>
      <c r="J378" s="114">
        <f t="shared" si="14"/>
        <v>0</v>
      </c>
    </row>
    <row r="379" spans="1:10">
      <c r="A379" s="99"/>
      <c r="B379" s="45"/>
      <c r="C379" s="52"/>
      <c r="D379" s="45"/>
      <c r="E379" s="47"/>
      <c r="F379" s="48">
        <f>SUM(F367:F378)</f>
        <v>946848.37</v>
      </c>
      <c r="G379" s="47"/>
    </row>
    <row r="382" spans="1:10">
      <c r="A382" s="20" t="s">
        <v>42</v>
      </c>
      <c r="C382" s="86" t="s">
        <v>98</v>
      </c>
    </row>
    <row r="383" spans="1:10">
      <c r="A383" s="232"/>
      <c r="B383" s="232"/>
      <c r="C383" s="232"/>
      <c r="D383" s="232"/>
      <c r="E383" s="232"/>
      <c r="F383" s="232"/>
      <c r="G383" s="232"/>
    </row>
    <row r="384" spans="1:10" ht="26.25">
      <c r="A384" s="49" t="s">
        <v>43</v>
      </c>
      <c r="B384" s="50" t="s">
        <v>44</v>
      </c>
      <c r="C384" s="51" t="s">
        <v>45</v>
      </c>
      <c r="D384" s="49" t="s">
        <v>46</v>
      </c>
      <c r="E384" s="49" t="s">
        <v>47</v>
      </c>
      <c r="F384" s="49" t="s">
        <v>48</v>
      </c>
      <c r="G384" s="49" t="s">
        <v>49</v>
      </c>
      <c r="I384" s="224" t="s">
        <v>270</v>
      </c>
      <c r="J384" s="224" t="s">
        <v>269</v>
      </c>
    </row>
    <row r="385" spans="1:10" ht="15.75">
      <c r="A385" s="22">
        <v>419328</v>
      </c>
      <c r="B385" s="21" t="s">
        <v>118</v>
      </c>
      <c r="C385" s="23" t="s">
        <v>52</v>
      </c>
      <c r="D385" s="24" t="s">
        <v>275</v>
      </c>
      <c r="E385" s="25">
        <v>0</v>
      </c>
      <c r="F385" s="26">
        <v>-5557.31</v>
      </c>
      <c r="G385" s="25">
        <v>-5557.31</v>
      </c>
      <c r="H385" s="84"/>
      <c r="I385" s="114">
        <f>'Interest Reconciliation'!D5</f>
        <v>-5557.31</v>
      </c>
      <c r="J385" s="114">
        <f t="shared" ref="J385:J390" si="15">I385-F385</f>
        <v>0</v>
      </c>
    </row>
    <row r="386" spans="1:10">
      <c r="A386" s="22">
        <v>419328</v>
      </c>
      <c r="B386" s="21" t="s">
        <v>118</v>
      </c>
      <c r="C386" s="23" t="s">
        <v>52</v>
      </c>
      <c r="D386" s="24" t="s">
        <v>276</v>
      </c>
      <c r="E386" s="25">
        <v>-5557.31</v>
      </c>
      <c r="F386" s="26">
        <v>-9995.26</v>
      </c>
      <c r="G386" s="25">
        <v>-15552.57</v>
      </c>
      <c r="I386" s="114">
        <f>'Interest Reconciliation'!D6</f>
        <v>-9995.26</v>
      </c>
      <c r="J386" s="114">
        <f t="shared" si="15"/>
        <v>0</v>
      </c>
    </row>
    <row r="387" spans="1:10">
      <c r="A387" s="22">
        <v>419328</v>
      </c>
      <c r="B387" s="21" t="s">
        <v>118</v>
      </c>
      <c r="C387" s="23" t="s">
        <v>52</v>
      </c>
      <c r="D387" s="24" t="s">
        <v>277</v>
      </c>
      <c r="E387" s="25">
        <v>-15552.57</v>
      </c>
      <c r="F387" s="26">
        <v>-8366.91</v>
      </c>
      <c r="G387" s="25">
        <v>-23919.48</v>
      </c>
      <c r="I387" s="114">
        <f>'Interest Reconciliation'!D7</f>
        <v>-8366.91</v>
      </c>
      <c r="J387" s="114">
        <f t="shared" si="15"/>
        <v>0</v>
      </c>
    </row>
    <row r="388" spans="1:10">
      <c r="A388" s="22">
        <v>419328</v>
      </c>
      <c r="B388" s="21" t="s">
        <v>118</v>
      </c>
      <c r="C388" s="23" t="s">
        <v>52</v>
      </c>
      <c r="D388" s="24" t="s">
        <v>286</v>
      </c>
      <c r="E388" s="25">
        <v>-23919.48</v>
      </c>
      <c r="F388" s="26">
        <v>-8039.22</v>
      </c>
      <c r="G388" s="25">
        <v>-31958.7</v>
      </c>
      <c r="I388" s="114">
        <f>'Interest Reconciliation'!D8</f>
        <v>-8039.22</v>
      </c>
      <c r="J388" s="114">
        <f t="shared" si="15"/>
        <v>0</v>
      </c>
    </row>
    <row r="389" spans="1:10">
      <c r="A389" s="22">
        <v>419328</v>
      </c>
      <c r="B389" s="21" t="s">
        <v>118</v>
      </c>
      <c r="C389" s="23" t="s">
        <v>52</v>
      </c>
      <c r="D389" s="24" t="s">
        <v>287</v>
      </c>
      <c r="E389" s="25">
        <v>-31958.7</v>
      </c>
      <c r="F389" s="26">
        <v>-14830.67</v>
      </c>
      <c r="G389" s="25">
        <v>-46789.37</v>
      </c>
      <c r="I389" s="114">
        <f>'Interest Reconciliation'!D9</f>
        <v>-14830.67</v>
      </c>
      <c r="J389" s="114">
        <f t="shared" si="15"/>
        <v>0</v>
      </c>
    </row>
    <row r="390" spans="1:10">
      <c r="A390" s="22">
        <v>419328</v>
      </c>
      <c r="B390" s="21" t="s">
        <v>118</v>
      </c>
      <c r="C390" s="23" t="s">
        <v>52</v>
      </c>
      <c r="D390" s="24" t="s">
        <v>288</v>
      </c>
      <c r="E390" s="25">
        <v>-46789.37</v>
      </c>
      <c r="F390" s="26">
        <v>-17379.46</v>
      </c>
      <c r="G390" s="25">
        <v>-64168.83</v>
      </c>
      <c r="I390" s="114">
        <f>'Interest Reconciliation'!D10</f>
        <v>-17379.46</v>
      </c>
      <c r="J390" s="114">
        <f t="shared" si="15"/>
        <v>0</v>
      </c>
    </row>
    <row r="391" spans="1:10" hidden="1">
      <c r="A391" s="22">
        <v>419328</v>
      </c>
      <c r="B391" s="21" t="s">
        <v>118</v>
      </c>
      <c r="C391" s="23" t="s">
        <v>52</v>
      </c>
      <c r="D391" s="24"/>
      <c r="E391" s="25"/>
      <c r="F391" s="26"/>
      <c r="G391" s="25"/>
      <c r="I391" s="114"/>
      <c r="J391" s="114"/>
    </row>
    <row r="392" spans="1:10" hidden="1">
      <c r="A392" s="22">
        <v>419328</v>
      </c>
      <c r="B392" s="21" t="s">
        <v>118</v>
      </c>
      <c r="C392" s="23" t="s">
        <v>52</v>
      </c>
      <c r="D392" s="24"/>
      <c r="E392" s="25"/>
      <c r="F392" s="26"/>
      <c r="G392" s="25"/>
      <c r="I392" s="114"/>
      <c r="J392" s="114"/>
    </row>
    <row r="393" spans="1:10" hidden="1">
      <c r="A393" s="22">
        <v>419328</v>
      </c>
      <c r="B393" s="21" t="s">
        <v>118</v>
      </c>
      <c r="C393" s="23" t="s">
        <v>52</v>
      </c>
      <c r="D393" s="24"/>
      <c r="E393" s="25"/>
      <c r="F393" s="26"/>
      <c r="G393" s="25"/>
      <c r="I393" s="114"/>
      <c r="J393" s="114"/>
    </row>
    <row r="394" spans="1:10" hidden="1">
      <c r="A394" s="22">
        <v>419328</v>
      </c>
      <c r="B394" s="21" t="s">
        <v>118</v>
      </c>
      <c r="C394" s="23" t="s">
        <v>52</v>
      </c>
      <c r="D394" s="24"/>
      <c r="E394" s="25"/>
      <c r="F394" s="26"/>
      <c r="G394" s="25"/>
      <c r="I394" s="114"/>
      <c r="J394" s="114"/>
    </row>
    <row r="395" spans="1:10" hidden="1">
      <c r="A395" s="22">
        <v>419328</v>
      </c>
      <c r="B395" s="21" t="s">
        <v>118</v>
      </c>
      <c r="C395" s="23" t="s">
        <v>52</v>
      </c>
      <c r="D395" s="24"/>
      <c r="E395" s="25"/>
      <c r="F395" s="26"/>
      <c r="G395" s="25"/>
      <c r="I395" s="114"/>
      <c r="J395" s="114"/>
    </row>
    <row r="396" spans="1:10" hidden="1">
      <c r="A396" s="22">
        <v>419328</v>
      </c>
      <c r="B396" s="21" t="s">
        <v>118</v>
      </c>
      <c r="C396" s="23" t="s">
        <v>52</v>
      </c>
      <c r="D396" s="24"/>
      <c r="E396" s="25"/>
      <c r="F396" s="26"/>
      <c r="G396" s="25"/>
      <c r="I396" s="114"/>
      <c r="J396" s="114"/>
    </row>
    <row r="397" spans="1:10">
      <c r="A397" s="27"/>
      <c r="B397" s="41"/>
      <c r="C397" s="42"/>
      <c r="D397" s="41"/>
      <c r="E397" s="43"/>
      <c r="F397" s="44">
        <f>SUM(F385:F396)</f>
        <v>-64168.83</v>
      </c>
      <c r="G397" s="43"/>
    </row>
    <row r="398" spans="1:10">
      <c r="A398" s="22">
        <v>419328</v>
      </c>
      <c r="B398" s="21" t="s">
        <v>118</v>
      </c>
      <c r="C398" s="23" t="s">
        <v>53</v>
      </c>
      <c r="D398" s="24" t="s">
        <v>275</v>
      </c>
      <c r="E398" s="25">
        <v>0</v>
      </c>
      <c r="F398" s="26">
        <v>-38790.29</v>
      </c>
      <c r="G398" s="25">
        <v>-38790.29</v>
      </c>
      <c r="I398" s="114">
        <f>'Interest Reconciliation'!M5</f>
        <v>-38790.29</v>
      </c>
      <c r="J398" s="114">
        <f t="shared" ref="J398:J403" si="16">I398-F398</f>
        <v>0</v>
      </c>
    </row>
    <row r="399" spans="1:10">
      <c r="A399" s="22">
        <v>419328</v>
      </c>
      <c r="B399" s="21" t="s">
        <v>118</v>
      </c>
      <c r="C399" s="23" t="s">
        <v>53</v>
      </c>
      <c r="D399" s="24" t="s">
        <v>276</v>
      </c>
      <c r="E399" s="25">
        <v>-38790.29</v>
      </c>
      <c r="F399" s="26">
        <v>-33409.51</v>
      </c>
      <c r="G399" s="25">
        <v>-72199.8</v>
      </c>
      <c r="I399" s="114">
        <f>'Interest Reconciliation'!M6</f>
        <v>-33409.51</v>
      </c>
      <c r="J399" s="114">
        <f t="shared" si="16"/>
        <v>0</v>
      </c>
    </row>
    <row r="400" spans="1:10">
      <c r="A400" s="22">
        <v>419328</v>
      </c>
      <c r="B400" s="21" t="s">
        <v>118</v>
      </c>
      <c r="C400" s="23" t="s">
        <v>53</v>
      </c>
      <c r="D400" s="24" t="s">
        <v>277</v>
      </c>
      <c r="E400" s="25">
        <v>-72199.8</v>
      </c>
      <c r="F400" s="26">
        <v>-28892.48</v>
      </c>
      <c r="G400" s="25">
        <v>-101092.28</v>
      </c>
      <c r="I400" s="114">
        <f>'Interest Reconciliation'!M7</f>
        <v>-28892.48</v>
      </c>
      <c r="J400" s="114">
        <f t="shared" si="16"/>
        <v>0</v>
      </c>
    </row>
    <row r="401" spans="1:10">
      <c r="A401" s="22">
        <v>419328</v>
      </c>
      <c r="B401" s="21" t="s">
        <v>118</v>
      </c>
      <c r="C401" s="23" t="s">
        <v>53</v>
      </c>
      <c r="D401" s="24" t="s">
        <v>286</v>
      </c>
      <c r="E401" s="25">
        <v>-101092.28</v>
      </c>
      <c r="F401" s="26">
        <v>-30255.47</v>
      </c>
      <c r="G401" s="25">
        <v>-131347.75</v>
      </c>
      <c r="I401" s="114">
        <f>'Interest Reconciliation'!M8</f>
        <v>-30255.47</v>
      </c>
      <c r="J401" s="114">
        <f t="shared" si="16"/>
        <v>0</v>
      </c>
    </row>
    <row r="402" spans="1:10">
      <c r="A402" s="22">
        <v>419328</v>
      </c>
      <c r="B402" s="21" t="s">
        <v>118</v>
      </c>
      <c r="C402" s="23" t="s">
        <v>53</v>
      </c>
      <c r="D402" s="24" t="s">
        <v>287</v>
      </c>
      <c r="E402" s="25">
        <v>-131347.75</v>
      </c>
      <c r="F402" s="26">
        <v>-28147.200000000001</v>
      </c>
      <c r="G402" s="25">
        <v>-159494.95000000001</v>
      </c>
      <c r="I402" s="114">
        <f>'Interest Reconciliation'!M9</f>
        <v>-28147.200000000001</v>
      </c>
      <c r="J402" s="114">
        <f t="shared" si="16"/>
        <v>0</v>
      </c>
    </row>
    <row r="403" spans="1:10">
      <c r="A403" s="22">
        <v>419328</v>
      </c>
      <c r="B403" s="21" t="s">
        <v>118</v>
      </c>
      <c r="C403" s="23" t="s">
        <v>53</v>
      </c>
      <c r="D403" s="24" t="s">
        <v>288</v>
      </c>
      <c r="E403" s="25">
        <v>-159494.95000000001</v>
      </c>
      <c r="F403" s="26">
        <v>-27250.36</v>
      </c>
      <c r="G403" s="25">
        <v>-186745.31</v>
      </c>
      <c r="I403" s="114">
        <f>'Interest Reconciliation'!M10</f>
        <v>-27250.36</v>
      </c>
      <c r="J403" s="114">
        <f t="shared" si="16"/>
        <v>0</v>
      </c>
    </row>
    <row r="404" spans="1:10" hidden="1">
      <c r="A404" s="22">
        <v>419328</v>
      </c>
      <c r="B404" s="21" t="s">
        <v>118</v>
      </c>
      <c r="C404" s="23" t="s">
        <v>53</v>
      </c>
      <c r="D404" s="24"/>
      <c r="E404" s="25"/>
      <c r="F404" s="26"/>
      <c r="G404" s="25"/>
      <c r="I404" s="114"/>
      <c r="J404" s="114"/>
    </row>
    <row r="405" spans="1:10" hidden="1">
      <c r="A405" s="22">
        <v>419328</v>
      </c>
      <c r="B405" s="21" t="s">
        <v>118</v>
      </c>
      <c r="C405" s="23" t="s">
        <v>53</v>
      </c>
      <c r="D405" s="24"/>
      <c r="E405" s="25"/>
      <c r="F405" s="26"/>
      <c r="G405" s="25"/>
      <c r="I405" s="114"/>
      <c r="J405" s="114"/>
    </row>
    <row r="406" spans="1:10" hidden="1">
      <c r="A406" s="22">
        <v>419328</v>
      </c>
      <c r="B406" s="21" t="s">
        <v>118</v>
      </c>
      <c r="C406" s="23" t="s">
        <v>53</v>
      </c>
      <c r="D406" s="24"/>
      <c r="E406" s="25"/>
      <c r="F406" s="26"/>
      <c r="G406" s="25"/>
      <c r="I406" s="114"/>
      <c r="J406" s="114"/>
    </row>
    <row r="407" spans="1:10" hidden="1">
      <c r="A407" s="22">
        <v>419328</v>
      </c>
      <c r="B407" s="21" t="s">
        <v>118</v>
      </c>
      <c r="C407" s="23" t="s">
        <v>53</v>
      </c>
      <c r="D407" s="24"/>
      <c r="E407" s="25"/>
      <c r="F407" s="26"/>
      <c r="G407" s="25"/>
      <c r="I407" s="114"/>
      <c r="J407" s="114"/>
    </row>
    <row r="408" spans="1:10" hidden="1">
      <c r="A408" s="22">
        <v>419328</v>
      </c>
      <c r="B408" s="21" t="s">
        <v>118</v>
      </c>
      <c r="C408" s="23" t="s">
        <v>53</v>
      </c>
      <c r="D408" s="24"/>
      <c r="E408" s="25"/>
      <c r="F408" s="26"/>
      <c r="G408" s="25"/>
      <c r="I408" s="114"/>
      <c r="J408" s="114"/>
    </row>
    <row r="409" spans="1:10" hidden="1">
      <c r="A409" s="22">
        <v>419328</v>
      </c>
      <c r="B409" s="21" t="s">
        <v>118</v>
      </c>
      <c r="C409" s="23" t="s">
        <v>53</v>
      </c>
      <c r="D409" s="24"/>
      <c r="E409" s="25"/>
      <c r="F409" s="26"/>
      <c r="G409" s="25"/>
      <c r="I409" s="114"/>
      <c r="J409" s="114"/>
    </row>
    <row r="410" spans="1:10">
      <c r="A410" s="28"/>
      <c r="B410" s="41"/>
      <c r="C410" s="42"/>
      <c r="D410" s="41"/>
      <c r="E410" s="43"/>
      <c r="F410" s="44">
        <f>SUM(F398:F409)</f>
        <v>-186745.31</v>
      </c>
      <c r="G410" s="43"/>
    </row>
    <row r="411" spans="1:10">
      <c r="A411" s="45"/>
      <c r="B411" s="52"/>
      <c r="C411" s="45"/>
      <c r="D411" s="45"/>
      <c r="E411" s="47"/>
      <c r="F411" s="48">
        <f>F397+F410</f>
        <v>-250914.14</v>
      </c>
      <c r="G411" s="47"/>
    </row>
    <row r="412" spans="1:10" ht="16.5" customHeight="1">
      <c r="A412" s="22">
        <v>431328</v>
      </c>
      <c r="B412" s="21" t="s">
        <v>119</v>
      </c>
      <c r="C412" s="23" t="s">
        <v>52</v>
      </c>
      <c r="D412" s="24" t="s">
        <v>275</v>
      </c>
      <c r="E412" s="25">
        <v>0</v>
      </c>
      <c r="F412" s="26">
        <v>108888.13</v>
      </c>
      <c r="G412" s="25">
        <v>108888.13</v>
      </c>
      <c r="I412" s="114">
        <f>'Interest Reconciliation'!E5</f>
        <v>108888.13</v>
      </c>
      <c r="J412" s="114">
        <f t="shared" ref="J412:J423" si="17">I412-F412</f>
        <v>0</v>
      </c>
    </row>
    <row r="413" spans="1:10" ht="16.5" customHeight="1">
      <c r="A413" s="22">
        <v>431328</v>
      </c>
      <c r="B413" s="21" t="s">
        <v>119</v>
      </c>
      <c r="C413" s="23" t="s">
        <v>52</v>
      </c>
      <c r="D413" s="24" t="s">
        <v>276</v>
      </c>
      <c r="E413" s="25">
        <v>108888.13</v>
      </c>
      <c r="F413" s="26">
        <v>112295.62</v>
      </c>
      <c r="G413" s="25">
        <v>221183.75</v>
      </c>
      <c r="I413" s="114">
        <f>'Interest Reconciliation'!E6</f>
        <v>112295.62</v>
      </c>
      <c r="J413" s="114">
        <f t="shared" si="17"/>
        <v>0</v>
      </c>
    </row>
    <row r="414" spans="1:10" ht="16.5" customHeight="1">
      <c r="A414" s="22">
        <v>431328</v>
      </c>
      <c r="B414" s="21" t="s">
        <v>119</v>
      </c>
      <c r="C414" s="23" t="s">
        <v>52</v>
      </c>
      <c r="D414" s="24" t="s">
        <v>277</v>
      </c>
      <c r="E414" s="25">
        <v>221183.75</v>
      </c>
      <c r="F414" s="26">
        <v>113946.82</v>
      </c>
      <c r="G414" s="25">
        <v>335130.57</v>
      </c>
      <c r="I414" s="114">
        <f>'Interest Reconciliation'!E7</f>
        <v>113946.82</v>
      </c>
      <c r="J414" s="114">
        <f t="shared" si="17"/>
        <v>0</v>
      </c>
    </row>
    <row r="415" spans="1:10" ht="16.5" customHeight="1">
      <c r="A415" s="22">
        <v>431328</v>
      </c>
      <c r="B415" s="21" t="s">
        <v>119</v>
      </c>
      <c r="C415" s="23" t="s">
        <v>52</v>
      </c>
      <c r="D415" s="24" t="s">
        <v>286</v>
      </c>
      <c r="E415" s="25">
        <v>335130.57</v>
      </c>
      <c r="F415" s="26">
        <v>136942.19</v>
      </c>
      <c r="G415" s="25">
        <v>472072.76</v>
      </c>
      <c r="I415" s="114">
        <f>'Interest Reconciliation'!E8</f>
        <v>136942.19</v>
      </c>
      <c r="J415" s="114">
        <f t="shared" si="17"/>
        <v>0</v>
      </c>
    </row>
    <row r="416" spans="1:10" ht="16.5" customHeight="1">
      <c r="A416" s="22">
        <v>431328</v>
      </c>
      <c r="B416" s="21" t="s">
        <v>119</v>
      </c>
      <c r="C416" s="23" t="s">
        <v>52</v>
      </c>
      <c r="D416" s="24" t="s">
        <v>287</v>
      </c>
      <c r="E416" s="25">
        <v>472072.76</v>
      </c>
      <c r="F416" s="26">
        <v>134175.14000000001</v>
      </c>
      <c r="G416" s="25">
        <v>606247.9</v>
      </c>
      <c r="I416" s="114">
        <f>'Interest Reconciliation'!E9</f>
        <v>134175.14000000001</v>
      </c>
      <c r="J416" s="114">
        <f t="shared" si="17"/>
        <v>0</v>
      </c>
    </row>
    <row r="417" spans="1:10" ht="16.5" customHeight="1">
      <c r="A417" s="22">
        <v>431328</v>
      </c>
      <c r="B417" s="21" t="s">
        <v>119</v>
      </c>
      <c r="C417" s="23" t="s">
        <v>52</v>
      </c>
      <c r="D417" s="24" t="s">
        <v>288</v>
      </c>
      <c r="E417" s="25">
        <v>606247.9</v>
      </c>
      <c r="F417" s="26">
        <v>136557.29</v>
      </c>
      <c r="G417" s="25">
        <v>742805.19</v>
      </c>
      <c r="I417" s="114">
        <f>'Interest Reconciliation'!E10</f>
        <v>136557.29</v>
      </c>
      <c r="J417" s="114">
        <f t="shared" si="17"/>
        <v>0</v>
      </c>
    </row>
    <row r="418" spans="1:10" ht="16.5" hidden="1" customHeight="1">
      <c r="A418" s="22">
        <v>431328</v>
      </c>
      <c r="B418" s="21" t="s">
        <v>119</v>
      </c>
      <c r="C418" s="23" t="s">
        <v>52</v>
      </c>
      <c r="D418" s="24"/>
      <c r="E418" s="25"/>
      <c r="F418" s="26"/>
      <c r="G418" s="25"/>
      <c r="I418" s="114">
        <f>'Interest Reconciliation'!E11</f>
        <v>0</v>
      </c>
      <c r="J418" s="114">
        <f t="shared" si="17"/>
        <v>0</v>
      </c>
    </row>
    <row r="419" spans="1:10" ht="16.5" hidden="1" customHeight="1">
      <c r="A419" s="22">
        <v>431328</v>
      </c>
      <c r="B419" s="21" t="s">
        <v>119</v>
      </c>
      <c r="C419" s="23" t="s">
        <v>52</v>
      </c>
      <c r="D419" s="24"/>
      <c r="E419" s="25"/>
      <c r="F419" s="26"/>
      <c r="G419" s="25"/>
      <c r="I419" s="114">
        <f>'Interest Reconciliation'!E12</f>
        <v>0</v>
      </c>
      <c r="J419" s="114">
        <f t="shared" si="17"/>
        <v>0</v>
      </c>
    </row>
    <row r="420" spans="1:10" ht="16.5" hidden="1" customHeight="1">
      <c r="A420" s="22">
        <v>431328</v>
      </c>
      <c r="B420" s="21" t="s">
        <v>119</v>
      </c>
      <c r="C420" s="23" t="s">
        <v>52</v>
      </c>
      <c r="D420" s="24"/>
      <c r="E420" s="25"/>
      <c r="F420" s="26"/>
      <c r="G420" s="25"/>
      <c r="I420" s="114">
        <f>'Interest Reconciliation'!E13</f>
        <v>0</v>
      </c>
      <c r="J420" s="114">
        <f t="shared" si="17"/>
        <v>0</v>
      </c>
    </row>
    <row r="421" spans="1:10" ht="16.5" hidden="1" customHeight="1">
      <c r="A421" s="22">
        <v>431328</v>
      </c>
      <c r="B421" s="21" t="s">
        <v>119</v>
      </c>
      <c r="C421" s="23" t="s">
        <v>52</v>
      </c>
      <c r="D421" s="24"/>
      <c r="E421" s="25"/>
      <c r="F421" s="26"/>
      <c r="G421" s="25"/>
      <c r="I421" s="114">
        <f>'Interest Reconciliation'!E14</f>
        <v>0</v>
      </c>
      <c r="J421" s="114">
        <f t="shared" si="17"/>
        <v>0</v>
      </c>
    </row>
    <row r="422" spans="1:10" ht="16.5" hidden="1" customHeight="1">
      <c r="A422" s="22">
        <v>431328</v>
      </c>
      <c r="B422" s="21" t="s">
        <v>119</v>
      </c>
      <c r="C422" s="23" t="s">
        <v>52</v>
      </c>
      <c r="D422" s="24"/>
      <c r="E422" s="25"/>
      <c r="F422" s="26"/>
      <c r="G422" s="25"/>
      <c r="I422" s="114">
        <f>'Interest Reconciliation'!E15</f>
        <v>0</v>
      </c>
      <c r="J422" s="114">
        <f t="shared" si="17"/>
        <v>0</v>
      </c>
    </row>
    <row r="423" spans="1:10" ht="16.5" hidden="1" customHeight="1">
      <c r="A423" s="22">
        <v>431328</v>
      </c>
      <c r="B423" s="21" t="s">
        <v>119</v>
      </c>
      <c r="C423" s="23" t="s">
        <v>52</v>
      </c>
      <c r="D423" s="24"/>
      <c r="E423" s="25"/>
      <c r="F423" s="26"/>
      <c r="G423" s="25"/>
      <c r="I423" s="114">
        <f>'Interest Reconciliation'!E16</f>
        <v>0</v>
      </c>
      <c r="J423" s="114">
        <f t="shared" si="17"/>
        <v>0</v>
      </c>
    </row>
    <row r="424" spans="1:10" ht="16.5" customHeight="1">
      <c r="A424" s="27"/>
      <c r="B424" s="41"/>
      <c r="C424" s="42"/>
      <c r="D424" s="41"/>
      <c r="E424" s="43"/>
      <c r="F424" s="44">
        <f>SUM(F412:F423)</f>
        <v>742805.19000000006</v>
      </c>
      <c r="G424" s="43"/>
    </row>
    <row r="425" spans="1:10" ht="16.5" customHeight="1">
      <c r="A425" s="22">
        <v>431328</v>
      </c>
      <c r="B425" s="21" t="s">
        <v>119</v>
      </c>
      <c r="C425" s="23" t="s">
        <v>53</v>
      </c>
      <c r="D425" s="24" t="s">
        <v>275</v>
      </c>
      <c r="E425" s="25">
        <v>0</v>
      </c>
      <c r="F425" s="26">
        <v>14030.92</v>
      </c>
      <c r="G425" s="25">
        <v>14030.92</v>
      </c>
      <c r="I425" s="114">
        <f>'Interest Reconciliation'!N5</f>
        <v>14030.92</v>
      </c>
      <c r="J425" s="114">
        <f t="shared" ref="J425:J436" si="18">I425-F425</f>
        <v>0</v>
      </c>
    </row>
    <row r="426" spans="1:10" ht="16.5" customHeight="1">
      <c r="A426" s="22">
        <v>431328</v>
      </c>
      <c r="B426" s="21" t="s">
        <v>119</v>
      </c>
      <c r="C426" s="23" t="s">
        <v>53</v>
      </c>
      <c r="D426" s="24" t="s">
        <v>276</v>
      </c>
      <c r="E426" s="25">
        <v>14030.92</v>
      </c>
      <c r="F426" s="26">
        <v>27472.79</v>
      </c>
      <c r="G426" s="25">
        <v>41503.71</v>
      </c>
      <c r="I426" s="114">
        <f>'Interest Reconciliation'!N6</f>
        <v>27472.79</v>
      </c>
      <c r="J426" s="114">
        <f t="shared" si="18"/>
        <v>0</v>
      </c>
    </row>
    <row r="427" spans="1:10" ht="16.5" customHeight="1">
      <c r="A427" s="22">
        <v>431328</v>
      </c>
      <c r="B427" s="21" t="s">
        <v>119</v>
      </c>
      <c r="C427" s="23" t="s">
        <v>53</v>
      </c>
      <c r="D427" s="24" t="s">
        <v>277</v>
      </c>
      <c r="E427" s="25">
        <v>41503.71</v>
      </c>
      <c r="F427" s="26">
        <v>33179.65</v>
      </c>
      <c r="G427" s="25">
        <v>74683.360000000001</v>
      </c>
      <c r="I427" s="114">
        <f>'Interest Reconciliation'!N7</f>
        <v>33179.65</v>
      </c>
      <c r="J427" s="114">
        <f t="shared" si="18"/>
        <v>0</v>
      </c>
    </row>
    <row r="428" spans="1:10" ht="16.5" customHeight="1">
      <c r="A428" s="22">
        <v>431328</v>
      </c>
      <c r="B428" s="21" t="s">
        <v>119</v>
      </c>
      <c r="C428" s="23" t="s">
        <v>53</v>
      </c>
      <c r="D428" s="24" t="s">
        <v>286</v>
      </c>
      <c r="E428" s="25">
        <v>74683.360000000001</v>
      </c>
      <c r="F428" s="26">
        <v>40348.269999999997</v>
      </c>
      <c r="G428" s="25">
        <v>115031.63</v>
      </c>
      <c r="I428" s="114">
        <f>'Interest Reconciliation'!N8</f>
        <v>40348.269999999997</v>
      </c>
      <c r="J428" s="114">
        <f t="shared" si="18"/>
        <v>0</v>
      </c>
    </row>
    <row r="429" spans="1:10" ht="16.5" customHeight="1">
      <c r="A429" s="22">
        <v>431328</v>
      </c>
      <c r="B429" s="21" t="s">
        <v>119</v>
      </c>
      <c r="C429" s="23" t="s">
        <v>53</v>
      </c>
      <c r="D429" s="24" t="s">
        <v>287</v>
      </c>
      <c r="E429" s="25">
        <v>115031.63</v>
      </c>
      <c r="F429" s="26">
        <v>34908.660000000003</v>
      </c>
      <c r="G429" s="25">
        <v>149940.29</v>
      </c>
      <c r="I429" s="114">
        <f>'Interest Reconciliation'!N9</f>
        <v>34908.660000000003</v>
      </c>
      <c r="J429" s="114">
        <f t="shared" si="18"/>
        <v>0</v>
      </c>
    </row>
    <row r="430" spans="1:10" ht="16.5" customHeight="1">
      <c r="A430" s="22">
        <v>431328</v>
      </c>
      <c r="B430" s="21" t="s">
        <v>119</v>
      </c>
      <c r="C430" s="23" t="s">
        <v>53</v>
      </c>
      <c r="D430" s="24" t="s">
        <v>288</v>
      </c>
      <c r="E430" s="25">
        <v>149940.29</v>
      </c>
      <c r="F430" s="26">
        <v>25646.53</v>
      </c>
      <c r="G430" s="25">
        <v>175586.82</v>
      </c>
      <c r="I430" s="114">
        <f>'Interest Reconciliation'!N10</f>
        <v>25646.53</v>
      </c>
      <c r="J430" s="114">
        <f t="shared" si="18"/>
        <v>0</v>
      </c>
    </row>
    <row r="431" spans="1:10" ht="16.5" hidden="1" customHeight="1">
      <c r="A431" s="22">
        <v>431328</v>
      </c>
      <c r="B431" s="21" t="s">
        <v>119</v>
      </c>
      <c r="C431" s="23" t="s">
        <v>53</v>
      </c>
      <c r="D431" s="24"/>
      <c r="E431" s="25"/>
      <c r="F431" s="26"/>
      <c r="G431" s="25"/>
      <c r="I431" s="114">
        <f>'Interest Reconciliation'!N11</f>
        <v>0</v>
      </c>
      <c r="J431" s="114">
        <f t="shared" si="18"/>
        <v>0</v>
      </c>
    </row>
    <row r="432" spans="1:10" ht="16.5" hidden="1" customHeight="1">
      <c r="A432" s="22">
        <v>431328</v>
      </c>
      <c r="B432" s="21" t="s">
        <v>119</v>
      </c>
      <c r="C432" s="23" t="s">
        <v>53</v>
      </c>
      <c r="D432" s="24"/>
      <c r="E432" s="25"/>
      <c r="F432" s="26"/>
      <c r="G432" s="25"/>
      <c r="I432" s="114">
        <f>'Interest Reconciliation'!N12</f>
        <v>0</v>
      </c>
      <c r="J432" s="114">
        <f t="shared" si="18"/>
        <v>0</v>
      </c>
    </row>
    <row r="433" spans="1:10" ht="16.5" hidden="1" customHeight="1">
      <c r="A433" s="22">
        <v>431328</v>
      </c>
      <c r="B433" s="21" t="s">
        <v>119</v>
      </c>
      <c r="C433" s="23" t="s">
        <v>53</v>
      </c>
      <c r="D433" s="24"/>
      <c r="E433" s="25"/>
      <c r="F433" s="26"/>
      <c r="G433" s="25"/>
      <c r="I433" s="114">
        <f>'Interest Reconciliation'!N13</f>
        <v>0</v>
      </c>
      <c r="J433" s="114">
        <f t="shared" si="18"/>
        <v>0</v>
      </c>
    </row>
    <row r="434" spans="1:10" ht="16.5" hidden="1" customHeight="1">
      <c r="A434" s="22">
        <v>431328</v>
      </c>
      <c r="B434" s="21" t="s">
        <v>119</v>
      </c>
      <c r="C434" s="23" t="s">
        <v>53</v>
      </c>
      <c r="D434" s="24"/>
      <c r="E434" s="25"/>
      <c r="F434" s="26"/>
      <c r="G434" s="25"/>
      <c r="I434" s="114">
        <f>'Interest Reconciliation'!N14</f>
        <v>0</v>
      </c>
      <c r="J434" s="114">
        <f t="shared" si="18"/>
        <v>0</v>
      </c>
    </row>
    <row r="435" spans="1:10" ht="16.5" hidden="1" customHeight="1">
      <c r="A435" s="22">
        <v>431328</v>
      </c>
      <c r="B435" s="21" t="s">
        <v>119</v>
      </c>
      <c r="C435" s="23" t="s">
        <v>53</v>
      </c>
      <c r="D435" s="24"/>
      <c r="E435" s="25"/>
      <c r="F435" s="26"/>
      <c r="G435" s="25"/>
      <c r="I435" s="114">
        <f>'Interest Reconciliation'!N15</f>
        <v>0</v>
      </c>
      <c r="J435" s="114">
        <f t="shared" si="18"/>
        <v>0</v>
      </c>
    </row>
    <row r="436" spans="1:10" ht="16.5" hidden="1" customHeight="1">
      <c r="A436" s="22">
        <v>431328</v>
      </c>
      <c r="B436" s="21" t="s">
        <v>119</v>
      </c>
      <c r="C436" s="23" t="s">
        <v>53</v>
      </c>
      <c r="D436" s="24"/>
      <c r="E436" s="25"/>
      <c r="F436" s="26"/>
      <c r="G436" s="25"/>
      <c r="I436" s="114">
        <f>'Interest Reconciliation'!N16</f>
        <v>0</v>
      </c>
      <c r="J436" s="114">
        <f t="shared" si="18"/>
        <v>0</v>
      </c>
    </row>
    <row r="437" spans="1:10" ht="16.5" customHeight="1">
      <c r="A437" s="28"/>
      <c r="B437" s="41"/>
      <c r="C437" s="42"/>
      <c r="D437" s="41"/>
      <c r="E437" s="43"/>
      <c r="F437" s="44">
        <f>SUM(F425:F436)</f>
        <v>175586.82</v>
      </c>
      <c r="G437" s="43"/>
    </row>
    <row r="438" spans="1:10" ht="16.5" customHeight="1">
      <c r="A438" s="45"/>
      <c r="B438" s="52"/>
      <c r="C438" s="45"/>
      <c r="D438" s="45"/>
      <c r="E438" s="47"/>
      <c r="F438" s="48">
        <f>F424+F437</f>
        <v>918392.01</v>
      </c>
      <c r="G438" s="47"/>
    </row>
    <row r="439" spans="1:10">
      <c r="A439" s="53"/>
      <c r="B439" s="53"/>
      <c r="C439" s="53"/>
      <c r="D439" s="53"/>
      <c r="E439" s="54"/>
      <c r="F439" s="55">
        <f>F411+F438</f>
        <v>667477.87</v>
      </c>
      <c r="G439" s="54"/>
    </row>
    <row r="440" spans="1:10">
      <c r="A440" s="75"/>
      <c r="B440" s="75"/>
      <c r="C440" s="75"/>
      <c r="D440" s="75"/>
      <c r="E440" s="76"/>
      <c r="F440" s="77"/>
      <c r="G440" s="76"/>
    </row>
    <row r="441" spans="1:10" ht="14.45" customHeight="1">
      <c r="A441" s="229" t="s">
        <v>285</v>
      </c>
      <c r="B441" s="229"/>
      <c r="C441" s="229"/>
      <c r="D441" s="229"/>
      <c r="E441" s="229"/>
      <c r="F441" s="229"/>
      <c r="G441" s="229"/>
    </row>
    <row r="442" spans="1:10">
      <c r="A442" s="20" t="s">
        <v>42</v>
      </c>
    </row>
    <row r="444" spans="1:10" ht="26.25">
      <c r="A444" s="49" t="s">
        <v>43</v>
      </c>
      <c r="B444" s="50" t="s">
        <v>44</v>
      </c>
      <c r="C444" s="51" t="s">
        <v>45</v>
      </c>
      <c r="D444" s="49" t="s">
        <v>46</v>
      </c>
      <c r="E444" s="49" t="s">
        <v>47</v>
      </c>
      <c r="F444" s="49" t="s">
        <v>48</v>
      </c>
      <c r="G444" s="49" t="s">
        <v>49</v>
      </c>
    </row>
    <row r="445" spans="1:10">
      <c r="A445" s="22" t="s">
        <v>67</v>
      </c>
      <c r="B445" s="21" t="s">
        <v>68</v>
      </c>
      <c r="C445" s="23" t="s">
        <v>52</v>
      </c>
      <c r="D445" s="24" t="s">
        <v>275</v>
      </c>
      <c r="E445" s="25">
        <v>0</v>
      </c>
      <c r="F445" s="26">
        <v>0</v>
      </c>
      <c r="G445" s="25">
        <v>0</v>
      </c>
    </row>
    <row r="446" spans="1:10">
      <c r="A446" s="22" t="s">
        <v>67</v>
      </c>
      <c r="B446" s="21" t="s">
        <v>68</v>
      </c>
      <c r="C446" s="23" t="s">
        <v>52</v>
      </c>
      <c r="D446" s="24" t="s">
        <v>276</v>
      </c>
      <c r="E446" s="25">
        <v>0</v>
      </c>
      <c r="F446" s="26">
        <v>0</v>
      </c>
      <c r="G446" s="25">
        <v>0</v>
      </c>
    </row>
    <row r="447" spans="1:10">
      <c r="A447" s="22" t="s">
        <v>67</v>
      </c>
      <c r="B447" s="21" t="s">
        <v>68</v>
      </c>
      <c r="C447" s="23" t="s">
        <v>52</v>
      </c>
      <c r="D447" s="24" t="s">
        <v>277</v>
      </c>
      <c r="E447" s="25">
        <v>0</v>
      </c>
      <c r="F447" s="26">
        <v>0</v>
      </c>
      <c r="G447" s="25">
        <v>0</v>
      </c>
    </row>
    <row r="448" spans="1:10">
      <c r="A448" s="22" t="s">
        <v>67</v>
      </c>
      <c r="B448" s="21" t="s">
        <v>68</v>
      </c>
      <c r="C448" s="23" t="s">
        <v>52</v>
      </c>
      <c r="D448" s="24" t="s">
        <v>286</v>
      </c>
      <c r="E448" s="25">
        <v>0</v>
      </c>
      <c r="F448" s="26">
        <v>0</v>
      </c>
      <c r="G448" s="25">
        <v>0</v>
      </c>
    </row>
    <row r="449" spans="1:7">
      <c r="A449" s="22" t="s">
        <v>67</v>
      </c>
      <c r="B449" s="21" t="s">
        <v>68</v>
      </c>
      <c r="C449" s="23" t="s">
        <v>52</v>
      </c>
      <c r="D449" s="24" t="s">
        <v>287</v>
      </c>
      <c r="E449" s="25">
        <v>0</v>
      </c>
      <c r="F449" s="26">
        <v>0</v>
      </c>
      <c r="G449" s="25">
        <v>0</v>
      </c>
    </row>
    <row r="450" spans="1:7">
      <c r="A450" s="22" t="s">
        <v>67</v>
      </c>
      <c r="B450" s="21" t="s">
        <v>68</v>
      </c>
      <c r="C450" s="23" t="s">
        <v>52</v>
      </c>
      <c r="D450" s="24" t="s">
        <v>288</v>
      </c>
      <c r="E450" s="25">
        <v>0</v>
      </c>
      <c r="F450" s="26">
        <v>0</v>
      </c>
      <c r="G450" s="25">
        <v>0</v>
      </c>
    </row>
    <row r="451" spans="1:7" hidden="1">
      <c r="A451" s="22" t="s">
        <v>67</v>
      </c>
      <c r="B451" s="21" t="s">
        <v>68</v>
      </c>
      <c r="C451" s="23" t="s">
        <v>52</v>
      </c>
      <c r="D451" s="24"/>
      <c r="E451" s="25"/>
      <c r="F451" s="26"/>
      <c r="G451" s="25"/>
    </row>
    <row r="452" spans="1:7" hidden="1">
      <c r="A452" s="22" t="s">
        <v>67</v>
      </c>
      <c r="B452" s="21" t="s">
        <v>68</v>
      </c>
      <c r="C452" s="23" t="s">
        <v>52</v>
      </c>
      <c r="D452" s="24"/>
      <c r="E452" s="25"/>
      <c r="F452" s="26"/>
      <c r="G452" s="25"/>
    </row>
    <row r="453" spans="1:7" hidden="1">
      <c r="A453" s="22" t="s">
        <v>67</v>
      </c>
      <c r="B453" s="21" t="s">
        <v>68</v>
      </c>
      <c r="C453" s="23" t="s">
        <v>52</v>
      </c>
      <c r="D453" s="24"/>
      <c r="E453" s="25"/>
      <c r="F453" s="26"/>
      <c r="G453" s="25"/>
    </row>
    <row r="454" spans="1:7" hidden="1">
      <c r="A454" s="22" t="s">
        <v>67</v>
      </c>
      <c r="B454" s="21" t="s">
        <v>68</v>
      </c>
      <c r="C454" s="23" t="s">
        <v>52</v>
      </c>
      <c r="D454" s="24"/>
      <c r="E454" s="25"/>
      <c r="F454" s="26"/>
      <c r="G454" s="25"/>
    </row>
    <row r="455" spans="1:7" hidden="1">
      <c r="A455" s="22" t="s">
        <v>67</v>
      </c>
      <c r="B455" s="21" t="s">
        <v>68</v>
      </c>
      <c r="C455" s="23" t="s">
        <v>52</v>
      </c>
      <c r="D455" s="24"/>
      <c r="E455" s="25"/>
      <c r="F455" s="26"/>
      <c r="G455" s="25"/>
    </row>
    <row r="456" spans="1:7" hidden="1">
      <c r="A456" s="22" t="s">
        <v>67</v>
      </c>
      <c r="B456" s="21" t="s">
        <v>68</v>
      </c>
      <c r="C456" s="23" t="s">
        <v>52</v>
      </c>
      <c r="D456" s="24"/>
      <c r="E456" s="25"/>
      <c r="F456" s="26"/>
      <c r="G456" s="25"/>
    </row>
    <row r="457" spans="1:7">
      <c r="A457" s="27"/>
      <c r="B457" s="41"/>
      <c r="C457" s="42"/>
      <c r="D457" s="41"/>
      <c r="E457" s="43"/>
      <c r="F457" s="44">
        <f>SUM(F445:F456)</f>
        <v>0</v>
      </c>
      <c r="G457" s="43"/>
    </row>
    <row r="458" spans="1:7">
      <c r="A458" s="22" t="s">
        <v>67</v>
      </c>
      <c r="B458" s="21" t="s">
        <v>68</v>
      </c>
      <c r="C458" s="23" t="s">
        <v>53</v>
      </c>
      <c r="D458" s="24" t="s">
        <v>275</v>
      </c>
      <c r="E458" s="25">
        <v>0</v>
      </c>
      <c r="F458" s="26">
        <v>0</v>
      </c>
      <c r="G458" s="25">
        <v>0</v>
      </c>
    </row>
    <row r="459" spans="1:7">
      <c r="A459" s="22" t="s">
        <v>67</v>
      </c>
      <c r="B459" s="21" t="s">
        <v>68</v>
      </c>
      <c r="C459" s="23" t="s">
        <v>53</v>
      </c>
      <c r="D459" s="24" t="s">
        <v>276</v>
      </c>
      <c r="E459" s="25">
        <v>0</v>
      </c>
      <c r="F459" s="26">
        <v>0</v>
      </c>
      <c r="G459" s="25">
        <v>0</v>
      </c>
    </row>
    <row r="460" spans="1:7">
      <c r="A460" s="22" t="s">
        <v>67</v>
      </c>
      <c r="B460" s="21" t="s">
        <v>68</v>
      </c>
      <c r="C460" s="23" t="s">
        <v>53</v>
      </c>
      <c r="D460" s="24" t="s">
        <v>277</v>
      </c>
      <c r="E460" s="25">
        <v>0</v>
      </c>
      <c r="F460" s="26">
        <v>0</v>
      </c>
      <c r="G460" s="25">
        <v>0</v>
      </c>
    </row>
    <row r="461" spans="1:7">
      <c r="A461" s="22" t="s">
        <v>67</v>
      </c>
      <c r="B461" s="21" t="s">
        <v>68</v>
      </c>
      <c r="C461" s="23" t="s">
        <v>53</v>
      </c>
      <c r="D461" s="24" t="s">
        <v>286</v>
      </c>
      <c r="E461" s="25">
        <v>0</v>
      </c>
      <c r="F461" s="26">
        <v>0</v>
      </c>
      <c r="G461" s="25">
        <v>0</v>
      </c>
    </row>
    <row r="462" spans="1:7">
      <c r="A462" s="22" t="s">
        <v>67</v>
      </c>
      <c r="B462" s="21" t="s">
        <v>68</v>
      </c>
      <c r="C462" s="23" t="s">
        <v>53</v>
      </c>
      <c r="D462" s="24" t="s">
        <v>287</v>
      </c>
      <c r="E462" s="25">
        <v>0</v>
      </c>
      <c r="F462" s="26">
        <v>0</v>
      </c>
      <c r="G462" s="25">
        <v>0</v>
      </c>
    </row>
    <row r="463" spans="1:7">
      <c r="A463" s="22" t="s">
        <v>67</v>
      </c>
      <c r="B463" s="21" t="s">
        <v>68</v>
      </c>
      <c r="C463" s="23" t="s">
        <v>53</v>
      </c>
      <c r="D463" s="24" t="s">
        <v>288</v>
      </c>
      <c r="E463" s="25">
        <v>0</v>
      </c>
      <c r="F463" s="26">
        <v>0</v>
      </c>
      <c r="G463" s="25">
        <v>0</v>
      </c>
    </row>
    <row r="464" spans="1:7" hidden="1">
      <c r="A464" s="22" t="s">
        <v>67</v>
      </c>
      <c r="B464" s="21" t="s">
        <v>68</v>
      </c>
      <c r="C464" s="23" t="s">
        <v>53</v>
      </c>
      <c r="D464" s="24"/>
      <c r="E464" s="25"/>
      <c r="F464" s="26"/>
      <c r="G464" s="25"/>
    </row>
    <row r="465" spans="1:7" hidden="1">
      <c r="A465" s="22" t="s">
        <v>67</v>
      </c>
      <c r="B465" s="21" t="s">
        <v>68</v>
      </c>
      <c r="C465" s="23" t="s">
        <v>53</v>
      </c>
      <c r="D465" s="24"/>
      <c r="E465" s="25"/>
      <c r="F465" s="26"/>
      <c r="G465" s="25"/>
    </row>
    <row r="466" spans="1:7" hidden="1">
      <c r="A466" s="22" t="s">
        <v>67</v>
      </c>
      <c r="B466" s="21" t="s">
        <v>68</v>
      </c>
      <c r="C466" s="23" t="s">
        <v>53</v>
      </c>
      <c r="D466" s="24"/>
      <c r="E466" s="25"/>
      <c r="F466" s="26"/>
      <c r="G466" s="25"/>
    </row>
    <row r="467" spans="1:7" hidden="1">
      <c r="A467" s="22" t="s">
        <v>67</v>
      </c>
      <c r="B467" s="21" t="s">
        <v>68</v>
      </c>
      <c r="C467" s="23" t="s">
        <v>53</v>
      </c>
      <c r="D467" s="24"/>
      <c r="E467" s="25"/>
      <c r="F467" s="26"/>
      <c r="G467" s="25"/>
    </row>
    <row r="468" spans="1:7" hidden="1">
      <c r="A468" s="22" t="s">
        <v>67</v>
      </c>
      <c r="B468" s="21" t="s">
        <v>68</v>
      </c>
      <c r="C468" s="23" t="s">
        <v>53</v>
      </c>
      <c r="D468" s="24"/>
      <c r="E468" s="25"/>
      <c r="F468" s="26"/>
      <c r="G468" s="25"/>
    </row>
    <row r="469" spans="1:7" hidden="1">
      <c r="A469" s="22" t="s">
        <v>67</v>
      </c>
      <c r="B469" s="21" t="s">
        <v>68</v>
      </c>
      <c r="C469" s="23" t="s">
        <v>53</v>
      </c>
      <c r="D469" s="24"/>
      <c r="E469" s="25"/>
      <c r="F469" s="26"/>
      <c r="G469" s="25"/>
    </row>
    <row r="470" spans="1:7">
      <c r="A470" s="28"/>
      <c r="B470" s="41"/>
      <c r="C470" s="42"/>
      <c r="D470" s="41"/>
      <c r="E470" s="43"/>
      <c r="F470" s="44">
        <f>SUM(F458:F469)</f>
        <v>0</v>
      </c>
      <c r="G470" s="43"/>
    </row>
    <row r="471" spans="1:7">
      <c r="A471" s="90"/>
      <c r="B471" s="52" t="s">
        <v>115</v>
      </c>
      <c r="C471" s="45"/>
      <c r="D471" s="45"/>
      <c r="E471" s="47"/>
      <c r="F471" s="48">
        <f>F457+F470</f>
        <v>0</v>
      </c>
      <c r="G471" s="47"/>
    </row>
    <row r="472" spans="1:7">
      <c r="A472" s="97" t="s">
        <v>112</v>
      </c>
      <c r="B472" s="21" t="s">
        <v>113</v>
      </c>
      <c r="C472" s="23" t="s">
        <v>52</v>
      </c>
      <c r="D472" s="24" t="s">
        <v>275</v>
      </c>
      <c r="E472" s="25">
        <v>0</v>
      </c>
      <c r="F472" s="26">
        <v>0</v>
      </c>
      <c r="G472" s="25">
        <v>0</v>
      </c>
    </row>
    <row r="473" spans="1:7">
      <c r="A473" s="97" t="s">
        <v>112</v>
      </c>
      <c r="B473" s="21" t="s">
        <v>113</v>
      </c>
      <c r="C473" s="23" t="s">
        <v>52</v>
      </c>
      <c r="D473" s="24" t="s">
        <v>276</v>
      </c>
      <c r="E473" s="25">
        <v>0</v>
      </c>
      <c r="F473" s="26">
        <v>0</v>
      </c>
      <c r="G473" s="25">
        <v>0</v>
      </c>
    </row>
    <row r="474" spans="1:7">
      <c r="A474" s="97" t="s">
        <v>112</v>
      </c>
      <c r="B474" s="21" t="s">
        <v>113</v>
      </c>
      <c r="C474" s="23" t="s">
        <v>52</v>
      </c>
      <c r="D474" s="24" t="s">
        <v>277</v>
      </c>
      <c r="E474" s="25">
        <v>0</v>
      </c>
      <c r="F474" s="26">
        <v>0</v>
      </c>
      <c r="G474" s="25">
        <v>0</v>
      </c>
    </row>
    <row r="475" spans="1:7">
      <c r="A475" s="97" t="s">
        <v>112</v>
      </c>
      <c r="B475" s="21" t="s">
        <v>113</v>
      </c>
      <c r="C475" s="23" t="s">
        <v>52</v>
      </c>
      <c r="D475" s="24" t="s">
        <v>286</v>
      </c>
      <c r="E475" s="25">
        <v>0</v>
      </c>
      <c r="F475" s="26">
        <v>0</v>
      </c>
      <c r="G475" s="25">
        <v>0</v>
      </c>
    </row>
    <row r="476" spans="1:7">
      <c r="A476" s="97" t="s">
        <v>112</v>
      </c>
      <c r="B476" s="21" t="s">
        <v>113</v>
      </c>
      <c r="C476" s="23" t="s">
        <v>52</v>
      </c>
      <c r="D476" s="24" t="s">
        <v>287</v>
      </c>
      <c r="E476" s="25">
        <v>0</v>
      </c>
      <c r="F476" s="26">
        <v>0</v>
      </c>
      <c r="G476" s="25">
        <v>0</v>
      </c>
    </row>
    <row r="477" spans="1:7">
      <c r="A477" s="97" t="s">
        <v>112</v>
      </c>
      <c r="B477" s="21" t="s">
        <v>113</v>
      </c>
      <c r="C477" s="23" t="s">
        <v>52</v>
      </c>
      <c r="D477" s="24" t="s">
        <v>288</v>
      </c>
      <c r="E477" s="25">
        <v>0</v>
      </c>
      <c r="F477" s="26">
        <v>0</v>
      </c>
      <c r="G477" s="25">
        <v>0</v>
      </c>
    </row>
    <row r="478" spans="1:7" hidden="1">
      <c r="A478" s="97" t="s">
        <v>112</v>
      </c>
      <c r="B478" s="21" t="s">
        <v>113</v>
      </c>
      <c r="C478" s="23" t="s">
        <v>52</v>
      </c>
      <c r="D478" s="24"/>
      <c r="E478" s="25"/>
      <c r="F478" s="26"/>
      <c r="G478" s="25"/>
    </row>
    <row r="479" spans="1:7" hidden="1">
      <c r="A479" s="97" t="s">
        <v>112</v>
      </c>
      <c r="B479" s="21" t="s">
        <v>113</v>
      </c>
      <c r="C479" s="23" t="s">
        <v>52</v>
      </c>
      <c r="D479" s="24"/>
      <c r="E479" s="25"/>
      <c r="F479" s="26"/>
      <c r="G479" s="25"/>
    </row>
    <row r="480" spans="1:7" hidden="1">
      <c r="A480" s="97" t="s">
        <v>112</v>
      </c>
      <c r="B480" s="21" t="s">
        <v>113</v>
      </c>
      <c r="C480" s="23" t="s">
        <v>52</v>
      </c>
      <c r="D480" s="24"/>
      <c r="E480" s="25"/>
      <c r="F480" s="26"/>
      <c r="G480" s="25"/>
    </row>
    <row r="481" spans="1:7" hidden="1">
      <c r="A481" s="97" t="s">
        <v>112</v>
      </c>
      <c r="B481" s="21" t="s">
        <v>113</v>
      </c>
      <c r="C481" s="23" t="s">
        <v>52</v>
      </c>
      <c r="D481" s="24"/>
      <c r="E481" s="25"/>
      <c r="F481" s="26"/>
      <c r="G481" s="25"/>
    </row>
    <row r="482" spans="1:7" hidden="1">
      <c r="A482" s="97" t="s">
        <v>112</v>
      </c>
      <c r="B482" s="21" t="s">
        <v>113</v>
      </c>
      <c r="C482" s="23" t="s">
        <v>52</v>
      </c>
      <c r="D482" s="24"/>
      <c r="E482" s="25"/>
      <c r="F482" s="26"/>
      <c r="G482" s="25"/>
    </row>
    <row r="483" spans="1:7" hidden="1">
      <c r="A483" s="97" t="s">
        <v>112</v>
      </c>
      <c r="B483" s="21" t="s">
        <v>113</v>
      </c>
      <c r="C483" s="23" t="s">
        <v>52</v>
      </c>
      <c r="D483" s="24"/>
      <c r="E483" s="25"/>
      <c r="F483" s="26"/>
      <c r="G483" s="25"/>
    </row>
    <row r="484" spans="1:7">
      <c r="A484" s="98"/>
      <c r="B484" s="41"/>
      <c r="C484" s="42"/>
      <c r="D484" s="41"/>
      <c r="E484" s="43"/>
      <c r="F484" s="44">
        <f>SUM(F472:F483)</f>
        <v>0</v>
      </c>
      <c r="G484" s="43"/>
    </row>
    <row r="485" spans="1:7">
      <c r="A485" s="97" t="s">
        <v>112</v>
      </c>
      <c r="B485" s="21" t="s">
        <v>113</v>
      </c>
      <c r="C485" s="23" t="s">
        <v>53</v>
      </c>
      <c r="D485" s="24" t="s">
        <v>275</v>
      </c>
      <c r="E485" s="25">
        <v>0</v>
      </c>
      <c r="F485" s="26">
        <v>0</v>
      </c>
      <c r="G485" s="25">
        <v>0</v>
      </c>
    </row>
    <row r="486" spans="1:7">
      <c r="A486" s="97" t="s">
        <v>112</v>
      </c>
      <c r="B486" s="21" t="s">
        <v>113</v>
      </c>
      <c r="C486" s="23" t="s">
        <v>53</v>
      </c>
      <c r="D486" s="24" t="s">
        <v>276</v>
      </c>
      <c r="E486" s="25">
        <v>0</v>
      </c>
      <c r="F486" s="26">
        <v>0</v>
      </c>
      <c r="G486" s="25">
        <v>0</v>
      </c>
    </row>
    <row r="487" spans="1:7">
      <c r="A487" s="97" t="s">
        <v>112</v>
      </c>
      <c r="B487" s="21" t="s">
        <v>113</v>
      </c>
      <c r="C487" s="23" t="s">
        <v>53</v>
      </c>
      <c r="D487" s="24" t="s">
        <v>277</v>
      </c>
      <c r="E487" s="25">
        <v>0</v>
      </c>
      <c r="F487" s="26">
        <v>0</v>
      </c>
      <c r="G487" s="25">
        <v>0</v>
      </c>
    </row>
    <row r="488" spans="1:7">
      <c r="A488" s="97" t="s">
        <v>112</v>
      </c>
      <c r="B488" s="21" t="s">
        <v>113</v>
      </c>
      <c r="C488" s="23" t="s">
        <v>53</v>
      </c>
      <c r="D488" s="24" t="s">
        <v>286</v>
      </c>
      <c r="E488" s="25">
        <v>0</v>
      </c>
      <c r="F488" s="26">
        <v>0</v>
      </c>
      <c r="G488" s="25">
        <v>0</v>
      </c>
    </row>
    <row r="489" spans="1:7">
      <c r="A489" s="97" t="s">
        <v>112</v>
      </c>
      <c r="B489" s="21" t="s">
        <v>113</v>
      </c>
      <c r="C489" s="23" t="s">
        <v>53</v>
      </c>
      <c r="D489" s="24" t="s">
        <v>287</v>
      </c>
      <c r="E489" s="25">
        <v>0</v>
      </c>
      <c r="F489" s="26">
        <v>0</v>
      </c>
      <c r="G489" s="25">
        <v>0</v>
      </c>
    </row>
    <row r="490" spans="1:7">
      <c r="A490" s="97" t="s">
        <v>112</v>
      </c>
      <c r="B490" s="21" t="s">
        <v>113</v>
      </c>
      <c r="C490" s="23" t="s">
        <v>53</v>
      </c>
      <c r="D490" s="24" t="s">
        <v>288</v>
      </c>
      <c r="E490" s="25">
        <v>0</v>
      </c>
      <c r="F490" s="26">
        <v>0</v>
      </c>
      <c r="G490" s="25">
        <v>0</v>
      </c>
    </row>
    <row r="491" spans="1:7" hidden="1">
      <c r="A491" s="97" t="s">
        <v>112</v>
      </c>
      <c r="B491" s="21" t="s">
        <v>113</v>
      </c>
      <c r="C491" s="23" t="s">
        <v>53</v>
      </c>
      <c r="D491" s="24"/>
      <c r="E491" s="25"/>
      <c r="F491" s="26"/>
      <c r="G491" s="25"/>
    </row>
    <row r="492" spans="1:7" hidden="1">
      <c r="A492" s="97" t="s">
        <v>112</v>
      </c>
      <c r="B492" s="21" t="s">
        <v>113</v>
      </c>
      <c r="C492" s="23" t="s">
        <v>53</v>
      </c>
      <c r="D492" s="24"/>
      <c r="E492" s="25"/>
      <c r="F492" s="26"/>
      <c r="G492" s="25"/>
    </row>
    <row r="493" spans="1:7" hidden="1">
      <c r="A493" s="97" t="s">
        <v>112</v>
      </c>
      <c r="B493" s="21" t="s">
        <v>113</v>
      </c>
      <c r="C493" s="23" t="s">
        <v>53</v>
      </c>
      <c r="D493" s="24"/>
      <c r="E493" s="25"/>
      <c r="F493" s="26"/>
      <c r="G493" s="25"/>
    </row>
    <row r="494" spans="1:7" hidden="1">
      <c r="A494" s="97" t="s">
        <v>112</v>
      </c>
      <c r="B494" s="21" t="s">
        <v>113</v>
      </c>
      <c r="C494" s="23" t="s">
        <v>53</v>
      </c>
      <c r="D494" s="24"/>
      <c r="E494" s="25"/>
      <c r="F494" s="26"/>
      <c r="G494" s="25"/>
    </row>
    <row r="495" spans="1:7" hidden="1">
      <c r="A495" s="97" t="s">
        <v>112</v>
      </c>
      <c r="B495" s="21" t="s">
        <v>113</v>
      </c>
      <c r="C495" s="23" t="s">
        <v>53</v>
      </c>
      <c r="D495" s="24"/>
      <c r="E495" s="25"/>
      <c r="F495" s="26"/>
      <c r="G495" s="25"/>
    </row>
    <row r="496" spans="1:7" hidden="1">
      <c r="A496" s="97" t="s">
        <v>112</v>
      </c>
      <c r="B496" s="21" t="s">
        <v>113</v>
      </c>
      <c r="C496" s="23" t="s">
        <v>53</v>
      </c>
      <c r="D496" s="24"/>
      <c r="E496" s="25"/>
      <c r="F496" s="26"/>
      <c r="G496" s="25"/>
    </row>
    <row r="497" spans="1:7">
      <c r="A497" s="99"/>
      <c r="B497" s="41"/>
      <c r="C497" s="42"/>
      <c r="D497" s="41"/>
      <c r="E497" s="43"/>
      <c r="F497" s="44">
        <f>SUM(F485:F496)</f>
        <v>0</v>
      </c>
      <c r="G497" s="43"/>
    </row>
    <row r="498" spans="1:7">
      <c r="A498" s="96"/>
      <c r="B498" s="52" t="s">
        <v>116</v>
      </c>
      <c r="C498" s="45"/>
      <c r="D498" s="45"/>
      <c r="E498" s="47"/>
      <c r="F498" s="48">
        <f>F484</f>
        <v>0</v>
      </c>
      <c r="G498" s="47"/>
    </row>
    <row r="499" spans="1:7">
      <c r="A499" s="97" t="s">
        <v>114</v>
      </c>
      <c r="B499" s="21" t="s">
        <v>70</v>
      </c>
      <c r="C499" s="23" t="s">
        <v>52</v>
      </c>
      <c r="D499" s="24" t="s">
        <v>275</v>
      </c>
      <c r="E499" s="25">
        <v>0</v>
      </c>
      <c r="F499" s="26">
        <v>0</v>
      </c>
      <c r="G499" s="25">
        <v>0</v>
      </c>
    </row>
    <row r="500" spans="1:7">
      <c r="A500" s="97" t="s">
        <v>114</v>
      </c>
      <c r="B500" s="21" t="s">
        <v>70</v>
      </c>
      <c r="C500" s="23" t="s">
        <v>52</v>
      </c>
      <c r="D500" s="24" t="s">
        <v>276</v>
      </c>
      <c r="E500" s="25">
        <v>0</v>
      </c>
      <c r="F500" s="26">
        <v>0</v>
      </c>
      <c r="G500" s="25">
        <v>0</v>
      </c>
    </row>
    <row r="501" spans="1:7">
      <c r="A501" s="97" t="s">
        <v>114</v>
      </c>
      <c r="B501" s="21" t="s">
        <v>70</v>
      </c>
      <c r="C501" s="23" t="s">
        <v>52</v>
      </c>
      <c r="D501" s="24" t="s">
        <v>277</v>
      </c>
      <c r="E501" s="25">
        <v>0</v>
      </c>
      <c r="F501" s="26">
        <v>0</v>
      </c>
      <c r="G501" s="25">
        <v>0</v>
      </c>
    </row>
    <row r="502" spans="1:7">
      <c r="A502" s="97" t="s">
        <v>114</v>
      </c>
      <c r="B502" s="21" t="s">
        <v>70</v>
      </c>
      <c r="C502" s="23" t="s">
        <v>52</v>
      </c>
      <c r="D502" s="24" t="s">
        <v>286</v>
      </c>
      <c r="E502" s="25">
        <v>0</v>
      </c>
      <c r="F502" s="26">
        <v>0</v>
      </c>
      <c r="G502" s="25">
        <v>0</v>
      </c>
    </row>
    <row r="503" spans="1:7">
      <c r="A503" s="97" t="s">
        <v>114</v>
      </c>
      <c r="B503" s="21" t="s">
        <v>70</v>
      </c>
      <c r="C503" s="23" t="s">
        <v>52</v>
      </c>
      <c r="D503" s="24" t="s">
        <v>287</v>
      </c>
      <c r="E503" s="25">
        <v>0</v>
      </c>
      <c r="F503" s="26">
        <v>0</v>
      </c>
      <c r="G503" s="25">
        <v>0</v>
      </c>
    </row>
    <row r="504" spans="1:7">
      <c r="A504" s="97" t="s">
        <v>114</v>
      </c>
      <c r="B504" s="21" t="s">
        <v>70</v>
      </c>
      <c r="C504" s="23" t="s">
        <v>52</v>
      </c>
      <c r="D504" s="24" t="s">
        <v>288</v>
      </c>
      <c r="E504" s="25">
        <v>0</v>
      </c>
      <c r="F504" s="26">
        <v>0</v>
      </c>
      <c r="G504" s="25">
        <v>0</v>
      </c>
    </row>
    <row r="505" spans="1:7" hidden="1">
      <c r="A505" s="97" t="s">
        <v>114</v>
      </c>
      <c r="B505" s="21" t="s">
        <v>70</v>
      </c>
      <c r="C505" s="23" t="s">
        <v>52</v>
      </c>
      <c r="D505" s="24"/>
      <c r="E505" s="25"/>
      <c r="F505" s="26"/>
      <c r="G505" s="25"/>
    </row>
    <row r="506" spans="1:7" hidden="1">
      <c r="A506" s="97" t="s">
        <v>114</v>
      </c>
      <c r="B506" s="21" t="s">
        <v>70</v>
      </c>
      <c r="C506" s="23" t="s">
        <v>52</v>
      </c>
      <c r="D506" s="24"/>
      <c r="E506" s="25"/>
      <c r="F506" s="26"/>
      <c r="G506" s="25"/>
    </row>
    <row r="507" spans="1:7" hidden="1">
      <c r="A507" s="97" t="s">
        <v>114</v>
      </c>
      <c r="B507" s="21" t="s">
        <v>70</v>
      </c>
      <c r="C507" s="23" t="s">
        <v>52</v>
      </c>
      <c r="D507" s="24"/>
      <c r="E507" s="25"/>
      <c r="F507" s="26"/>
      <c r="G507" s="25"/>
    </row>
    <row r="508" spans="1:7" hidden="1">
      <c r="A508" s="97" t="s">
        <v>114</v>
      </c>
      <c r="B508" s="21" t="s">
        <v>70</v>
      </c>
      <c r="C508" s="23" t="s">
        <v>52</v>
      </c>
      <c r="D508" s="24"/>
      <c r="E508" s="25"/>
      <c r="F508" s="26"/>
      <c r="G508" s="25"/>
    </row>
    <row r="509" spans="1:7" hidden="1">
      <c r="A509" s="97" t="s">
        <v>114</v>
      </c>
      <c r="B509" s="21" t="s">
        <v>70</v>
      </c>
      <c r="C509" s="23" t="s">
        <v>52</v>
      </c>
      <c r="D509" s="24"/>
      <c r="E509" s="25"/>
      <c r="F509" s="26"/>
      <c r="G509" s="25"/>
    </row>
    <row r="510" spans="1:7" hidden="1">
      <c r="A510" s="97" t="s">
        <v>114</v>
      </c>
      <c r="B510" s="21" t="s">
        <v>70</v>
      </c>
      <c r="C510" s="23" t="s">
        <v>52</v>
      </c>
      <c r="D510" s="24"/>
      <c r="E510" s="25"/>
      <c r="F510" s="26"/>
      <c r="G510" s="25"/>
    </row>
    <row r="511" spans="1:7">
      <c r="A511" s="99"/>
      <c r="B511" s="41"/>
      <c r="C511" s="42"/>
      <c r="D511" s="41"/>
      <c r="E511" s="43"/>
      <c r="F511" s="44">
        <f>SUM(F499:F510)</f>
        <v>0</v>
      </c>
      <c r="G511" s="43"/>
    </row>
    <row r="512" spans="1:7">
      <c r="A512" s="97" t="s">
        <v>69</v>
      </c>
      <c r="B512" s="21" t="s">
        <v>70</v>
      </c>
      <c r="C512" s="23" t="s">
        <v>53</v>
      </c>
      <c r="D512" s="24" t="s">
        <v>275</v>
      </c>
      <c r="E512" s="25">
        <v>0</v>
      </c>
      <c r="F512" s="26">
        <v>0</v>
      </c>
      <c r="G512" s="25">
        <v>0</v>
      </c>
    </row>
    <row r="513" spans="1:7">
      <c r="A513" s="97" t="s">
        <v>69</v>
      </c>
      <c r="B513" s="21" t="s">
        <v>70</v>
      </c>
      <c r="C513" s="23" t="s">
        <v>53</v>
      </c>
      <c r="D513" s="24" t="s">
        <v>276</v>
      </c>
      <c r="E513" s="25">
        <v>0</v>
      </c>
      <c r="F513" s="26">
        <v>0</v>
      </c>
      <c r="G513" s="25">
        <v>0</v>
      </c>
    </row>
    <row r="514" spans="1:7">
      <c r="A514" s="97" t="s">
        <v>69</v>
      </c>
      <c r="B514" s="21" t="s">
        <v>70</v>
      </c>
      <c r="C514" s="23" t="s">
        <v>53</v>
      </c>
      <c r="D514" s="24" t="s">
        <v>277</v>
      </c>
      <c r="E514" s="25">
        <v>0</v>
      </c>
      <c r="F514" s="26">
        <v>0</v>
      </c>
      <c r="G514" s="25">
        <v>0</v>
      </c>
    </row>
    <row r="515" spans="1:7">
      <c r="A515" s="97" t="s">
        <v>69</v>
      </c>
      <c r="B515" s="21" t="s">
        <v>70</v>
      </c>
      <c r="C515" s="23" t="s">
        <v>53</v>
      </c>
      <c r="D515" s="24" t="s">
        <v>286</v>
      </c>
      <c r="E515" s="25">
        <v>0</v>
      </c>
      <c r="F515" s="26">
        <v>0</v>
      </c>
      <c r="G515" s="25">
        <v>0</v>
      </c>
    </row>
    <row r="516" spans="1:7">
      <c r="A516" s="97" t="s">
        <v>69</v>
      </c>
      <c r="B516" s="21" t="s">
        <v>70</v>
      </c>
      <c r="C516" s="23" t="s">
        <v>53</v>
      </c>
      <c r="D516" s="24" t="s">
        <v>287</v>
      </c>
      <c r="E516" s="25">
        <v>0</v>
      </c>
      <c r="F516" s="26">
        <v>0</v>
      </c>
      <c r="G516" s="25">
        <v>0</v>
      </c>
    </row>
    <row r="517" spans="1:7">
      <c r="A517" s="97" t="s">
        <v>69</v>
      </c>
      <c r="B517" s="21" t="s">
        <v>70</v>
      </c>
      <c r="C517" s="23" t="s">
        <v>53</v>
      </c>
      <c r="D517" s="24" t="s">
        <v>288</v>
      </c>
      <c r="E517" s="25">
        <v>0</v>
      </c>
      <c r="F517" s="26">
        <v>0</v>
      </c>
      <c r="G517" s="25">
        <v>0</v>
      </c>
    </row>
    <row r="518" spans="1:7" hidden="1">
      <c r="A518" s="97" t="s">
        <v>69</v>
      </c>
      <c r="B518" s="21" t="s">
        <v>70</v>
      </c>
      <c r="C518" s="23" t="s">
        <v>53</v>
      </c>
      <c r="D518" s="24"/>
      <c r="E518" s="25"/>
      <c r="F518" s="26"/>
      <c r="G518" s="25"/>
    </row>
    <row r="519" spans="1:7" hidden="1">
      <c r="A519" s="97" t="s">
        <v>69</v>
      </c>
      <c r="B519" s="21" t="s">
        <v>70</v>
      </c>
      <c r="C519" s="23" t="s">
        <v>53</v>
      </c>
      <c r="D519" s="24"/>
      <c r="E519" s="25"/>
      <c r="F519" s="26"/>
      <c r="G519" s="25"/>
    </row>
    <row r="520" spans="1:7" hidden="1">
      <c r="A520" s="97" t="s">
        <v>69</v>
      </c>
      <c r="B520" s="21" t="s">
        <v>70</v>
      </c>
      <c r="C520" s="23" t="s">
        <v>53</v>
      </c>
      <c r="D520" s="24"/>
      <c r="E520" s="25"/>
      <c r="F520" s="26"/>
      <c r="G520" s="25"/>
    </row>
    <row r="521" spans="1:7" hidden="1">
      <c r="A521" s="97" t="s">
        <v>69</v>
      </c>
      <c r="B521" s="21" t="s">
        <v>70</v>
      </c>
      <c r="C521" s="23" t="s">
        <v>53</v>
      </c>
      <c r="D521" s="24"/>
      <c r="E521" s="25"/>
      <c r="F521" s="26"/>
      <c r="G521" s="25"/>
    </row>
    <row r="522" spans="1:7" hidden="1">
      <c r="A522" s="97" t="s">
        <v>69</v>
      </c>
      <c r="B522" s="21" t="s">
        <v>70</v>
      </c>
      <c r="C522" s="23" t="s">
        <v>53</v>
      </c>
      <c r="D522" s="24"/>
      <c r="E522" s="25"/>
      <c r="F522" s="26"/>
      <c r="G522" s="25"/>
    </row>
    <row r="523" spans="1:7" hidden="1">
      <c r="A523" s="97" t="s">
        <v>69</v>
      </c>
      <c r="B523" s="21" t="s">
        <v>70</v>
      </c>
      <c r="C523" s="23" t="s">
        <v>53</v>
      </c>
      <c r="D523" s="24"/>
      <c r="E523" s="25"/>
      <c r="F523" s="26"/>
      <c r="G523" s="25"/>
    </row>
    <row r="524" spans="1:7">
      <c r="A524" s="99"/>
      <c r="B524" s="41"/>
      <c r="C524" s="42"/>
      <c r="D524" s="41"/>
      <c r="E524" s="43"/>
      <c r="F524" s="44">
        <f>SUM(F512:F523)</f>
        <v>0</v>
      </c>
      <c r="G524" s="43"/>
    </row>
  </sheetData>
  <mergeCells count="8">
    <mergeCell ref="A1:H1"/>
    <mergeCell ref="A267:G267"/>
    <mergeCell ref="A441:G441"/>
    <mergeCell ref="J238:K238"/>
    <mergeCell ref="I5:J5"/>
    <mergeCell ref="A270:G270"/>
    <mergeCell ref="A383:G383"/>
    <mergeCell ref="A4:G4"/>
  </mergeCells>
  <printOptions horizontalCentered="1"/>
  <pageMargins left="0.25" right="0.25" top="0.9375" bottom="0.75" header="0.3" footer="0.3"/>
  <pageSetup scale="72" fitToHeight="4" orientation="portrait" useFirstPageNumber="1" r:id="rId1"/>
  <headerFooter scaleWithDoc="0">
    <oddHeader>&amp;CAvista Corporation Decoupling Mechanism
Washington Jurisdiction
Quarterly Report 2023</oddHeader>
    <oddFooter>&amp;Cfile: &amp;F / &amp;A</oddFooter>
  </headerFooter>
  <rowBreaks count="7" manualBreakCount="7">
    <brk id="60" max="7" man="1"/>
    <brk id="119" max="7" man="1"/>
    <brk id="177" max="7" man="1"/>
    <brk id="235" max="7" man="1"/>
    <brk id="324" max="7" man="1"/>
    <brk id="381" max="7" man="1"/>
    <brk id="440"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86"/>
  <sheetViews>
    <sheetView tabSelected="1" view="pageBreakPreview" zoomScale="60" zoomScaleNormal="100" workbookViewId="0">
      <selection activeCell="AA14" sqref="AA14"/>
    </sheetView>
  </sheetViews>
  <sheetFormatPr defaultColWidth="8.85546875" defaultRowHeight="15"/>
  <cols>
    <col min="1" max="1" width="25.5703125" customWidth="1"/>
    <col min="2" max="2" width="3.85546875" customWidth="1"/>
    <col min="3" max="3" width="15.42578125" style="114" bestFit="1" customWidth="1"/>
    <col min="4" max="4" width="12.7109375" style="114" customWidth="1"/>
    <col min="5" max="5" width="15.5703125" style="114" bestFit="1" customWidth="1"/>
    <col min="6" max="6" width="15.28515625" style="114" customWidth="1"/>
    <col min="7" max="7" width="3.42578125" customWidth="1"/>
    <col min="8" max="8" width="15.85546875" bestFit="1" customWidth="1"/>
    <col min="9" max="9" width="3.85546875" customWidth="1"/>
    <col min="10" max="10" width="24.85546875" customWidth="1"/>
    <col min="11" max="11" width="4.42578125" customWidth="1"/>
    <col min="12" max="12" width="14" style="114" customWidth="1"/>
    <col min="13" max="13" width="12.28515625" style="114" customWidth="1"/>
    <col min="14" max="14" width="13.140625" style="114" customWidth="1"/>
    <col min="15" max="15" width="14.5703125" style="114" customWidth="1"/>
    <col min="16" max="16" width="3.7109375" customWidth="1"/>
    <col min="17" max="17" width="12.7109375" customWidth="1"/>
    <col min="18" max="18" width="3.140625" customWidth="1"/>
    <col min="19" max="19" width="11.85546875" bestFit="1" customWidth="1"/>
    <col min="21" max="21" width="18.42578125" bestFit="1" customWidth="1"/>
    <col min="22" max="22" width="14.28515625" bestFit="1" customWidth="1"/>
    <col min="23" max="23" width="14" bestFit="1" customWidth="1"/>
    <col min="24" max="24" width="13.5703125" bestFit="1" customWidth="1"/>
  </cols>
  <sheetData>
    <row r="1" spans="1:24" ht="28.15" customHeight="1">
      <c r="A1" s="234" t="s">
        <v>85</v>
      </c>
      <c r="B1" s="234"/>
      <c r="C1" s="234"/>
      <c r="D1" s="234"/>
      <c r="E1" s="234"/>
      <c r="F1" s="234"/>
      <c r="G1" s="234"/>
      <c r="H1" s="234"/>
      <c r="I1" s="234"/>
      <c r="J1" s="234" t="s">
        <v>85</v>
      </c>
      <c r="K1" s="234"/>
      <c r="L1" s="234"/>
      <c r="M1" s="234"/>
      <c r="N1" s="234"/>
      <c r="O1" s="234"/>
      <c r="P1" s="234"/>
      <c r="Q1" s="234"/>
      <c r="R1" s="234"/>
    </row>
    <row r="2" spans="1:24">
      <c r="C2" s="113" t="s">
        <v>90</v>
      </c>
      <c r="L2" s="113" t="s">
        <v>89</v>
      </c>
    </row>
    <row r="3" spans="1:24">
      <c r="A3" s="70"/>
      <c r="C3" s="115"/>
      <c r="H3" s="136"/>
      <c r="L3" s="115"/>
      <c r="Q3" s="136"/>
    </row>
    <row r="4" spans="1:24">
      <c r="A4" s="136"/>
      <c r="B4" s="137" t="s">
        <v>123</v>
      </c>
      <c r="C4" s="136" t="s">
        <v>88</v>
      </c>
      <c r="D4" s="136">
        <v>419328</v>
      </c>
      <c r="E4" s="136">
        <v>431328</v>
      </c>
      <c r="F4" s="136" t="s">
        <v>87</v>
      </c>
      <c r="H4" s="136" t="s">
        <v>117</v>
      </c>
      <c r="I4" s="117"/>
      <c r="K4" s="137" t="s">
        <v>124</v>
      </c>
      <c r="L4" s="136" t="s">
        <v>88</v>
      </c>
      <c r="M4" s="136">
        <v>419328</v>
      </c>
      <c r="N4" s="136">
        <v>431328</v>
      </c>
      <c r="O4" s="136" t="s">
        <v>87</v>
      </c>
      <c r="Q4" t="str">
        <f>H4</f>
        <v>Recon Check</v>
      </c>
      <c r="R4" s="117"/>
    </row>
    <row r="5" spans="1:24" ht="14.45" customHeight="1">
      <c r="A5" s="138">
        <v>44927</v>
      </c>
      <c r="C5" s="114">
        <f t="shared" ref="C5:C16" si="0">D26+D43+D60+D78+D95+D111+D127+D143</f>
        <v>-103330.82</v>
      </c>
      <c r="D5" s="116">
        <v>-5557.31</v>
      </c>
      <c r="E5" s="116">
        <v>108888.13</v>
      </c>
      <c r="F5" s="114">
        <f>D5+E5</f>
        <v>103330.82</v>
      </c>
      <c r="H5" s="114">
        <f>C5+F5</f>
        <v>0</v>
      </c>
      <c r="I5" s="117"/>
      <c r="J5" s="70">
        <f>A5</f>
        <v>44927</v>
      </c>
      <c r="L5" s="114">
        <f>M26+M43+M60+M78+M95+M111+M127+M143+M42</f>
        <v>24759.369999999992</v>
      </c>
      <c r="M5" s="116">
        <v>-38790.29</v>
      </c>
      <c r="N5" s="116">
        <v>14030.92</v>
      </c>
      <c r="O5" s="114">
        <f>M5+N5</f>
        <v>-24759.370000000003</v>
      </c>
      <c r="P5" s="114"/>
      <c r="Q5" s="114">
        <f>L5+O5</f>
        <v>0</v>
      </c>
      <c r="R5" s="117"/>
      <c r="U5" s="16"/>
      <c r="V5" s="16"/>
      <c r="W5" s="16"/>
      <c r="X5" s="16"/>
    </row>
    <row r="6" spans="1:24" ht="14.45" customHeight="1">
      <c r="A6" s="70">
        <f>EDATE(A5,1)</f>
        <v>44958</v>
      </c>
      <c r="C6" s="114">
        <f t="shared" si="0"/>
        <v>-102300.36000000002</v>
      </c>
      <c r="D6" s="116">
        <v>-9995.26</v>
      </c>
      <c r="E6" s="116">
        <v>112295.62</v>
      </c>
      <c r="F6" s="114">
        <f t="shared" ref="F6:F15" si="1">D6+E6</f>
        <v>102300.36</v>
      </c>
      <c r="H6" s="114">
        <f t="shared" ref="H6:H16" si="2">C6+F6</f>
        <v>0</v>
      </c>
      <c r="I6" s="117"/>
      <c r="J6" s="70">
        <f t="shared" ref="J6:J16" si="3">A6</f>
        <v>44958</v>
      </c>
      <c r="L6" s="114">
        <f t="shared" ref="L6:L16" si="4">M27+M44+M61+M79+M96+M112+M128+M144</f>
        <v>5936.7200000000012</v>
      </c>
      <c r="M6" s="116">
        <v>-33409.51</v>
      </c>
      <c r="N6" s="116">
        <v>27472.79</v>
      </c>
      <c r="O6" s="114">
        <f t="shared" ref="O6:O16" si="5">M6+N6</f>
        <v>-5936.7200000000012</v>
      </c>
      <c r="P6" s="114"/>
      <c r="Q6" s="114">
        <f>L6+O6</f>
        <v>0</v>
      </c>
      <c r="R6" s="117"/>
      <c r="U6" s="16"/>
      <c r="V6" s="16"/>
      <c r="W6" s="16"/>
      <c r="X6" s="16"/>
    </row>
    <row r="7" spans="1:24" ht="14.45" customHeight="1">
      <c r="A7" s="70">
        <f>EDATE(A6,1)</f>
        <v>44986</v>
      </c>
      <c r="C7" s="114">
        <f t="shared" si="0"/>
        <v>-105579.91</v>
      </c>
      <c r="D7" s="116">
        <v>-8366.91</v>
      </c>
      <c r="E7" s="116">
        <v>113946.82</v>
      </c>
      <c r="F7" s="114">
        <f t="shared" si="1"/>
        <v>105579.91</v>
      </c>
      <c r="H7" s="114">
        <f t="shared" si="2"/>
        <v>0</v>
      </c>
      <c r="I7" s="117"/>
      <c r="J7" s="70">
        <f t="shared" si="3"/>
        <v>44986</v>
      </c>
      <c r="L7" s="114">
        <f t="shared" si="4"/>
        <v>-4287.1699999999992</v>
      </c>
      <c r="M7" s="116">
        <v>-28892.48</v>
      </c>
      <c r="N7" s="116">
        <v>33179.65</v>
      </c>
      <c r="O7" s="114">
        <f t="shared" si="5"/>
        <v>4287.1700000000019</v>
      </c>
      <c r="P7" s="114"/>
      <c r="Q7" s="114">
        <f t="shared" ref="Q7:Q16" si="6">L7+O7</f>
        <v>0</v>
      </c>
      <c r="R7" s="117"/>
      <c r="U7" s="16"/>
      <c r="V7" s="16"/>
      <c r="W7" s="16"/>
      <c r="X7" s="16"/>
    </row>
    <row r="8" spans="1:24" ht="14.45" customHeight="1">
      <c r="A8" s="70">
        <f t="shared" ref="A8:A16" si="7">EDATE(A7,1)</f>
        <v>45017</v>
      </c>
      <c r="B8" s="168"/>
      <c r="C8" s="114">
        <f t="shared" si="0"/>
        <v>-127006.97</v>
      </c>
      <c r="D8" s="116">
        <v>-8039.22</v>
      </c>
      <c r="E8" s="116">
        <v>136942.19</v>
      </c>
      <c r="F8" s="114">
        <f>D8+E8</f>
        <v>128902.97</v>
      </c>
      <c r="H8" s="114">
        <f>C8+F8</f>
        <v>1896</v>
      </c>
      <c r="I8" s="117"/>
      <c r="J8" s="70">
        <f t="shared" si="3"/>
        <v>45017</v>
      </c>
      <c r="K8" s="168"/>
      <c r="L8" s="114">
        <f t="shared" si="4"/>
        <v>-9812.260000000002</v>
      </c>
      <c r="M8" s="116">
        <v>-30255.47</v>
      </c>
      <c r="N8" s="116">
        <v>40348.269999999997</v>
      </c>
      <c r="O8" s="114">
        <f t="shared" si="5"/>
        <v>10092.799999999996</v>
      </c>
      <c r="P8" s="114"/>
      <c r="Q8" s="114">
        <f t="shared" si="6"/>
        <v>280.5399999999936</v>
      </c>
      <c r="R8" s="117"/>
      <c r="X8" s="16"/>
    </row>
    <row r="9" spans="1:24" ht="14.45" customHeight="1">
      <c r="A9" s="70">
        <f t="shared" si="7"/>
        <v>45047</v>
      </c>
      <c r="C9" s="114">
        <f t="shared" si="0"/>
        <v>-121240.47</v>
      </c>
      <c r="D9" s="116">
        <v>-14830.67</v>
      </c>
      <c r="E9" s="116">
        <v>134175.14000000001</v>
      </c>
      <c r="F9" s="114">
        <f t="shared" si="1"/>
        <v>119344.47000000002</v>
      </c>
      <c r="H9" s="114">
        <f t="shared" si="2"/>
        <v>-1895.9999999999854</v>
      </c>
      <c r="I9" s="117"/>
      <c r="J9" s="70">
        <f t="shared" si="3"/>
        <v>45047</v>
      </c>
      <c r="L9" s="114">
        <f t="shared" si="4"/>
        <v>-7042.0000000000036</v>
      </c>
      <c r="M9" s="116">
        <v>-28147.200000000001</v>
      </c>
      <c r="N9" s="116">
        <v>34908.660000000003</v>
      </c>
      <c r="O9" s="114">
        <f t="shared" si="5"/>
        <v>6761.4600000000028</v>
      </c>
      <c r="P9" s="114"/>
      <c r="Q9" s="114">
        <f t="shared" si="6"/>
        <v>-280.54000000000087</v>
      </c>
      <c r="R9" s="117"/>
      <c r="X9" s="16"/>
    </row>
    <row r="10" spans="1:24" ht="14.45" customHeight="1">
      <c r="A10" s="70">
        <f t="shared" si="7"/>
        <v>45078</v>
      </c>
      <c r="C10" s="114">
        <f t="shared" si="0"/>
        <v>-119177.82999999999</v>
      </c>
      <c r="D10" s="116">
        <v>-17379.46</v>
      </c>
      <c r="E10" s="116">
        <v>136557.29</v>
      </c>
      <c r="F10" s="114">
        <f t="shared" si="1"/>
        <v>119177.83000000002</v>
      </c>
      <c r="H10" s="114">
        <f t="shared" si="2"/>
        <v>0</v>
      </c>
      <c r="I10" s="117"/>
      <c r="J10" s="70">
        <f t="shared" si="3"/>
        <v>45078</v>
      </c>
      <c r="L10" s="114">
        <f t="shared" si="4"/>
        <v>1603.8300000000017</v>
      </c>
      <c r="M10" s="116">
        <v>-27250.36</v>
      </c>
      <c r="N10" s="116">
        <v>25646.53</v>
      </c>
      <c r="O10" s="114">
        <f>M10+N10</f>
        <v>-1603.8300000000017</v>
      </c>
      <c r="P10" s="114"/>
      <c r="Q10" s="114">
        <f t="shared" si="6"/>
        <v>0</v>
      </c>
      <c r="R10" s="117"/>
      <c r="X10" s="16"/>
    </row>
    <row r="11" spans="1:24" ht="14.45" hidden="1" customHeight="1">
      <c r="A11" s="70">
        <f t="shared" si="7"/>
        <v>45108</v>
      </c>
      <c r="C11" s="114">
        <f t="shared" si="0"/>
        <v>0</v>
      </c>
      <c r="D11" s="116"/>
      <c r="E11" s="116"/>
      <c r="F11" s="114">
        <f t="shared" si="1"/>
        <v>0</v>
      </c>
      <c r="H11" s="114">
        <f t="shared" si="2"/>
        <v>0</v>
      </c>
      <c r="I11" s="117"/>
      <c r="J11" s="70">
        <f t="shared" si="3"/>
        <v>45108</v>
      </c>
      <c r="L11" s="114">
        <f t="shared" si="4"/>
        <v>0</v>
      </c>
      <c r="M11" s="116"/>
      <c r="N11" s="116"/>
      <c r="O11" s="114">
        <f t="shared" si="5"/>
        <v>0</v>
      </c>
      <c r="P11" s="114"/>
      <c r="Q11" s="114">
        <f t="shared" si="6"/>
        <v>0</v>
      </c>
      <c r="R11" s="117"/>
      <c r="X11" s="16"/>
    </row>
    <row r="12" spans="1:24" ht="14.45" hidden="1" customHeight="1">
      <c r="A12" s="70">
        <f t="shared" si="7"/>
        <v>45139</v>
      </c>
      <c r="C12" s="114">
        <f t="shared" si="0"/>
        <v>0</v>
      </c>
      <c r="D12" s="116"/>
      <c r="E12" s="116"/>
      <c r="F12" s="114">
        <f t="shared" si="1"/>
        <v>0</v>
      </c>
      <c r="H12" s="114">
        <f t="shared" si="2"/>
        <v>0</v>
      </c>
      <c r="I12" s="117"/>
      <c r="J12" s="70">
        <f t="shared" si="3"/>
        <v>45139</v>
      </c>
      <c r="L12" s="114">
        <f t="shared" si="4"/>
        <v>0</v>
      </c>
      <c r="M12" s="116"/>
      <c r="N12" s="116"/>
      <c r="O12" s="114">
        <f>M12+N12</f>
        <v>0</v>
      </c>
      <c r="P12" s="114"/>
      <c r="Q12" s="114">
        <f t="shared" si="6"/>
        <v>0</v>
      </c>
      <c r="X12" s="16"/>
    </row>
    <row r="13" spans="1:24" ht="14.45" hidden="1" customHeight="1">
      <c r="A13" s="70">
        <f t="shared" si="7"/>
        <v>45170</v>
      </c>
      <c r="C13" s="114">
        <f t="shared" si="0"/>
        <v>0</v>
      </c>
      <c r="D13" s="116"/>
      <c r="E13" s="116"/>
      <c r="F13" s="114">
        <f t="shared" si="1"/>
        <v>0</v>
      </c>
      <c r="H13" s="114">
        <f t="shared" si="2"/>
        <v>0</v>
      </c>
      <c r="I13" s="117"/>
      <c r="J13" s="70">
        <f t="shared" si="3"/>
        <v>45170</v>
      </c>
      <c r="L13" s="114">
        <f t="shared" si="4"/>
        <v>0</v>
      </c>
      <c r="M13" s="116"/>
      <c r="N13" s="116"/>
      <c r="O13" s="114">
        <f t="shared" si="5"/>
        <v>0</v>
      </c>
      <c r="P13" s="114"/>
      <c r="Q13" s="114">
        <f t="shared" si="6"/>
        <v>0</v>
      </c>
      <c r="R13" s="117"/>
      <c r="X13" s="16"/>
    </row>
    <row r="14" spans="1:24" hidden="1">
      <c r="A14" s="70">
        <f t="shared" si="7"/>
        <v>45200</v>
      </c>
      <c r="C14" s="114">
        <f t="shared" si="0"/>
        <v>0</v>
      </c>
      <c r="D14" s="116"/>
      <c r="E14" s="116"/>
      <c r="F14" s="114">
        <f t="shared" si="1"/>
        <v>0</v>
      </c>
      <c r="H14" s="114">
        <f t="shared" si="2"/>
        <v>0</v>
      </c>
      <c r="I14" s="117"/>
      <c r="J14" s="70">
        <f t="shared" si="3"/>
        <v>45200</v>
      </c>
      <c r="L14" s="114">
        <f t="shared" si="4"/>
        <v>0</v>
      </c>
      <c r="M14" s="116"/>
      <c r="N14" s="116"/>
      <c r="O14" s="114">
        <f t="shared" si="5"/>
        <v>0</v>
      </c>
      <c r="P14" s="114"/>
      <c r="Q14" s="114">
        <f t="shared" si="6"/>
        <v>0</v>
      </c>
      <c r="R14" s="117"/>
      <c r="X14" s="16"/>
    </row>
    <row r="15" spans="1:24" hidden="1">
      <c r="A15" s="70">
        <f t="shared" si="7"/>
        <v>45231</v>
      </c>
      <c r="C15" s="114">
        <f t="shared" si="0"/>
        <v>0</v>
      </c>
      <c r="D15" s="116"/>
      <c r="E15" s="116"/>
      <c r="F15" s="114">
        <f t="shared" si="1"/>
        <v>0</v>
      </c>
      <c r="H15" s="114">
        <f t="shared" si="2"/>
        <v>0</v>
      </c>
      <c r="I15" s="117"/>
      <c r="J15" s="70">
        <f t="shared" si="3"/>
        <v>45231</v>
      </c>
      <c r="L15" s="114">
        <f t="shared" si="4"/>
        <v>0</v>
      </c>
      <c r="M15" s="116"/>
      <c r="N15" s="116"/>
      <c r="O15" s="114">
        <f>M15+N15</f>
        <v>0</v>
      </c>
      <c r="P15" s="114"/>
      <c r="Q15" s="114">
        <f t="shared" si="6"/>
        <v>0</v>
      </c>
      <c r="R15" s="117"/>
      <c r="X15" s="16"/>
    </row>
    <row r="16" spans="1:24" hidden="1">
      <c r="A16" s="70">
        <f t="shared" si="7"/>
        <v>45261</v>
      </c>
      <c r="C16" s="114">
        <f t="shared" si="0"/>
        <v>0</v>
      </c>
      <c r="D16" s="116"/>
      <c r="E16" s="116"/>
      <c r="F16" s="114">
        <f>D16+E16</f>
        <v>0</v>
      </c>
      <c r="H16" s="114">
        <f t="shared" si="2"/>
        <v>0</v>
      </c>
      <c r="J16" s="70">
        <f t="shared" si="3"/>
        <v>45261</v>
      </c>
      <c r="L16" s="114">
        <f t="shared" si="4"/>
        <v>0</v>
      </c>
      <c r="M16" s="116"/>
      <c r="N16" s="116"/>
      <c r="O16" s="114">
        <f t="shared" si="5"/>
        <v>0</v>
      </c>
      <c r="P16" s="114"/>
      <c r="Q16" s="114">
        <f t="shared" si="6"/>
        <v>0</v>
      </c>
      <c r="R16" s="222" t="s">
        <v>160</v>
      </c>
      <c r="X16" s="16"/>
    </row>
    <row r="17" spans="1:24" ht="14.45" customHeight="1">
      <c r="A17" s="89" t="s">
        <v>86</v>
      </c>
      <c r="B17" s="29"/>
      <c r="C17" s="118">
        <f>SUM(C5:C7)</f>
        <v>-311211.09000000003</v>
      </c>
      <c r="D17" s="118">
        <f>SUM(D5:D7)</f>
        <v>-23919.48</v>
      </c>
      <c r="E17" s="118">
        <f t="shared" ref="E17:F17" si="8">SUM(E5:E7)</f>
        <v>335130.57</v>
      </c>
      <c r="F17" s="118">
        <f t="shared" si="8"/>
        <v>311211.08999999997</v>
      </c>
      <c r="G17" s="29"/>
      <c r="H17" s="118">
        <f>C17+F17</f>
        <v>0</v>
      </c>
      <c r="I17" s="29"/>
      <c r="J17" s="89" t="s">
        <v>86</v>
      </c>
      <c r="K17" s="29"/>
      <c r="L17" s="118">
        <f>SUM(L5:L7)</f>
        <v>26408.919999999995</v>
      </c>
      <c r="M17" s="118">
        <f t="shared" ref="M17:O17" si="9">SUM(M5:M7)</f>
        <v>-101092.28</v>
      </c>
      <c r="N17" s="118">
        <f t="shared" si="9"/>
        <v>74683.360000000001</v>
      </c>
      <c r="O17" s="118">
        <f t="shared" si="9"/>
        <v>-26408.920000000002</v>
      </c>
      <c r="P17" s="118"/>
      <c r="Q17" s="118">
        <f>L17+O17</f>
        <v>0</v>
      </c>
    </row>
    <row r="18" spans="1:24" ht="14.45" customHeight="1">
      <c r="A18" s="89" t="s">
        <v>91</v>
      </c>
      <c r="B18" s="29"/>
      <c r="C18" s="118">
        <f>SUM(C8:C10)</f>
        <v>-367425.27</v>
      </c>
      <c r="D18" s="118">
        <f>SUM(D8:D10)</f>
        <v>-40249.35</v>
      </c>
      <c r="E18" s="118">
        <f t="shared" ref="E18:F18" si="10">SUM(E8:E10)</f>
        <v>407674.62</v>
      </c>
      <c r="F18" s="118">
        <f t="shared" si="10"/>
        <v>367425.27</v>
      </c>
      <c r="G18" s="29"/>
      <c r="H18" s="118">
        <f t="shared" ref="H18:H21" si="11">C18+F18</f>
        <v>0</v>
      </c>
      <c r="I18" s="29"/>
      <c r="J18" s="89" t="s">
        <v>91</v>
      </c>
      <c r="K18" s="29"/>
      <c r="L18" s="118">
        <f>SUM(L8:L10)</f>
        <v>-15250.430000000004</v>
      </c>
      <c r="M18" s="118">
        <f t="shared" ref="M18:O18" si="12">SUM(M8:M10)</f>
        <v>-85653.03</v>
      </c>
      <c r="N18" s="118">
        <f t="shared" si="12"/>
        <v>100903.45999999999</v>
      </c>
      <c r="O18" s="118">
        <f t="shared" si="12"/>
        <v>15250.429999999997</v>
      </c>
      <c r="P18" s="118"/>
      <c r="Q18" s="118">
        <f t="shared" ref="Q18:Q21" si="13">L18+O18</f>
        <v>0</v>
      </c>
    </row>
    <row r="19" spans="1:24" ht="14.45" hidden="1" customHeight="1">
      <c r="A19" s="89" t="s">
        <v>92</v>
      </c>
      <c r="B19" s="29"/>
      <c r="C19" s="118">
        <f>SUM(C11:C13)</f>
        <v>0</v>
      </c>
      <c r="D19" s="118">
        <f t="shared" ref="D19:E19" si="14">SUM(D11:D13)</f>
        <v>0</v>
      </c>
      <c r="E19" s="118">
        <f t="shared" si="14"/>
        <v>0</v>
      </c>
      <c r="F19" s="118">
        <f>SUM(F11:F13)</f>
        <v>0</v>
      </c>
      <c r="G19" s="29"/>
      <c r="H19" s="118">
        <f t="shared" si="11"/>
        <v>0</v>
      </c>
      <c r="I19" s="29"/>
      <c r="J19" s="89" t="s">
        <v>93</v>
      </c>
      <c r="K19" s="29"/>
      <c r="L19" s="118">
        <f>SUM(L11:L13)</f>
        <v>0</v>
      </c>
      <c r="M19" s="118">
        <f>SUM(M11:M13)</f>
        <v>0</v>
      </c>
      <c r="N19" s="118">
        <f t="shared" ref="N19:O19" si="15">SUM(N11:N13)</f>
        <v>0</v>
      </c>
      <c r="O19" s="118">
        <f t="shared" si="15"/>
        <v>0</v>
      </c>
      <c r="P19" s="118"/>
      <c r="Q19" s="118">
        <f t="shared" si="13"/>
        <v>0</v>
      </c>
    </row>
    <row r="20" spans="1:24" s="29" customFormat="1" hidden="1">
      <c r="A20" s="89" t="s">
        <v>95</v>
      </c>
      <c r="C20" s="118">
        <f>SUM(C14:C16)</f>
        <v>0</v>
      </c>
      <c r="D20" s="118">
        <f t="shared" ref="D20:F20" si="16">SUM(D14:D16)</f>
        <v>0</v>
      </c>
      <c r="E20" s="118">
        <f t="shared" si="16"/>
        <v>0</v>
      </c>
      <c r="F20" s="118">
        <f t="shared" si="16"/>
        <v>0</v>
      </c>
      <c r="H20" s="118">
        <f t="shared" si="11"/>
        <v>0</v>
      </c>
      <c r="J20" s="89" t="s">
        <v>95</v>
      </c>
      <c r="L20" s="118">
        <f>SUM(L14:L16)</f>
        <v>0</v>
      </c>
      <c r="M20" s="118">
        <f t="shared" ref="M20:O20" si="17">SUM(M14:M16)</f>
        <v>0</v>
      </c>
      <c r="N20" s="118">
        <f t="shared" si="17"/>
        <v>0</v>
      </c>
      <c r="O20" s="118">
        <f t="shared" si="17"/>
        <v>0</v>
      </c>
      <c r="P20" s="118"/>
      <c r="Q20" s="118">
        <f t="shared" si="13"/>
        <v>0</v>
      </c>
    </row>
    <row r="21" spans="1:24" s="29" customFormat="1">
      <c r="A21" s="89" t="s">
        <v>122</v>
      </c>
      <c r="C21" s="118">
        <f>SUM(C5:C16)</f>
        <v>-678636.36</v>
      </c>
      <c r="D21" s="118">
        <f t="shared" ref="D21:F21" si="18">SUM(D5:D16)</f>
        <v>-64168.83</v>
      </c>
      <c r="E21" s="118">
        <f t="shared" si="18"/>
        <v>742805.19000000006</v>
      </c>
      <c r="F21" s="118">
        <f t="shared" si="18"/>
        <v>678636.35999999987</v>
      </c>
      <c r="H21" s="118">
        <f t="shared" si="11"/>
        <v>0</v>
      </c>
      <c r="J21" s="89" t="s">
        <v>122</v>
      </c>
      <c r="L21" s="118">
        <f>SUM(L5:L16)</f>
        <v>11158.489999999991</v>
      </c>
      <c r="M21" s="118">
        <f t="shared" ref="M21:O21" si="19">SUM(M5:M16)</f>
        <v>-186745.31</v>
      </c>
      <c r="N21" s="118">
        <f t="shared" si="19"/>
        <v>175586.82</v>
      </c>
      <c r="O21" s="118">
        <f t="shared" si="19"/>
        <v>-11158.490000000005</v>
      </c>
      <c r="P21" s="118"/>
      <c r="Q21" s="118">
        <f t="shared" si="13"/>
        <v>-1.4551915228366852E-11</v>
      </c>
    </row>
    <row r="22" spans="1:24">
      <c r="A22" s="114"/>
      <c r="B22" s="114"/>
      <c r="J22" s="114"/>
      <c r="K22" s="114"/>
    </row>
    <row r="23" spans="1:24" ht="29.25" customHeight="1">
      <c r="A23" s="86">
        <v>186328</v>
      </c>
      <c r="B23" s="86" t="s">
        <v>52</v>
      </c>
      <c r="C23" s="115" t="s">
        <v>77</v>
      </c>
      <c r="D23" s="115" t="s">
        <v>78</v>
      </c>
      <c r="E23" s="115"/>
      <c r="F23" s="115" t="s">
        <v>80</v>
      </c>
      <c r="H23" s="136" t="s">
        <v>78</v>
      </c>
      <c r="J23" s="86">
        <f>A23</f>
        <v>186328</v>
      </c>
      <c r="K23" s="86" t="s">
        <v>53</v>
      </c>
      <c r="L23" s="115" t="s">
        <v>77</v>
      </c>
      <c r="M23" s="115" t="s">
        <v>78</v>
      </c>
      <c r="N23" s="115"/>
      <c r="O23" s="115" t="s">
        <v>80</v>
      </c>
      <c r="Q23" s="136" t="s">
        <v>78</v>
      </c>
    </row>
    <row r="24" spans="1:24">
      <c r="A24" s="110" t="s">
        <v>125</v>
      </c>
      <c r="B24" s="29" t="s">
        <v>126</v>
      </c>
      <c r="C24" s="115" t="s">
        <v>81</v>
      </c>
      <c r="D24" s="115" t="s">
        <v>82</v>
      </c>
      <c r="E24" s="115" t="s">
        <v>83</v>
      </c>
      <c r="F24" s="115" t="s">
        <v>79</v>
      </c>
      <c r="H24" s="136" t="s">
        <v>84</v>
      </c>
      <c r="J24" s="111" t="str">
        <f>A24</f>
        <v>Deferral - Residential</v>
      </c>
      <c r="K24" s="29" t="s">
        <v>126</v>
      </c>
      <c r="L24" s="115" t="s">
        <v>81</v>
      </c>
      <c r="M24" s="115" t="s">
        <v>82</v>
      </c>
      <c r="N24" s="115" t="s">
        <v>83</v>
      </c>
      <c r="O24" s="115" t="s">
        <v>79</v>
      </c>
      <c r="Q24" s="136" t="s">
        <v>84</v>
      </c>
    </row>
    <row r="25" spans="1:24" ht="14.45" customHeight="1">
      <c r="A25" s="70">
        <f>EDATE(A5,-1)</f>
        <v>44896</v>
      </c>
      <c r="B25" s="71"/>
      <c r="F25" s="114">
        <v>0</v>
      </c>
      <c r="J25" s="70">
        <f>A25</f>
        <v>44896</v>
      </c>
      <c r="K25" s="71"/>
      <c r="O25" s="114">
        <v>0</v>
      </c>
    </row>
    <row r="26" spans="1:24" ht="14.45" customHeight="1">
      <c r="A26" s="70">
        <f t="shared" ref="A26:A28" si="20">A5</f>
        <v>44927</v>
      </c>
      <c r="C26" s="116">
        <v>-1134607.8600000001</v>
      </c>
      <c r="D26" s="114">
        <f>ROUND((F25+(C26+E26)/2)*H26/12,2)</f>
        <v>-2983.07</v>
      </c>
      <c r="F26" s="114">
        <f>F25+C26+D26+E26</f>
        <v>-1137590.9300000002</v>
      </c>
      <c r="G26" s="117"/>
      <c r="H26" s="93">
        <v>6.3100000000000003E-2</v>
      </c>
      <c r="J26" s="70">
        <f t="shared" ref="J26:J37" si="21">A26</f>
        <v>44927</v>
      </c>
      <c r="L26" s="116">
        <v>-1750321.22</v>
      </c>
      <c r="M26" s="114">
        <f>ROUND((O25+(L26+N26)/2)*Q26/12,2)</f>
        <v>-4601.8900000000003</v>
      </c>
      <c r="O26" s="114">
        <f t="shared" ref="O26:O37" si="22">O25+L26+M26+N26</f>
        <v>-1754923.1099999999</v>
      </c>
      <c r="P26" s="117"/>
      <c r="Q26" s="72">
        <f>H26</f>
        <v>6.3100000000000003E-2</v>
      </c>
      <c r="U26" s="16"/>
      <c r="V26" s="139"/>
      <c r="W26" s="16"/>
      <c r="X26" s="139"/>
    </row>
    <row r="27" spans="1:24" ht="14.45" customHeight="1" thickBot="1">
      <c r="A27" s="70">
        <f t="shared" si="20"/>
        <v>44958</v>
      </c>
      <c r="C27" s="116">
        <v>-694147.31</v>
      </c>
      <c r="D27" s="114">
        <f t="shared" ref="D27:D37" si="23">ROUND((F26+(C27+E27)/2)*H27/12,2)</f>
        <v>-7806.86</v>
      </c>
      <c r="F27" s="114">
        <f t="shared" ref="F27" si="24">F26+C27+D27+E27</f>
        <v>-1839545.1000000003</v>
      </c>
      <c r="G27" s="117"/>
      <c r="H27" s="72">
        <f>H26</f>
        <v>6.3100000000000003E-2</v>
      </c>
      <c r="J27" s="70">
        <f t="shared" si="21"/>
        <v>44958</v>
      </c>
      <c r="L27" s="116">
        <v>-1834792.24</v>
      </c>
      <c r="M27" s="114">
        <f t="shared" ref="M27:M37" si="25">ROUND((O26+(L27+N27)/2)*Q27/12,2)</f>
        <v>-14051.95</v>
      </c>
      <c r="O27" s="114">
        <f t="shared" si="22"/>
        <v>-3603767.3</v>
      </c>
      <c r="P27" s="117"/>
      <c r="Q27" s="72">
        <f t="shared" ref="Q27:Q37" si="26">H27</f>
        <v>6.3100000000000003E-2</v>
      </c>
      <c r="U27" s="16"/>
      <c r="V27" s="139"/>
      <c r="W27" s="16"/>
      <c r="X27" s="139"/>
    </row>
    <row r="28" spans="1:24" ht="14.45" customHeight="1">
      <c r="A28" s="70">
        <f t="shared" si="20"/>
        <v>44986</v>
      </c>
      <c r="C28" s="116">
        <v>-346716.87</v>
      </c>
      <c r="D28" s="114">
        <f t="shared" si="23"/>
        <v>-10584.52</v>
      </c>
      <c r="F28" s="114">
        <f>F27+C28+D28+E28</f>
        <v>-2196846.4900000002</v>
      </c>
      <c r="G28" s="117"/>
      <c r="H28" s="72">
        <f>H27</f>
        <v>6.3100000000000003E-2</v>
      </c>
      <c r="J28" s="70">
        <f t="shared" si="21"/>
        <v>44986</v>
      </c>
      <c r="L28" s="116">
        <v>-185680.35</v>
      </c>
      <c r="M28" s="114">
        <f t="shared" si="25"/>
        <v>-19437.990000000002</v>
      </c>
      <c r="O28" s="114">
        <f t="shared" si="22"/>
        <v>-3808885.64</v>
      </c>
      <c r="P28" s="117"/>
      <c r="Q28" s="72">
        <f t="shared" si="26"/>
        <v>6.3100000000000003E-2</v>
      </c>
      <c r="U28" s="148" t="s">
        <v>159</v>
      </c>
      <c r="V28" s="149"/>
      <c r="W28" s="16"/>
      <c r="X28" s="139"/>
    </row>
    <row r="29" spans="1:24" ht="14.45" customHeight="1" thickBot="1">
      <c r="A29" s="70">
        <f t="shared" ref="A29:A37" si="27">A8</f>
        <v>45017</v>
      </c>
      <c r="C29" s="116">
        <v>-399437.64</v>
      </c>
      <c r="D29" s="114">
        <f t="shared" si="23"/>
        <v>-14978.53</v>
      </c>
      <c r="F29" s="114">
        <f t="shared" ref="F29:F37" si="28">F28+C29+D29+E29</f>
        <v>-2611262.66</v>
      </c>
      <c r="G29" s="117"/>
      <c r="H29" s="93">
        <v>7.4999999999999997E-2</v>
      </c>
      <c r="J29" s="70">
        <f t="shared" si="21"/>
        <v>45017</v>
      </c>
      <c r="L29" s="116">
        <v>122368.43</v>
      </c>
      <c r="M29" s="114">
        <f t="shared" si="25"/>
        <v>-23423.13</v>
      </c>
      <c r="O29" s="114">
        <f t="shared" si="22"/>
        <v>-3709940.34</v>
      </c>
      <c r="P29" s="117"/>
      <c r="Q29" s="72">
        <f t="shared" si="26"/>
        <v>7.4999999999999997E-2</v>
      </c>
      <c r="U29" s="150">
        <f>F37-'Electric Deferral'!U33</f>
        <v>7.3051559738814831E-3</v>
      </c>
      <c r="V29" s="151">
        <f>O37-'Nat Gas Deferral'!U31</f>
        <v>1.3749997597187757E-2</v>
      </c>
      <c r="W29" s="16"/>
      <c r="X29" s="139"/>
    </row>
    <row r="30" spans="1:24" ht="14.45" customHeight="1">
      <c r="A30" s="70">
        <f t="shared" si="27"/>
        <v>45047</v>
      </c>
      <c r="C30" s="116">
        <v>1045410.98</v>
      </c>
      <c r="D30" s="114">
        <f>ROUND((F29+(C30+E30)/2)*H30/12,2)</f>
        <v>-13053.48</v>
      </c>
      <c r="F30" s="114">
        <f t="shared" si="28"/>
        <v>-1578905.1600000001</v>
      </c>
      <c r="G30" s="117"/>
      <c r="H30" s="72">
        <f t="shared" ref="H30:H37" si="29">H29</f>
        <v>7.4999999999999997E-2</v>
      </c>
      <c r="J30" s="70">
        <f t="shared" si="21"/>
        <v>45047</v>
      </c>
      <c r="L30" s="116">
        <v>1405233.01</v>
      </c>
      <c r="M30" s="114">
        <f t="shared" si="25"/>
        <v>-18795.77</v>
      </c>
      <c r="O30" s="114">
        <f t="shared" si="22"/>
        <v>-2323503.1</v>
      </c>
      <c r="P30" s="117"/>
      <c r="Q30" s="72">
        <f t="shared" si="26"/>
        <v>7.4999999999999997E-2</v>
      </c>
    </row>
    <row r="31" spans="1:24" ht="14.45" customHeight="1">
      <c r="A31" s="70">
        <f t="shared" si="27"/>
        <v>45078</v>
      </c>
      <c r="C31" s="116">
        <v>-1799206.13</v>
      </c>
      <c r="D31" s="114">
        <f t="shared" si="23"/>
        <v>-15490.68</v>
      </c>
      <c r="F31" s="114">
        <f t="shared" si="28"/>
        <v>-3393601.97</v>
      </c>
      <c r="G31" s="117"/>
      <c r="H31" s="72">
        <f t="shared" si="29"/>
        <v>7.4999999999999997E-2</v>
      </c>
      <c r="J31" s="70">
        <f t="shared" si="21"/>
        <v>45078</v>
      </c>
      <c r="L31" s="116">
        <v>1387098.15</v>
      </c>
      <c r="M31" s="114">
        <f t="shared" si="25"/>
        <v>-10187.209999999999</v>
      </c>
      <c r="O31" s="114">
        <f t="shared" si="22"/>
        <v>-946592.16000000015</v>
      </c>
      <c r="P31" s="117"/>
      <c r="Q31" s="72">
        <f t="shared" si="26"/>
        <v>7.4999999999999997E-2</v>
      </c>
    </row>
    <row r="32" spans="1:24" ht="14.45" hidden="1" customHeight="1">
      <c r="A32" s="70">
        <f t="shared" si="27"/>
        <v>45108</v>
      </c>
      <c r="C32" s="116"/>
      <c r="D32" s="114">
        <f t="shared" si="23"/>
        <v>0</v>
      </c>
      <c r="F32" s="114">
        <f t="shared" si="28"/>
        <v>-3393601.97</v>
      </c>
      <c r="G32" s="117"/>
      <c r="H32" s="93">
        <v>0</v>
      </c>
      <c r="J32" s="70">
        <f t="shared" si="21"/>
        <v>45108</v>
      </c>
      <c r="L32" s="116"/>
      <c r="M32" s="114">
        <f t="shared" si="25"/>
        <v>0</v>
      </c>
      <c r="O32" s="114">
        <f t="shared" si="22"/>
        <v>-946592.16000000015</v>
      </c>
      <c r="P32" s="117"/>
      <c r="Q32" s="72">
        <f t="shared" si="26"/>
        <v>0</v>
      </c>
    </row>
    <row r="33" spans="1:24" ht="14.45" hidden="1" customHeight="1">
      <c r="A33" s="70">
        <f t="shared" si="27"/>
        <v>45139</v>
      </c>
      <c r="C33" s="116"/>
      <c r="D33" s="114">
        <f t="shared" si="23"/>
        <v>0</v>
      </c>
      <c r="F33" s="114">
        <f t="shared" si="28"/>
        <v>-3393601.97</v>
      </c>
      <c r="G33" s="117"/>
      <c r="H33" s="72">
        <f t="shared" si="29"/>
        <v>0</v>
      </c>
      <c r="J33" s="70">
        <f t="shared" si="21"/>
        <v>45139</v>
      </c>
      <c r="L33" s="116"/>
      <c r="M33" s="114">
        <f t="shared" si="25"/>
        <v>0</v>
      </c>
      <c r="O33" s="114">
        <f t="shared" si="22"/>
        <v>-946592.16000000015</v>
      </c>
      <c r="P33" s="117"/>
      <c r="Q33" s="72">
        <f t="shared" si="26"/>
        <v>0</v>
      </c>
    </row>
    <row r="34" spans="1:24" ht="14.45" hidden="1" customHeight="1">
      <c r="A34" s="70">
        <f t="shared" si="27"/>
        <v>45170</v>
      </c>
      <c r="C34" s="116"/>
      <c r="D34" s="114">
        <f t="shared" si="23"/>
        <v>0</v>
      </c>
      <c r="F34" s="114">
        <f t="shared" si="28"/>
        <v>-3393601.97</v>
      </c>
      <c r="G34" s="117"/>
      <c r="H34" s="72">
        <f t="shared" si="29"/>
        <v>0</v>
      </c>
      <c r="J34" s="70">
        <f t="shared" si="21"/>
        <v>45170</v>
      </c>
      <c r="L34" s="116"/>
      <c r="M34" s="114">
        <f t="shared" si="25"/>
        <v>0</v>
      </c>
      <c r="O34" s="114">
        <f t="shared" si="22"/>
        <v>-946592.16000000015</v>
      </c>
      <c r="P34" s="117"/>
      <c r="Q34" s="72">
        <f t="shared" si="26"/>
        <v>0</v>
      </c>
    </row>
    <row r="35" spans="1:24" hidden="1">
      <c r="A35" s="70">
        <f t="shared" si="27"/>
        <v>45200</v>
      </c>
      <c r="C35" s="116"/>
      <c r="D35" s="114">
        <f t="shared" si="23"/>
        <v>0</v>
      </c>
      <c r="F35" s="114">
        <f t="shared" si="28"/>
        <v>-3393601.97</v>
      </c>
      <c r="G35" s="117"/>
      <c r="H35" s="93">
        <v>0</v>
      </c>
      <c r="J35" s="70">
        <f t="shared" si="21"/>
        <v>45200</v>
      </c>
      <c r="L35" s="116"/>
      <c r="M35" s="114">
        <f t="shared" si="25"/>
        <v>0</v>
      </c>
      <c r="O35" s="114">
        <f t="shared" si="22"/>
        <v>-946592.16000000015</v>
      </c>
      <c r="P35" s="117"/>
      <c r="Q35" s="72">
        <f t="shared" si="26"/>
        <v>0</v>
      </c>
    </row>
    <row r="36" spans="1:24" hidden="1">
      <c r="A36" s="70">
        <f t="shared" si="27"/>
        <v>45231</v>
      </c>
      <c r="C36" s="116"/>
      <c r="D36" s="114">
        <f t="shared" si="23"/>
        <v>0</v>
      </c>
      <c r="F36" s="114">
        <f t="shared" si="28"/>
        <v>-3393601.97</v>
      </c>
      <c r="G36" s="117"/>
      <c r="H36" s="72">
        <f t="shared" si="29"/>
        <v>0</v>
      </c>
      <c r="J36" s="70">
        <f t="shared" si="21"/>
        <v>45231</v>
      </c>
      <c r="L36" s="116"/>
      <c r="M36" s="114">
        <f t="shared" si="25"/>
        <v>0</v>
      </c>
      <c r="O36" s="114">
        <f t="shared" si="22"/>
        <v>-946592.16000000015</v>
      </c>
      <c r="P36" s="117"/>
      <c r="Q36" s="72">
        <f t="shared" si="26"/>
        <v>0</v>
      </c>
    </row>
    <row r="37" spans="1:24" hidden="1">
      <c r="A37" s="70">
        <f t="shared" si="27"/>
        <v>45261</v>
      </c>
      <c r="B37" s="71"/>
      <c r="C37" s="116"/>
      <c r="D37" s="114">
        <f t="shared" si="23"/>
        <v>0</v>
      </c>
      <c r="F37" s="114">
        <f t="shared" si="28"/>
        <v>-3393601.97</v>
      </c>
      <c r="H37" s="72">
        <f t="shared" si="29"/>
        <v>0</v>
      </c>
      <c r="J37" s="70">
        <f t="shared" si="21"/>
        <v>45261</v>
      </c>
      <c r="K37" s="71"/>
      <c r="L37" s="116"/>
      <c r="M37" s="114">
        <f t="shared" si="25"/>
        <v>0</v>
      </c>
      <c r="O37" s="114">
        <f t="shared" si="22"/>
        <v>-946592.16000000015</v>
      </c>
      <c r="Q37" s="72">
        <f t="shared" si="26"/>
        <v>0</v>
      </c>
    </row>
    <row r="39" spans="1:24">
      <c r="A39" s="86">
        <v>186338</v>
      </c>
      <c r="B39" s="86" t="s">
        <v>52</v>
      </c>
      <c r="C39" s="115" t="s">
        <v>77</v>
      </c>
      <c r="D39" s="115" t="s">
        <v>78</v>
      </c>
      <c r="E39" s="115"/>
      <c r="F39" s="114" t="s">
        <v>80</v>
      </c>
      <c r="H39" s="136" t="s">
        <v>78</v>
      </c>
      <c r="J39" s="86">
        <f>A39</f>
        <v>186338</v>
      </c>
      <c r="K39" s="86" t="s">
        <v>53</v>
      </c>
      <c r="L39" s="115" t="s">
        <v>77</v>
      </c>
      <c r="M39" s="115" t="s">
        <v>78</v>
      </c>
      <c r="N39" s="115"/>
      <c r="O39" s="114" t="s">
        <v>80</v>
      </c>
      <c r="Q39" s="136" t="s">
        <v>78</v>
      </c>
    </row>
    <row r="40" spans="1:24">
      <c r="A40" s="110" t="s">
        <v>127</v>
      </c>
      <c r="B40" s="29" t="s">
        <v>126</v>
      </c>
      <c r="C40" s="115" t="s">
        <v>81</v>
      </c>
      <c r="D40" s="115" t="s">
        <v>82</v>
      </c>
      <c r="E40" s="115" t="s">
        <v>83</v>
      </c>
      <c r="F40" s="114" t="s">
        <v>79</v>
      </c>
      <c r="H40" s="136" t="s">
        <v>84</v>
      </c>
      <c r="J40" s="111" t="str">
        <f>A40</f>
        <v>Deferral - Non-Residential</v>
      </c>
      <c r="K40" s="29" t="s">
        <v>126</v>
      </c>
      <c r="L40" s="115" t="s">
        <v>81</v>
      </c>
      <c r="M40" s="115" t="s">
        <v>82</v>
      </c>
      <c r="N40" s="115" t="s">
        <v>83</v>
      </c>
      <c r="O40" s="114" t="s">
        <v>79</v>
      </c>
      <c r="Q40" s="136" t="s">
        <v>84</v>
      </c>
    </row>
    <row r="41" spans="1:24">
      <c r="A41" s="70">
        <f t="shared" ref="A41" si="30">A25</f>
        <v>44896</v>
      </c>
      <c r="B41" s="71"/>
      <c r="F41" s="114">
        <v>0</v>
      </c>
      <c r="J41" s="70">
        <f>A41</f>
        <v>44896</v>
      </c>
      <c r="K41" s="71"/>
      <c r="O41" s="114">
        <v>0</v>
      </c>
    </row>
    <row r="42" spans="1:24">
      <c r="A42" s="70"/>
      <c r="B42" s="71"/>
      <c r="J42" s="88" t="s">
        <v>280</v>
      </c>
      <c r="K42" s="71"/>
      <c r="L42" s="116">
        <v>75524.06</v>
      </c>
      <c r="M42" s="116">
        <v>154.51</v>
      </c>
      <c r="N42" s="140">
        <v>-75678.570000000007</v>
      </c>
      <c r="O42" s="116">
        <f>O41+L42+M42+N42</f>
        <v>0</v>
      </c>
    </row>
    <row r="43" spans="1:24" ht="14.45" customHeight="1">
      <c r="A43" s="70">
        <f t="shared" ref="A43:A54" si="31">A26</f>
        <v>44927</v>
      </c>
      <c r="C43" s="116">
        <v>1343866.04</v>
      </c>
      <c r="D43" s="114">
        <f>ROUND((F41+(C43+E43)/2)*H43/12,2)</f>
        <v>3533.25</v>
      </c>
      <c r="F43" s="114">
        <f>F41+C43+D43+E43</f>
        <v>1347399.29</v>
      </c>
      <c r="G43" s="117"/>
      <c r="H43" s="72">
        <f t="shared" ref="H43:H54" si="32">H26</f>
        <v>6.3100000000000003E-2</v>
      </c>
      <c r="J43" s="70">
        <f t="shared" ref="J43:J54" si="33">A43</f>
        <v>44927</v>
      </c>
      <c r="L43" s="116">
        <v>-1447635.87</v>
      </c>
      <c r="M43" s="114">
        <f>ROUND((O41+(L43+N43)/2)*Q43/12,2)</f>
        <v>-3806.08</v>
      </c>
      <c r="O43" s="114">
        <f>O41+L43+M43+N43</f>
        <v>-1451441.9500000002</v>
      </c>
      <c r="P43" s="117"/>
      <c r="Q43" s="72">
        <f t="shared" ref="Q43:Q54" si="34">H43</f>
        <v>6.3100000000000003E-2</v>
      </c>
    </row>
    <row r="44" spans="1:24" ht="14.45" customHeight="1">
      <c r="A44" s="70">
        <f t="shared" si="31"/>
        <v>44958</v>
      </c>
      <c r="C44" s="116">
        <v>332987.86</v>
      </c>
      <c r="D44" s="114">
        <f t="shared" ref="D44:D54" si="35">ROUND((F43+(C44+E44)/2)*H44/12,2)</f>
        <v>7960.56</v>
      </c>
      <c r="F44" s="114">
        <f t="shared" ref="F44:F54" si="36">F43+C44+D44+E44</f>
        <v>1688347.71</v>
      </c>
      <c r="G44" s="117"/>
      <c r="H44" s="72">
        <f t="shared" si="32"/>
        <v>6.3100000000000003E-2</v>
      </c>
      <c r="J44" s="70">
        <f t="shared" si="33"/>
        <v>44958</v>
      </c>
      <c r="L44" s="116">
        <v>-51786.239999999998</v>
      </c>
      <c r="M44" s="114">
        <f t="shared" ref="M44:M54" si="37">ROUND((O43+(L44+N44)/2)*Q44/12,2)</f>
        <v>-7768.32</v>
      </c>
      <c r="O44" s="114">
        <f t="shared" ref="O44:O54" si="38">O43+L44+M44+N44</f>
        <v>-1510996.5100000002</v>
      </c>
      <c r="P44" s="117"/>
      <c r="Q44" s="72">
        <f t="shared" si="34"/>
        <v>6.3100000000000003E-2</v>
      </c>
      <c r="U44" s="16"/>
      <c r="V44" s="139"/>
      <c r="W44" s="16"/>
      <c r="X44" s="139"/>
    </row>
    <row r="45" spans="1:24" ht="14.45" customHeight="1" thickBot="1">
      <c r="A45" s="70">
        <f t="shared" si="31"/>
        <v>44986</v>
      </c>
      <c r="C45" s="116">
        <v>-972315.99</v>
      </c>
      <c r="D45" s="114">
        <f t="shared" si="35"/>
        <v>6321.51</v>
      </c>
      <c r="F45" s="114">
        <f t="shared" si="36"/>
        <v>722353.23</v>
      </c>
      <c r="G45" s="117"/>
      <c r="H45" s="72">
        <f t="shared" si="32"/>
        <v>6.3100000000000003E-2</v>
      </c>
      <c r="J45" s="70">
        <f t="shared" si="33"/>
        <v>44986</v>
      </c>
      <c r="L45" s="116">
        <v>-43398.16</v>
      </c>
      <c r="M45" s="114">
        <f t="shared" si="37"/>
        <v>-8059.42</v>
      </c>
      <c r="O45" s="114">
        <f t="shared" si="38"/>
        <v>-1562454.09</v>
      </c>
      <c r="P45" s="117"/>
      <c r="Q45" s="72">
        <f t="shared" si="34"/>
        <v>6.3100000000000003E-2</v>
      </c>
      <c r="U45" s="16"/>
      <c r="V45" s="139"/>
      <c r="W45" s="16"/>
      <c r="X45" s="139"/>
    </row>
    <row r="46" spans="1:24" ht="14.45" customHeight="1">
      <c r="A46" s="70">
        <f t="shared" si="31"/>
        <v>45017</v>
      </c>
      <c r="C46" s="116">
        <v>895878.6</v>
      </c>
      <c r="D46" s="114">
        <f t="shared" si="35"/>
        <v>7314.33</v>
      </c>
      <c r="F46" s="114">
        <f t="shared" si="36"/>
        <v>1625546.1600000001</v>
      </c>
      <c r="G46" s="117"/>
      <c r="H46" s="72">
        <f t="shared" si="32"/>
        <v>7.4999999999999997E-2</v>
      </c>
      <c r="J46" s="70">
        <f t="shared" si="33"/>
        <v>45017</v>
      </c>
      <c r="L46" s="116">
        <v>-28769.3</v>
      </c>
      <c r="M46" s="114">
        <f t="shared" si="37"/>
        <v>-9855.24</v>
      </c>
      <c r="O46" s="114">
        <f t="shared" si="38"/>
        <v>-1601078.6300000001</v>
      </c>
      <c r="P46" s="117"/>
      <c r="Q46" s="72">
        <f t="shared" si="34"/>
        <v>7.4999999999999997E-2</v>
      </c>
      <c r="U46" s="148" t="s">
        <v>159</v>
      </c>
      <c r="V46" s="149"/>
      <c r="W46" s="16"/>
      <c r="X46" s="139"/>
    </row>
    <row r="47" spans="1:24" ht="14.45" customHeight="1" thickBot="1">
      <c r="A47" s="70">
        <f t="shared" si="31"/>
        <v>45047</v>
      </c>
      <c r="C47" s="116">
        <v>157688.24</v>
      </c>
      <c r="D47" s="114">
        <f t="shared" si="35"/>
        <v>10652.44</v>
      </c>
      <c r="F47" s="114">
        <f t="shared" si="36"/>
        <v>1793886.84</v>
      </c>
      <c r="G47" s="117"/>
      <c r="H47" s="72">
        <f t="shared" si="32"/>
        <v>7.4999999999999997E-2</v>
      </c>
      <c r="J47" s="70">
        <f t="shared" si="33"/>
        <v>45047</v>
      </c>
      <c r="L47" s="116">
        <v>142435.96</v>
      </c>
      <c r="M47" s="114">
        <f t="shared" si="37"/>
        <v>-9561.6299999999992</v>
      </c>
      <c r="O47" s="114">
        <f t="shared" si="38"/>
        <v>-1468204.3</v>
      </c>
      <c r="P47" s="117"/>
      <c r="Q47" s="72">
        <f t="shared" si="34"/>
        <v>7.4999999999999997E-2</v>
      </c>
      <c r="U47" s="150">
        <f>F54-'Electric Deferral'!U61</f>
        <v>7.0774969644844532E-3</v>
      </c>
      <c r="V47" s="151">
        <f>O54-'Nat Gas Deferral'!U57</f>
        <v>-3.5884049721062183E-3</v>
      </c>
      <c r="W47" s="16"/>
      <c r="X47" s="139"/>
    </row>
    <row r="48" spans="1:24" ht="14.45" customHeight="1">
      <c r="A48" s="70">
        <f t="shared" si="31"/>
        <v>45078</v>
      </c>
      <c r="B48" s="137"/>
      <c r="C48" s="116">
        <v>1181792.06</v>
      </c>
      <c r="D48" s="114">
        <f t="shared" si="35"/>
        <v>14904.89</v>
      </c>
      <c r="F48" s="114">
        <f t="shared" si="36"/>
        <v>2990583.7900000005</v>
      </c>
      <c r="G48" s="152"/>
      <c r="H48" s="72">
        <f t="shared" si="32"/>
        <v>7.4999999999999997E-2</v>
      </c>
      <c r="J48" s="70">
        <f t="shared" si="33"/>
        <v>45078</v>
      </c>
      <c r="L48" s="116">
        <v>189267.64</v>
      </c>
      <c r="M48" s="114">
        <f t="shared" si="37"/>
        <v>-8584.82</v>
      </c>
      <c r="O48" s="114">
        <f t="shared" si="38"/>
        <v>-1287521.4800000002</v>
      </c>
      <c r="P48" s="117"/>
      <c r="Q48" s="72">
        <f t="shared" si="34"/>
        <v>7.4999999999999997E-2</v>
      </c>
    </row>
    <row r="49" spans="1:24" ht="14.45" hidden="1" customHeight="1">
      <c r="A49" s="70">
        <f t="shared" si="31"/>
        <v>45108</v>
      </c>
      <c r="B49" s="137"/>
      <c r="C49" s="116"/>
      <c r="D49" s="114">
        <f t="shared" si="35"/>
        <v>0</v>
      </c>
      <c r="F49" s="114">
        <f t="shared" si="36"/>
        <v>2990583.7900000005</v>
      </c>
      <c r="G49" s="152"/>
      <c r="H49" s="72">
        <f t="shared" si="32"/>
        <v>0</v>
      </c>
      <c r="J49" s="70">
        <f t="shared" si="33"/>
        <v>45108</v>
      </c>
      <c r="L49" s="116"/>
      <c r="M49" s="114">
        <f t="shared" si="37"/>
        <v>0</v>
      </c>
      <c r="O49" s="114">
        <f t="shared" si="38"/>
        <v>-1287521.4800000002</v>
      </c>
      <c r="P49" s="117"/>
      <c r="Q49" s="72">
        <f t="shared" si="34"/>
        <v>0</v>
      </c>
    </row>
    <row r="50" spans="1:24" ht="14.45" hidden="1" customHeight="1">
      <c r="A50" s="70">
        <f t="shared" si="31"/>
        <v>45139</v>
      </c>
      <c r="B50" s="137"/>
      <c r="C50" s="116"/>
      <c r="D50" s="114">
        <f t="shared" si="35"/>
        <v>0</v>
      </c>
      <c r="F50" s="114">
        <f t="shared" si="36"/>
        <v>2990583.7900000005</v>
      </c>
      <c r="G50" s="152"/>
      <c r="H50" s="72">
        <f t="shared" si="32"/>
        <v>0</v>
      </c>
      <c r="J50" s="70">
        <f t="shared" si="33"/>
        <v>45139</v>
      </c>
      <c r="L50" s="116"/>
      <c r="M50" s="114">
        <f t="shared" si="37"/>
        <v>0</v>
      </c>
      <c r="O50" s="114">
        <f t="shared" si="38"/>
        <v>-1287521.4800000002</v>
      </c>
      <c r="P50" s="117"/>
      <c r="Q50" s="72">
        <f t="shared" si="34"/>
        <v>0</v>
      </c>
    </row>
    <row r="51" spans="1:24" ht="14.45" hidden="1" customHeight="1">
      <c r="A51" s="70">
        <f t="shared" si="31"/>
        <v>45170</v>
      </c>
      <c r="B51" s="137"/>
      <c r="C51" s="116"/>
      <c r="D51" s="114">
        <f t="shared" si="35"/>
        <v>0</v>
      </c>
      <c r="F51" s="114">
        <f t="shared" si="36"/>
        <v>2990583.7900000005</v>
      </c>
      <c r="G51" s="152"/>
      <c r="H51" s="72">
        <f t="shared" si="32"/>
        <v>0</v>
      </c>
      <c r="J51" s="70">
        <f t="shared" si="33"/>
        <v>45170</v>
      </c>
      <c r="L51" s="116"/>
      <c r="M51" s="114">
        <f t="shared" si="37"/>
        <v>0</v>
      </c>
      <c r="O51" s="114">
        <f t="shared" si="38"/>
        <v>-1287521.4800000002</v>
      </c>
      <c r="P51" s="117"/>
      <c r="Q51" s="72">
        <f t="shared" si="34"/>
        <v>0</v>
      </c>
    </row>
    <row r="52" spans="1:24" ht="14.45" hidden="1" customHeight="1">
      <c r="A52" s="70">
        <f t="shared" si="31"/>
        <v>45200</v>
      </c>
      <c r="C52" s="116"/>
      <c r="D52" s="114">
        <f t="shared" si="35"/>
        <v>0</v>
      </c>
      <c r="F52" s="114">
        <f t="shared" si="36"/>
        <v>2990583.7900000005</v>
      </c>
      <c r="G52" s="117"/>
      <c r="H52" s="72">
        <f t="shared" si="32"/>
        <v>0</v>
      </c>
      <c r="J52" s="70">
        <f t="shared" si="33"/>
        <v>45200</v>
      </c>
      <c r="L52" s="116"/>
      <c r="M52" s="114">
        <f t="shared" si="37"/>
        <v>0</v>
      </c>
      <c r="O52" s="114">
        <f t="shared" si="38"/>
        <v>-1287521.4800000002</v>
      </c>
      <c r="P52" s="117"/>
      <c r="Q52" s="72">
        <f t="shared" si="34"/>
        <v>0</v>
      </c>
    </row>
    <row r="53" spans="1:24" hidden="1">
      <c r="A53" s="70">
        <f t="shared" si="31"/>
        <v>45231</v>
      </c>
      <c r="C53" s="116"/>
      <c r="D53" s="114">
        <f t="shared" si="35"/>
        <v>0</v>
      </c>
      <c r="F53" s="114">
        <f t="shared" si="36"/>
        <v>2990583.7900000005</v>
      </c>
      <c r="G53" s="117"/>
      <c r="H53" s="72">
        <f t="shared" si="32"/>
        <v>0</v>
      </c>
      <c r="J53" s="70">
        <f t="shared" si="33"/>
        <v>45231</v>
      </c>
      <c r="L53" s="116"/>
      <c r="M53" s="114">
        <f t="shared" si="37"/>
        <v>0</v>
      </c>
      <c r="O53" s="114">
        <f t="shared" si="38"/>
        <v>-1287521.4800000002</v>
      </c>
      <c r="P53" s="117"/>
      <c r="Q53" s="72">
        <f t="shared" si="34"/>
        <v>0</v>
      </c>
    </row>
    <row r="54" spans="1:24" hidden="1">
      <c r="A54" s="70">
        <f t="shared" si="31"/>
        <v>45261</v>
      </c>
      <c r="B54" s="71"/>
      <c r="C54" s="116"/>
      <c r="D54" s="114">
        <f t="shared" si="35"/>
        <v>0</v>
      </c>
      <c r="F54" s="114">
        <f t="shared" si="36"/>
        <v>2990583.7900000005</v>
      </c>
      <c r="H54" s="72">
        <f t="shared" si="32"/>
        <v>0</v>
      </c>
      <c r="J54" s="70">
        <f t="shared" si="33"/>
        <v>45261</v>
      </c>
      <c r="K54" s="71"/>
      <c r="L54" s="116"/>
      <c r="M54" s="114">
        <f t="shared" si="37"/>
        <v>0</v>
      </c>
      <c r="O54" s="114">
        <f t="shared" si="38"/>
        <v>-1287521.4800000002</v>
      </c>
      <c r="Q54" s="72">
        <f t="shared" si="34"/>
        <v>0</v>
      </c>
    </row>
    <row r="55" spans="1:24">
      <c r="A55" s="70"/>
      <c r="B55" s="71"/>
      <c r="C55" s="116"/>
      <c r="H55" s="72"/>
      <c r="J55" s="70"/>
      <c r="K55" s="71"/>
      <c r="L55" s="116"/>
      <c r="Q55" s="72"/>
    </row>
    <row r="56" spans="1:24">
      <c r="A56" s="86">
        <v>182329</v>
      </c>
      <c r="B56" s="86" t="s">
        <v>52</v>
      </c>
      <c r="C56" s="115" t="s">
        <v>77</v>
      </c>
      <c r="D56" s="115" t="s">
        <v>78</v>
      </c>
      <c r="E56" s="115"/>
      <c r="F56" s="114" t="s">
        <v>80</v>
      </c>
      <c r="H56" s="136" t="s">
        <v>78</v>
      </c>
      <c r="J56" s="86">
        <f>A56</f>
        <v>182329</v>
      </c>
      <c r="K56" s="86" t="s">
        <v>53</v>
      </c>
      <c r="L56" s="115" t="s">
        <v>77</v>
      </c>
      <c r="M56" s="115" t="s">
        <v>78</v>
      </c>
      <c r="N56" s="115"/>
      <c r="O56" s="114" t="s">
        <v>80</v>
      </c>
      <c r="Q56" s="136" t="s">
        <v>78</v>
      </c>
    </row>
    <row r="57" spans="1:24" ht="31.5" customHeight="1">
      <c r="A57" s="112" t="s">
        <v>128</v>
      </c>
      <c r="B57" s="29" t="s">
        <v>126</v>
      </c>
      <c r="C57" s="115" t="s">
        <v>81</v>
      </c>
      <c r="D57" s="115" t="s">
        <v>82</v>
      </c>
      <c r="E57" s="115" t="s">
        <v>83</v>
      </c>
      <c r="F57" s="114" t="s">
        <v>79</v>
      </c>
      <c r="H57" s="136" t="s">
        <v>84</v>
      </c>
      <c r="J57" s="29" t="str">
        <f>A57</f>
        <v>Res Prior Year Pending</v>
      </c>
      <c r="K57" s="29" t="s">
        <v>126</v>
      </c>
      <c r="L57" s="115" t="s">
        <v>81</v>
      </c>
      <c r="M57" s="115" t="s">
        <v>82</v>
      </c>
      <c r="N57" s="115" t="s">
        <v>83</v>
      </c>
      <c r="O57" s="114" t="s">
        <v>79</v>
      </c>
      <c r="Q57" s="136" t="s">
        <v>84</v>
      </c>
    </row>
    <row r="58" spans="1:24">
      <c r="A58" s="70">
        <f>$A$25</f>
        <v>44896</v>
      </c>
      <c r="B58" s="71"/>
      <c r="F58" s="116">
        <v>-16125774.1</v>
      </c>
      <c r="G58" s="117"/>
      <c r="J58" s="70">
        <f>A58</f>
        <v>44896</v>
      </c>
      <c r="K58" s="71"/>
      <c r="O58" s="116">
        <v>-1069340.6403520817</v>
      </c>
      <c r="P58" s="117"/>
    </row>
    <row r="59" spans="1:24">
      <c r="A59" s="141" t="s">
        <v>284</v>
      </c>
      <c r="B59" s="71"/>
      <c r="F59" s="116">
        <v>0</v>
      </c>
      <c r="I59" s="91"/>
      <c r="J59" s="88" t="str">
        <f t="shared" ref="J59:J71" si="39">A59</f>
        <v>Provision for Rate Refund - December 2022 Estimate</v>
      </c>
      <c r="K59" s="71"/>
      <c r="O59" s="116">
        <v>0</v>
      </c>
      <c r="R59" s="91"/>
    </row>
    <row r="60" spans="1:24" ht="14.45" customHeight="1">
      <c r="A60" s="70">
        <f t="shared" ref="A60:A71" si="40">A26</f>
        <v>44927</v>
      </c>
      <c r="D60" s="114">
        <f>ROUND((F58+F$59+(E60)/2)*H60/12,2)</f>
        <v>-84794.7</v>
      </c>
      <c r="F60" s="114">
        <f>F58+C60+D60+E60</f>
        <v>-16210568.799999999</v>
      </c>
      <c r="G60" s="117"/>
      <c r="H60" s="72">
        <f t="shared" ref="H60:H71" si="41">H26</f>
        <v>6.3100000000000003E-2</v>
      </c>
      <c r="J60" s="70">
        <f t="shared" si="39"/>
        <v>44927</v>
      </c>
      <c r="L60" s="116"/>
      <c r="M60" s="114">
        <f>ROUND((O58+O$59+(N60)/2)*Q60/12,2)</f>
        <v>-5622.95</v>
      </c>
      <c r="O60" s="114">
        <f>O58+L60+M60+N60</f>
        <v>-1074963.5903520817</v>
      </c>
      <c r="P60" s="117"/>
      <c r="Q60" s="72">
        <f t="shared" ref="Q60:Q71" si="42">H60</f>
        <v>6.3100000000000003E-2</v>
      </c>
    </row>
    <row r="61" spans="1:24" ht="14.45" customHeight="1">
      <c r="A61" s="70">
        <f t="shared" si="40"/>
        <v>44958</v>
      </c>
      <c r="D61" s="114">
        <f>ROUND((F60+F$59+(E61)/2)*H61/12,2)</f>
        <v>-85240.57</v>
      </c>
      <c r="F61" s="114">
        <f>F60+C61+D61+E61</f>
        <v>-16295809.369999999</v>
      </c>
      <c r="G61" s="117"/>
      <c r="H61" s="72">
        <f t="shared" si="41"/>
        <v>6.3100000000000003E-2</v>
      </c>
      <c r="J61" s="70">
        <f t="shared" si="39"/>
        <v>44958</v>
      </c>
      <c r="L61" s="116"/>
      <c r="M61" s="114">
        <f>ROUND((O60+O$59+(N61)/2)*Q61/12,2)</f>
        <v>-5652.52</v>
      </c>
      <c r="O61" s="114">
        <f t="shared" ref="O61:O71" si="43">O60+L61+M61+N61</f>
        <v>-1080616.1103520817</v>
      </c>
      <c r="P61" s="117"/>
      <c r="Q61" s="72">
        <f t="shared" si="42"/>
        <v>6.3100000000000003E-2</v>
      </c>
    </row>
    <row r="62" spans="1:24" ht="14.45" customHeight="1">
      <c r="A62" s="70">
        <f t="shared" si="40"/>
        <v>44986</v>
      </c>
      <c r="D62" s="114">
        <f t="shared" ref="D62:D68" si="44">ROUND((F61+F$59+(E62)/2)*H62/12,2)</f>
        <v>-85688.8</v>
      </c>
      <c r="F62" s="114">
        <f t="shared" ref="F62:F71" si="45">F61+C62+D62+E62</f>
        <v>-16381498.17</v>
      </c>
      <c r="G62" s="117"/>
      <c r="H62" s="72">
        <f t="shared" si="41"/>
        <v>6.3100000000000003E-2</v>
      </c>
      <c r="J62" s="70">
        <f t="shared" si="39"/>
        <v>44986</v>
      </c>
      <c r="L62" s="116"/>
      <c r="M62" s="114">
        <f t="shared" ref="M62:M68" si="46">ROUND((O61+O$59+(N62)/2)*Q62/12,2)</f>
        <v>-5682.24</v>
      </c>
      <c r="O62" s="114">
        <f t="shared" si="43"/>
        <v>-1086298.3503520817</v>
      </c>
      <c r="P62" s="117"/>
      <c r="Q62" s="72">
        <f t="shared" si="42"/>
        <v>6.3100000000000003E-2</v>
      </c>
      <c r="U62" s="16"/>
      <c r="V62" s="139"/>
      <c r="W62" s="16"/>
      <c r="X62" s="139"/>
    </row>
    <row r="63" spans="1:24" ht="14.45" customHeight="1">
      <c r="A63" s="70">
        <f t="shared" si="40"/>
        <v>45017</v>
      </c>
      <c r="D63" s="114">
        <f t="shared" si="44"/>
        <v>-102384.36</v>
      </c>
      <c r="F63" s="114">
        <f t="shared" si="45"/>
        <v>-16483882.529999999</v>
      </c>
      <c r="G63" s="117"/>
      <c r="H63" s="72">
        <f t="shared" si="41"/>
        <v>7.4999999999999997E-2</v>
      </c>
      <c r="J63" s="70">
        <f t="shared" si="39"/>
        <v>45017</v>
      </c>
      <c r="M63" s="114">
        <f t="shared" si="46"/>
        <v>-6789.36</v>
      </c>
      <c r="O63" s="114">
        <f t="shared" si="43"/>
        <v>-1093087.7103520818</v>
      </c>
      <c r="P63" s="117"/>
      <c r="Q63" s="72">
        <f t="shared" si="42"/>
        <v>7.4999999999999997E-2</v>
      </c>
      <c r="U63" s="16"/>
      <c r="V63" s="139"/>
      <c r="W63" s="16"/>
      <c r="X63" s="139"/>
    </row>
    <row r="64" spans="1:24" ht="14.45" customHeight="1">
      <c r="A64" s="70">
        <f t="shared" si="40"/>
        <v>45047</v>
      </c>
      <c r="D64" s="114">
        <f t="shared" si="44"/>
        <v>-103024.27</v>
      </c>
      <c r="F64" s="114">
        <f t="shared" si="45"/>
        <v>-16586906.799999999</v>
      </c>
      <c r="G64" s="117"/>
      <c r="H64" s="72">
        <f t="shared" si="41"/>
        <v>7.4999999999999997E-2</v>
      </c>
      <c r="J64" s="70">
        <f t="shared" si="39"/>
        <v>45047</v>
      </c>
      <c r="M64" s="114">
        <f t="shared" si="46"/>
        <v>-6831.8</v>
      </c>
      <c r="O64" s="114">
        <f t="shared" si="43"/>
        <v>-1099919.5103520819</v>
      </c>
      <c r="P64" s="117"/>
      <c r="Q64" s="72">
        <f t="shared" si="42"/>
        <v>7.4999999999999997E-2</v>
      </c>
      <c r="U64" s="16"/>
      <c r="V64" s="139"/>
      <c r="W64" s="16"/>
      <c r="X64" s="139"/>
    </row>
    <row r="65" spans="1:24" ht="14.45" customHeight="1">
      <c r="A65" s="70">
        <f t="shared" si="40"/>
        <v>45078</v>
      </c>
      <c r="D65" s="114">
        <f t="shared" si="44"/>
        <v>-103668.17</v>
      </c>
      <c r="F65" s="114">
        <f t="shared" si="45"/>
        <v>-16690574.969999999</v>
      </c>
      <c r="G65" s="117"/>
      <c r="H65" s="72">
        <f t="shared" si="41"/>
        <v>7.4999999999999997E-2</v>
      </c>
      <c r="J65" s="70">
        <f t="shared" si="39"/>
        <v>45078</v>
      </c>
      <c r="M65" s="114">
        <f t="shared" si="46"/>
        <v>-6874.5</v>
      </c>
      <c r="O65" s="114">
        <f t="shared" si="43"/>
        <v>-1106794.0103520819</v>
      </c>
      <c r="P65" s="117"/>
      <c r="Q65" s="72">
        <f t="shared" si="42"/>
        <v>7.4999999999999997E-2</v>
      </c>
    </row>
    <row r="66" spans="1:24" ht="14.45" hidden="1" customHeight="1">
      <c r="A66" s="70">
        <f t="shared" si="40"/>
        <v>45108</v>
      </c>
      <c r="D66" s="114">
        <f t="shared" si="44"/>
        <v>0</v>
      </c>
      <c r="F66" s="114">
        <f>F65+C66+D66+E66</f>
        <v>-16690574.969999999</v>
      </c>
      <c r="G66" s="117"/>
      <c r="H66" s="72">
        <f t="shared" si="41"/>
        <v>0</v>
      </c>
      <c r="J66" s="70">
        <f t="shared" si="39"/>
        <v>45108</v>
      </c>
      <c r="M66" s="114">
        <f t="shared" si="46"/>
        <v>0</v>
      </c>
      <c r="O66" s="114">
        <f t="shared" si="43"/>
        <v>-1106794.0103520819</v>
      </c>
      <c r="P66" s="117"/>
      <c r="Q66" s="72">
        <f t="shared" si="42"/>
        <v>0</v>
      </c>
    </row>
    <row r="67" spans="1:24" ht="14.45" hidden="1" customHeight="1">
      <c r="A67" s="70">
        <f t="shared" si="40"/>
        <v>45139</v>
      </c>
      <c r="D67" s="114">
        <f t="shared" si="44"/>
        <v>0</v>
      </c>
      <c r="F67" s="114">
        <f>F66+C67+D67+E67</f>
        <v>-16690574.969999999</v>
      </c>
      <c r="G67" s="117"/>
      <c r="H67" s="72">
        <f t="shared" si="41"/>
        <v>0</v>
      </c>
      <c r="J67" s="70">
        <f t="shared" si="39"/>
        <v>45139</v>
      </c>
      <c r="M67" s="114">
        <f t="shared" si="46"/>
        <v>0</v>
      </c>
      <c r="O67" s="114">
        <f>O66+L67+M67+N67</f>
        <v>-1106794.0103520819</v>
      </c>
      <c r="P67" s="117"/>
      <c r="Q67" s="72">
        <f t="shared" si="42"/>
        <v>0</v>
      </c>
    </row>
    <row r="68" spans="1:24" ht="14.45" hidden="1" customHeight="1">
      <c r="A68" s="70">
        <f t="shared" si="40"/>
        <v>45170</v>
      </c>
      <c r="D68" s="114">
        <f t="shared" si="44"/>
        <v>0</v>
      </c>
      <c r="F68" s="114">
        <f>F67+C68+D68+E68</f>
        <v>-16690574.969999999</v>
      </c>
      <c r="G68" s="117"/>
      <c r="H68" s="72">
        <f t="shared" si="41"/>
        <v>0</v>
      </c>
      <c r="J68" s="70">
        <f t="shared" si="39"/>
        <v>45170</v>
      </c>
      <c r="M68" s="114">
        <f t="shared" si="46"/>
        <v>0</v>
      </c>
      <c r="O68" s="114">
        <f t="shared" si="43"/>
        <v>-1106794.0103520819</v>
      </c>
      <c r="P68" s="117"/>
      <c r="Q68" s="72">
        <f t="shared" si="42"/>
        <v>0</v>
      </c>
    </row>
    <row r="69" spans="1:24" ht="14.45" hidden="1" customHeight="1">
      <c r="A69" s="70">
        <f t="shared" si="40"/>
        <v>45200</v>
      </c>
      <c r="B69" t="s">
        <v>111</v>
      </c>
      <c r="C69" s="114">
        <f>-F68</f>
        <v>16690574.969999999</v>
      </c>
      <c r="D69" s="114">
        <f>ROUND((F68+C69+(E69)/2)*H69/12,2)</f>
        <v>0</v>
      </c>
      <c r="F69" s="114">
        <f t="shared" si="45"/>
        <v>0</v>
      </c>
      <c r="G69" s="117"/>
      <c r="H69" s="72">
        <f t="shared" si="41"/>
        <v>0</v>
      </c>
      <c r="J69" s="70">
        <f t="shared" si="39"/>
        <v>45200</v>
      </c>
      <c r="K69" t="s">
        <v>111</v>
      </c>
      <c r="L69" s="114">
        <f>-O68</f>
        <v>1106794.0103520819</v>
      </c>
      <c r="M69" s="114">
        <f>ROUND((O68+L69+(N69)/2)*Q69/12,2)</f>
        <v>0</v>
      </c>
      <c r="O69" s="114">
        <f t="shared" si="43"/>
        <v>0</v>
      </c>
      <c r="P69" s="117"/>
      <c r="Q69" s="72">
        <f t="shared" si="42"/>
        <v>0</v>
      </c>
    </row>
    <row r="70" spans="1:24" hidden="1">
      <c r="A70" s="70">
        <f t="shared" si="40"/>
        <v>45231</v>
      </c>
      <c r="D70" s="114">
        <f>ROUND((F69+(E70)/2)*H70/12,2)</f>
        <v>0</v>
      </c>
      <c r="F70" s="114">
        <f t="shared" si="45"/>
        <v>0</v>
      </c>
      <c r="G70" s="117"/>
      <c r="H70" s="72">
        <f t="shared" si="41"/>
        <v>0</v>
      </c>
      <c r="J70" s="70">
        <f t="shared" si="39"/>
        <v>45231</v>
      </c>
      <c r="M70" s="114">
        <f>ROUND((O69+(N70)/2)*Q70/12,2)</f>
        <v>0</v>
      </c>
      <c r="O70" s="114">
        <f>O69+L70+M70+N70</f>
        <v>0</v>
      </c>
      <c r="P70" s="117"/>
      <c r="Q70" s="72">
        <f t="shared" si="42"/>
        <v>0</v>
      </c>
    </row>
    <row r="71" spans="1:24" hidden="1">
      <c r="A71" s="70">
        <f t="shared" si="40"/>
        <v>45261</v>
      </c>
      <c r="B71" s="71"/>
      <c r="D71" s="114">
        <f>ROUND((F70+(E71)/2)*H71/12,2)</f>
        <v>0</v>
      </c>
      <c r="F71" s="114">
        <f t="shared" si="45"/>
        <v>0</v>
      </c>
      <c r="H71" s="72">
        <f t="shared" si="41"/>
        <v>0</v>
      </c>
      <c r="J71" s="70">
        <f t="shared" si="39"/>
        <v>45261</v>
      </c>
      <c r="K71" s="71"/>
      <c r="M71" s="114">
        <f>ROUND((O70+(N71)/2)*Q71/12,2)</f>
        <v>0</v>
      </c>
      <c r="O71" s="114">
        <f t="shared" si="43"/>
        <v>0</v>
      </c>
      <c r="Q71" s="72">
        <f t="shared" si="42"/>
        <v>0</v>
      </c>
    </row>
    <row r="72" spans="1:24" ht="28.5" hidden="1" customHeight="1">
      <c r="A72" s="70"/>
      <c r="B72" s="74" t="s">
        <v>111</v>
      </c>
      <c r="C72" s="233" t="s">
        <v>263</v>
      </c>
      <c r="D72" s="233"/>
      <c r="E72" s="233"/>
      <c r="F72" s="233"/>
      <c r="G72" s="233"/>
      <c r="H72" s="233"/>
      <c r="K72" s="74" t="s">
        <v>111</v>
      </c>
      <c r="L72" s="233" t="s">
        <v>263</v>
      </c>
      <c r="M72" s="233"/>
      <c r="N72" s="233"/>
      <c r="O72" s="233"/>
      <c r="P72" s="233"/>
      <c r="Q72" s="233"/>
    </row>
    <row r="73" spans="1:24">
      <c r="B73" s="74"/>
      <c r="C73" s="119"/>
      <c r="D73" s="119"/>
      <c r="E73" s="119"/>
      <c r="F73" s="119"/>
      <c r="G73" s="135"/>
      <c r="H73" s="135"/>
    </row>
    <row r="74" spans="1:24" ht="30.75" customHeight="1">
      <c r="A74" s="86">
        <v>182339</v>
      </c>
      <c r="B74" s="86" t="s">
        <v>52</v>
      </c>
      <c r="C74" s="115" t="s">
        <v>77</v>
      </c>
      <c r="D74" s="115" t="s">
        <v>78</v>
      </c>
      <c r="E74" s="115"/>
      <c r="F74" s="114" t="s">
        <v>80</v>
      </c>
      <c r="H74" s="136" t="s">
        <v>78</v>
      </c>
      <c r="J74" s="86">
        <f>A74</f>
        <v>182339</v>
      </c>
      <c r="K74" s="86" t="s">
        <v>53</v>
      </c>
      <c r="L74" s="115" t="s">
        <v>77</v>
      </c>
      <c r="M74" s="115" t="s">
        <v>78</v>
      </c>
      <c r="N74" s="115"/>
      <c r="O74" s="114" t="s">
        <v>80</v>
      </c>
      <c r="Q74" s="136" t="s">
        <v>78</v>
      </c>
    </row>
    <row r="75" spans="1:24" ht="14.45" customHeight="1">
      <c r="A75" s="112" t="s">
        <v>129</v>
      </c>
      <c r="B75" s="29" t="s">
        <v>126</v>
      </c>
      <c r="C75" s="115" t="s">
        <v>81</v>
      </c>
      <c r="D75" s="115" t="s">
        <v>82</v>
      </c>
      <c r="E75" s="115" t="s">
        <v>83</v>
      </c>
      <c r="F75" s="114" t="s">
        <v>79</v>
      </c>
      <c r="H75" s="136" t="s">
        <v>84</v>
      </c>
      <c r="J75" s="29" t="str">
        <f>A75</f>
        <v>Non-Res Prior Year Pending</v>
      </c>
      <c r="K75" s="29" t="s">
        <v>126</v>
      </c>
      <c r="L75" s="115" t="s">
        <v>81</v>
      </c>
      <c r="M75" s="115" t="s">
        <v>82</v>
      </c>
      <c r="N75" s="115" t="s">
        <v>83</v>
      </c>
      <c r="O75" s="114" t="s">
        <v>79</v>
      </c>
      <c r="Q75" s="136" t="s">
        <v>84</v>
      </c>
    </row>
    <row r="76" spans="1:24">
      <c r="A76" s="70">
        <f>$A$25</f>
        <v>44896</v>
      </c>
      <c r="B76" s="71"/>
      <c r="F76" s="116">
        <v>384923.60000000038</v>
      </c>
      <c r="G76" s="117"/>
      <c r="J76" s="70">
        <f>A76</f>
        <v>44896</v>
      </c>
      <c r="K76" s="71"/>
      <c r="O76" s="116">
        <v>1226597.18</v>
      </c>
      <c r="P76" s="117"/>
    </row>
    <row r="77" spans="1:24">
      <c r="A77" s="88" t="str">
        <f>A59</f>
        <v>Provision for Rate Refund - December 2022 Estimate</v>
      </c>
      <c r="B77" s="71"/>
      <c r="F77" s="116">
        <v>0</v>
      </c>
      <c r="J77" s="88" t="s">
        <v>280</v>
      </c>
      <c r="K77" s="71"/>
      <c r="L77" s="140">
        <f>-N42</f>
        <v>75678.570000000007</v>
      </c>
      <c r="O77" s="114">
        <f>O76+L77+M77+N77</f>
        <v>1302275.75</v>
      </c>
    </row>
    <row r="78" spans="1:24" ht="14.45" customHeight="1">
      <c r="A78" s="70">
        <f t="shared" ref="A78:A89" si="47">A26</f>
        <v>44927</v>
      </c>
      <c r="D78" s="114">
        <f>ROUND((F76+F$59+(E78)/2)*H78/12,2)</f>
        <v>2024.06</v>
      </c>
      <c r="F78" s="114">
        <f>F76+C78+D78+E78</f>
        <v>386947.66000000038</v>
      </c>
      <c r="G78" s="117"/>
      <c r="H78" s="72">
        <f t="shared" ref="H78:H89" si="48">H26</f>
        <v>6.3100000000000003E-2</v>
      </c>
      <c r="J78" s="70">
        <f t="shared" ref="J78:J89" si="49">A78</f>
        <v>44927</v>
      </c>
      <c r="M78" s="114">
        <f>ROUND((O77+O$59+(N78)/2)*Q78/12,2)</f>
        <v>6847.8</v>
      </c>
      <c r="O78" s="114">
        <f>O77+L78+M78+N78</f>
        <v>1309123.55</v>
      </c>
      <c r="P78" s="117"/>
      <c r="Q78" s="72">
        <f t="shared" ref="Q78:Q89" si="50">H78</f>
        <v>6.3100000000000003E-2</v>
      </c>
    </row>
    <row r="79" spans="1:24" ht="14.45" customHeight="1">
      <c r="A79" s="70">
        <f t="shared" si="47"/>
        <v>44958</v>
      </c>
      <c r="D79" s="114">
        <f>ROUND((F78+F$59+(E79)/2)*H79/12,2)</f>
        <v>2034.7</v>
      </c>
      <c r="F79" s="114">
        <f>F78+C79+D79+E79</f>
        <v>388982.36000000039</v>
      </c>
      <c r="G79" s="117"/>
      <c r="H79" s="72">
        <f t="shared" si="48"/>
        <v>6.3100000000000003E-2</v>
      </c>
      <c r="J79" s="70">
        <f t="shared" si="49"/>
        <v>44958</v>
      </c>
      <c r="M79" s="114">
        <f>ROUND((O78+O$59+(N79)/2)*Q79/12,2)</f>
        <v>6883.81</v>
      </c>
      <c r="O79" s="114">
        <f>O78+L79+M79+N79</f>
        <v>1316007.3600000001</v>
      </c>
      <c r="P79" s="117"/>
      <c r="Q79" s="72">
        <f t="shared" si="50"/>
        <v>6.3100000000000003E-2</v>
      </c>
    </row>
    <row r="80" spans="1:24" ht="14.45" customHeight="1">
      <c r="A80" s="70">
        <f t="shared" si="47"/>
        <v>44986</v>
      </c>
      <c r="D80" s="114">
        <f t="shared" ref="D80:D86" si="51">ROUND((F79+F$59+(E80)/2)*H80/12,2)</f>
        <v>2045.4</v>
      </c>
      <c r="F80" s="114">
        <f>F79+C80+D80+E80</f>
        <v>391027.76000000042</v>
      </c>
      <c r="G80" s="117"/>
      <c r="H80" s="72">
        <f t="shared" si="48"/>
        <v>6.3100000000000003E-2</v>
      </c>
      <c r="J80" s="70">
        <f t="shared" si="49"/>
        <v>44986</v>
      </c>
      <c r="M80" s="114">
        <f t="shared" ref="M80:M85" si="52">ROUND((O79+O$59+(N80)/2)*Q80/12,2)</f>
        <v>6920.01</v>
      </c>
      <c r="O80" s="114">
        <f>O79+L80+M80+N80</f>
        <v>1322927.3700000001</v>
      </c>
      <c r="P80" s="117"/>
      <c r="Q80" s="72">
        <f t="shared" si="50"/>
        <v>6.3100000000000003E-2</v>
      </c>
      <c r="U80" s="16"/>
      <c r="V80" s="139"/>
      <c r="W80" s="16"/>
      <c r="X80" s="139"/>
    </row>
    <row r="81" spans="1:24" ht="14.45" customHeight="1">
      <c r="A81" s="70">
        <f t="shared" si="47"/>
        <v>45017</v>
      </c>
      <c r="D81" s="114">
        <f t="shared" si="51"/>
        <v>2443.92</v>
      </c>
      <c r="F81" s="114">
        <f t="shared" ref="F81:F89" si="53">F80+C81+D81+E81</f>
        <v>393471.6800000004</v>
      </c>
      <c r="G81" s="117"/>
      <c r="H81" s="72">
        <f t="shared" si="48"/>
        <v>7.4999999999999997E-2</v>
      </c>
      <c r="J81" s="70">
        <f t="shared" si="49"/>
        <v>45017</v>
      </c>
      <c r="M81" s="114">
        <f t="shared" si="52"/>
        <v>8268.2999999999993</v>
      </c>
      <c r="O81" s="114">
        <f t="shared" ref="O81:O87" si="54">O80+L81+M81+N81</f>
        <v>1331195.6700000002</v>
      </c>
      <c r="P81" s="117"/>
      <c r="Q81" s="72">
        <f t="shared" si="50"/>
        <v>7.4999999999999997E-2</v>
      </c>
      <c r="U81" s="16"/>
      <c r="V81" s="139"/>
      <c r="W81" s="16"/>
      <c r="X81" s="139"/>
    </row>
    <row r="82" spans="1:24" ht="14.45" customHeight="1">
      <c r="A82" s="70">
        <f t="shared" si="47"/>
        <v>45047</v>
      </c>
      <c r="D82" s="114">
        <f t="shared" si="51"/>
        <v>2459.1999999999998</v>
      </c>
      <c r="F82" s="114">
        <f t="shared" si="53"/>
        <v>395930.88000000041</v>
      </c>
      <c r="G82" s="117"/>
      <c r="H82" s="72">
        <f t="shared" si="48"/>
        <v>7.4999999999999997E-2</v>
      </c>
      <c r="J82" s="70">
        <f t="shared" si="49"/>
        <v>45047</v>
      </c>
      <c r="M82" s="114">
        <f t="shared" si="52"/>
        <v>8319.9699999999993</v>
      </c>
      <c r="O82" s="114">
        <f t="shared" si="54"/>
        <v>1339515.6400000001</v>
      </c>
      <c r="P82" s="117"/>
      <c r="Q82" s="72">
        <f t="shared" si="50"/>
        <v>7.4999999999999997E-2</v>
      </c>
      <c r="U82" s="16"/>
      <c r="V82" s="139"/>
      <c r="W82" s="16"/>
      <c r="X82" s="139"/>
    </row>
    <row r="83" spans="1:24" ht="14.45" customHeight="1">
      <c r="A83" s="70">
        <f t="shared" si="47"/>
        <v>45078</v>
      </c>
      <c r="D83" s="114">
        <f t="shared" si="51"/>
        <v>2474.5700000000002</v>
      </c>
      <c r="F83" s="114">
        <f t="shared" si="53"/>
        <v>398405.45000000042</v>
      </c>
      <c r="G83" s="117"/>
      <c r="H83" s="72">
        <f t="shared" si="48"/>
        <v>7.4999999999999997E-2</v>
      </c>
      <c r="J83" s="70">
        <f t="shared" si="49"/>
        <v>45078</v>
      </c>
      <c r="M83" s="114">
        <f t="shared" si="52"/>
        <v>8371.9699999999993</v>
      </c>
      <c r="O83" s="114">
        <f t="shared" si="54"/>
        <v>1347887.61</v>
      </c>
      <c r="P83" s="117"/>
      <c r="Q83" s="72">
        <f t="shared" si="50"/>
        <v>7.4999999999999997E-2</v>
      </c>
    </row>
    <row r="84" spans="1:24" ht="14.45" hidden="1" customHeight="1">
      <c r="A84" s="70">
        <f t="shared" si="47"/>
        <v>45108</v>
      </c>
      <c r="D84" s="114">
        <f t="shared" si="51"/>
        <v>0</v>
      </c>
      <c r="F84" s="114">
        <f>F83+C84+D84+E84</f>
        <v>398405.45000000042</v>
      </c>
      <c r="G84" s="117"/>
      <c r="H84" s="72">
        <f t="shared" si="48"/>
        <v>0</v>
      </c>
      <c r="J84" s="70">
        <f t="shared" si="49"/>
        <v>45108</v>
      </c>
      <c r="M84" s="114">
        <f t="shared" si="52"/>
        <v>0</v>
      </c>
      <c r="O84" s="114">
        <f t="shared" si="54"/>
        <v>1347887.61</v>
      </c>
      <c r="P84" s="117"/>
      <c r="Q84" s="72">
        <f t="shared" si="50"/>
        <v>0</v>
      </c>
    </row>
    <row r="85" spans="1:24" ht="14.45" hidden="1" customHeight="1">
      <c r="A85" s="70">
        <f t="shared" si="47"/>
        <v>45139</v>
      </c>
      <c r="D85" s="114">
        <f t="shared" si="51"/>
        <v>0</v>
      </c>
      <c r="F85" s="114">
        <f>F84+C85+D85+E85</f>
        <v>398405.45000000042</v>
      </c>
      <c r="G85" s="117"/>
      <c r="H85" s="72">
        <f t="shared" si="48"/>
        <v>0</v>
      </c>
      <c r="J85" s="70">
        <f t="shared" si="49"/>
        <v>45139</v>
      </c>
      <c r="M85" s="114">
        <f t="shared" si="52"/>
        <v>0</v>
      </c>
      <c r="O85" s="114">
        <f>O84+L85+M85+N85</f>
        <v>1347887.61</v>
      </c>
      <c r="P85" s="117"/>
      <c r="Q85" s="72">
        <f t="shared" si="50"/>
        <v>0</v>
      </c>
    </row>
    <row r="86" spans="1:24" ht="14.45" hidden="1" customHeight="1">
      <c r="A86" s="70">
        <f t="shared" si="47"/>
        <v>45170</v>
      </c>
      <c r="D86" s="114">
        <f t="shared" si="51"/>
        <v>0</v>
      </c>
      <c r="F86" s="114">
        <f>F85+C86+D86+E86</f>
        <v>398405.45000000042</v>
      </c>
      <c r="G86" s="117"/>
      <c r="H86" s="72">
        <f t="shared" si="48"/>
        <v>0</v>
      </c>
      <c r="J86" s="70">
        <f t="shared" si="49"/>
        <v>45170</v>
      </c>
      <c r="M86" s="114">
        <f>ROUND((O85+O$59+(N86)/2)*Q86/12,2)</f>
        <v>0</v>
      </c>
      <c r="O86" s="114">
        <f>O85+L86+M86+N86</f>
        <v>1347887.61</v>
      </c>
      <c r="P86" s="117"/>
      <c r="Q86" s="72">
        <f t="shared" si="50"/>
        <v>0</v>
      </c>
    </row>
    <row r="87" spans="1:24" ht="14.45" hidden="1" customHeight="1">
      <c r="A87" s="70">
        <f t="shared" si="47"/>
        <v>45200</v>
      </c>
      <c r="B87" t="s">
        <v>111</v>
      </c>
      <c r="C87" s="114">
        <f>-F86</f>
        <v>-398405.45000000042</v>
      </c>
      <c r="D87" s="114">
        <f>ROUND((F86+C87+(E87)/2)*H87/12,2)</f>
        <v>0</v>
      </c>
      <c r="F87" s="114">
        <f>F86+C87+D87+E87</f>
        <v>0</v>
      </c>
      <c r="G87" s="117"/>
      <c r="H87" s="72">
        <f t="shared" si="48"/>
        <v>0</v>
      </c>
      <c r="J87" s="70">
        <f t="shared" si="49"/>
        <v>45200</v>
      </c>
      <c r="K87" t="s">
        <v>111</v>
      </c>
      <c r="L87" s="114">
        <f>-O86</f>
        <v>-1347887.61</v>
      </c>
      <c r="M87" s="114">
        <f>ROUND((O86+L87+(N87)/2)*Q87/12,2)</f>
        <v>0</v>
      </c>
      <c r="O87" s="114">
        <f t="shared" si="54"/>
        <v>0</v>
      </c>
      <c r="P87" s="117"/>
      <c r="Q87" s="72">
        <f t="shared" si="50"/>
        <v>0</v>
      </c>
    </row>
    <row r="88" spans="1:24" hidden="1">
      <c r="A88" s="70">
        <f t="shared" si="47"/>
        <v>45231</v>
      </c>
      <c r="D88" s="114">
        <f>ROUND((F87+(E88)/2)*H88/12,2)</f>
        <v>0</v>
      </c>
      <c r="E88" s="120"/>
      <c r="F88" s="114">
        <f t="shared" si="53"/>
        <v>0</v>
      </c>
      <c r="G88" s="117"/>
      <c r="H88" s="72">
        <f t="shared" si="48"/>
        <v>0</v>
      </c>
      <c r="J88" s="70">
        <f t="shared" si="49"/>
        <v>45231</v>
      </c>
      <c r="M88" s="114">
        <f>ROUND((O87+(N88)/2)*Q88/12,2)</f>
        <v>0</v>
      </c>
      <c r="O88" s="114">
        <f>O87+L88+M88+N88</f>
        <v>0</v>
      </c>
      <c r="P88" s="117"/>
      <c r="Q88" s="72">
        <f t="shared" si="50"/>
        <v>0</v>
      </c>
    </row>
    <row r="89" spans="1:24" hidden="1">
      <c r="A89" s="70">
        <f t="shared" si="47"/>
        <v>45261</v>
      </c>
      <c r="D89" s="114">
        <f>ROUND((F88+(E89)/2)*H89/12,2)</f>
        <v>0</v>
      </c>
      <c r="F89" s="114">
        <f t="shared" si="53"/>
        <v>0</v>
      </c>
      <c r="H89" s="72">
        <f t="shared" si="48"/>
        <v>0</v>
      </c>
      <c r="J89" s="70">
        <f t="shared" si="49"/>
        <v>45261</v>
      </c>
      <c r="M89" s="114">
        <f>ROUND((O88+(N89)/2)*Q89/12,2)</f>
        <v>0</v>
      </c>
      <c r="O89" s="114">
        <f t="shared" ref="O89" si="55">O88+L89+M89+N89</f>
        <v>0</v>
      </c>
      <c r="Q89" s="72">
        <f t="shared" si="50"/>
        <v>0</v>
      </c>
    </row>
    <row r="90" spans="1:24" ht="32.25" hidden="1" customHeight="1">
      <c r="A90" s="70"/>
      <c r="B90" s="74" t="s">
        <v>111</v>
      </c>
      <c r="C90" s="233" t="s">
        <v>263</v>
      </c>
      <c r="D90" s="233"/>
      <c r="E90" s="233"/>
      <c r="F90" s="233"/>
      <c r="G90" s="233"/>
      <c r="H90" s="233"/>
      <c r="J90" s="70"/>
      <c r="K90" s="74" t="s">
        <v>111</v>
      </c>
      <c r="L90" s="233" t="s">
        <v>263</v>
      </c>
      <c r="M90" s="233"/>
      <c r="N90" s="233"/>
      <c r="O90" s="233"/>
      <c r="P90" s="233"/>
      <c r="Q90" s="233"/>
    </row>
    <row r="91" spans="1:24">
      <c r="A91" s="70"/>
      <c r="B91" s="74"/>
      <c r="C91" s="119"/>
      <c r="D91" s="119"/>
      <c r="E91" s="119"/>
      <c r="F91" s="119"/>
      <c r="G91" s="135"/>
      <c r="H91" s="135"/>
      <c r="J91" s="70"/>
      <c r="Q91" s="72"/>
    </row>
    <row r="92" spans="1:24" ht="29.25" customHeight="1">
      <c r="A92" s="86">
        <v>182328</v>
      </c>
      <c r="B92" s="86" t="s">
        <v>52</v>
      </c>
      <c r="C92" s="115" t="s">
        <v>77</v>
      </c>
      <c r="D92" s="115" t="s">
        <v>78</v>
      </c>
      <c r="E92" s="115"/>
      <c r="F92" s="114" t="s">
        <v>80</v>
      </c>
      <c r="H92" s="136" t="s">
        <v>78</v>
      </c>
      <c r="J92" s="86">
        <f>A92</f>
        <v>182328</v>
      </c>
      <c r="K92" s="86" t="s">
        <v>53</v>
      </c>
      <c r="L92" s="115" t="s">
        <v>77</v>
      </c>
      <c r="M92" s="115" t="s">
        <v>78</v>
      </c>
      <c r="N92" s="115"/>
      <c r="O92" s="114" t="s">
        <v>80</v>
      </c>
      <c r="Q92" s="136" t="s">
        <v>78</v>
      </c>
    </row>
    <row r="93" spans="1:24" ht="14.45" customHeight="1">
      <c r="A93" s="29" t="s">
        <v>130</v>
      </c>
      <c r="B93" s="29" t="s">
        <v>126</v>
      </c>
      <c r="C93" s="115" t="s">
        <v>81</v>
      </c>
      <c r="D93" s="115" t="s">
        <v>82</v>
      </c>
      <c r="E93" s="115" t="s">
        <v>83</v>
      </c>
      <c r="F93" s="114" t="s">
        <v>79</v>
      </c>
      <c r="H93" s="136" t="s">
        <v>84</v>
      </c>
      <c r="J93" s="29" t="str">
        <f>A93</f>
        <v xml:space="preserve">Res Surcharge Approved </v>
      </c>
      <c r="K93" s="29" t="s">
        <v>126</v>
      </c>
      <c r="L93" s="115" t="s">
        <v>81</v>
      </c>
      <c r="M93" s="115" t="s">
        <v>82</v>
      </c>
      <c r="N93" s="115" t="s">
        <v>83</v>
      </c>
      <c r="O93" s="114" t="s">
        <v>79</v>
      </c>
      <c r="Q93" s="136" t="s">
        <v>84</v>
      </c>
    </row>
    <row r="94" spans="1:24">
      <c r="A94" s="70">
        <f>$A$25</f>
        <v>44896</v>
      </c>
      <c r="B94" s="71"/>
      <c r="F94" s="121">
        <v>0</v>
      </c>
      <c r="G94" s="117"/>
      <c r="J94" s="70">
        <f t="shared" ref="J94:J106" si="56">A94</f>
        <v>44896</v>
      </c>
      <c r="K94" s="71"/>
      <c r="O94" s="121">
        <v>4757665.169999999</v>
      </c>
      <c r="P94" s="117"/>
    </row>
    <row r="95" spans="1:24">
      <c r="A95" s="70">
        <f t="shared" ref="A95:A106" si="57">A26</f>
        <v>44927</v>
      </c>
      <c r="D95" s="114">
        <f>ROUND((F94+(E95)/2)*H95/12,2)</f>
        <v>0</v>
      </c>
      <c r="E95" s="116">
        <v>0</v>
      </c>
      <c r="F95" s="114">
        <f t="shared" ref="F95:F106" si="58">F94+C95+D95+E95</f>
        <v>0</v>
      </c>
      <c r="G95" s="117"/>
      <c r="H95" s="72">
        <f t="shared" ref="H95:H106" si="59">H26</f>
        <v>6.3100000000000003E-2</v>
      </c>
      <c r="J95" s="70">
        <f t="shared" si="56"/>
        <v>44927</v>
      </c>
      <c r="M95" s="114">
        <f>ROUND((O94+(N95)/2)*Q95/12,2)</f>
        <v>22795.67</v>
      </c>
      <c r="N95" s="116">
        <v>-845026.68</v>
      </c>
      <c r="O95" s="114">
        <f t="shared" ref="O95:O106" si="60">O94+L95+M95+N95</f>
        <v>3935434.1599999988</v>
      </c>
      <c r="P95" s="117"/>
      <c r="Q95" s="72">
        <f>H95</f>
        <v>6.3100000000000003E-2</v>
      </c>
    </row>
    <row r="96" spans="1:24" ht="14.45" customHeight="1">
      <c r="A96" s="70">
        <f t="shared" si="57"/>
        <v>44958</v>
      </c>
      <c r="D96" s="114">
        <f t="shared" ref="D96:D106" si="61">ROUND((F95+(E96)/2)*H96/12,2)</f>
        <v>0</v>
      </c>
      <c r="E96" s="116">
        <v>0</v>
      </c>
      <c r="F96" s="114">
        <f t="shared" si="58"/>
        <v>0</v>
      </c>
      <c r="G96" s="117"/>
      <c r="H96" s="72">
        <f t="shared" si="59"/>
        <v>6.3100000000000003E-2</v>
      </c>
      <c r="J96" s="70">
        <f t="shared" si="56"/>
        <v>44958</v>
      </c>
      <c r="M96" s="114">
        <f t="shared" ref="M96:M106" si="62">ROUND((O95+(N96)/2)*Q96/12,2)</f>
        <v>18731.95</v>
      </c>
      <c r="N96" s="116">
        <v>-746197.02</v>
      </c>
      <c r="O96" s="114">
        <f t="shared" si="60"/>
        <v>3207969.0899999989</v>
      </c>
      <c r="P96" s="117"/>
      <c r="Q96" s="72">
        <f t="shared" ref="Q96:Q106" si="63">H96</f>
        <v>6.3100000000000003E-2</v>
      </c>
    </row>
    <row r="97" spans="1:24" ht="14.45" customHeight="1">
      <c r="A97" s="70">
        <f t="shared" si="57"/>
        <v>44986</v>
      </c>
      <c r="D97" s="114">
        <f t="shared" si="61"/>
        <v>0</v>
      </c>
      <c r="E97" s="116">
        <v>0</v>
      </c>
      <c r="F97" s="114">
        <f t="shared" si="58"/>
        <v>0</v>
      </c>
      <c r="G97" s="117"/>
      <c r="H97" s="72">
        <f t="shared" si="59"/>
        <v>6.3100000000000003E-2</v>
      </c>
      <c r="J97" s="70">
        <f t="shared" si="56"/>
        <v>44986</v>
      </c>
      <c r="M97" s="114">
        <f t="shared" si="62"/>
        <v>15247.27</v>
      </c>
      <c r="N97" s="116">
        <v>-616661.11</v>
      </c>
      <c r="O97" s="114">
        <f t="shared" si="60"/>
        <v>2606555.2499999991</v>
      </c>
      <c r="P97" s="117"/>
      <c r="Q97" s="72">
        <f t="shared" si="63"/>
        <v>6.3100000000000003E-2</v>
      </c>
      <c r="U97" s="16"/>
      <c r="V97" s="139"/>
      <c r="W97" s="16"/>
      <c r="X97" s="139"/>
    </row>
    <row r="98" spans="1:24" ht="14.45" customHeight="1">
      <c r="A98" s="70">
        <f t="shared" si="57"/>
        <v>45017</v>
      </c>
      <c r="D98" s="114">
        <f t="shared" si="61"/>
        <v>0</v>
      </c>
      <c r="E98" s="116">
        <v>0</v>
      </c>
      <c r="F98" s="114">
        <f>F97+C98+D98+E98</f>
        <v>0</v>
      </c>
      <c r="G98" s="117"/>
      <c r="H98" s="72">
        <f t="shared" si="59"/>
        <v>7.4999999999999997E-2</v>
      </c>
      <c r="J98" s="70">
        <f t="shared" si="56"/>
        <v>45017</v>
      </c>
      <c r="M98" s="114">
        <f t="shared" si="62"/>
        <v>15023.53</v>
      </c>
      <c r="N98" s="116">
        <v>-405582.4</v>
      </c>
      <c r="O98" s="114">
        <f t="shared" si="60"/>
        <v>2215996.379999999</v>
      </c>
      <c r="P98" s="117"/>
      <c r="Q98" s="72">
        <f t="shared" si="63"/>
        <v>7.4999999999999997E-2</v>
      </c>
      <c r="U98" s="16"/>
      <c r="V98" s="139"/>
      <c r="W98" s="16"/>
      <c r="X98" s="139"/>
    </row>
    <row r="99" spans="1:24" ht="14.45" customHeight="1">
      <c r="A99" s="70">
        <f t="shared" si="57"/>
        <v>45047</v>
      </c>
      <c r="D99" s="114">
        <f t="shared" si="61"/>
        <v>0</v>
      </c>
      <c r="E99" s="116">
        <v>0</v>
      </c>
      <c r="F99" s="114">
        <f>F98+C99+D99+E99</f>
        <v>0</v>
      </c>
      <c r="G99" s="117"/>
      <c r="H99" s="72">
        <f t="shared" si="59"/>
        <v>7.4999999999999997E-2</v>
      </c>
      <c r="J99" s="70">
        <f t="shared" si="56"/>
        <v>45047</v>
      </c>
      <c r="M99" s="114">
        <f t="shared" si="62"/>
        <v>13459.48</v>
      </c>
      <c r="N99" s="116">
        <v>-124958.39</v>
      </c>
      <c r="O99" s="114">
        <f t="shared" si="60"/>
        <v>2104497.4699999988</v>
      </c>
      <c r="P99" s="117"/>
      <c r="Q99" s="72">
        <f t="shared" si="63"/>
        <v>7.4999999999999997E-2</v>
      </c>
      <c r="U99" s="16"/>
      <c r="V99" s="139"/>
      <c r="W99" s="16"/>
      <c r="X99" s="139"/>
    </row>
    <row r="100" spans="1:24" ht="14.45" customHeight="1">
      <c r="A100" s="70">
        <f t="shared" si="57"/>
        <v>45078</v>
      </c>
      <c r="D100" s="114">
        <f t="shared" si="61"/>
        <v>0</v>
      </c>
      <c r="E100" s="116">
        <v>0</v>
      </c>
      <c r="F100" s="114">
        <f t="shared" si="58"/>
        <v>0</v>
      </c>
      <c r="G100" s="117"/>
      <c r="H100" s="72">
        <f t="shared" si="59"/>
        <v>7.4999999999999997E-2</v>
      </c>
      <c r="J100" s="70">
        <f t="shared" si="56"/>
        <v>45078</v>
      </c>
      <c r="M100" s="114">
        <f t="shared" si="62"/>
        <v>12877.05</v>
      </c>
      <c r="N100" s="116">
        <v>-88337.38</v>
      </c>
      <c r="O100" s="114">
        <f t="shared" si="60"/>
        <v>2029037.1399999987</v>
      </c>
      <c r="P100" s="117"/>
      <c r="Q100" s="72">
        <f t="shared" si="63"/>
        <v>7.4999999999999997E-2</v>
      </c>
    </row>
    <row r="101" spans="1:24" ht="14.45" hidden="1" customHeight="1">
      <c r="A101" s="70">
        <f t="shared" si="57"/>
        <v>45108</v>
      </c>
      <c r="D101" s="114">
        <f>ROUND((F100+(E101)/2)*H101/12,2)</f>
        <v>0</v>
      </c>
      <c r="E101" s="116">
        <v>0</v>
      </c>
      <c r="F101" s="114">
        <f>F100+D101+E101</f>
        <v>0</v>
      </c>
      <c r="G101" s="117"/>
      <c r="H101" s="72">
        <f t="shared" si="59"/>
        <v>0</v>
      </c>
      <c r="J101" s="70">
        <f t="shared" si="56"/>
        <v>45108</v>
      </c>
      <c r="M101" s="114">
        <f>ROUND((O100+(N101)/2)*Q101/12,2)</f>
        <v>0</v>
      </c>
      <c r="N101" s="116"/>
      <c r="O101" s="114">
        <f t="shared" si="60"/>
        <v>2029037.1399999987</v>
      </c>
      <c r="P101" s="117"/>
      <c r="Q101" s="72">
        <f t="shared" si="63"/>
        <v>0</v>
      </c>
    </row>
    <row r="102" spans="1:24" ht="14.45" hidden="1" customHeight="1">
      <c r="A102" s="70">
        <f t="shared" si="57"/>
        <v>45139</v>
      </c>
      <c r="D102" s="114">
        <f>ROUND((F101+(E102)/2)*H102/12,2)</f>
        <v>0</v>
      </c>
      <c r="E102" s="116">
        <v>0</v>
      </c>
      <c r="F102" s="114">
        <f>F101+C101+C102+D102+E102</f>
        <v>0</v>
      </c>
      <c r="G102" s="117"/>
      <c r="H102" s="72">
        <f t="shared" si="59"/>
        <v>0</v>
      </c>
      <c r="J102" s="70">
        <f t="shared" si="56"/>
        <v>45139</v>
      </c>
      <c r="M102" s="114">
        <f>ROUND((O101+(N102)/2)*Q102/12,2)</f>
        <v>0</v>
      </c>
      <c r="N102" s="116"/>
      <c r="O102" s="114">
        <f t="shared" si="60"/>
        <v>2029037.1399999987</v>
      </c>
      <c r="P102" s="117"/>
      <c r="Q102" s="72">
        <f t="shared" si="63"/>
        <v>0</v>
      </c>
    </row>
    <row r="103" spans="1:24" ht="14.45" hidden="1" customHeight="1">
      <c r="A103" s="70">
        <f t="shared" si="57"/>
        <v>45170</v>
      </c>
      <c r="B103" t="s">
        <v>111</v>
      </c>
      <c r="C103" s="114">
        <f>IF(C69&lt;0,-C69,0)</f>
        <v>0</v>
      </c>
      <c r="D103" s="114">
        <f t="shared" si="61"/>
        <v>0</v>
      </c>
      <c r="E103" s="116">
        <v>0</v>
      </c>
      <c r="F103" s="114">
        <f>F102+C103+D103+E103</f>
        <v>0</v>
      </c>
      <c r="G103" s="117"/>
      <c r="H103" s="72">
        <f t="shared" si="59"/>
        <v>0</v>
      </c>
      <c r="J103" s="70">
        <f t="shared" si="56"/>
        <v>45170</v>
      </c>
      <c r="K103" t="s">
        <v>111</v>
      </c>
      <c r="L103" s="114">
        <f>IF(L69&lt;0,-L69,0)</f>
        <v>0</v>
      </c>
      <c r="M103" s="114">
        <f t="shared" si="62"/>
        <v>0</v>
      </c>
      <c r="N103" s="116"/>
      <c r="O103" s="114">
        <f>O102+M103+N103</f>
        <v>2029037.1399999987</v>
      </c>
      <c r="P103" s="117"/>
      <c r="Q103" s="72">
        <f t="shared" si="63"/>
        <v>0</v>
      </c>
    </row>
    <row r="104" spans="1:24" ht="14.45" hidden="1" customHeight="1">
      <c r="A104" s="70">
        <f t="shared" si="57"/>
        <v>45200</v>
      </c>
      <c r="B104" t="s">
        <v>111</v>
      </c>
      <c r="C104" s="114">
        <f>IF(F96&gt;0,IF(F68+F103&lt;0,-F103,-C136),IF(F68+F135&lt;0,-F103,-C136))</f>
        <v>0</v>
      </c>
      <c r="D104" s="114">
        <f>ROUND((F103+C103+C104+(E104)/2)*H104/12,2)</f>
        <v>0</v>
      </c>
      <c r="E104" s="116">
        <v>0</v>
      </c>
      <c r="F104" s="114">
        <f>F103+C104+D104+E104</f>
        <v>0</v>
      </c>
      <c r="G104" s="117"/>
      <c r="H104" s="72">
        <f t="shared" si="59"/>
        <v>0</v>
      </c>
      <c r="J104" s="70">
        <f t="shared" si="56"/>
        <v>45200</v>
      </c>
      <c r="K104" t="s">
        <v>111</v>
      </c>
      <c r="L104" s="114">
        <f>IF(O96&gt;0,IF(O68+O103&lt;0,-O103,-L136),IF(O68+O135&lt;0,-O103,-L136))</f>
        <v>-1106794.0103520819</v>
      </c>
      <c r="M104" s="114">
        <f>ROUND((O103+L103+L104+(N104)/2)*Q104/12,2)</f>
        <v>0</v>
      </c>
      <c r="N104" s="116"/>
      <c r="O104" s="114">
        <f>O103+L103+L104+M104+N104</f>
        <v>922243.12964791688</v>
      </c>
      <c r="P104" s="117"/>
      <c r="Q104" s="72">
        <f t="shared" si="63"/>
        <v>0</v>
      </c>
    </row>
    <row r="105" spans="1:24" hidden="1">
      <c r="A105" s="70">
        <f t="shared" si="57"/>
        <v>45231</v>
      </c>
      <c r="D105" s="114">
        <f t="shared" si="61"/>
        <v>0</v>
      </c>
      <c r="E105" s="116">
        <v>0</v>
      </c>
      <c r="F105" s="114">
        <f>F104+C105+D105+E105</f>
        <v>0</v>
      </c>
      <c r="G105" s="117"/>
      <c r="H105" s="72">
        <f t="shared" si="59"/>
        <v>0</v>
      </c>
      <c r="J105" s="70">
        <f t="shared" si="56"/>
        <v>45231</v>
      </c>
      <c r="M105" s="114">
        <f t="shared" si="62"/>
        <v>0</v>
      </c>
      <c r="N105" s="116"/>
      <c r="O105" s="114">
        <f>O104+L105+M105+N105</f>
        <v>922243.12964791688</v>
      </c>
      <c r="P105" s="117"/>
      <c r="Q105" s="72">
        <f t="shared" si="63"/>
        <v>0</v>
      </c>
    </row>
    <row r="106" spans="1:24" hidden="1">
      <c r="A106" s="70">
        <f t="shared" si="57"/>
        <v>45261</v>
      </c>
      <c r="B106" s="71"/>
      <c r="C106" s="120"/>
      <c r="D106" s="114">
        <f t="shared" si="61"/>
        <v>0</v>
      </c>
      <c r="E106" s="116">
        <v>0</v>
      </c>
      <c r="F106" s="114">
        <f t="shared" si="58"/>
        <v>0</v>
      </c>
      <c r="H106" s="72">
        <f t="shared" si="59"/>
        <v>0</v>
      </c>
      <c r="J106" s="70">
        <f t="shared" si="56"/>
        <v>45261</v>
      </c>
      <c r="K106" s="71"/>
      <c r="L106" s="143"/>
      <c r="M106" s="114">
        <f t="shared" si="62"/>
        <v>0</v>
      </c>
      <c r="N106" s="116"/>
      <c r="O106" s="114">
        <f t="shared" si="60"/>
        <v>922243.12964791688</v>
      </c>
      <c r="Q106" s="72">
        <f t="shared" si="63"/>
        <v>0</v>
      </c>
      <c r="T106" s="142"/>
    </row>
    <row r="107" spans="1:24">
      <c r="T107" s="142"/>
    </row>
    <row r="108" spans="1:24" ht="13.9" customHeight="1">
      <c r="A108" s="86">
        <v>182338</v>
      </c>
      <c r="B108" s="86" t="s">
        <v>52</v>
      </c>
      <c r="C108" s="115" t="s">
        <v>77</v>
      </c>
      <c r="D108" s="115" t="s">
        <v>78</v>
      </c>
      <c r="E108" s="115"/>
      <c r="F108" s="114" t="s">
        <v>80</v>
      </c>
      <c r="H108" s="136" t="s">
        <v>78</v>
      </c>
      <c r="J108" s="86">
        <f>A108</f>
        <v>182338</v>
      </c>
      <c r="K108" s="86" t="s">
        <v>53</v>
      </c>
      <c r="L108" s="115" t="s">
        <v>77</v>
      </c>
      <c r="M108" s="115" t="s">
        <v>78</v>
      </c>
      <c r="N108" s="115"/>
      <c r="O108" s="114" t="s">
        <v>80</v>
      </c>
      <c r="Q108" s="136" t="s">
        <v>78</v>
      </c>
      <c r="T108" s="142"/>
    </row>
    <row r="109" spans="1:24" ht="11.45" customHeight="1">
      <c r="A109" s="29" t="s">
        <v>131</v>
      </c>
      <c r="B109" s="29" t="s">
        <v>126</v>
      </c>
      <c r="C109" s="115" t="s">
        <v>81</v>
      </c>
      <c r="D109" s="115" t="s">
        <v>82</v>
      </c>
      <c r="E109" s="115" t="s">
        <v>83</v>
      </c>
      <c r="F109" s="114" t="s">
        <v>79</v>
      </c>
      <c r="H109" s="136" t="s">
        <v>84</v>
      </c>
      <c r="J109" s="29" t="str">
        <f>A109</f>
        <v xml:space="preserve">Non-Res Surcharge Approved </v>
      </c>
      <c r="K109" s="29" t="s">
        <v>126</v>
      </c>
      <c r="L109" s="115" t="s">
        <v>81</v>
      </c>
      <c r="M109" s="115" t="s">
        <v>82</v>
      </c>
      <c r="N109" s="115" t="s">
        <v>83</v>
      </c>
      <c r="O109" s="114" t="s">
        <v>79</v>
      </c>
      <c r="Q109" s="136" t="s">
        <v>84</v>
      </c>
    </row>
    <row r="110" spans="1:24" ht="16.149999999999999" customHeight="1">
      <c r="A110" s="70">
        <f>$A$25</f>
        <v>44896</v>
      </c>
      <c r="B110" s="71"/>
      <c r="F110" s="121">
        <v>-527404.66999999993</v>
      </c>
      <c r="G110" s="117"/>
      <c r="J110" s="70">
        <f t="shared" ref="J110:J122" si="64">A110</f>
        <v>44896</v>
      </c>
      <c r="K110" s="71"/>
      <c r="O110" s="121">
        <v>1840273.4099999997</v>
      </c>
      <c r="P110" s="117"/>
    </row>
    <row r="111" spans="1:24">
      <c r="A111" s="70">
        <f t="shared" ref="A111:A122" si="65">A26</f>
        <v>44927</v>
      </c>
      <c r="D111" s="114">
        <f>ROUND((F110+(E111)/2)*H111/12,2)</f>
        <v>-3298.82</v>
      </c>
      <c r="E111" s="116">
        <v>-199891.66</v>
      </c>
      <c r="F111" s="114">
        <f>F110+C111+D111+E111</f>
        <v>-730595.14999999991</v>
      </c>
      <c r="G111" s="117"/>
      <c r="H111" s="72">
        <f t="shared" ref="H111:H122" si="66">H26</f>
        <v>6.3100000000000003E-2</v>
      </c>
      <c r="J111" s="70">
        <f t="shared" si="64"/>
        <v>44927</v>
      </c>
      <c r="M111" s="114">
        <f>ROUND((O110+(N111)/2)*Q111/12,2)</f>
        <v>8992.31</v>
      </c>
      <c r="N111" s="116">
        <v>-260335.04</v>
      </c>
      <c r="O111" s="114">
        <f>O110+L111+M111+N111</f>
        <v>1588930.6799999997</v>
      </c>
      <c r="P111" s="117"/>
      <c r="Q111" s="72">
        <f>H111</f>
        <v>6.3100000000000003E-2</v>
      </c>
    </row>
    <row r="112" spans="1:24">
      <c r="A112" s="70">
        <f t="shared" si="65"/>
        <v>44958</v>
      </c>
      <c r="D112" s="114">
        <f t="shared" ref="D112:D122" si="67">ROUND((F111+(E112)/2)*H112/12,2)</f>
        <v>-4374.24</v>
      </c>
      <c r="E112" s="116">
        <v>-202545.91</v>
      </c>
      <c r="F112" s="114">
        <f>F111+C112+D112+E112</f>
        <v>-937515.29999999993</v>
      </c>
      <c r="G112" s="117"/>
      <c r="H112" s="72">
        <f t="shared" si="66"/>
        <v>6.3100000000000003E-2</v>
      </c>
      <c r="J112" s="70">
        <f t="shared" si="64"/>
        <v>44958</v>
      </c>
      <c r="M112" s="114">
        <f t="shared" ref="M112:M122" si="68">ROUND((O111+(N112)/2)*Q112/12,2)</f>
        <v>7793.75</v>
      </c>
      <c r="N112" s="116">
        <v>-213519.96</v>
      </c>
      <c r="O112" s="114">
        <f>O111+L112+M112+N112</f>
        <v>1383204.4699999997</v>
      </c>
      <c r="P112" s="117"/>
      <c r="Q112" s="72">
        <f t="shared" ref="Q112:Q122" si="69">H112</f>
        <v>6.3100000000000003E-2</v>
      </c>
    </row>
    <row r="113" spans="1:24">
      <c r="A113" s="70">
        <f t="shared" si="65"/>
        <v>44986</v>
      </c>
      <c r="D113" s="114">
        <f t="shared" si="67"/>
        <v>-5547.7</v>
      </c>
      <c r="E113" s="116">
        <v>-235029.58</v>
      </c>
      <c r="F113" s="114">
        <f>F112+C113+D113+E113</f>
        <v>-1178092.5799999998</v>
      </c>
      <c r="G113" s="117"/>
      <c r="H113" s="72">
        <f t="shared" si="66"/>
        <v>6.3100000000000003E-2</v>
      </c>
      <c r="J113" s="70">
        <f t="shared" si="64"/>
        <v>44986</v>
      </c>
      <c r="M113" s="114">
        <f t="shared" si="68"/>
        <v>6725.2</v>
      </c>
      <c r="N113" s="116">
        <v>-208487.34</v>
      </c>
      <c r="O113" s="114">
        <f>O112+L113+M113+N113</f>
        <v>1181442.3299999996</v>
      </c>
      <c r="P113" s="117"/>
      <c r="Q113" s="72">
        <f t="shared" si="69"/>
        <v>6.3100000000000003E-2</v>
      </c>
      <c r="U113" s="16"/>
      <c r="V113" s="139"/>
      <c r="W113" s="16"/>
      <c r="X113" s="139"/>
    </row>
    <row r="114" spans="1:24">
      <c r="A114" s="70">
        <f t="shared" si="65"/>
        <v>45017</v>
      </c>
      <c r="D114" s="114">
        <f t="shared" si="67"/>
        <v>-7955.89</v>
      </c>
      <c r="E114" s="116">
        <v>-189699.34</v>
      </c>
      <c r="F114" s="114">
        <f t="shared" ref="F114:F116" si="70">F113+C114+D114+E114</f>
        <v>-1375747.8099999998</v>
      </c>
      <c r="G114" s="117"/>
      <c r="H114" s="72">
        <f t="shared" si="66"/>
        <v>7.4999999999999997E-2</v>
      </c>
      <c r="J114" s="70">
        <f t="shared" si="64"/>
        <v>45017</v>
      </c>
      <c r="M114" s="114">
        <f t="shared" si="68"/>
        <v>6963.64</v>
      </c>
      <c r="N114" s="116">
        <v>-134518.54</v>
      </c>
      <c r="O114" s="114">
        <f>O113+L114+M114+N114</f>
        <v>1053887.4299999995</v>
      </c>
      <c r="P114" s="117"/>
      <c r="Q114" s="72">
        <f t="shared" si="69"/>
        <v>7.4999999999999997E-2</v>
      </c>
      <c r="U114" s="16"/>
      <c r="V114" s="139"/>
      <c r="W114" s="16"/>
      <c r="X114" s="139"/>
    </row>
    <row r="115" spans="1:24">
      <c r="A115" s="70">
        <f t="shared" si="65"/>
        <v>45047</v>
      </c>
      <c r="D115" s="114">
        <f t="shared" si="67"/>
        <v>-9299.02</v>
      </c>
      <c r="E115" s="116">
        <v>-224192.22</v>
      </c>
      <c r="F115" s="114">
        <f t="shared" si="70"/>
        <v>-1609239.0499999998</v>
      </c>
      <c r="G115" s="117"/>
      <c r="H115" s="72">
        <f t="shared" si="66"/>
        <v>7.4999999999999997E-2</v>
      </c>
      <c r="J115" s="70">
        <f t="shared" si="64"/>
        <v>45047</v>
      </c>
      <c r="M115" s="114">
        <f t="shared" si="68"/>
        <v>6367.75</v>
      </c>
      <c r="N115" s="116">
        <v>-70095.210000000006</v>
      </c>
      <c r="O115" s="114">
        <f t="shared" ref="O115:O122" si="71">O114+L115+M115+N115</f>
        <v>990159.96999999951</v>
      </c>
      <c r="P115" s="117"/>
      <c r="Q115" s="72">
        <f t="shared" si="69"/>
        <v>7.4999999999999997E-2</v>
      </c>
      <c r="U115" s="16"/>
      <c r="V115" s="139"/>
      <c r="W115" s="16"/>
      <c r="X115" s="139"/>
    </row>
    <row r="116" spans="1:24">
      <c r="A116" s="70">
        <f t="shared" si="65"/>
        <v>45078</v>
      </c>
      <c r="D116" s="114">
        <f t="shared" si="67"/>
        <v>-10775.99</v>
      </c>
      <c r="E116" s="116">
        <v>-229838.16</v>
      </c>
      <c r="F116" s="114">
        <f t="shared" si="70"/>
        <v>-1849853.1999999997</v>
      </c>
      <c r="G116" s="117"/>
      <c r="H116" s="72">
        <f t="shared" si="66"/>
        <v>7.4999999999999997E-2</v>
      </c>
      <c r="J116" s="70">
        <f t="shared" si="64"/>
        <v>45078</v>
      </c>
      <c r="M116" s="114">
        <f t="shared" si="68"/>
        <v>6001.34</v>
      </c>
      <c r="N116" s="116">
        <v>-59892.28</v>
      </c>
      <c r="O116" s="114">
        <f t="shared" si="71"/>
        <v>936269.02999999945</v>
      </c>
      <c r="P116" s="117"/>
      <c r="Q116" s="72">
        <f t="shared" si="69"/>
        <v>7.4999999999999997E-2</v>
      </c>
    </row>
    <row r="117" spans="1:24" hidden="1">
      <c r="A117" s="70">
        <f t="shared" si="65"/>
        <v>45108</v>
      </c>
      <c r="D117" s="114">
        <f>ROUND((F116+(E117)/2)*H117/12,2)</f>
        <v>0</v>
      </c>
      <c r="E117" s="116"/>
      <c r="F117" s="114">
        <f>F116+C117+D117+E117</f>
        <v>-1849853.1999999997</v>
      </c>
      <c r="G117" s="117"/>
      <c r="H117" s="72">
        <f t="shared" si="66"/>
        <v>0</v>
      </c>
      <c r="J117" s="70">
        <f t="shared" si="64"/>
        <v>45108</v>
      </c>
      <c r="M117" s="114">
        <f>ROUND((O116+(N117)/2)*Q117/12,2)</f>
        <v>0</v>
      </c>
      <c r="N117" s="116"/>
      <c r="O117" s="114">
        <f t="shared" si="71"/>
        <v>936269.02999999945</v>
      </c>
      <c r="P117" s="117"/>
      <c r="Q117" s="72">
        <f t="shared" si="69"/>
        <v>0</v>
      </c>
    </row>
    <row r="118" spans="1:24" hidden="1">
      <c r="A118" s="70">
        <f t="shared" si="65"/>
        <v>45139</v>
      </c>
      <c r="D118" s="114">
        <f>ROUND((F117+(E118)/2)*H118/12,2)</f>
        <v>0</v>
      </c>
      <c r="E118" s="116"/>
      <c r="F118" s="114">
        <f>F117+C118+D118+E118</f>
        <v>-1849853.1999999997</v>
      </c>
      <c r="G118" s="117"/>
      <c r="H118" s="72">
        <f t="shared" si="66"/>
        <v>0</v>
      </c>
      <c r="J118" s="70">
        <f t="shared" si="64"/>
        <v>45139</v>
      </c>
      <c r="M118" s="114">
        <f>ROUND((O117+(N118)/2)*Q118/12,2)</f>
        <v>0</v>
      </c>
      <c r="N118" s="116"/>
      <c r="O118" s="114">
        <f t="shared" si="71"/>
        <v>936269.02999999945</v>
      </c>
      <c r="P118" s="117"/>
      <c r="Q118" s="72">
        <f t="shared" si="69"/>
        <v>0</v>
      </c>
    </row>
    <row r="119" spans="1:24" hidden="1">
      <c r="A119" s="70">
        <f t="shared" si="65"/>
        <v>45170</v>
      </c>
      <c r="B119" t="s">
        <v>111</v>
      </c>
      <c r="C119" s="114">
        <f>IF(C87&lt;0,-C87,0)</f>
        <v>398405.45000000042</v>
      </c>
      <c r="D119" s="114">
        <f t="shared" si="67"/>
        <v>0</v>
      </c>
      <c r="E119" s="116"/>
      <c r="F119" s="114">
        <f>F118+D119+E119</f>
        <v>-1849853.1999999997</v>
      </c>
      <c r="G119" s="117"/>
      <c r="H119" s="72">
        <f t="shared" si="66"/>
        <v>0</v>
      </c>
      <c r="J119" s="70">
        <f t="shared" si="64"/>
        <v>45170</v>
      </c>
      <c r="K119" t="s">
        <v>111</v>
      </c>
      <c r="L119" s="114">
        <f>IF(L87&lt;0,-L87,0)</f>
        <v>1347887.61</v>
      </c>
      <c r="M119" s="114">
        <f t="shared" si="68"/>
        <v>0</v>
      </c>
      <c r="N119" s="116"/>
      <c r="O119" s="114">
        <f>O118+M119+N119</f>
        <v>936269.02999999945</v>
      </c>
      <c r="P119" s="117"/>
      <c r="Q119" s="72">
        <f t="shared" si="69"/>
        <v>0</v>
      </c>
      <c r="S119" s="114"/>
    </row>
    <row r="120" spans="1:24" hidden="1">
      <c r="A120" s="70">
        <f t="shared" si="65"/>
        <v>45200</v>
      </c>
      <c r="B120" t="s">
        <v>111</v>
      </c>
      <c r="D120" s="114">
        <f>ROUND((F119+C119+C120+(E120)/2)*H120/12,2)</f>
        <v>0</v>
      </c>
      <c r="E120" s="116"/>
      <c r="F120" s="114">
        <f>F119+C120+D120+E120+C119</f>
        <v>-1451447.7499999993</v>
      </c>
      <c r="G120" s="144"/>
      <c r="H120" s="72">
        <f t="shared" si="66"/>
        <v>0</v>
      </c>
      <c r="J120" s="70">
        <f t="shared" si="64"/>
        <v>45200</v>
      </c>
      <c r="K120" t="s">
        <v>111</v>
      </c>
      <c r="L120" s="114">
        <f>IF(O112&gt;0,IF(O86+O119&lt;0,-O119,-L152),IF(O86+O151&lt;0,-O119,-L152))</f>
        <v>0</v>
      </c>
      <c r="M120" s="114">
        <f>ROUND((O119+L119+L120+(N120)/2)*Q120/12,2)</f>
        <v>0</v>
      </c>
      <c r="N120" s="116"/>
      <c r="O120" s="114">
        <f>O119+L119+L120+M120+N120</f>
        <v>2284156.6399999997</v>
      </c>
      <c r="P120" s="117"/>
      <c r="Q120" s="72">
        <f t="shared" si="69"/>
        <v>0</v>
      </c>
    </row>
    <row r="121" spans="1:24" hidden="1">
      <c r="A121" s="70">
        <f t="shared" si="65"/>
        <v>45231</v>
      </c>
      <c r="D121" s="114">
        <f t="shared" si="67"/>
        <v>0</v>
      </c>
      <c r="E121" s="116"/>
      <c r="F121" s="114">
        <f>F120+C121+D121+E121</f>
        <v>-1451447.7499999993</v>
      </c>
      <c r="G121" s="144"/>
      <c r="H121" s="72">
        <f t="shared" si="66"/>
        <v>0</v>
      </c>
      <c r="J121" s="70">
        <f t="shared" si="64"/>
        <v>45231</v>
      </c>
      <c r="M121" s="114">
        <f t="shared" si="68"/>
        <v>0</v>
      </c>
      <c r="N121" s="116"/>
      <c r="O121" s="114">
        <f>O120+L121+M121+N121</f>
        <v>2284156.6399999997</v>
      </c>
      <c r="P121" s="117"/>
      <c r="Q121" s="72">
        <f t="shared" si="69"/>
        <v>0</v>
      </c>
    </row>
    <row r="122" spans="1:24" hidden="1">
      <c r="A122" s="70">
        <f t="shared" si="65"/>
        <v>45261</v>
      </c>
      <c r="D122" s="114">
        <f t="shared" si="67"/>
        <v>0</v>
      </c>
      <c r="E122" s="116"/>
      <c r="F122" s="114">
        <f t="shared" ref="F122" si="72">F121+C122+D122+E122</f>
        <v>-1451447.7499999993</v>
      </c>
      <c r="H122" s="72">
        <f t="shared" si="66"/>
        <v>0</v>
      </c>
      <c r="J122" s="70">
        <f t="shared" si="64"/>
        <v>45261</v>
      </c>
      <c r="M122" s="114">
        <f t="shared" si="68"/>
        <v>0</v>
      </c>
      <c r="N122" s="116"/>
      <c r="O122" s="114">
        <f t="shared" si="71"/>
        <v>2284156.6399999997</v>
      </c>
      <c r="Q122" s="72">
        <f t="shared" si="69"/>
        <v>0</v>
      </c>
    </row>
    <row r="123" spans="1:24">
      <c r="A123" s="70"/>
      <c r="H123" s="72"/>
      <c r="J123" s="70"/>
      <c r="Q123" s="72"/>
    </row>
    <row r="124" spans="1:24">
      <c r="A124" s="86">
        <v>254328</v>
      </c>
      <c r="B124" s="86" t="s">
        <v>52</v>
      </c>
      <c r="C124" s="115" t="s">
        <v>77</v>
      </c>
      <c r="D124" s="115" t="s">
        <v>78</v>
      </c>
      <c r="E124" s="115"/>
      <c r="F124" s="114" t="s">
        <v>80</v>
      </c>
      <c r="H124" s="136" t="s">
        <v>78</v>
      </c>
      <c r="J124" s="86">
        <f>A124</f>
        <v>254328</v>
      </c>
      <c r="K124" s="86" t="s">
        <v>53</v>
      </c>
      <c r="L124" s="115" t="s">
        <v>77</v>
      </c>
      <c r="M124" s="115" t="s">
        <v>78</v>
      </c>
      <c r="N124" s="115"/>
      <c r="O124" s="114" t="s">
        <v>80</v>
      </c>
      <c r="Q124" s="136" t="s">
        <v>78</v>
      </c>
    </row>
    <row r="125" spans="1:24">
      <c r="A125" s="29" t="s">
        <v>132</v>
      </c>
      <c r="B125" s="29" t="s">
        <v>126</v>
      </c>
      <c r="C125" s="115" t="s">
        <v>81</v>
      </c>
      <c r="D125" s="115" t="s">
        <v>82</v>
      </c>
      <c r="E125" s="115" t="s">
        <v>83</v>
      </c>
      <c r="F125" s="114" t="s">
        <v>79</v>
      </c>
      <c r="H125" s="136" t="s">
        <v>84</v>
      </c>
      <c r="J125" s="29" t="str">
        <f>A125</f>
        <v>Res Rebate Approved</v>
      </c>
      <c r="K125" s="29" t="s">
        <v>126</v>
      </c>
      <c r="L125" s="115" t="s">
        <v>81</v>
      </c>
      <c r="M125" s="115" t="s">
        <v>82</v>
      </c>
      <c r="N125" s="115" t="s">
        <v>83</v>
      </c>
      <c r="O125" s="114" t="s">
        <v>79</v>
      </c>
      <c r="Q125" s="136" t="s">
        <v>84</v>
      </c>
    </row>
    <row r="126" spans="1:24">
      <c r="A126" s="70">
        <f>$A$25</f>
        <v>44896</v>
      </c>
      <c r="B126" s="71"/>
      <c r="F126" s="121">
        <v>-3696623.6999999983</v>
      </c>
      <c r="G126" s="117"/>
      <c r="J126" s="70">
        <f t="shared" ref="J126:J138" si="73">A126</f>
        <v>44896</v>
      </c>
      <c r="K126" s="71"/>
      <c r="O126" s="121">
        <v>0</v>
      </c>
      <c r="P126" s="117"/>
    </row>
    <row r="127" spans="1:24">
      <c r="A127" s="70">
        <f t="shared" ref="A127:A138" si="74">A26</f>
        <v>44927</v>
      </c>
      <c r="D127" s="114">
        <f>ROUND((F126+(E127)/2)*H127/12,2)</f>
        <v>-17811.54</v>
      </c>
      <c r="E127" s="140">
        <v>618653.56999999995</v>
      </c>
      <c r="F127" s="114">
        <f t="shared" ref="F127:F138" si="75">F126+C127+D127+E127</f>
        <v>-3095781.6699999985</v>
      </c>
      <c r="G127" s="117"/>
      <c r="H127" s="72">
        <f t="shared" ref="H127:H138" si="76">H26</f>
        <v>6.3100000000000003E-2</v>
      </c>
      <c r="J127" s="70">
        <f t="shared" si="73"/>
        <v>44927</v>
      </c>
      <c r="M127" s="114">
        <f>ROUND((O126+(N127)/2)*Q127/12,2)</f>
        <v>0</v>
      </c>
      <c r="N127" s="140">
        <v>0</v>
      </c>
      <c r="O127" s="114">
        <f t="shared" ref="O127:O138" si="77">O126+L127+M127+N127</f>
        <v>0</v>
      </c>
      <c r="P127" s="117"/>
      <c r="Q127" s="72">
        <f>H127</f>
        <v>6.3100000000000003E-2</v>
      </c>
    </row>
    <row r="128" spans="1:24">
      <c r="A128" s="70">
        <f t="shared" si="74"/>
        <v>44958</v>
      </c>
      <c r="D128" s="114">
        <f t="shared" ref="D128:D138" si="78">ROUND((F127+(E128)/2)*H128/12,2)</f>
        <v>-14873.95</v>
      </c>
      <c r="E128" s="140">
        <v>534275.26</v>
      </c>
      <c r="F128" s="114">
        <f t="shared" si="75"/>
        <v>-2576380.3599999985</v>
      </c>
      <c r="G128" s="117"/>
      <c r="H128" s="72">
        <f t="shared" si="76"/>
        <v>6.3100000000000003E-2</v>
      </c>
      <c r="J128" s="70">
        <f t="shared" si="73"/>
        <v>44958</v>
      </c>
      <c r="M128" s="114">
        <f t="shared" ref="M128:M138" si="79">ROUND((O127+(N128)/2)*Q128/12,2)</f>
        <v>0</v>
      </c>
      <c r="N128" s="140">
        <v>0</v>
      </c>
      <c r="O128" s="114">
        <f t="shared" si="77"/>
        <v>0</v>
      </c>
      <c r="P128" s="117"/>
      <c r="Q128" s="72">
        <f t="shared" ref="Q128:Q138" si="80">H128</f>
        <v>6.3100000000000003E-2</v>
      </c>
    </row>
    <row r="129" spans="1:24">
      <c r="A129" s="70">
        <f t="shared" si="74"/>
        <v>44986</v>
      </c>
      <c r="D129" s="114">
        <f t="shared" si="78"/>
        <v>-12125.8</v>
      </c>
      <c r="E129" s="140">
        <v>540730.57999999996</v>
      </c>
      <c r="F129" s="114">
        <f t="shared" si="75"/>
        <v>-2047775.5799999982</v>
      </c>
      <c r="G129" s="117"/>
      <c r="H129" s="72">
        <f t="shared" si="76"/>
        <v>6.3100000000000003E-2</v>
      </c>
      <c r="J129" s="70">
        <f t="shared" si="73"/>
        <v>44986</v>
      </c>
      <c r="M129" s="114">
        <f t="shared" si="79"/>
        <v>0</v>
      </c>
      <c r="N129" s="140">
        <v>0</v>
      </c>
      <c r="O129" s="114">
        <f t="shared" si="77"/>
        <v>0</v>
      </c>
      <c r="P129" s="117"/>
      <c r="Q129" s="72">
        <f t="shared" si="80"/>
        <v>6.3100000000000003E-2</v>
      </c>
      <c r="U129" s="16"/>
      <c r="V129" s="139"/>
      <c r="W129" s="16"/>
      <c r="X129" s="139"/>
    </row>
    <row r="130" spans="1:24">
      <c r="A130" s="70">
        <f t="shared" si="74"/>
        <v>45017</v>
      </c>
      <c r="D130" s="114">
        <f t="shared" si="78"/>
        <v>-11446.44</v>
      </c>
      <c r="E130" s="116">
        <v>432690.66</v>
      </c>
      <c r="F130" s="114">
        <f t="shared" si="75"/>
        <v>-1626531.3599999982</v>
      </c>
      <c r="G130" s="117"/>
      <c r="H130" s="72">
        <f t="shared" si="76"/>
        <v>7.4999999999999997E-2</v>
      </c>
      <c r="J130" s="70">
        <f t="shared" si="73"/>
        <v>45017</v>
      </c>
      <c r="M130" s="114">
        <f t="shared" si="79"/>
        <v>0</v>
      </c>
      <c r="N130" s="140">
        <v>0</v>
      </c>
      <c r="O130" s="114">
        <f t="shared" si="77"/>
        <v>0</v>
      </c>
      <c r="P130" s="117"/>
      <c r="Q130" s="72">
        <f t="shared" si="80"/>
        <v>7.4999999999999997E-2</v>
      </c>
      <c r="U130" s="16"/>
      <c r="V130" s="139"/>
      <c r="W130" s="16"/>
      <c r="X130" s="139"/>
    </row>
    <row r="131" spans="1:24">
      <c r="A131" s="70">
        <f t="shared" si="74"/>
        <v>45047</v>
      </c>
      <c r="D131" s="114">
        <f t="shared" si="78"/>
        <v>-8975.34</v>
      </c>
      <c r="E131" s="116">
        <v>380954.77</v>
      </c>
      <c r="F131" s="114">
        <f t="shared" si="75"/>
        <v>-1254551.9299999983</v>
      </c>
      <c r="G131" s="117"/>
      <c r="H131" s="72">
        <f t="shared" si="76"/>
        <v>7.4999999999999997E-2</v>
      </c>
      <c r="J131" s="70">
        <f t="shared" si="73"/>
        <v>45047</v>
      </c>
      <c r="M131" s="114">
        <f t="shared" si="79"/>
        <v>0</v>
      </c>
      <c r="N131" s="140">
        <v>0</v>
      </c>
      <c r="O131" s="114">
        <f t="shared" si="77"/>
        <v>0</v>
      </c>
      <c r="P131" s="117"/>
      <c r="Q131" s="72">
        <f t="shared" si="80"/>
        <v>7.4999999999999997E-2</v>
      </c>
      <c r="U131" s="16"/>
      <c r="V131" s="139"/>
      <c r="W131" s="16"/>
      <c r="X131" s="139"/>
    </row>
    <row r="132" spans="1:24">
      <c r="A132" s="70">
        <f t="shared" si="74"/>
        <v>45078</v>
      </c>
      <c r="D132" s="114">
        <f t="shared" si="78"/>
        <v>-6622.45</v>
      </c>
      <c r="E132" s="116">
        <v>389920.63</v>
      </c>
      <c r="F132" s="114">
        <f t="shared" si="75"/>
        <v>-871253.74999999825</v>
      </c>
      <c r="G132" s="117"/>
      <c r="H132" s="72">
        <f t="shared" si="76"/>
        <v>7.4999999999999997E-2</v>
      </c>
      <c r="J132" s="70">
        <f t="shared" si="73"/>
        <v>45078</v>
      </c>
      <c r="M132" s="114">
        <f t="shared" si="79"/>
        <v>0</v>
      </c>
      <c r="N132" s="140">
        <v>0</v>
      </c>
      <c r="O132" s="114">
        <f t="shared" si="77"/>
        <v>0</v>
      </c>
      <c r="P132" s="117"/>
      <c r="Q132" s="72">
        <f t="shared" si="80"/>
        <v>7.4999999999999997E-2</v>
      </c>
    </row>
    <row r="133" spans="1:24" hidden="1">
      <c r="A133" s="70">
        <f t="shared" si="74"/>
        <v>45108</v>
      </c>
      <c r="D133" s="114">
        <f>ROUND((F132+(E133)/2)*H133/12,2)</f>
        <v>0</v>
      </c>
      <c r="E133" s="140"/>
      <c r="F133" s="114">
        <f>F132+D133+E133</f>
        <v>-871253.74999999825</v>
      </c>
      <c r="G133" s="117"/>
      <c r="H133" s="72">
        <f t="shared" si="76"/>
        <v>0</v>
      </c>
      <c r="J133" s="70">
        <f t="shared" si="73"/>
        <v>45108</v>
      </c>
      <c r="M133" s="114">
        <f>ROUND((O132+(N133)/2)*Q133/12,2)</f>
        <v>0</v>
      </c>
      <c r="N133" s="140">
        <v>0</v>
      </c>
      <c r="O133" s="114">
        <f t="shared" si="77"/>
        <v>0</v>
      </c>
      <c r="P133" s="117"/>
      <c r="Q133" s="72">
        <f t="shared" si="80"/>
        <v>0</v>
      </c>
    </row>
    <row r="134" spans="1:24" hidden="1">
      <c r="A134" s="70">
        <f t="shared" si="74"/>
        <v>45139</v>
      </c>
      <c r="D134" s="114">
        <f>ROUND((F133+(E134)/2)*H134/12,2)</f>
        <v>0</v>
      </c>
      <c r="E134" s="140"/>
      <c r="F134" s="114">
        <f>F133+D134+E134</f>
        <v>-871253.74999999825</v>
      </c>
      <c r="G134" s="117"/>
      <c r="H134" s="72">
        <f t="shared" si="76"/>
        <v>0</v>
      </c>
      <c r="J134" s="70">
        <f t="shared" si="73"/>
        <v>45139</v>
      </c>
      <c r="M134" s="114">
        <f>ROUND((O133+(N134)/2)*Q134/12,2)</f>
        <v>0</v>
      </c>
      <c r="N134" s="140">
        <v>0</v>
      </c>
      <c r="O134" s="114">
        <f t="shared" si="77"/>
        <v>0</v>
      </c>
      <c r="P134" s="144"/>
      <c r="Q134" s="72">
        <f t="shared" si="80"/>
        <v>0</v>
      </c>
    </row>
    <row r="135" spans="1:24" hidden="1">
      <c r="A135" s="70">
        <f t="shared" si="74"/>
        <v>45170</v>
      </c>
      <c r="B135" t="s">
        <v>111</v>
      </c>
      <c r="C135" s="114">
        <f>IF(C69&gt;0,-C69,0)</f>
        <v>-16690574.969999999</v>
      </c>
      <c r="D135" s="114">
        <f t="shared" si="78"/>
        <v>0</v>
      </c>
      <c r="E135" s="140"/>
      <c r="F135" s="114">
        <f>F134+D135+E135</f>
        <v>-871253.74999999825</v>
      </c>
      <c r="G135" s="117"/>
      <c r="H135" s="72">
        <f t="shared" si="76"/>
        <v>0</v>
      </c>
      <c r="J135" s="70">
        <f t="shared" si="73"/>
        <v>45170</v>
      </c>
      <c r="K135" t="s">
        <v>111</v>
      </c>
      <c r="L135" s="114">
        <f>IF(L69&gt;0,-L69,0)</f>
        <v>-1106794.0103520819</v>
      </c>
      <c r="M135" s="114">
        <f t="shared" si="79"/>
        <v>0</v>
      </c>
      <c r="N135" s="140">
        <v>0</v>
      </c>
      <c r="O135" s="114">
        <f>O134+M135+N135</f>
        <v>0</v>
      </c>
      <c r="P135" s="117"/>
      <c r="Q135" s="72">
        <f t="shared" si="80"/>
        <v>0</v>
      </c>
    </row>
    <row r="136" spans="1:24" hidden="1">
      <c r="A136" s="70">
        <f t="shared" si="74"/>
        <v>45200</v>
      </c>
      <c r="B136" t="s">
        <v>111</v>
      </c>
      <c r="C136" s="114">
        <f>IF(F128&gt;=0,IF(F68+F103&lt;0,-C104,-C135),IF(F68+F135&gt;0,-F135,-C104))</f>
        <v>0</v>
      </c>
      <c r="D136" s="114">
        <f>ROUND((F135+C135+C136+(E136)/2)*H136/12,2)</f>
        <v>0</v>
      </c>
      <c r="E136" s="140"/>
      <c r="F136" s="114">
        <f>F135+C136+D136+E136+C135</f>
        <v>-17561828.719999999</v>
      </c>
      <c r="G136" s="117"/>
      <c r="H136" s="72">
        <f t="shared" si="76"/>
        <v>0</v>
      </c>
      <c r="J136" s="70">
        <f t="shared" si="73"/>
        <v>45200</v>
      </c>
      <c r="K136" t="s">
        <v>111</v>
      </c>
      <c r="L136" s="114">
        <f>IF(O128&gt;=0,IF(O68+O103&lt;0,-L104,-L135),IF(O68+O135&gt;0,-O135,-L104))</f>
        <v>1106794.0103520819</v>
      </c>
      <c r="M136" s="114">
        <f>ROUND((O135+L135+L136+(N136)/2)*Q136/12,2)</f>
        <v>0</v>
      </c>
      <c r="N136" s="140">
        <v>0</v>
      </c>
      <c r="O136" s="114">
        <f>O135+L135+L136+M136+N136</f>
        <v>0</v>
      </c>
      <c r="P136" s="117"/>
      <c r="Q136" s="72">
        <f t="shared" si="80"/>
        <v>0</v>
      </c>
    </row>
    <row r="137" spans="1:24" hidden="1">
      <c r="A137" s="70">
        <f t="shared" si="74"/>
        <v>45231</v>
      </c>
      <c r="D137" s="114">
        <f t="shared" si="78"/>
        <v>0</v>
      </c>
      <c r="E137" s="140"/>
      <c r="F137" s="114">
        <f t="shared" si="75"/>
        <v>-17561828.719999999</v>
      </c>
      <c r="G137" s="117"/>
      <c r="H137" s="72">
        <f t="shared" si="76"/>
        <v>0</v>
      </c>
      <c r="J137" s="70">
        <f t="shared" si="73"/>
        <v>45231</v>
      </c>
      <c r="M137" s="114">
        <f t="shared" si="79"/>
        <v>0</v>
      </c>
      <c r="N137" s="140">
        <v>0</v>
      </c>
      <c r="O137" s="114">
        <f>O136+L137+M137+N137</f>
        <v>0</v>
      </c>
      <c r="P137" s="117"/>
      <c r="Q137" s="72">
        <f t="shared" si="80"/>
        <v>0</v>
      </c>
    </row>
    <row r="138" spans="1:24" hidden="1">
      <c r="A138" s="70">
        <f t="shared" si="74"/>
        <v>45261</v>
      </c>
      <c r="B138" s="71"/>
      <c r="D138" s="114">
        <f t="shared" si="78"/>
        <v>0</v>
      </c>
      <c r="E138" s="140"/>
      <c r="F138" s="114">
        <f t="shared" si="75"/>
        <v>-17561828.719999999</v>
      </c>
      <c r="H138" s="72">
        <f t="shared" si="76"/>
        <v>0</v>
      </c>
      <c r="J138" s="70">
        <f t="shared" si="73"/>
        <v>45261</v>
      </c>
      <c r="K138" s="71"/>
      <c r="M138" s="114">
        <f t="shared" si="79"/>
        <v>0</v>
      </c>
      <c r="N138" s="140">
        <v>0</v>
      </c>
      <c r="O138" s="114">
        <f t="shared" si="77"/>
        <v>0</v>
      </c>
      <c r="Q138" s="72">
        <f t="shared" si="80"/>
        <v>0</v>
      </c>
    </row>
    <row r="139" spans="1:24">
      <c r="A139" s="70"/>
    </row>
    <row r="140" spans="1:24">
      <c r="A140" s="86">
        <v>254338</v>
      </c>
      <c r="B140" s="86" t="s">
        <v>52</v>
      </c>
      <c r="C140" s="115" t="s">
        <v>77</v>
      </c>
      <c r="D140" s="115" t="s">
        <v>78</v>
      </c>
      <c r="E140" s="115"/>
      <c r="F140" s="114" t="s">
        <v>80</v>
      </c>
      <c r="H140" s="136" t="s">
        <v>78</v>
      </c>
      <c r="J140" s="86">
        <f>A140</f>
        <v>254338</v>
      </c>
      <c r="K140" s="86" t="s">
        <v>53</v>
      </c>
      <c r="L140" s="115" t="s">
        <v>77</v>
      </c>
      <c r="M140" s="115" t="s">
        <v>78</v>
      </c>
      <c r="N140" s="115"/>
      <c r="O140" s="114" t="s">
        <v>80</v>
      </c>
      <c r="Q140" s="136" t="s">
        <v>78</v>
      </c>
    </row>
    <row r="141" spans="1:24">
      <c r="A141" s="29" t="s">
        <v>133</v>
      </c>
      <c r="B141" s="29" t="s">
        <v>126</v>
      </c>
      <c r="C141" s="115" t="s">
        <v>81</v>
      </c>
      <c r="D141" s="115" t="s">
        <v>82</v>
      </c>
      <c r="E141" s="115" t="s">
        <v>83</v>
      </c>
      <c r="F141" s="114" t="s">
        <v>79</v>
      </c>
      <c r="H141" s="136" t="s">
        <v>84</v>
      </c>
      <c r="J141" s="29" t="str">
        <f>A141</f>
        <v>Non-Res Rebate Approved</v>
      </c>
      <c r="K141" s="29" t="s">
        <v>126</v>
      </c>
      <c r="L141" s="115" t="s">
        <v>81</v>
      </c>
      <c r="M141" s="115" t="s">
        <v>82</v>
      </c>
      <c r="N141" s="115" t="s">
        <v>83</v>
      </c>
      <c r="O141" s="114" t="s">
        <v>79</v>
      </c>
      <c r="Q141" s="136" t="s">
        <v>84</v>
      </c>
    </row>
    <row r="142" spans="1:24">
      <c r="A142" s="70">
        <f>$A$25</f>
        <v>44896</v>
      </c>
      <c r="B142" s="71"/>
      <c r="F142" s="121">
        <v>0</v>
      </c>
      <c r="G142" s="117"/>
      <c r="J142" s="70">
        <f t="shared" ref="J142:J154" si="81">A142</f>
        <v>44896</v>
      </c>
      <c r="K142" s="71"/>
      <c r="O142" s="121">
        <v>0</v>
      </c>
      <c r="P142" s="117"/>
    </row>
    <row r="143" spans="1:24">
      <c r="A143" s="70">
        <f t="shared" ref="A143:A154" si="82">A26</f>
        <v>44927</v>
      </c>
      <c r="D143" s="114">
        <f>ROUND((F142+(E143)/2)*H143/12,2)</f>
        <v>0</v>
      </c>
      <c r="E143" s="140">
        <v>0</v>
      </c>
      <c r="F143" s="114">
        <f>F142+C143+D143+E143</f>
        <v>0</v>
      </c>
      <c r="G143" s="117"/>
      <c r="H143" s="72">
        <f t="shared" ref="H143:H154" si="83">H26</f>
        <v>6.3100000000000003E-2</v>
      </c>
      <c r="J143" s="70">
        <f t="shared" si="81"/>
        <v>44927</v>
      </c>
      <c r="M143" s="114">
        <f>ROUND((O142+(N143)/2)*Q143/12,2)</f>
        <v>0</v>
      </c>
      <c r="N143" s="140">
        <v>0</v>
      </c>
      <c r="O143" s="114">
        <f>O142+L143+M143+N143</f>
        <v>0</v>
      </c>
      <c r="P143" s="117"/>
      <c r="Q143" s="72">
        <f>H143</f>
        <v>6.3100000000000003E-2</v>
      </c>
    </row>
    <row r="144" spans="1:24">
      <c r="A144" s="70">
        <f t="shared" si="82"/>
        <v>44958</v>
      </c>
      <c r="D144" s="114">
        <f t="shared" ref="D144:D154" si="84">ROUND((F143+(E144)/2)*H144/12,2)</f>
        <v>0</v>
      </c>
      <c r="E144" s="140">
        <v>0</v>
      </c>
      <c r="F144" s="114">
        <f>F143+C144+D144+E144</f>
        <v>0</v>
      </c>
      <c r="G144" s="117"/>
      <c r="H144" s="72">
        <f t="shared" si="83"/>
        <v>6.3100000000000003E-2</v>
      </c>
      <c r="J144" s="70">
        <f t="shared" si="81"/>
        <v>44958</v>
      </c>
      <c r="M144" s="114">
        <f t="shared" ref="M144:M154" si="85">ROUND((O143+(N144)/2)*Q144/12,2)</f>
        <v>0</v>
      </c>
      <c r="N144" s="140">
        <v>0</v>
      </c>
      <c r="O144" s="114">
        <f>O143+L144+M144+N144</f>
        <v>0</v>
      </c>
      <c r="P144" s="117"/>
      <c r="Q144" s="72">
        <f t="shared" ref="Q144:Q154" si="86">H144</f>
        <v>6.3100000000000003E-2</v>
      </c>
    </row>
    <row r="145" spans="1:24">
      <c r="A145" s="70">
        <f t="shared" si="82"/>
        <v>44986</v>
      </c>
      <c r="D145" s="114">
        <f t="shared" si="84"/>
        <v>0</v>
      </c>
      <c r="E145" s="140">
        <v>0</v>
      </c>
      <c r="F145" s="114">
        <f>F144+C145+D145+E145</f>
        <v>0</v>
      </c>
      <c r="G145" s="117"/>
      <c r="H145" s="72">
        <f t="shared" si="83"/>
        <v>6.3100000000000003E-2</v>
      </c>
      <c r="J145" s="70">
        <f t="shared" si="81"/>
        <v>44986</v>
      </c>
      <c r="M145" s="114">
        <f t="shared" si="85"/>
        <v>0</v>
      </c>
      <c r="N145" s="140">
        <v>0</v>
      </c>
      <c r="O145" s="114">
        <f>O144+L145+M145+N145</f>
        <v>0</v>
      </c>
      <c r="P145" s="117"/>
      <c r="Q145" s="72">
        <f t="shared" si="86"/>
        <v>6.3100000000000003E-2</v>
      </c>
      <c r="U145" s="16"/>
      <c r="V145" s="139"/>
      <c r="W145" s="16"/>
      <c r="X145" s="139"/>
    </row>
    <row r="146" spans="1:24">
      <c r="A146" s="70">
        <f t="shared" si="82"/>
        <v>45017</v>
      </c>
      <c r="D146" s="114">
        <f t="shared" si="84"/>
        <v>0</v>
      </c>
      <c r="E146" s="140">
        <v>0</v>
      </c>
      <c r="F146" s="114">
        <f t="shared" ref="F146:F154" si="87">F145+C146+D146+E146</f>
        <v>0</v>
      </c>
      <c r="G146" s="117"/>
      <c r="H146" s="72">
        <f t="shared" si="83"/>
        <v>7.4999999999999997E-2</v>
      </c>
      <c r="J146" s="70">
        <f t="shared" si="81"/>
        <v>45017</v>
      </c>
      <c r="M146" s="114">
        <f t="shared" si="85"/>
        <v>0</v>
      </c>
      <c r="N146" s="140">
        <v>0</v>
      </c>
      <c r="O146" s="114">
        <f t="shared" ref="O146:O154" si="88">O145+L146+M146+N146</f>
        <v>0</v>
      </c>
      <c r="P146" s="117"/>
      <c r="Q146" s="72">
        <f t="shared" si="86"/>
        <v>7.4999999999999997E-2</v>
      </c>
      <c r="U146" s="16"/>
      <c r="V146" s="139"/>
      <c r="W146" s="16"/>
      <c r="X146" s="139"/>
    </row>
    <row r="147" spans="1:24">
      <c r="A147" s="70">
        <f t="shared" si="82"/>
        <v>45047</v>
      </c>
      <c r="D147" s="114">
        <f t="shared" si="84"/>
        <v>0</v>
      </c>
      <c r="E147" s="140">
        <v>0</v>
      </c>
      <c r="F147" s="114">
        <f t="shared" si="87"/>
        <v>0</v>
      </c>
      <c r="G147" s="117"/>
      <c r="H147" s="72">
        <f t="shared" si="83"/>
        <v>7.4999999999999997E-2</v>
      </c>
      <c r="J147" s="70">
        <f t="shared" si="81"/>
        <v>45047</v>
      </c>
      <c r="M147" s="114">
        <f t="shared" si="85"/>
        <v>0</v>
      </c>
      <c r="N147" s="140">
        <v>0</v>
      </c>
      <c r="O147" s="114">
        <f t="shared" si="88"/>
        <v>0</v>
      </c>
      <c r="P147" s="117"/>
      <c r="Q147" s="72">
        <f t="shared" si="86"/>
        <v>7.4999999999999997E-2</v>
      </c>
      <c r="U147" s="16"/>
      <c r="V147" s="139"/>
      <c r="W147" s="16"/>
      <c r="X147" s="139"/>
    </row>
    <row r="148" spans="1:24">
      <c r="A148" s="70">
        <f t="shared" si="82"/>
        <v>45078</v>
      </c>
      <c r="D148" s="114">
        <f t="shared" si="84"/>
        <v>0</v>
      </c>
      <c r="E148" s="140">
        <v>0</v>
      </c>
      <c r="F148" s="114">
        <f t="shared" si="87"/>
        <v>0</v>
      </c>
      <c r="G148" s="117"/>
      <c r="H148" s="72">
        <f t="shared" si="83"/>
        <v>7.4999999999999997E-2</v>
      </c>
      <c r="J148" s="70">
        <f t="shared" si="81"/>
        <v>45078</v>
      </c>
      <c r="M148" s="114">
        <f t="shared" si="85"/>
        <v>0</v>
      </c>
      <c r="N148" s="140">
        <v>0</v>
      </c>
      <c r="O148" s="114">
        <f t="shared" si="88"/>
        <v>0</v>
      </c>
      <c r="P148" s="117"/>
      <c r="Q148" s="72">
        <f t="shared" si="86"/>
        <v>7.4999999999999997E-2</v>
      </c>
    </row>
    <row r="149" spans="1:24" hidden="1">
      <c r="A149" s="70">
        <f t="shared" si="82"/>
        <v>45108</v>
      </c>
      <c r="D149" s="114">
        <f>ROUND((F148+(E149)/2)*H149/12,2)</f>
        <v>0</v>
      </c>
      <c r="E149" s="140">
        <v>0</v>
      </c>
      <c r="F149" s="114">
        <f>F148+D149+E149</f>
        <v>0</v>
      </c>
      <c r="G149" s="117"/>
      <c r="H149" s="72">
        <f t="shared" si="83"/>
        <v>0</v>
      </c>
      <c r="J149" s="70">
        <f t="shared" si="81"/>
        <v>45108</v>
      </c>
      <c r="M149" s="114">
        <f>ROUND((O148+(N149)/2)*Q149/12,2)</f>
        <v>0</v>
      </c>
      <c r="N149" s="140">
        <v>0</v>
      </c>
      <c r="O149" s="114">
        <f t="shared" si="88"/>
        <v>0</v>
      </c>
      <c r="P149" s="117"/>
      <c r="Q149" s="72">
        <f t="shared" si="86"/>
        <v>0</v>
      </c>
    </row>
    <row r="150" spans="1:24" hidden="1">
      <c r="A150" s="70">
        <f t="shared" si="82"/>
        <v>45139</v>
      </c>
      <c r="D150" s="114">
        <f>ROUND((F149+(E150)/2)*H150/12,2)</f>
        <v>0</v>
      </c>
      <c r="E150" s="140">
        <v>0</v>
      </c>
      <c r="F150" s="114">
        <f>F149+D150+E150</f>
        <v>0</v>
      </c>
      <c r="G150" s="117"/>
      <c r="H150" s="72">
        <f t="shared" si="83"/>
        <v>0</v>
      </c>
      <c r="J150" s="70">
        <f t="shared" si="81"/>
        <v>45139</v>
      </c>
      <c r="M150" s="114">
        <f>ROUND((O149+(N150)/2)*Q150/12,2)</f>
        <v>0</v>
      </c>
      <c r="N150" s="140">
        <v>0</v>
      </c>
      <c r="O150" s="114">
        <f t="shared" si="88"/>
        <v>0</v>
      </c>
      <c r="P150" s="117"/>
      <c r="Q150" s="72">
        <f t="shared" si="86"/>
        <v>0</v>
      </c>
    </row>
    <row r="151" spans="1:24" hidden="1">
      <c r="A151" s="70">
        <f t="shared" si="82"/>
        <v>45170</v>
      </c>
      <c r="B151" t="s">
        <v>111</v>
      </c>
      <c r="C151" s="114">
        <f>IF(C87&gt;0,-C87,0)</f>
        <v>0</v>
      </c>
      <c r="D151" s="114">
        <f t="shared" si="84"/>
        <v>0</v>
      </c>
      <c r="E151" s="140">
        <v>0</v>
      </c>
      <c r="F151" s="114">
        <f>F150+D151+E151</f>
        <v>0</v>
      </c>
      <c r="G151" s="117"/>
      <c r="H151" s="72">
        <f t="shared" si="83"/>
        <v>0</v>
      </c>
      <c r="J151" s="70">
        <f t="shared" si="81"/>
        <v>45170</v>
      </c>
      <c r="K151" t="s">
        <v>111</v>
      </c>
      <c r="L151" s="114">
        <f>IF(L87&gt;0,-L87,0)</f>
        <v>0</v>
      </c>
      <c r="M151" s="114">
        <f t="shared" si="85"/>
        <v>0</v>
      </c>
      <c r="N151" s="140">
        <v>0</v>
      </c>
      <c r="O151" s="114">
        <f>O150+M151+N151</f>
        <v>0</v>
      </c>
      <c r="P151" s="117"/>
      <c r="Q151" s="72">
        <f t="shared" si="86"/>
        <v>0</v>
      </c>
    </row>
    <row r="152" spans="1:24" hidden="1">
      <c r="A152" s="70">
        <f t="shared" si="82"/>
        <v>45200</v>
      </c>
      <c r="B152" t="s">
        <v>111</v>
      </c>
      <c r="C152" s="114">
        <f>IF(F144&gt;=0,IF(F86+F119&lt;0,-C120,-C151),IF(F86+F151&gt;0,-F151,-C120))</f>
        <v>0</v>
      </c>
      <c r="D152" s="114">
        <f>ROUND((F151+C151+C152+(E152)/2)*H152/12,2)</f>
        <v>0</v>
      </c>
      <c r="E152" s="140">
        <v>0</v>
      </c>
      <c r="F152" s="114">
        <f>F151+C152+D152+E152+C151</f>
        <v>0</v>
      </c>
      <c r="G152" s="117"/>
      <c r="H152" s="72">
        <f t="shared" si="83"/>
        <v>0</v>
      </c>
      <c r="J152" s="70">
        <f t="shared" si="81"/>
        <v>45200</v>
      </c>
      <c r="K152" t="s">
        <v>111</v>
      </c>
      <c r="L152" s="114">
        <f>IF(O144&gt;=0,IF(O86+O119&lt;0,-L120,-L151),IF(O86+O151&gt;0,-O151,-L120))</f>
        <v>0</v>
      </c>
      <c r="M152" s="114">
        <f>ROUND((O151+L151+L152+(N152)/2)*Q152/12,2)</f>
        <v>0</v>
      </c>
      <c r="N152" s="140">
        <v>0</v>
      </c>
      <c r="O152" s="114">
        <f>O151+L151+L152+M152+N152</f>
        <v>0</v>
      </c>
      <c r="P152" s="117"/>
      <c r="Q152" s="72">
        <f t="shared" si="86"/>
        <v>0</v>
      </c>
    </row>
    <row r="153" spans="1:24" hidden="1">
      <c r="A153" s="70">
        <f t="shared" si="82"/>
        <v>45231</v>
      </c>
      <c r="D153" s="114">
        <f t="shared" si="84"/>
        <v>0</v>
      </c>
      <c r="E153" s="140">
        <v>0</v>
      </c>
      <c r="F153" s="114">
        <f t="shared" si="87"/>
        <v>0</v>
      </c>
      <c r="G153" s="117"/>
      <c r="H153" s="72">
        <f t="shared" si="83"/>
        <v>0</v>
      </c>
      <c r="J153" s="70">
        <f t="shared" si="81"/>
        <v>45231</v>
      </c>
      <c r="M153" s="114">
        <f t="shared" si="85"/>
        <v>0</v>
      </c>
      <c r="N153" s="140">
        <v>0</v>
      </c>
      <c r="O153" s="114">
        <f>O152+L153+M153+N153</f>
        <v>0</v>
      </c>
      <c r="P153" s="117"/>
      <c r="Q153" s="72">
        <f t="shared" si="86"/>
        <v>0</v>
      </c>
    </row>
    <row r="154" spans="1:24" hidden="1">
      <c r="A154" s="70">
        <f t="shared" si="82"/>
        <v>45261</v>
      </c>
      <c r="D154" s="114">
        <f t="shared" si="84"/>
        <v>0</v>
      </c>
      <c r="E154" s="140">
        <v>0</v>
      </c>
      <c r="F154" s="114">
        <f t="shared" si="87"/>
        <v>0</v>
      </c>
      <c r="H154" s="72">
        <f t="shared" si="83"/>
        <v>0</v>
      </c>
      <c r="J154" s="70">
        <f t="shared" si="81"/>
        <v>45261</v>
      </c>
      <c r="M154" s="114">
        <f t="shared" si="85"/>
        <v>0</v>
      </c>
      <c r="N154" s="140">
        <v>0</v>
      </c>
      <c r="O154" s="114">
        <f t="shared" si="88"/>
        <v>0</v>
      </c>
      <c r="Q154" s="72">
        <f t="shared" si="86"/>
        <v>0</v>
      </c>
    </row>
    <row r="155" spans="1:24">
      <c r="A155" s="70"/>
    </row>
    <row r="156" spans="1:24">
      <c r="A156" s="86">
        <v>253311</v>
      </c>
      <c r="B156" s="86" t="s">
        <v>52</v>
      </c>
      <c r="C156" s="115" t="s">
        <v>77</v>
      </c>
      <c r="D156" s="115" t="s">
        <v>78</v>
      </c>
      <c r="E156" s="115"/>
      <c r="F156" s="114" t="s">
        <v>80</v>
      </c>
      <c r="H156" s="136" t="s">
        <v>78</v>
      </c>
      <c r="J156" s="86">
        <f>A156</f>
        <v>253311</v>
      </c>
      <c r="K156" s="86" t="s">
        <v>53</v>
      </c>
      <c r="L156" s="115" t="s">
        <v>77</v>
      </c>
      <c r="M156" s="115" t="s">
        <v>78</v>
      </c>
      <c r="N156" s="115"/>
      <c r="O156" s="114" t="s">
        <v>80</v>
      </c>
      <c r="Q156" s="136" t="s">
        <v>78</v>
      </c>
    </row>
    <row r="157" spans="1:24">
      <c r="A157" s="29" t="s">
        <v>134</v>
      </c>
      <c r="B157" s="29" t="s">
        <v>126</v>
      </c>
      <c r="C157" s="115" t="s">
        <v>81</v>
      </c>
      <c r="D157" s="115" t="s">
        <v>82</v>
      </c>
      <c r="E157" s="115" t="s">
        <v>83</v>
      </c>
      <c r="F157" s="114" t="s">
        <v>79</v>
      </c>
      <c r="H157" s="136" t="s">
        <v>84</v>
      </c>
      <c r="J157" s="29" t="str">
        <f>A157</f>
        <v>3% Contra Deferral</v>
      </c>
      <c r="K157" s="29" t="s">
        <v>126</v>
      </c>
      <c r="L157" s="115" t="s">
        <v>81</v>
      </c>
      <c r="M157" s="115" t="s">
        <v>82</v>
      </c>
      <c r="N157" s="115" t="s">
        <v>83</v>
      </c>
      <c r="O157" s="114" t="s">
        <v>79</v>
      </c>
      <c r="Q157" s="136" t="s">
        <v>84</v>
      </c>
    </row>
    <row r="158" spans="1:24">
      <c r="A158" s="70">
        <f>$A$25</f>
        <v>44896</v>
      </c>
      <c r="B158" s="71"/>
      <c r="F158" s="145">
        <v>0</v>
      </c>
      <c r="G158" s="117"/>
      <c r="J158" s="70">
        <f t="shared" ref="J158:J170" si="89">A158</f>
        <v>44896</v>
      </c>
      <c r="K158" s="71"/>
      <c r="O158" s="145">
        <v>0</v>
      </c>
      <c r="P158" s="117"/>
    </row>
    <row r="159" spans="1:24">
      <c r="A159" s="70">
        <f t="shared" ref="A159:A170" si="90">A26</f>
        <v>44927</v>
      </c>
      <c r="C159" s="122">
        <v>0</v>
      </c>
      <c r="D159" s="114">
        <f>ROUND((F158+(C159+E159)/2)*H159/12,2)</f>
        <v>0</v>
      </c>
      <c r="E159" s="116"/>
      <c r="F159" s="114">
        <f>F158+C159+D159+E159</f>
        <v>0</v>
      </c>
      <c r="G159" s="117"/>
      <c r="H159" s="72">
        <v>0</v>
      </c>
      <c r="J159" s="70">
        <f t="shared" si="89"/>
        <v>44927</v>
      </c>
      <c r="L159" s="122">
        <v>0</v>
      </c>
      <c r="M159" s="114">
        <f>ROUND((O158+(L159+N159)/2)*Q159/12,2)</f>
        <v>0</v>
      </c>
      <c r="N159" s="116"/>
      <c r="O159" s="114">
        <f>O158+L159+M159+N159</f>
        <v>0</v>
      </c>
      <c r="P159" s="117"/>
      <c r="Q159" s="72">
        <f>H159</f>
        <v>0</v>
      </c>
    </row>
    <row r="160" spans="1:24">
      <c r="A160" s="70">
        <f t="shared" si="90"/>
        <v>44958</v>
      </c>
      <c r="C160" s="122">
        <v>0</v>
      </c>
      <c r="D160" s="114">
        <f t="shared" ref="D160:D170" si="91">ROUND((F159+(C160+E160)/2)*H160/12,2)</f>
        <v>0</v>
      </c>
      <c r="E160" s="116"/>
      <c r="F160" s="114">
        <f>F159+C160+D160+E160</f>
        <v>0</v>
      </c>
      <c r="G160" s="117"/>
      <c r="H160" s="72">
        <f>H159</f>
        <v>0</v>
      </c>
      <c r="J160" s="70">
        <f t="shared" si="89"/>
        <v>44958</v>
      </c>
      <c r="L160" s="122">
        <v>0</v>
      </c>
      <c r="M160" s="114">
        <f t="shared" ref="M160:M170" si="92">ROUND((O159+(L160+N160)/2)*Q160/12,2)</f>
        <v>0</v>
      </c>
      <c r="N160" s="116"/>
      <c r="O160" s="114">
        <f>O159+L160+M160+N160</f>
        <v>0</v>
      </c>
      <c r="P160" s="117"/>
      <c r="Q160" s="72">
        <f t="shared" ref="Q160:Q170" si="93">H160</f>
        <v>0</v>
      </c>
    </row>
    <row r="161" spans="1:24">
      <c r="A161" s="70">
        <f t="shared" si="90"/>
        <v>44986</v>
      </c>
      <c r="C161" s="122">
        <v>0</v>
      </c>
      <c r="D161" s="114">
        <f t="shared" si="91"/>
        <v>0</v>
      </c>
      <c r="E161" s="116"/>
      <c r="F161" s="114">
        <f>F160+C161+D161+E161</f>
        <v>0</v>
      </c>
      <c r="G161" s="117"/>
      <c r="H161" s="72">
        <f t="shared" ref="H161:H170" si="94">H160</f>
        <v>0</v>
      </c>
      <c r="J161" s="70">
        <f t="shared" si="89"/>
        <v>44986</v>
      </c>
      <c r="L161" s="122">
        <v>0</v>
      </c>
      <c r="M161" s="114">
        <f t="shared" si="92"/>
        <v>0</v>
      </c>
      <c r="N161" s="116"/>
      <c r="O161" s="114">
        <f>O160+L161+M161+N161</f>
        <v>0</v>
      </c>
      <c r="P161" s="117"/>
      <c r="Q161" s="72">
        <f t="shared" si="93"/>
        <v>0</v>
      </c>
      <c r="U161" s="16"/>
      <c r="V161" s="139"/>
      <c r="W161" s="16"/>
      <c r="X161" s="139"/>
    </row>
    <row r="162" spans="1:24">
      <c r="A162" s="70">
        <f t="shared" si="90"/>
        <v>45017</v>
      </c>
      <c r="C162" s="122">
        <v>0</v>
      </c>
      <c r="D162" s="114">
        <f t="shared" si="91"/>
        <v>0</v>
      </c>
      <c r="E162" s="116"/>
      <c r="F162" s="114">
        <f t="shared" ref="F162:F170" si="95">F161+C162+D162+E162</f>
        <v>0</v>
      </c>
      <c r="G162" s="117"/>
      <c r="H162" s="72">
        <f t="shared" si="94"/>
        <v>0</v>
      </c>
      <c r="J162" s="70">
        <f t="shared" si="89"/>
        <v>45017</v>
      </c>
      <c r="L162" s="122">
        <v>0</v>
      </c>
      <c r="M162" s="114">
        <f t="shared" si="92"/>
        <v>0</v>
      </c>
      <c r="N162" s="116"/>
      <c r="O162" s="114">
        <f t="shared" ref="O162:O170" si="96">O161+L162+M162+N162</f>
        <v>0</v>
      </c>
      <c r="P162" s="117"/>
      <c r="Q162" s="72">
        <f t="shared" si="93"/>
        <v>0</v>
      </c>
      <c r="U162" s="16"/>
      <c r="V162" s="139"/>
      <c r="W162" s="16"/>
      <c r="X162" s="139"/>
    </row>
    <row r="163" spans="1:24">
      <c r="A163" s="70">
        <f t="shared" si="90"/>
        <v>45047</v>
      </c>
      <c r="C163" s="122">
        <v>0</v>
      </c>
      <c r="D163" s="114">
        <f t="shared" si="91"/>
        <v>0</v>
      </c>
      <c r="E163" s="116"/>
      <c r="F163" s="114">
        <f t="shared" si="95"/>
        <v>0</v>
      </c>
      <c r="G163" s="117"/>
      <c r="H163" s="72">
        <f t="shared" si="94"/>
        <v>0</v>
      </c>
      <c r="J163" s="70">
        <f t="shared" si="89"/>
        <v>45047</v>
      </c>
      <c r="L163" s="122">
        <v>0</v>
      </c>
      <c r="M163" s="114">
        <f t="shared" si="92"/>
        <v>0</v>
      </c>
      <c r="N163" s="116"/>
      <c r="O163" s="114">
        <f t="shared" si="96"/>
        <v>0</v>
      </c>
      <c r="P163" s="117"/>
      <c r="Q163" s="72">
        <f t="shared" si="93"/>
        <v>0</v>
      </c>
      <c r="U163" s="16"/>
      <c r="V163" s="139"/>
      <c r="W163" s="16"/>
      <c r="X163" s="139"/>
    </row>
    <row r="164" spans="1:24">
      <c r="A164" s="70">
        <f t="shared" si="90"/>
        <v>45078</v>
      </c>
      <c r="C164" s="122">
        <v>0</v>
      </c>
      <c r="D164" s="114">
        <f t="shared" si="91"/>
        <v>0</v>
      </c>
      <c r="E164" s="116"/>
      <c r="F164" s="114">
        <f t="shared" si="95"/>
        <v>0</v>
      </c>
      <c r="G164" s="117"/>
      <c r="H164" s="72">
        <f t="shared" si="94"/>
        <v>0</v>
      </c>
      <c r="J164" s="70">
        <f t="shared" si="89"/>
        <v>45078</v>
      </c>
      <c r="L164" s="122">
        <v>0</v>
      </c>
      <c r="M164" s="114">
        <f t="shared" si="92"/>
        <v>0</v>
      </c>
      <c r="N164" s="116"/>
      <c r="O164" s="114">
        <f t="shared" si="96"/>
        <v>0</v>
      </c>
      <c r="P164" s="117"/>
      <c r="Q164" s="72">
        <f t="shared" si="93"/>
        <v>0</v>
      </c>
    </row>
    <row r="165" spans="1:24" hidden="1">
      <c r="A165" s="70">
        <f t="shared" si="90"/>
        <v>45108</v>
      </c>
      <c r="C165" s="122">
        <v>0</v>
      </c>
      <c r="D165" s="114">
        <f t="shared" si="91"/>
        <v>0</v>
      </c>
      <c r="E165" s="116"/>
      <c r="F165" s="114">
        <f t="shared" si="95"/>
        <v>0</v>
      </c>
      <c r="G165" s="117"/>
      <c r="H165" s="72">
        <f t="shared" si="94"/>
        <v>0</v>
      </c>
      <c r="J165" s="70">
        <f t="shared" si="89"/>
        <v>45108</v>
      </c>
      <c r="L165" s="122">
        <v>0</v>
      </c>
      <c r="M165" s="114">
        <f t="shared" si="92"/>
        <v>0</v>
      </c>
      <c r="N165" s="116"/>
      <c r="O165" s="114">
        <f t="shared" si="96"/>
        <v>0</v>
      </c>
      <c r="P165" s="117"/>
      <c r="Q165" s="72">
        <f t="shared" si="93"/>
        <v>0</v>
      </c>
    </row>
    <row r="166" spans="1:24" hidden="1">
      <c r="A166" s="70">
        <f t="shared" si="90"/>
        <v>45139</v>
      </c>
      <c r="C166" s="122">
        <v>0</v>
      </c>
      <c r="D166" s="114">
        <f t="shared" si="91"/>
        <v>0</v>
      </c>
      <c r="E166" s="116"/>
      <c r="F166" s="114">
        <f t="shared" si="95"/>
        <v>0</v>
      </c>
      <c r="G166" s="117"/>
      <c r="H166" s="72">
        <f t="shared" si="94"/>
        <v>0</v>
      </c>
      <c r="J166" s="70">
        <f t="shared" si="89"/>
        <v>45139</v>
      </c>
      <c r="L166" s="122">
        <v>0</v>
      </c>
      <c r="M166" s="114">
        <f t="shared" si="92"/>
        <v>0</v>
      </c>
      <c r="N166" s="116"/>
      <c r="O166" s="114">
        <f t="shared" si="96"/>
        <v>0</v>
      </c>
      <c r="P166" s="117"/>
      <c r="Q166" s="72">
        <f t="shared" si="93"/>
        <v>0</v>
      </c>
    </row>
    <row r="167" spans="1:24" hidden="1">
      <c r="A167" s="70">
        <f t="shared" si="90"/>
        <v>45170</v>
      </c>
      <c r="C167" s="122">
        <v>0</v>
      </c>
      <c r="D167" s="114">
        <f t="shared" si="91"/>
        <v>0</v>
      </c>
      <c r="E167" s="116"/>
      <c r="F167" s="114">
        <f t="shared" si="95"/>
        <v>0</v>
      </c>
      <c r="G167" s="117"/>
      <c r="H167" s="72">
        <f t="shared" si="94"/>
        <v>0</v>
      </c>
      <c r="J167" s="70">
        <f t="shared" si="89"/>
        <v>45170</v>
      </c>
      <c r="L167" s="122">
        <v>0</v>
      </c>
      <c r="M167" s="114">
        <f t="shared" si="92"/>
        <v>0</v>
      </c>
      <c r="N167" s="116"/>
      <c r="O167" s="114">
        <f t="shared" si="96"/>
        <v>0</v>
      </c>
      <c r="P167" s="117"/>
      <c r="Q167" s="72">
        <f t="shared" si="93"/>
        <v>0</v>
      </c>
    </row>
    <row r="168" spans="1:24" hidden="1">
      <c r="A168" s="70">
        <f t="shared" si="90"/>
        <v>45200</v>
      </c>
      <c r="C168" s="122">
        <v>0</v>
      </c>
      <c r="D168" s="114">
        <f t="shared" si="91"/>
        <v>0</v>
      </c>
      <c r="E168" s="116"/>
      <c r="F168" s="114">
        <f t="shared" si="95"/>
        <v>0</v>
      </c>
      <c r="G168" s="117"/>
      <c r="H168" s="72">
        <f t="shared" si="94"/>
        <v>0</v>
      </c>
      <c r="J168" s="70">
        <f t="shared" si="89"/>
        <v>45200</v>
      </c>
      <c r="L168" s="122">
        <v>0</v>
      </c>
      <c r="M168" s="114">
        <f t="shared" si="92"/>
        <v>0</v>
      </c>
      <c r="N168" s="116"/>
      <c r="O168" s="114">
        <f t="shared" si="96"/>
        <v>0</v>
      </c>
      <c r="P168" s="117"/>
      <c r="Q168" s="72">
        <f t="shared" si="93"/>
        <v>0</v>
      </c>
    </row>
    <row r="169" spans="1:24" hidden="1">
      <c r="A169" s="70">
        <f t="shared" si="90"/>
        <v>45231</v>
      </c>
      <c r="C169" s="122">
        <v>0</v>
      </c>
      <c r="D169" s="114">
        <f t="shared" si="91"/>
        <v>0</v>
      </c>
      <c r="E169" s="116"/>
      <c r="F169" s="114">
        <f t="shared" si="95"/>
        <v>0</v>
      </c>
      <c r="G169" s="117"/>
      <c r="H169" s="72">
        <f t="shared" si="94"/>
        <v>0</v>
      </c>
      <c r="J169" s="70">
        <f t="shared" si="89"/>
        <v>45231</v>
      </c>
      <c r="L169" s="122">
        <v>0</v>
      </c>
      <c r="M169" s="114">
        <f t="shared" si="92"/>
        <v>0</v>
      </c>
      <c r="N169" s="116"/>
      <c r="O169" s="114">
        <f t="shared" si="96"/>
        <v>0</v>
      </c>
      <c r="P169" s="117"/>
      <c r="Q169" s="72">
        <f t="shared" si="93"/>
        <v>0</v>
      </c>
    </row>
    <row r="170" spans="1:24" hidden="1">
      <c r="A170" s="70">
        <f t="shared" si="90"/>
        <v>45261</v>
      </c>
      <c r="C170" s="122">
        <v>0</v>
      </c>
      <c r="D170" s="114">
        <f t="shared" si="91"/>
        <v>0</v>
      </c>
      <c r="E170" s="116"/>
      <c r="F170" s="114">
        <f t="shared" si="95"/>
        <v>0</v>
      </c>
      <c r="H170" s="72">
        <f t="shared" si="94"/>
        <v>0</v>
      </c>
      <c r="J170" s="70">
        <f t="shared" si="89"/>
        <v>45261</v>
      </c>
      <c r="L170" s="122">
        <v>0</v>
      </c>
      <c r="M170" s="114">
        <f t="shared" si="92"/>
        <v>0</v>
      </c>
      <c r="N170" s="116"/>
      <c r="O170" s="114">
        <f t="shared" si="96"/>
        <v>0</v>
      </c>
      <c r="Q170" s="72">
        <f t="shared" si="93"/>
        <v>0</v>
      </c>
    </row>
    <row r="172" spans="1:24">
      <c r="A172" s="86">
        <v>253312</v>
      </c>
      <c r="B172" s="86" t="s">
        <v>52</v>
      </c>
      <c r="C172" s="115" t="s">
        <v>77</v>
      </c>
      <c r="D172" s="115" t="s">
        <v>78</v>
      </c>
      <c r="E172" s="115"/>
      <c r="F172" s="114" t="s">
        <v>80</v>
      </c>
      <c r="H172" s="136" t="s">
        <v>78</v>
      </c>
      <c r="J172" s="86">
        <f>A172</f>
        <v>253312</v>
      </c>
      <c r="K172" s="86" t="s">
        <v>53</v>
      </c>
      <c r="L172" s="115" t="s">
        <v>77</v>
      </c>
      <c r="M172" s="115" t="s">
        <v>78</v>
      </c>
      <c r="N172" s="115"/>
      <c r="O172" s="114" t="s">
        <v>80</v>
      </c>
      <c r="Q172" s="136" t="s">
        <v>78</v>
      </c>
    </row>
    <row r="173" spans="1:24">
      <c r="A173" s="29" t="s">
        <v>135</v>
      </c>
      <c r="B173" s="29" t="s">
        <v>126</v>
      </c>
      <c r="C173" s="115" t="s">
        <v>81</v>
      </c>
      <c r="D173" s="115" t="s">
        <v>82</v>
      </c>
      <c r="E173" s="115" t="s">
        <v>83</v>
      </c>
      <c r="F173" s="114" t="s">
        <v>79</v>
      </c>
      <c r="H173" s="136" t="s">
        <v>84</v>
      </c>
      <c r="J173" s="29" t="str">
        <f>A173</f>
        <v>Prior 3% Contra Deferral</v>
      </c>
      <c r="K173" s="29" t="s">
        <v>126</v>
      </c>
      <c r="L173" s="115" t="s">
        <v>81</v>
      </c>
      <c r="M173" s="115" t="s">
        <v>82</v>
      </c>
      <c r="N173" s="115" t="s">
        <v>83</v>
      </c>
      <c r="O173" s="114" t="s">
        <v>79</v>
      </c>
      <c r="Q173" s="136" t="s">
        <v>84</v>
      </c>
    </row>
    <row r="174" spans="1:24">
      <c r="A174" s="70">
        <f>$A$25</f>
        <v>44896</v>
      </c>
      <c r="B174" s="71"/>
      <c r="F174" s="146">
        <v>0</v>
      </c>
      <c r="G174" s="117"/>
      <c r="J174" s="70">
        <f t="shared" ref="J174:J186" si="97">A174</f>
        <v>44896</v>
      </c>
      <c r="K174" s="71"/>
      <c r="O174" s="146">
        <v>0</v>
      </c>
      <c r="P174" s="117"/>
    </row>
    <row r="175" spans="1:24">
      <c r="A175" s="70">
        <f t="shared" ref="A175:A186" si="98">A26</f>
        <v>44927</v>
      </c>
      <c r="D175" s="114">
        <f>ROUND((F174+(C175+E175)/2)*H175/12,2)</f>
        <v>0</v>
      </c>
      <c r="E175" s="122">
        <v>0</v>
      </c>
      <c r="F175" s="114">
        <f>F174+C175+D175+E175</f>
        <v>0</v>
      </c>
      <c r="G175" s="117"/>
      <c r="H175" s="72">
        <v>0</v>
      </c>
      <c r="J175" s="70">
        <f t="shared" si="97"/>
        <v>44927</v>
      </c>
      <c r="M175" s="114">
        <f>ROUND((O174+(L175+N175)/2)*Q175/12,2)</f>
        <v>0</v>
      </c>
      <c r="N175" s="122">
        <v>0</v>
      </c>
      <c r="O175" s="114">
        <f>O174+L175+M175+N175</f>
        <v>0</v>
      </c>
      <c r="P175" s="117"/>
      <c r="Q175" s="72">
        <f>H175</f>
        <v>0</v>
      </c>
    </row>
    <row r="176" spans="1:24">
      <c r="A176" s="70">
        <f t="shared" si="98"/>
        <v>44958</v>
      </c>
      <c r="D176" s="114">
        <f t="shared" ref="D176:D186" si="99">ROUND((F175+(C176+E176)/2)*H176/12,2)</f>
        <v>0</v>
      </c>
      <c r="E176" s="122">
        <v>0</v>
      </c>
      <c r="F176" s="114">
        <f>F175+C176+D176+E176</f>
        <v>0</v>
      </c>
      <c r="G176" s="117"/>
      <c r="H176" s="72">
        <f>H175</f>
        <v>0</v>
      </c>
      <c r="J176" s="70">
        <f t="shared" si="97"/>
        <v>44958</v>
      </c>
      <c r="M176" s="114">
        <f t="shared" ref="M176:M186" si="100">ROUND((O175+(L176+N176)/2)*Q176/12,2)</f>
        <v>0</v>
      </c>
      <c r="N176" s="122">
        <v>0</v>
      </c>
      <c r="O176" s="114">
        <f>O175+L176+M176+N176</f>
        <v>0</v>
      </c>
      <c r="P176" s="117"/>
      <c r="Q176" s="72">
        <f t="shared" ref="Q176:Q186" si="101">H176</f>
        <v>0</v>
      </c>
    </row>
    <row r="177" spans="1:24">
      <c r="A177" s="70">
        <f t="shared" si="98"/>
        <v>44986</v>
      </c>
      <c r="D177" s="114">
        <f t="shared" si="99"/>
        <v>0</v>
      </c>
      <c r="E177" s="122">
        <v>0</v>
      </c>
      <c r="F177" s="114">
        <f>F176+C177+D177+E177</f>
        <v>0</v>
      </c>
      <c r="G177" s="117"/>
      <c r="H177" s="72">
        <f t="shared" ref="H177:H186" si="102">H176</f>
        <v>0</v>
      </c>
      <c r="J177" s="70">
        <f t="shared" si="97"/>
        <v>44986</v>
      </c>
      <c r="M177" s="114">
        <f t="shared" si="100"/>
        <v>0</v>
      </c>
      <c r="N177" s="122">
        <v>0</v>
      </c>
      <c r="O177" s="114">
        <f>O176+L177+M177+N177</f>
        <v>0</v>
      </c>
      <c r="P177" s="117"/>
      <c r="Q177" s="72">
        <f t="shared" si="101"/>
        <v>0</v>
      </c>
      <c r="U177" s="16"/>
      <c r="V177" s="139"/>
      <c r="W177" s="16"/>
      <c r="X177" s="139"/>
    </row>
    <row r="178" spans="1:24">
      <c r="A178" s="70">
        <f t="shared" si="98"/>
        <v>45017</v>
      </c>
      <c r="D178" s="114">
        <f t="shared" si="99"/>
        <v>0</v>
      </c>
      <c r="E178" s="122">
        <v>0</v>
      </c>
      <c r="F178" s="114">
        <f t="shared" ref="F178:F186" si="103">F177+C178+D178+E178</f>
        <v>0</v>
      </c>
      <c r="G178" s="117"/>
      <c r="H178" s="72">
        <f t="shared" si="102"/>
        <v>0</v>
      </c>
      <c r="J178" s="70">
        <f t="shared" si="97"/>
        <v>45017</v>
      </c>
      <c r="M178" s="114">
        <f t="shared" si="100"/>
        <v>0</v>
      </c>
      <c r="N178" s="122">
        <v>0</v>
      </c>
      <c r="O178" s="114">
        <f t="shared" ref="O178:O186" si="104">O177+L178+M178+N178</f>
        <v>0</v>
      </c>
      <c r="P178" s="117"/>
      <c r="Q178" s="72">
        <f t="shared" si="101"/>
        <v>0</v>
      </c>
      <c r="U178" s="16"/>
      <c r="V178" s="139"/>
      <c r="W178" s="16"/>
      <c r="X178" s="139"/>
    </row>
    <row r="179" spans="1:24">
      <c r="A179" s="70">
        <f t="shared" si="98"/>
        <v>45047</v>
      </c>
      <c r="D179" s="114">
        <f t="shared" si="99"/>
        <v>0</v>
      </c>
      <c r="E179" s="122">
        <v>0</v>
      </c>
      <c r="F179" s="114">
        <f t="shared" si="103"/>
        <v>0</v>
      </c>
      <c r="G179" s="117"/>
      <c r="H179" s="72">
        <f t="shared" si="102"/>
        <v>0</v>
      </c>
      <c r="J179" s="70">
        <f t="shared" si="97"/>
        <v>45047</v>
      </c>
      <c r="M179" s="114">
        <f t="shared" si="100"/>
        <v>0</v>
      </c>
      <c r="N179" s="122">
        <v>0</v>
      </c>
      <c r="O179" s="114">
        <f t="shared" si="104"/>
        <v>0</v>
      </c>
      <c r="P179" s="117"/>
      <c r="Q179" s="72">
        <f t="shared" si="101"/>
        <v>0</v>
      </c>
      <c r="U179" s="16"/>
      <c r="V179" s="139"/>
      <c r="W179" s="16"/>
      <c r="X179" s="139"/>
    </row>
    <row r="180" spans="1:24">
      <c r="A180" s="70">
        <f t="shared" si="98"/>
        <v>45078</v>
      </c>
      <c r="D180" s="114">
        <f t="shared" si="99"/>
        <v>0</v>
      </c>
      <c r="E180" s="122">
        <v>0</v>
      </c>
      <c r="F180" s="114">
        <f t="shared" si="103"/>
        <v>0</v>
      </c>
      <c r="G180" s="117"/>
      <c r="H180" s="72">
        <f t="shared" si="102"/>
        <v>0</v>
      </c>
      <c r="J180" s="70">
        <f t="shared" si="97"/>
        <v>45078</v>
      </c>
      <c r="M180" s="114">
        <f t="shared" si="100"/>
        <v>0</v>
      </c>
      <c r="N180" s="122">
        <v>0</v>
      </c>
      <c r="O180" s="114">
        <f t="shared" si="104"/>
        <v>0</v>
      </c>
      <c r="P180" s="117"/>
      <c r="Q180" s="72">
        <f t="shared" si="101"/>
        <v>0</v>
      </c>
    </row>
    <row r="181" spans="1:24" hidden="1">
      <c r="A181" s="70">
        <f t="shared" si="98"/>
        <v>45108</v>
      </c>
      <c r="D181" s="114">
        <f t="shared" si="99"/>
        <v>0</v>
      </c>
      <c r="E181" s="122">
        <v>0</v>
      </c>
      <c r="F181" s="114">
        <f t="shared" si="103"/>
        <v>0</v>
      </c>
      <c r="G181" s="117"/>
      <c r="H181" s="72">
        <f t="shared" si="102"/>
        <v>0</v>
      </c>
      <c r="J181" s="70">
        <f t="shared" si="97"/>
        <v>45108</v>
      </c>
      <c r="M181" s="114">
        <f t="shared" si="100"/>
        <v>0</v>
      </c>
      <c r="N181" s="122">
        <v>0</v>
      </c>
      <c r="O181" s="114">
        <f t="shared" si="104"/>
        <v>0</v>
      </c>
      <c r="P181" s="117"/>
      <c r="Q181" s="72">
        <f t="shared" si="101"/>
        <v>0</v>
      </c>
    </row>
    <row r="182" spans="1:24" hidden="1">
      <c r="A182" s="70">
        <f t="shared" si="98"/>
        <v>45139</v>
      </c>
      <c r="D182" s="114">
        <f t="shared" si="99"/>
        <v>0</v>
      </c>
      <c r="E182" s="122">
        <v>0</v>
      </c>
      <c r="F182" s="114">
        <f t="shared" si="103"/>
        <v>0</v>
      </c>
      <c r="G182" s="117"/>
      <c r="H182" s="72">
        <f t="shared" si="102"/>
        <v>0</v>
      </c>
      <c r="J182" s="70">
        <f t="shared" si="97"/>
        <v>45139</v>
      </c>
      <c r="M182" s="114">
        <f t="shared" si="100"/>
        <v>0</v>
      </c>
      <c r="N182" s="122">
        <v>0</v>
      </c>
      <c r="O182" s="114">
        <f t="shared" si="104"/>
        <v>0</v>
      </c>
      <c r="P182" s="117"/>
      <c r="Q182" s="72">
        <f t="shared" si="101"/>
        <v>0</v>
      </c>
    </row>
    <row r="183" spans="1:24" hidden="1">
      <c r="A183" s="70">
        <f t="shared" si="98"/>
        <v>45170</v>
      </c>
      <c r="D183" s="114">
        <f t="shared" si="99"/>
        <v>0</v>
      </c>
      <c r="E183" s="122">
        <v>0</v>
      </c>
      <c r="F183" s="114">
        <f t="shared" si="103"/>
        <v>0</v>
      </c>
      <c r="G183" s="117"/>
      <c r="H183" s="72">
        <f t="shared" si="102"/>
        <v>0</v>
      </c>
      <c r="J183" s="70">
        <f t="shared" si="97"/>
        <v>45170</v>
      </c>
      <c r="M183" s="114">
        <f t="shared" si="100"/>
        <v>0</v>
      </c>
      <c r="N183" s="122">
        <v>0</v>
      </c>
      <c r="O183" s="114">
        <f t="shared" si="104"/>
        <v>0</v>
      </c>
      <c r="P183" s="117"/>
      <c r="Q183" s="72">
        <f t="shared" si="101"/>
        <v>0</v>
      </c>
    </row>
    <row r="184" spans="1:24" hidden="1">
      <c r="A184" s="70">
        <f t="shared" si="98"/>
        <v>45200</v>
      </c>
      <c r="D184" s="114">
        <f t="shared" si="99"/>
        <v>0</v>
      </c>
      <c r="E184" s="122">
        <v>0</v>
      </c>
      <c r="F184" s="114">
        <f t="shared" si="103"/>
        <v>0</v>
      </c>
      <c r="G184" s="117"/>
      <c r="H184" s="72">
        <f t="shared" si="102"/>
        <v>0</v>
      </c>
      <c r="J184" s="70">
        <f t="shared" si="97"/>
        <v>45200</v>
      </c>
      <c r="M184" s="114">
        <f t="shared" si="100"/>
        <v>0</v>
      </c>
      <c r="N184" s="122">
        <v>0</v>
      </c>
      <c r="O184" s="114">
        <f t="shared" si="104"/>
        <v>0</v>
      </c>
      <c r="P184" s="117"/>
      <c r="Q184" s="72">
        <f t="shared" si="101"/>
        <v>0</v>
      </c>
    </row>
    <row r="185" spans="1:24" hidden="1">
      <c r="A185" s="70">
        <f t="shared" si="98"/>
        <v>45231</v>
      </c>
      <c r="D185" s="114">
        <f t="shared" si="99"/>
        <v>0</v>
      </c>
      <c r="E185" s="122">
        <v>0</v>
      </c>
      <c r="F185" s="114">
        <f t="shared" si="103"/>
        <v>0</v>
      </c>
      <c r="G185" s="117"/>
      <c r="H185" s="72">
        <f t="shared" si="102"/>
        <v>0</v>
      </c>
      <c r="J185" s="70">
        <f t="shared" si="97"/>
        <v>45231</v>
      </c>
      <c r="M185" s="114">
        <f t="shared" si="100"/>
        <v>0</v>
      </c>
      <c r="N185" s="122">
        <v>0</v>
      </c>
      <c r="O185" s="114">
        <f t="shared" si="104"/>
        <v>0</v>
      </c>
      <c r="P185" s="117"/>
      <c r="Q185" s="72">
        <f t="shared" si="101"/>
        <v>0</v>
      </c>
    </row>
    <row r="186" spans="1:24" hidden="1">
      <c r="A186" s="70">
        <f t="shared" si="98"/>
        <v>45261</v>
      </c>
      <c r="D186" s="114">
        <f t="shared" si="99"/>
        <v>0</v>
      </c>
      <c r="E186" s="122">
        <v>0</v>
      </c>
      <c r="F186" s="114">
        <f t="shared" si="103"/>
        <v>0</v>
      </c>
      <c r="H186" s="72">
        <f t="shared" si="102"/>
        <v>0</v>
      </c>
      <c r="J186" s="70">
        <f t="shared" si="97"/>
        <v>45261</v>
      </c>
      <c r="M186" s="114">
        <f t="shared" si="100"/>
        <v>0</v>
      </c>
      <c r="N186" s="122">
        <v>0</v>
      </c>
      <c r="O186" s="114">
        <f t="shared" si="104"/>
        <v>0</v>
      </c>
      <c r="Q186" s="72">
        <f t="shared" si="101"/>
        <v>0</v>
      </c>
    </row>
  </sheetData>
  <mergeCells count="6">
    <mergeCell ref="C72:H72"/>
    <mergeCell ref="C90:H90"/>
    <mergeCell ref="A1:I1"/>
    <mergeCell ref="J1:R1"/>
    <mergeCell ref="L72:Q72"/>
    <mergeCell ref="L90:Q90"/>
  </mergeCells>
  <printOptions horizontalCentered="1"/>
  <pageMargins left="0.25" right="0.25" top="0.9375" bottom="0.75" header="0.3" footer="0.3"/>
  <pageSetup scale="72" fitToWidth="2" fitToHeight="2" orientation="portrait" useFirstPageNumber="1" r:id="rId1"/>
  <headerFooter scaleWithDoc="0">
    <oddHeader>&amp;CAvista Corporation Decoupling Mechanism
Washington Jurisdiction
Quarterly Report for 2023</oddHeader>
    <oddFooter>&amp;Cfile: &amp;F / &amp;A</oddFooter>
  </headerFooter>
  <rowBreaks count="1" manualBreakCount="1">
    <brk id="91" max="17" man="1"/>
  </rowBreaks>
  <colBreaks count="1" manualBreakCount="1">
    <brk id="9" max="18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E02B-9B8A-4CC8-8D1D-16E5DA83017D}">
  <sheetPr>
    <tabColor rgb="FFFFC000"/>
  </sheetPr>
  <dimension ref="A2:Q54"/>
  <sheetViews>
    <sheetView workbookViewId="0"/>
  </sheetViews>
  <sheetFormatPr defaultRowHeight="15"/>
  <cols>
    <col min="1" max="1" width="8" style="74" customWidth="1"/>
    <col min="2" max="2" width="31.42578125" customWidth="1"/>
    <col min="3" max="3" width="13" customWidth="1"/>
    <col min="4" max="4" width="13.140625" customWidth="1"/>
    <col min="5" max="5" width="12.5703125" bestFit="1" customWidth="1"/>
    <col min="6" max="6" width="12.7109375" customWidth="1"/>
    <col min="7" max="7" width="12.5703125" customWidth="1"/>
    <col min="8" max="8" width="12.85546875" customWidth="1"/>
    <col min="9" max="9" width="12.42578125" customWidth="1"/>
    <col min="10" max="10" width="12.85546875" customWidth="1"/>
    <col min="11" max="11" width="13.140625" customWidth="1"/>
    <col min="12" max="12" width="13" customWidth="1"/>
    <col min="13" max="13" width="12.85546875" customWidth="1"/>
    <col min="14" max="14" width="13.140625" customWidth="1"/>
    <col min="15" max="16" width="12.7109375" customWidth="1"/>
  </cols>
  <sheetData>
    <row r="2" spans="1:17" ht="15.75">
      <c r="B2" s="125" t="s">
        <v>172</v>
      </c>
      <c r="C2" s="125"/>
      <c r="D2" s="125"/>
      <c r="E2" s="125"/>
    </row>
    <row r="3" spans="1:17" ht="15.75">
      <c r="B3" s="125" t="s">
        <v>267</v>
      </c>
      <c r="C3" s="125"/>
      <c r="D3" s="125"/>
      <c r="E3" s="125"/>
    </row>
    <row r="5" spans="1:17">
      <c r="P5" s="86">
        <v>2022</v>
      </c>
    </row>
    <row r="6" spans="1:17">
      <c r="A6" s="62" t="s">
        <v>1</v>
      </c>
      <c r="B6" s="62" t="s">
        <v>173</v>
      </c>
      <c r="C6" s="62">
        <v>44562</v>
      </c>
      <c r="D6" s="62">
        <f t="shared" ref="D6:N6" si="0">EDATE(C6,1)</f>
        <v>44593</v>
      </c>
      <c r="E6" s="62">
        <f t="shared" si="0"/>
        <v>44621</v>
      </c>
      <c r="F6" s="62">
        <f t="shared" si="0"/>
        <v>44652</v>
      </c>
      <c r="G6" s="62">
        <f t="shared" si="0"/>
        <v>44682</v>
      </c>
      <c r="H6" s="62">
        <f t="shared" si="0"/>
        <v>44713</v>
      </c>
      <c r="I6" s="62">
        <f t="shared" si="0"/>
        <v>44743</v>
      </c>
      <c r="J6" s="62">
        <f t="shared" si="0"/>
        <v>44774</v>
      </c>
      <c r="K6" s="62">
        <f t="shared" si="0"/>
        <v>44805</v>
      </c>
      <c r="L6" s="62">
        <f t="shared" si="0"/>
        <v>44835</v>
      </c>
      <c r="M6" s="62">
        <f t="shared" si="0"/>
        <v>44866</v>
      </c>
      <c r="N6" s="62">
        <f t="shared" si="0"/>
        <v>44896</v>
      </c>
      <c r="O6" s="62" t="s">
        <v>261</v>
      </c>
      <c r="P6" s="172" t="s">
        <v>174</v>
      </c>
    </row>
    <row r="7" spans="1:17">
      <c r="B7" s="86"/>
      <c r="C7" s="86"/>
      <c r="D7" s="86"/>
      <c r="E7" s="86"/>
    </row>
    <row r="8" spans="1:17" ht="30" customHeight="1">
      <c r="A8" s="74">
        <v>1</v>
      </c>
      <c r="B8" s="173" t="s">
        <v>175</v>
      </c>
      <c r="C8" s="174">
        <f>'Electric Deferral'!D13</f>
        <v>3993</v>
      </c>
      <c r="D8" s="174">
        <f>'Electric Deferral'!E13</f>
        <v>4245</v>
      </c>
      <c r="E8" s="174">
        <f>'Electric Deferral'!F13</f>
        <v>4346</v>
      </c>
      <c r="F8" s="174">
        <f>'Electric Deferral'!G13</f>
        <v>5000</v>
      </c>
      <c r="G8" s="174">
        <f>'Electric Deferral'!H13</f>
        <v>4833</v>
      </c>
      <c r="H8" s="174">
        <f>'Electric Deferral'!I13</f>
        <v>5154</v>
      </c>
      <c r="I8" s="174">
        <f>'Electric Deferral'!J13</f>
        <v>0</v>
      </c>
      <c r="J8" s="174">
        <f>'Electric Deferral'!K13</f>
        <v>0</v>
      </c>
      <c r="K8" s="174">
        <f>'Electric Deferral'!L13</f>
        <v>0</v>
      </c>
      <c r="L8" s="174">
        <f>'Electric Deferral'!M13</f>
        <v>0</v>
      </c>
      <c r="M8" s="174">
        <f>'Electric Deferral'!N13</f>
        <v>0</v>
      </c>
      <c r="N8" s="174">
        <f>'Electric Deferral'!O13</f>
        <v>0</v>
      </c>
      <c r="O8" s="175">
        <f>SUM(C8:N8)</f>
        <v>27571</v>
      </c>
      <c r="P8" s="175">
        <f>O8/12</f>
        <v>2297.5833333333335</v>
      </c>
    </row>
    <row r="9" spans="1:17" ht="30" customHeight="1">
      <c r="A9" s="74">
        <v>2</v>
      </c>
      <c r="B9" s="173" t="s">
        <v>176</v>
      </c>
      <c r="C9" s="174">
        <f>'Electric Deferral'!D14</f>
        <v>5127175.9060000004</v>
      </c>
      <c r="D9" s="174">
        <f>'Electric Deferral'!E14</f>
        <v>4288214.7290000003</v>
      </c>
      <c r="E9" s="174">
        <f>'Electric Deferral'!F14</f>
        <v>4385706.2759999996</v>
      </c>
      <c r="F9" s="174">
        <f>'Electric Deferral'!G14</f>
        <v>4358116.8560000006</v>
      </c>
      <c r="G9" s="174">
        <f>'Electric Deferral'!H14</f>
        <v>2290897</v>
      </c>
      <c r="H9" s="174">
        <f>'Electric Deferral'!I14</f>
        <v>1899166.9679999999</v>
      </c>
      <c r="I9" s="174">
        <f>'Electric Deferral'!J14</f>
        <v>0</v>
      </c>
      <c r="J9" s="174">
        <f>'Electric Deferral'!K14</f>
        <v>0</v>
      </c>
      <c r="K9" s="174">
        <f>'Electric Deferral'!L14</f>
        <v>0</v>
      </c>
      <c r="L9" s="174">
        <f>'Electric Deferral'!M14</f>
        <v>0</v>
      </c>
      <c r="M9" s="174">
        <f>'Electric Deferral'!N14</f>
        <v>0</v>
      </c>
      <c r="N9" s="174">
        <f>'Electric Deferral'!O14</f>
        <v>0</v>
      </c>
      <c r="O9" s="175">
        <f>SUM(C9:N9)</f>
        <v>22349277.735000003</v>
      </c>
      <c r="P9" s="175"/>
    </row>
    <row r="10" spans="1:17" ht="30" customHeight="1">
      <c r="A10" s="74">
        <v>3</v>
      </c>
      <c r="B10" s="173" t="s">
        <v>177</v>
      </c>
      <c r="C10" s="174">
        <f>IF(C8&gt;0,C9/C8,0)</f>
        <v>1284.0410483345856</v>
      </c>
      <c r="D10" s="174">
        <f t="shared" ref="D10:M10" si="1">IF(D8&gt;0,D9/D8,0)</f>
        <v>1010.1801481743228</v>
      </c>
      <c r="E10" s="174">
        <f t="shared" si="1"/>
        <v>1009.1362807179014</v>
      </c>
      <c r="F10" s="174">
        <f t="shared" si="1"/>
        <v>871.62337120000018</v>
      </c>
      <c r="G10" s="174">
        <f t="shared" si="1"/>
        <v>474.01138009517899</v>
      </c>
      <c r="H10" s="174">
        <f t="shared" si="1"/>
        <v>368.48408381839346</v>
      </c>
      <c r="I10" s="174">
        <f t="shared" si="1"/>
        <v>0</v>
      </c>
      <c r="J10" s="174">
        <f t="shared" si="1"/>
        <v>0</v>
      </c>
      <c r="K10" s="174">
        <f t="shared" si="1"/>
        <v>0</v>
      </c>
      <c r="L10" s="174">
        <f t="shared" si="1"/>
        <v>0</v>
      </c>
      <c r="M10" s="174">
        <f t="shared" si="1"/>
        <v>0</v>
      </c>
      <c r="N10" s="174">
        <f>IF(N8&gt;0,N9/N8,0)</f>
        <v>0</v>
      </c>
      <c r="O10" s="174">
        <f>IF(O8&gt;0,O9/O8,0)</f>
        <v>810.60816564506194</v>
      </c>
      <c r="P10" s="175"/>
    </row>
    <row r="11" spans="1:17" ht="30" customHeight="1">
      <c r="A11" s="74">
        <v>4</v>
      </c>
      <c r="B11" s="173" t="s">
        <v>178</v>
      </c>
      <c r="C11" s="174">
        <f>'Electric Deferral'!D41</f>
        <v>1193</v>
      </c>
      <c r="D11" s="174">
        <f>'Electric Deferral'!E41</f>
        <v>1221</v>
      </c>
      <c r="E11" s="174">
        <f>'Electric Deferral'!F41</f>
        <v>1270</v>
      </c>
      <c r="F11" s="174">
        <f>'Electric Deferral'!G41</f>
        <v>1309</v>
      </c>
      <c r="G11" s="174">
        <f>'Electric Deferral'!H41</f>
        <v>1445</v>
      </c>
      <c r="H11" s="174">
        <f>'Electric Deferral'!I41</f>
        <v>1475</v>
      </c>
      <c r="I11" s="174">
        <f>'Electric Deferral'!J41</f>
        <v>0</v>
      </c>
      <c r="J11" s="174">
        <f>'Electric Deferral'!K41</f>
        <v>0</v>
      </c>
      <c r="K11" s="174">
        <f>'Electric Deferral'!L41</f>
        <v>0</v>
      </c>
      <c r="L11" s="174">
        <f>'Electric Deferral'!M41</f>
        <v>0</v>
      </c>
      <c r="M11" s="174">
        <f>'Electric Deferral'!N41</f>
        <v>0</v>
      </c>
      <c r="N11" s="174">
        <f>'Electric Deferral'!O41</f>
        <v>0</v>
      </c>
      <c r="O11" s="175">
        <f>SUM(C11:N11)</f>
        <v>7913</v>
      </c>
      <c r="P11" s="175">
        <f>O11/12</f>
        <v>659.41666666666663</v>
      </c>
    </row>
    <row r="12" spans="1:17" ht="30" customHeight="1">
      <c r="A12" s="74">
        <v>5</v>
      </c>
      <c r="B12" s="173" t="s">
        <v>179</v>
      </c>
      <c r="C12" s="174">
        <f>'Electric Deferral'!D42</f>
        <v>3258274.1180000002</v>
      </c>
      <c r="D12" s="174">
        <f>'Electric Deferral'!E42</f>
        <v>2981818.9269999997</v>
      </c>
      <c r="E12" s="174">
        <f>'Electric Deferral'!F42</f>
        <v>3022723.2779999995</v>
      </c>
      <c r="F12" s="174">
        <f>'Electric Deferral'!G42</f>
        <v>2764897.3399999994</v>
      </c>
      <c r="G12" s="174">
        <f>'Electric Deferral'!H42</f>
        <v>2860703</v>
      </c>
      <c r="H12" s="174">
        <f>'Electric Deferral'!I42</f>
        <v>2507733.1599999992</v>
      </c>
      <c r="I12" s="174">
        <f>'Electric Deferral'!J42</f>
        <v>0</v>
      </c>
      <c r="J12" s="174">
        <f>'Electric Deferral'!K42</f>
        <v>0</v>
      </c>
      <c r="K12" s="174">
        <f>'Electric Deferral'!L42</f>
        <v>0</v>
      </c>
      <c r="L12" s="174">
        <f>'Electric Deferral'!M42</f>
        <v>0</v>
      </c>
      <c r="M12" s="174">
        <f>'Electric Deferral'!N42</f>
        <v>0</v>
      </c>
      <c r="N12" s="174">
        <f>'Electric Deferral'!O42</f>
        <v>0</v>
      </c>
      <c r="O12" s="175">
        <f>SUM(C12:N12)</f>
        <v>17396149.822999999</v>
      </c>
      <c r="P12" s="175"/>
    </row>
    <row r="13" spans="1:17" ht="30" customHeight="1">
      <c r="A13" s="74">
        <v>6</v>
      </c>
      <c r="B13" s="173" t="s">
        <v>180</v>
      </c>
      <c r="C13" s="174">
        <f t="shared" ref="C13" si="2">IF(C11&gt;0,C12/C11,0)</f>
        <v>2731.1601994970665</v>
      </c>
      <c r="D13" s="174">
        <f t="shared" ref="D13:N13" si="3">IF(D11&gt;0,D12/D11,0)</f>
        <v>2442.1121433251433</v>
      </c>
      <c r="E13" s="174">
        <f t="shared" si="3"/>
        <v>2380.0970692913384</v>
      </c>
      <c r="F13" s="174">
        <f t="shared" si="3"/>
        <v>2112.2210389610386</v>
      </c>
      <c r="G13" s="174">
        <f t="shared" si="3"/>
        <v>1979.725259515571</v>
      </c>
      <c r="H13" s="174">
        <f t="shared" si="3"/>
        <v>1700.1580745762706</v>
      </c>
      <c r="I13" s="174">
        <f t="shared" si="3"/>
        <v>0</v>
      </c>
      <c r="J13" s="174">
        <f t="shared" si="3"/>
        <v>0</v>
      </c>
      <c r="K13" s="174">
        <f t="shared" si="3"/>
        <v>0</v>
      </c>
      <c r="L13" s="174">
        <f t="shared" si="3"/>
        <v>0</v>
      </c>
      <c r="M13" s="174">
        <f t="shared" si="3"/>
        <v>0</v>
      </c>
      <c r="N13" s="174">
        <f t="shared" si="3"/>
        <v>0</v>
      </c>
      <c r="O13" s="174">
        <f>IF(O11&gt;0,O12/O11,0)</f>
        <v>2198.4266173385568</v>
      </c>
      <c r="P13" s="175"/>
    </row>
    <row r="14" spans="1:17" ht="12" customHeight="1">
      <c r="B14" s="173"/>
      <c r="C14" s="174"/>
      <c r="D14" s="174"/>
      <c r="E14" s="174"/>
      <c r="F14" s="174"/>
      <c r="G14" s="174"/>
      <c r="H14" s="174"/>
      <c r="I14" s="174"/>
      <c r="J14" s="174"/>
      <c r="K14" s="174"/>
      <c r="L14" s="174"/>
      <c r="M14" s="174"/>
      <c r="N14" s="174"/>
      <c r="O14" s="174"/>
      <c r="P14" s="176"/>
    </row>
    <row r="15" spans="1:17" ht="30">
      <c r="A15" s="74">
        <v>7</v>
      </c>
      <c r="B15" s="173" t="s">
        <v>181</v>
      </c>
      <c r="C15" s="177">
        <f>'Electric Deferral'!D15</f>
        <v>564790.77</v>
      </c>
      <c r="D15" s="177">
        <f>'Electric Deferral'!E15</f>
        <v>473613.11</v>
      </c>
      <c r="E15" s="177">
        <f>'Electric Deferral'!F15</f>
        <v>482244.38</v>
      </c>
      <c r="F15" s="177">
        <f>'Electric Deferral'!G15</f>
        <v>479950.61000000004</v>
      </c>
      <c r="G15" s="177">
        <f>'Electric Deferral'!H15</f>
        <v>255261.12</v>
      </c>
      <c r="H15" s="177">
        <f>'Electric Deferral'!I15</f>
        <v>217743.01</v>
      </c>
      <c r="I15" s="177">
        <f>'Electric Deferral'!J15</f>
        <v>0</v>
      </c>
      <c r="J15" s="177">
        <f>'Electric Deferral'!K15</f>
        <v>0</v>
      </c>
      <c r="K15" s="177">
        <f>'Electric Deferral'!L15</f>
        <v>0</v>
      </c>
      <c r="L15" s="177">
        <f>'Electric Deferral'!M15</f>
        <v>0</v>
      </c>
      <c r="M15" s="177">
        <f>'Electric Deferral'!N15</f>
        <v>0</v>
      </c>
      <c r="N15" s="177">
        <f>'Electric Deferral'!O15</f>
        <v>0</v>
      </c>
      <c r="O15" s="178">
        <f>SUM(C15:N15)</f>
        <v>2473603</v>
      </c>
      <c r="P15" s="178">
        <f>O15/P$8</f>
        <v>1076.6107866961661</v>
      </c>
      <c r="Q15" s="225"/>
    </row>
    <row r="16" spans="1:17" ht="30" customHeight="1">
      <c r="A16" s="74">
        <v>8</v>
      </c>
      <c r="B16" s="173" t="s">
        <v>182</v>
      </c>
      <c r="C16" s="177">
        <f>'Electric Deferral'!D43</f>
        <v>384818.18</v>
      </c>
      <c r="D16" s="177">
        <f>'Electric Deferral'!E43</f>
        <v>365563.76</v>
      </c>
      <c r="E16" s="177">
        <f>'Electric Deferral'!F43</f>
        <v>369983.08999999997</v>
      </c>
      <c r="F16" s="177">
        <f>'Electric Deferral'!G43</f>
        <v>348084.57999999996</v>
      </c>
      <c r="G16" s="177">
        <f>'Electric Deferral'!H43</f>
        <v>367831.70999999996</v>
      </c>
      <c r="H16" s="177">
        <f>'Electric Deferral'!I43</f>
        <v>331104.73000000004</v>
      </c>
      <c r="I16" s="177">
        <f>'Electric Deferral'!J43</f>
        <v>0</v>
      </c>
      <c r="J16" s="177">
        <f>'Electric Deferral'!K43</f>
        <v>0</v>
      </c>
      <c r="K16" s="177">
        <f>'Electric Deferral'!L43</f>
        <v>0</v>
      </c>
      <c r="L16" s="177">
        <f>'Electric Deferral'!M43</f>
        <v>0</v>
      </c>
      <c r="M16" s="177">
        <f>'Electric Deferral'!N43</f>
        <v>0</v>
      </c>
      <c r="N16" s="177">
        <f>'Electric Deferral'!O43</f>
        <v>0</v>
      </c>
      <c r="O16" s="178">
        <f>SUM(C16:N16)</f>
        <v>2167386.0499999998</v>
      </c>
      <c r="P16" s="178">
        <f>O16/P$11</f>
        <v>3286.82327814988</v>
      </c>
      <c r="Q16" s="225"/>
    </row>
    <row r="17" spans="1:16" ht="18.75" customHeight="1">
      <c r="A17" s="74">
        <v>9</v>
      </c>
      <c r="B17" s="179" t="s">
        <v>183</v>
      </c>
      <c r="C17" s="180">
        <f>C15+C16</f>
        <v>949608.95</v>
      </c>
      <c r="D17" s="180">
        <f t="shared" ref="D17" si="4">D15+D16</f>
        <v>839176.87</v>
      </c>
      <c r="E17" s="180">
        <f t="shared" ref="E17:N17" si="5">E15+E16</f>
        <v>852227.47</v>
      </c>
      <c r="F17" s="180">
        <f t="shared" si="5"/>
        <v>828035.19</v>
      </c>
      <c r="G17" s="180">
        <f t="shared" si="5"/>
        <v>623092.82999999996</v>
      </c>
      <c r="H17" s="180">
        <f t="shared" si="5"/>
        <v>548847.74</v>
      </c>
      <c r="I17" s="180">
        <f t="shared" si="5"/>
        <v>0</v>
      </c>
      <c r="J17" s="180">
        <f t="shared" si="5"/>
        <v>0</v>
      </c>
      <c r="K17" s="180">
        <f t="shared" si="5"/>
        <v>0</v>
      </c>
      <c r="L17" s="180">
        <f t="shared" si="5"/>
        <v>0</v>
      </c>
      <c r="M17" s="180">
        <f t="shared" si="5"/>
        <v>0</v>
      </c>
      <c r="N17" s="180">
        <f t="shared" si="5"/>
        <v>0</v>
      </c>
      <c r="O17" s="180">
        <f>SUM(C17:N17)</f>
        <v>4640989.05</v>
      </c>
    </row>
    <row r="18" spans="1:16">
      <c r="B18" s="173"/>
      <c r="C18" s="173"/>
      <c r="D18" s="173"/>
      <c r="E18" s="173"/>
    </row>
    <row r="19" spans="1:16">
      <c r="A19" s="74">
        <v>10</v>
      </c>
      <c r="B19" s="173" t="s">
        <v>184</v>
      </c>
      <c r="C19" s="181">
        <f>(C9+C12)*C44</f>
        <v>114042.12032639999</v>
      </c>
      <c r="D19" s="181">
        <f t="shared" ref="D19:M19" si="6">(D9+D12)*D44</f>
        <v>98872.457721599989</v>
      </c>
      <c r="E19" s="181">
        <f t="shared" si="6"/>
        <v>100754.64193439999</v>
      </c>
      <c r="F19" s="181">
        <f>(F9+F12)*F44</f>
        <v>96872.993065600007</v>
      </c>
      <c r="G19" s="181">
        <f t="shared" si="6"/>
        <v>70061.759999999995</v>
      </c>
      <c r="H19" s="181">
        <f t="shared" si="6"/>
        <v>59933.84174079998</v>
      </c>
      <c r="I19" s="181">
        <f t="shared" si="6"/>
        <v>0</v>
      </c>
      <c r="J19" s="181">
        <f t="shared" si="6"/>
        <v>0</v>
      </c>
      <c r="K19" s="181">
        <f t="shared" si="6"/>
        <v>0</v>
      </c>
      <c r="L19" s="181">
        <f t="shared" si="6"/>
        <v>0</v>
      </c>
      <c r="M19" s="181">
        <f t="shared" si="6"/>
        <v>0</v>
      </c>
      <c r="N19" s="181">
        <f>(N9+N12)*N44</f>
        <v>0</v>
      </c>
      <c r="O19" s="181">
        <f>SUM(C19:N19)</f>
        <v>540537.81478879997</v>
      </c>
      <c r="P19" s="181"/>
    </row>
    <row r="20" spans="1:16">
      <c r="A20" s="74">
        <v>11</v>
      </c>
      <c r="B20" s="173" t="s">
        <v>185</v>
      </c>
      <c r="C20" s="199">
        <v>120761.29285237771</v>
      </c>
      <c r="D20" s="199">
        <v>125699.65452896104</v>
      </c>
      <c r="E20" s="199">
        <v>130893.02553971107</v>
      </c>
      <c r="F20" s="199">
        <v>136409.75753433607</v>
      </c>
      <c r="G20" s="199">
        <v>142348.63279171108</v>
      </c>
      <c r="H20" s="199">
        <v>147966.96208421109</v>
      </c>
      <c r="I20" s="199">
        <v>152698.00277283607</v>
      </c>
      <c r="J20" s="199">
        <v>158315.52846354438</v>
      </c>
      <c r="K20" s="199">
        <v>165106.05957366942</v>
      </c>
      <c r="L20" s="199">
        <v>172622.52251304442</v>
      </c>
      <c r="M20" s="199">
        <v>182050.12138554442</v>
      </c>
      <c r="N20" s="199">
        <v>190134.91255504443</v>
      </c>
      <c r="O20" s="181">
        <f>SUM(C20:N20)</f>
        <v>1825006.4725949913</v>
      </c>
      <c r="P20" s="181"/>
    </row>
    <row r="21" spans="1:16">
      <c r="A21" s="74">
        <v>12</v>
      </c>
      <c r="B21" s="173" t="s">
        <v>186</v>
      </c>
      <c r="C21" s="199">
        <v>56577.178295089871</v>
      </c>
      <c r="D21" s="199">
        <v>58891.167287673205</v>
      </c>
      <c r="E21" s="199">
        <v>61324.676966273211</v>
      </c>
      <c r="F21" s="199">
        <v>63909.702770123207</v>
      </c>
      <c r="G21" s="199">
        <v>66692.5115530732</v>
      </c>
      <c r="H21" s="199">
        <v>69325.116087773218</v>
      </c>
      <c r="I21" s="199">
        <v>71541.953954023193</v>
      </c>
      <c r="J21" s="199">
        <v>74174.180026606526</v>
      </c>
      <c r="K21" s="199">
        <v>77356.044128106529</v>
      </c>
      <c r="L21" s="199">
        <v>80878.051603456537</v>
      </c>
      <c r="M21" s="199">
        <v>85295.563237656534</v>
      </c>
      <c r="N21" s="199">
        <v>89083.868011056533</v>
      </c>
      <c r="O21" s="181">
        <f>SUM(C21:N21)</f>
        <v>855050.0139209117</v>
      </c>
      <c r="P21" s="181"/>
    </row>
    <row r="22" spans="1:16">
      <c r="A22" s="74">
        <v>13</v>
      </c>
      <c r="B22" s="173" t="s">
        <v>187</v>
      </c>
      <c r="C22" s="181">
        <f>(C8+C11)*C49</f>
        <v>9594.1</v>
      </c>
      <c r="D22" s="181">
        <f t="shared" ref="D22:N22" si="7">(D8+D11)*D49</f>
        <v>10112.1</v>
      </c>
      <c r="E22" s="181">
        <f t="shared" si="7"/>
        <v>10389.6</v>
      </c>
      <c r="F22" s="181">
        <f t="shared" si="7"/>
        <v>11671.650000000001</v>
      </c>
      <c r="G22" s="181">
        <f t="shared" si="7"/>
        <v>11614.300000000001</v>
      </c>
      <c r="H22" s="181">
        <f t="shared" si="7"/>
        <v>12263.650000000001</v>
      </c>
      <c r="I22" s="181">
        <f t="shared" si="7"/>
        <v>0</v>
      </c>
      <c r="J22" s="181">
        <f t="shared" si="7"/>
        <v>0</v>
      </c>
      <c r="K22" s="181">
        <f t="shared" si="7"/>
        <v>0</v>
      </c>
      <c r="L22" s="181">
        <f t="shared" si="7"/>
        <v>0</v>
      </c>
      <c r="M22" s="181">
        <f t="shared" si="7"/>
        <v>0</v>
      </c>
      <c r="N22" s="181">
        <f t="shared" si="7"/>
        <v>0</v>
      </c>
      <c r="O22" s="181">
        <f>SUM(C22:N22)</f>
        <v>65645.400000000009</v>
      </c>
      <c r="P22" s="181"/>
    </row>
    <row r="23" spans="1:16">
      <c r="A23" s="74">
        <v>14</v>
      </c>
      <c r="B23" s="173" t="s">
        <v>188</v>
      </c>
      <c r="C23" s="181">
        <f>(C8+C11)*C50</f>
        <v>1503.9399999999998</v>
      </c>
      <c r="D23" s="181">
        <f t="shared" ref="D23:N23" si="8">(D8+D11)*D50</f>
        <v>1585.1399999999999</v>
      </c>
      <c r="E23" s="181">
        <f t="shared" si="8"/>
        <v>1628.6399999999999</v>
      </c>
      <c r="F23" s="181">
        <f t="shared" si="8"/>
        <v>1829.61</v>
      </c>
      <c r="G23" s="181">
        <f t="shared" si="8"/>
        <v>1820.62</v>
      </c>
      <c r="H23" s="181">
        <f t="shared" si="8"/>
        <v>1922.4099999999999</v>
      </c>
      <c r="I23" s="181">
        <f t="shared" si="8"/>
        <v>0</v>
      </c>
      <c r="J23" s="181">
        <f t="shared" si="8"/>
        <v>0</v>
      </c>
      <c r="K23" s="181">
        <f t="shared" si="8"/>
        <v>0</v>
      </c>
      <c r="L23" s="181">
        <f t="shared" si="8"/>
        <v>0</v>
      </c>
      <c r="M23" s="181">
        <f t="shared" si="8"/>
        <v>0</v>
      </c>
      <c r="N23" s="181">
        <f t="shared" si="8"/>
        <v>0</v>
      </c>
      <c r="O23" s="181">
        <f t="shared" ref="O23:O26" si="9">SUM(C23:N23)</f>
        <v>10290.359999999999</v>
      </c>
      <c r="P23" s="181"/>
    </row>
    <row r="24" spans="1:16">
      <c r="A24" s="74">
        <v>15</v>
      </c>
      <c r="B24" s="173" t="s">
        <v>189</v>
      </c>
      <c r="C24" s="181">
        <f>C$17*C45</f>
        <v>36659.653514749996</v>
      </c>
      <c r="D24" s="181">
        <f t="shared" ref="D24:N26" si="10">D$17*D45</f>
        <v>32396.423066349998</v>
      </c>
      <c r="E24" s="181">
        <f t="shared" si="10"/>
        <v>32900.241479349999</v>
      </c>
      <c r="F24" s="181">
        <f t="shared" si="10"/>
        <v>31966.298509949997</v>
      </c>
      <c r="G24" s="181">
        <f t="shared" si="10"/>
        <v>24054.498702149998</v>
      </c>
      <c r="H24" s="181">
        <f t="shared" si="10"/>
        <v>21188.267002699999</v>
      </c>
      <c r="I24" s="181">
        <f t="shared" si="10"/>
        <v>0</v>
      </c>
      <c r="J24" s="181">
        <f t="shared" si="10"/>
        <v>0</v>
      </c>
      <c r="K24" s="181">
        <f t="shared" si="10"/>
        <v>0</v>
      </c>
      <c r="L24" s="181">
        <f t="shared" si="10"/>
        <v>0</v>
      </c>
      <c r="M24" s="181">
        <f t="shared" si="10"/>
        <v>0</v>
      </c>
      <c r="N24" s="181">
        <f t="shared" si="10"/>
        <v>0</v>
      </c>
      <c r="O24" s="181">
        <f t="shared" si="9"/>
        <v>179165.38227524998</v>
      </c>
      <c r="P24" s="181"/>
    </row>
    <row r="25" spans="1:16">
      <c r="A25" s="74">
        <v>16</v>
      </c>
      <c r="B25" s="173" t="s">
        <v>190</v>
      </c>
      <c r="C25" s="181">
        <f>C$17*C46</f>
        <v>3158.3993676999999</v>
      </c>
      <c r="D25" s="181">
        <f t="shared" si="10"/>
        <v>2791.1022696199998</v>
      </c>
      <c r="E25" s="181">
        <f t="shared" si="10"/>
        <v>2834.50856522</v>
      </c>
      <c r="F25" s="181">
        <f t="shared" si="10"/>
        <v>2754.0450419399999</v>
      </c>
      <c r="G25" s="181">
        <f t="shared" si="10"/>
        <v>2072.4067525799996</v>
      </c>
      <c r="H25" s="181">
        <f t="shared" si="10"/>
        <v>1825.4675832399998</v>
      </c>
      <c r="I25" s="181">
        <f t="shared" si="10"/>
        <v>0</v>
      </c>
      <c r="J25" s="181">
        <f t="shared" si="10"/>
        <v>0</v>
      </c>
      <c r="K25" s="181">
        <f t="shared" si="10"/>
        <v>0</v>
      </c>
      <c r="L25" s="181">
        <f t="shared" si="10"/>
        <v>0</v>
      </c>
      <c r="M25" s="181">
        <f t="shared" si="10"/>
        <v>0</v>
      </c>
      <c r="N25" s="181">
        <f t="shared" si="10"/>
        <v>0</v>
      </c>
      <c r="O25" s="181">
        <f t="shared" si="9"/>
        <v>15435.929580299999</v>
      </c>
      <c r="P25" s="181"/>
    </row>
    <row r="26" spans="1:16">
      <c r="A26" s="74">
        <v>17</v>
      </c>
      <c r="B26" s="173" t="s">
        <v>191</v>
      </c>
      <c r="C26" s="181">
        <f>C$17*C47</f>
        <v>1899.2178999999999</v>
      </c>
      <c r="D26" s="181">
        <f t="shared" si="10"/>
        <v>1678.35374</v>
      </c>
      <c r="E26" s="181">
        <f t="shared" si="10"/>
        <v>1704.4549400000001</v>
      </c>
      <c r="F26" s="181">
        <f t="shared" si="10"/>
        <v>1656.0703799999999</v>
      </c>
      <c r="G26" s="181">
        <f t="shared" si="10"/>
        <v>1246.1856599999999</v>
      </c>
      <c r="H26" s="181">
        <f t="shared" si="10"/>
        <v>1097.6954800000001</v>
      </c>
      <c r="I26" s="181">
        <f t="shared" si="10"/>
        <v>0</v>
      </c>
      <c r="J26" s="181">
        <f t="shared" si="10"/>
        <v>0</v>
      </c>
      <c r="K26" s="181">
        <f t="shared" si="10"/>
        <v>0</v>
      </c>
      <c r="L26" s="181">
        <f t="shared" si="10"/>
        <v>0</v>
      </c>
      <c r="M26" s="181">
        <f t="shared" si="10"/>
        <v>0</v>
      </c>
      <c r="N26" s="181">
        <f t="shared" si="10"/>
        <v>0</v>
      </c>
      <c r="O26" s="181">
        <f t="shared" si="9"/>
        <v>9281.9781000000003</v>
      </c>
      <c r="P26" s="181"/>
    </row>
    <row r="27" spans="1:16" ht="23.25" customHeight="1">
      <c r="A27" s="74">
        <v>18</v>
      </c>
      <c r="B27" s="179" t="s">
        <v>192</v>
      </c>
      <c r="C27" s="180">
        <f>SUM(C20:C26)</f>
        <v>230153.7819299176</v>
      </c>
      <c r="D27" s="180">
        <f>SUM(D20:D26)</f>
        <v>233153.94089260424</v>
      </c>
      <c r="E27" s="180">
        <f>SUM(E20:E26)</f>
        <v>241675.14749055429</v>
      </c>
      <c r="F27" s="180">
        <f>SUM(F19:F26)</f>
        <v>347070.12730194925</v>
      </c>
      <c r="G27" s="180">
        <f t="shared" ref="G27:O27" si="11">SUM(G20:G26)</f>
        <v>249849.15545951424</v>
      </c>
      <c r="H27" s="180">
        <f t="shared" si="11"/>
        <v>255589.56823792431</v>
      </c>
      <c r="I27" s="180">
        <f t="shared" si="11"/>
        <v>224239.95672685927</v>
      </c>
      <c r="J27" s="180">
        <f t="shared" si="11"/>
        <v>232489.70849015092</v>
      </c>
      <c r="K27" s="180">
        <f t="shared" si="11"/>
        <v>242462.10370177595</v>
      </c>
      <c r="L27" s="180">
        <f t="shared" si="11"/>
        <v>253500.57411650097</v>
      </c>
      <c r="M27" s="180">
        <f t="shared" si="11"/>
        <v>267345.68462320097</v>
      </c>
      <c r="N27" s="180">
        <f t="shared" si="11"/>
        <v>279218.78056610096</v>
      </c>
      <c r="O27" s="180">
        <f t="shared" si="11"/>
        <v>2959875.5364714526</v>
      </c>
      <c r="P27" s="181"/>
    </row>
    <row r="28" spans="1:16">
      <c r="B28" s="173"/>
      <c r="C28" s="181"/>
      <c r="D28" s="181"/>
      <c r="E28" s="181"/>
      <c r="F28" s="181"/>
      <c r="G28" s="181"/>
      <c r="H28" s="181"/>
      <c r="I28" s="181"/>
      <c r="J28" s="181"/>
      <c r="K28" s="181"/>
      <c r="L28" s="181"/>
      <c r="M28" s="181"/>
      <c r="N28" s="181"/>
      <c r="O28" s="181"/>
      <c r="P28" s="181"/>
    </row>
    <row r="29" spans="1:16" ht="16.5" customHeight="1">
      <c r="A29" s="74">
        <v>19</v>
      </c>
      <c r="B29" s="173" t="s">
        <v>193</v>
      </c>
      <c r="C29" s="181">
        <f>C17-C27</f>
        <v>719455.16807008232</v>
      </c>
      <c r="D29" s="181">
        <f t="shared" ref="D29:N29" si="12">D17-D27</f>
        <v>606022.9291073957</v>
      </c>
      <c r="E29" s="181">
        <f t="shared" si="12"/>
        <v>610552.32250944572</v>
      </c>
      <c r="F29" s="181">
        <f t="shared" si="12"/>
        <v>480965.06269805069</v>
      </c>
      <c r="G29" s="181">
        <f t="shared" si="12"/>
        <v>373243.67454048572</v>
      </c>
      <c r="H29" s="181">
        <f t="shared" si="12"/>
        <v>293258.17176207568</v>
      </c>
      <c r="I29" s="181">
        <f t="shared" si="12"/>
        <v>-224239.95672685927</v>
      </c>
      <c r="J29" s="181">
        <f t="shared" si="12"/>
        <v>-232489.70849015092</v>
      </c>
      <c r="K29" s="181">
        <f t="shared" si="12"/>
        <v>-242462.10370177595</v>
      </c>
      <c r="L29" s="181">
        <f t="shared" si="12"/>
        <v>-253500.57411650097</v>
      </c>
      <c r="M29" s="181">
        <f t="shared" si="12"/>
        <v>-267345.68462320097</v>
      </c>
      <c r="N29" s="181">
        <f t="shared" si="12"/>
        <v>-279218.78056610096</v>
      </c>
      <c r="O29" s="181">
        <f t="shared" ref="O29:O30" si="13">SUM(C29:N29)</f>
        <v>1584240.520462947</v>
      </c>
      <c r="P29" s="181"/>
    </row>
    <row r="30" spans="1:16">
      <c r="A30" s="74">
        <v>20</v>
      </c>
      <c r="B30" s="173" t="s">
        <v>194</v>
      </c>
      <c r="C30" s="181">
        <f>C29*C48</f>
        <v>151085.58529471728</v>
      </c>
      <c r="D30" s="181">
        <f t="shared" ref="D30:N30" si="14">D29*D48</f>
        <v>127264.81511255309</v>
      </c>
      <c r="E30" s="181">
        <f t="shared" si="14"/>
        <v>128215.9877269836</v>
      </c>
      <c r="F30" s="181">
        <f t="shared" si="14"/>
        <v>101002.66316659065</v>
      </c>
      <c r="G30" s="181">
        <f t="shared" si="14"/>
        <v>78381.171653501995</v>
      </c>
      <c r="H30" s="181">
        <f t="shared" si="14"/>
        <v>61584.216070035895</v>
      </c>
      <c r="I30" s="181">
        <f t="shared" si="14"/>
        <v>-47090.390912640447</v>
      </c>
      <c r="J30" s="181">
        <f t="shared" si="14"/>
        <v>-48822.838782931693</v>
      </c>
      <c r="K30" s="181">
        <f t="shared" si="14"/>
        <v>-50917.04177737295</v>
      </c>
      <c r="L30" s="181">
        <f t="shared" si="14"/>
        <v>-53235.1205644652</v>
      </c>
      <c r="M30" s="181">
        <f t="shared" si="14"/>
        <v>-56142.593770872205</v>
      </c>
      <c r="N30" s="181">
        <f t="shared" si="14"/>
        <v>-58635.943918881203</v>
      </c>
      <c r="O30" s="181">
        <f t="shared" si="13"/>
        <v>332690.50929721893</v>
      </c>
      <c r="P30" s="181"/>
    </row>
    <row r="31" spans="1:16">
      <c r="A31" s="74">
        <v>21</v>
      </c>
      <c r="B31" s="173" t="s">
        <v>195</v>
      </c>
      <c r="C31" s="181">
        <f>(C37*C39*-C48)/12</f>
        <v>-25398.375950904563</v>
      </c>
      <c r="D31" s="181">
        <f t="shared" ref="D31:N31" si="15">(D37*D39*-D48)/12</f>
        <v>-26516.673902148046</v>
      </c>
      <c r="E31" s="181">
        <f t="shared" si="15"/>
        <v>-27499.517466083402</v>
      </c>
      <c r="F31" s="181">
        <f t="shared" si="15"/>
        <v>-28755.932683271221</v>
      </c>
      <c r="G31" s="181">
        <f t="shared" si="15"/>
        <v>-29919.962522527956</v>
      </c>
      <c r="H31" s="181">
        <f t="shared" si="15"/>
        <v>-31031.60831308148</v>
      </c>
      <c r="I31" s="181">
        <f t="shared" si="15"/>
        <v>-31802.57432603449</v>
      </c>
      <c r="J31" s="181">
        <f t="shared" si="15"/>
        <v>-33299.604067175052</v>
      </c>
      <c r="K31" s="181">
        <f t="shared" si="15"/>
        <v>-34580.961555065114</v>
      </c>
      <c r="L31" s="181">
        <f t="shared" si="15"/>
        <v>-36391.501071111663</v>
      </c>
      <c r="M31" s="181">
        <f t="shared" si="15"/>
        <v>-38505.577806885274</v>
      </c>
      <c r="N31" s="181">
        <f t="shared" si="15"/>
        <v>-39225.106755952256</v>
      </c>
      <c r="O31" s="181">
        <f>SUM(C31:N31)</f>
        <v>-382927.39642024052</v>
      </c>
      <c r="P31" s="181"/>
    </row>
    <row r="32" spans="1:16" s="29" customFormat="1">
      <c r="A32" s="182">
        <v>22</v>
      </c>
      <c r="B32" s="183" t="s">
        <v>196</v>
      </c>
      <c r="C32" s="184">
        <f>C29-C30-C31</f>
        <v>593767.95872626966</v>
      </c>
      <c r="D32" s="184">
        <f t="shared" ref="D32:O32" si="16">D29-D30-D31</f>
        <v>505274.78789699066</v>
      </c>
      <c r="E32" s="184">
        <f t="shared" si="16"/>
        <v>509835.8522485455</v>
      </c>
      <c r="F32" s="184">
        <f t="shared" si="16"/>
        <v>408718.33221473126</v>
      </c>
      <c r="G32" s="184">
        <f t="shared" si="16"/>
        <v>324782.4654095117</v>
      </c>
      <c r="H32" s="184">
        <f t="shared" si="16"/>
        <v>262705.5640051213</v>
      </c>
      <c r="I32" s="184">
        <f t="shared" si="16"/>
        <v>-145346.99148818434</v>
      </c>
      <c r="J32" s="184">
        <f t="shared" si="16"/>
        <v>-150367.26564004418</v>
      </c>
      <c r="K32" s="184">
        <f t="shared" si="16"/>
        <v>-156964.10036933789</v>
      </c>
      <c r="L32" s="184">
        <f t="shared" si="16"/>
        <v>-163873.95248092408</v>
      </c>
      <c r="M32" s="184">
        <f t="shared" si="16"/>
        <v>-172697.51304544348</v>
      </c>
      <c r="N32" s="184">
        <f t="shared" si="16"/>
        <v>-181357.72989126749</v>
      </c>
      <c r="O32" s="184">
        <f t="shared" si="16"/>
        <v>1634477.4075859687</v>
      </c>
      <c r="P32" s="184"/>
    </row>
    <row r="33" spans="1:16">
      <c r="B33" s="173"/>
      <c r="C33" s="181"/>
      <c r="D33" s="181"/>
      <c r="E33" s="181"/>
      <c r="F33" s="181"/>
      <c r="G33" s="181"/>
      <c r="H33" s="181"/>
      <c r="I33" s="181"/>
      <c r="J33" s="181"/>
      <c r="K33" s="181"/>
      <c r="L33" s="181"/>
      <c r="M33" s="181"/>
      <c r="N33" s="181"/>
      <c r="O33" s="181"/>
      <c r="P33" s="181"/>
    </row>
    <row r="34" spans="1:16" s="186" customFormat="1" ht="30" customHeight="1">
      <c r="A34" s="74">
        <v>23</v>
      </c>
      <c r="B34" s="185" t="s">
        <v>197</v>
      </c>
      <c r="C34" s="197">
        <v>60212279.585529469</v>
      </c>
      <c r="D34" s="197">
        <v>62905143.315529473</v>
      </c>
      <c r="E34" s="197">
        <v>65299756.265529469</v>
      </c>
      <c r="F34" s="197">
        <v>68309378.445529476</v>
      </c>
      <c r="G34" s="197">
        <v>71117474.975529477</v>
      </c>
      <c r="H34" s="197">
        <v>73813081.305529475</v>
      </c>
      <c r="I34" s="197">
        <v>75751979.225529477</v>
      </c>
      <c r="J34" s="197">
        <v>79315992.955529481</v>
      </c>
      <c r="K34" s="197">
        <v>82403959.92552948</v>
      </c>
      <c r="L34" s="197">
        <v>86679074.785529479</v>
      </c>
      <c r="M34" s="197">
        <v>91639175.885529488</v>
      </c>
      <c r="N34" s="197">
        <v>94598875.705529496</v>
      </c>
      <c r="P34" s="178">
        <f>AVERAGE(C34:N34)</f>
        <v>76003847.698029473</v>
      </c>
    </row>
    <row r="35" spans="1:16">
      <c r="A35" s="74">
        <v>24</v>
      </c>
      <c r="B35" s="173" t="s">
        <v>198</v>
      </c>
      <c r="C35" s="198">
        <v>-2599103.621391261</v>
      </c>
      <c r="D35" s="198">
        <v>-2724803.2759202225</v>
      </c>
      <c r="E35" s="198">
        <v>-2855696.3014599336</v>
      </c>
      <c r="F35" s="198">
        <v>-2992106.0589942699</v>
      </c>
      <c r="G35" s="198">
        <v>-3134454.6917859809</v>
      </c>
      <c r="H35" s="198">
        <v>-3282421.6538701924</v>
      </c>
      <c r="I35" s="198">
        <v>-3435119.6566430284</v>
      </c>
      <c r="J35" s="198">
        <v>-3593435.1851065732</v>
      </c>
      <c r="K35" s="198">
        <v>-3758541.2446802421</v>
      </c>
      <c r="L35" s="198">
        <v>-3931163.7671932867</v>
      </c>
      <c r="M35" s="198">
        <v>-4113213.8885788308</v>
      </c>
      <c r="N35" s="198">
        <v>-4303348.8011338748</v>
      </c>
      <c r="P35" s="181">
        <f>AVERAGE(C35:N35)</f>
        <v>-3393617.3455631412</v>
      </c>
    </row>
    <row r="36" spans="1:16" s="186" customFormat="1">
      <c r="A36" s="74">
        <v>25</v>
      </c>
      <c r="B36" s="185" t="s">
        <v>199</v>
      </c>
      <c r="C36" s="197">
        <v>-920372.50229767873</v>
      </c>
      <c r="D36" s="197">
        <v>-991335.7937430864</v>
      </c>
      <c r="E36" s="197">
        <v>-1061208.4772762368</v>
      </c>
      <c r="F36" s="197">
        <v>-1129922.6470905156</v>
      </c>
      <c r="G36" s="197">
        <v>-1197389.6531007455</v>
      </c>
      <c r="H36" s="197">
        <v>-1263676.8099595509</v>
      </c>
      <c r="I36" s="197">
        <v>-1328970.4482737449</v>
      </c>
      <c r="J36" s="197">
        <v>-1393084.4061928899</v>
      </c>
      <c r="K36" s="197">
        <v>-1455772.3525789087</v>
      </c>
      <c r="L36" s="197">
        <v>-1516881.841747659</v>
      </c>
      <c r="M36" s="197">
        <v>-1576011.5351531843</v>
      </c>
      <c r="N36" s="197">
        <v>-1633443.4224131145</v>
      </c>
      <c r="P36" s="178">
        <f>AVERAGE(C36:N36)</f>
        <v>-1289005.8241522762</v>
      </c>
    </row>
    <row r="37" spans="1:16">
      <c r="A37" s="74">
        <v>26</v>
      </c>
      <c r="B37" s="173" t="s">
        <v>200</v>
      </c>
      <c r="C37" s="181">
        <f>SUM(C34:C36)</f>
        <v>56692803.461840533</v>
      </c>
      <c r="D37" s="181">
        <f t="shared" ref="D37:N37" si="17">SUM(D34:D36)</f>
        <v>59189004.245866165</v>
      </c>
      <c r="E37" s="181">
        <f t="shared" si="17"/>
        <v>61382851.486793302</v>
      </c>
      <c r="F37" s="181">
        <f t="shared" si="17"/>
        <v>64187349.739444688</v>
      </c>
      <c r="G37" s="181">
        <f t="shared" si="17"/>
        <v>66785630.630642757</v>
      </c>
      <c r="H37" s="181">
        <f t="shared" si="17"/>
        <v>69266982.841699734</v>
      </c>
      <c r="I37" s="181">
        <f t="shared" si="17"/>
        <v>70987889.120612696</v>
      </c>
      <c r="J37" s="181">
        <f t="shared" si="17"/>
        <v>74329473.364230022</v>
      </c>
      <c r="K37" s="181">
        <f t="shared" si="17"/>
        <v>77189646.328270331</v>
      </c>
      <c r="L37" s="181">
        <f t="shared" si="17"/>
        <v>81231029.176588535</v>
      </c>
      <c r="M37" s="181">
        <f t="shared" si="17"/>
        <v>85949950.461797476</v>
      </c>
      <c r="N37" s="181">
        <f t="shared" si="17"/>
        <v>88662083.481982514</v>
      </c>
      <c r="P37" s="181">
        <f>SUM(P34:P36)</f>
        <v>71321224.528314054</v>
      </c>
    </row>
    <row r="38" spans="1:16">
      <c r="A38" s="74">
        <v>27</v>
      </c>
      <c r="B38" s="173" t="s">
        <v>201</v>
      </c>
      <c r="C38" s="93">
        <v>7.1199999999999999E-2</v>
      </c>
      <c r="D38" s="72">
        <f t="shared" ref="D38:G39" si="18">C38</f>
        <v>7.1199999999999999E-2</v>
      </c>
      <c r="E38" s="72">
        <f t="shared" si="18"/>
        <v>7.1199999999999999E-2</v>
      </c>
      <c r="F38" s="72">
        <f t="shared" si="18"/>
        <v>7.1199999999999999E-2</v>
      </c>
      <c r="G38" s="72">
        <f t="shared" si="18"/>
        <v>7.1199999999999999E-2</v>
      </c>
      <c r="H38" s="72">
        <f t="shared" ref="H38:M39" si="19">G38</f>
        <v>7.1199999999999999E-2</v>
      </c>
      <c r="I38" s="72">
        <f t="shared" si="19"/>
        <v>7.1199999999999999E-2</v>
      </c>
      <c r="J38" s="72">
        <f t="shared" si="19"/>
        <v>7.1199999999999999E-2</v>
      </c>
      <c r="K38" s="72">
        <f t="shared" si="19"/>
        <v>7.1199999999999999E-2</v>
      </c>
      <c r="L38" s="72">
        <f t="shared" si="19"/>
        <v>7.1199999999999999E-2</v>
      </c>
      <c r="M38" s="72">
        <f t="shared" si="19"/>
        <v>7.1199999999999999E-2</v>
      </c>
      <c r="N38" s="93">
        <f>(7.12%/31*20)+(7.03%/31*11)</f>
        <v>7.088064516129032E-2</v>
      </c>
    </row>
    <row r="39" spans="1:16">
      <c r="A39" s="74">
        <v>28</v>
      </c>
      <c r="B39" s="173" t="s">
        <v>202</v>
      </c>
      <c r="C39" s="93">
        <v>2.5600000000000001E-2</v>
      </c>
      <c r="D39" s="72">
        <f t="shared" si="18"/>
        <v>2.5600000000000001E-2</v>
      </c>
      <c r="E39" s="72">
        <f t="shared" si="18"/>
        <v>2.5600000000000001E-2</v>
      </c>
      <c r="F39" s="72">
        <f t="shared" si="18"/>
        <v>2.5600000000000001E-2</v>
      </c>
      <c r="G39" s="72">
        <f t="shared" si="18"/>
        <v>2.5600000000000001E-2</v>
      </c>
      <c r="H39" s="72">
        <f t="shared" si="19"/>
        <v>2.5600000000000001E-2</v>
      </c>
      <c r="I39" s="72">
        <f t="shared" si="19"/>
        <v>2.5600000000000001E-2</v>
      </c>
      <c r="J39" s="72">
        <f t="shared" si="19"/>
        <v>2.5600000000000001E-2</v>
      </c>
      <c r="K39" s="72">
        <f t="shared" si="19"/>
        <v>2.5600000000000001E-2</v>
      </c>
      <c r="L39" s="72">
        <f t="shared" si="19"/>
        <v>2.5600000000000001E-2</v>
      </c>
      <c r="M39" s="72">
        <f t="shared" si="19"/>
        <v>2.5600000000000001E-2</v>
      </c>
      <c r="N39" s="93">
        <f>(2.56%/31*20)+(2.47%/31*11)</f>
        <v>2.5280645161290326E-2</v>
      </c>
    </row>
    <row r="40" spans="1:16" s="29" customFormat="1">
      <c r="A40" s="182">
        <v>29</v>
      </c>
      <c r="B40" s="183" t="s">
        <v>203</v>
      </c>
      <c r="C40" s="184">
        <f>C37*C38/12</f>
        <v>336377.30054025381</v>
      </c>
      <c r="D40" s="184">
        <f t="shared" ref="D40:E40" si="20">D37*D38/12</f>
        <v>351188.09185880591</v>
      </c>
      <c r="E40" s="184">
        <f t="shared" si="20"/>
        <v>364204.91882164025</v>
      </c>
      <c r="F40" s="184">
        <f>F37*F38/12</f>
        <v>380844.94178737182</v>
      </c>
      <c r="G40" s="184">
        <f t="shared" ref="G40:N40" si="21">G37*G38/12</f>
        <v>396261.40840848041</v>
      </c>
      <c r="H40" s="184">
        <f t="shared" si="21"/>
        <v>410984.09819408506</v>
      </c>
      <c r="I40" s="184">
        <f t="shared" si="21"/>
        <v>421194.80878230202</v>
      </c>
      <c r="J40" s="184">
        <f t="shared" si="21"/>
        <v>441021.54196109809</v>
      </c>
      <c r="K40" s="184">
        <f t="shared" si="21"/>
        <v>457991.90154773724</v>
      </c>
      <c r="L40" s="184">
        <f t="shared" si="21"/>
        <v>481970.7731144253</v>
      </c>
      <c r="M40" s="184">
        <f t="shared" si="21"/>
        <v>509969.7060733317</v>
      </c>
      <c r="N40" s="184">
        <f t="shared" si="21"/>
        <v>523702.13987892517</v>
      </c>
      <c r="O40" s="184">
        <f>SUM(C40:N40)</f>
        <v>5075711.6309684562</v>
      </c>
      <c r="P40" s="184"/>
    </row>
    <row r="42" spans="1:16" s="29" customFormat="1">
      <c r="A42" s="182">
        <v>30</v>
      </c>
      <c r="B42" s="183" t="s">
        <v>204</v>
      </c>
      <c r="C42" s="184">
        <f>C32-C40</f>
        <v>257390.65818601585</v>
      </c>
      <c r="D42" s="184">
        <f t="shared" ref="D42:N42" si="22">D32-D40</f>
        <v>154086.69603818475</v>
      </c>
      <c r="E42" s="184">
        <f t="shared" si="22"/>
        <v>145630.93342690525</v>
      </c>
      <c r="F42" s="184">
        <f t="shared" si="22"/>
        <v>27873.390427359438</v>
      </c>
      <c r="G42" s="184">
        <f t="shared" si="22"/>
        <v>-71478.942998968705</v>
      </c>
      <c r="H42" s="184">
        <f t="shared" si="22"/>
        <v>-148278.53418896376</v>
      </c>
      <c r="I42" s="184">
        <f t="shared" si="22"/>
        <v>-566541.80027048639</v>
      </c>
      <c r="J42" s="184">
        <f t="shared" si="22"/>
        <v>-591388.80760114221</v>
      </c>
      <c r="K42" s="184">
        <f t="shared" si="22"/>
        <v>-614956.00191707513</v>
      </c>
      <c r="L42" s="184">
        <f t="shared" si="22"/>
        <v>-645844.72559534945</v>
      </c>
      <c r="M42" s="184">
        <f t="shared" si="22"/>
        <v>-682667.21911877522</v>
      </c>
      <c r="N42" s="184">
        <f t="shared" si="22"/>
        <v>-705059.86977019266</v>
      </c>
      <c r="O42" s="184">
        <f>SUM(C42:N42)</f>
        <v>-3441234.2233824884</v>
      </c>
      <c r="P42" s="184"/>
    </row>
    <row r="44" spans="1:16">
      <c r="A44" s="74">
        <v>31</v>
      </c>
      <c r="B44" s="173" t="s">
        <v>205</v>
      </c>
      <c r="C44" s="187">
        <v>1.3599999999999999E-2</v>
      </c>
      <c r="D44">
        <f t="shared" ref="D44:G45" si="23">C44</f>
        <v>1.3599999999999999E-2</v>
      </c>
      <c r="E44">
        <f t="shared" si="23"/>
        <v>1.3599999999999999E-2</v>
      </c>
      <c r="F44">
        <f t="shared" si="23"/>
        <v>1.3599999999999999E-2</v>
      </c>
      <c r="G44">
        <f t="shared" si="23"/>
        <v>1.3599999999999999E-2</v>
      </c>
      <c r="H44">
        <f t="shared" ref="H44:M45" si="24">G44</f>
        <v>1.3599999999999999E-2</v>
      </c>
      <c r="I44">
        <f t="shared" si="24"/>
        <v>1.3599999999999999E-2</v>
      </c>
      <c r="J44">
        <f t="shared" si="24"/>
        <v>1.3599999999999999E-2</v>
      </c>
      <c r="K44">
        <f t="shared" si="24"/>
        <v>1.3599999999999999E-2</v>
      </c>
      <c r="L44">
        <f t="shared" si="24"/>
        <v>1.3599999999999999E-2</v>
      </c>
      <c r="M44">
        <f t="shared" si="24"/>
        <v>1.3599999999999999E-2</v>
      </c>
      <c r="N44" s="187">
        <v>1.3599999999999999E-2</v>
      </c>
    </row>
    <row r="45" spans="1:16">
      <c r="A45" s="74">
        <v>32</v>
      </c>
      <c r="B45" s="173" t="s">
        <v>206</v>
      </c>
      <c r="C45" s="187">
        <v>3.8605E-2</v>
      </c>
      <c r="D45">
        <f t="shared" si="23"/>
        <v>3.8605E-2</v>
      </c>
      <c r="E45">
        <f t="shared" si="23"/>
        <v>3.8605E-2</v>
      </c>
      <c r="F45">
        <f t="shared" si="23"/>
        <v>3.8605E-2</v>
      </c>
      <c r="G45">
        <f t="shared" si="23"/>
        <v>3.8605E-2</v>
      </c>
      <c r="H45">
        <f t="shared" si="24"/>
        <v>3.8605E-2</v>
      </c>
      <c r="I45">
        <f t="shared" si="24"/>
        <v>3.8605E-2</v>
      </c>
      <c r="J45">
        <f t="shared" si="24"/>
        <v>3.8605E-2</v>
      </c>
      <c r="K45">
        <f t="shared" si="24"/>
        <v>3.8605E-2</v>
      </c>
      <c r="L45">
        <f t="shared" si="24"/>
        <v>3.8605E-2</v>
      </c>
      <c r="M45">
        <f t="shared" si="24"/>
        <v>3.8605E-2</v>
      </c>
      <c r="N45" s="187">
        <v>3.8605E-2</v>
      </c>
    </row>
    <row r="46" spans="1:16">
      <c r="A46" s="74">
        <v>33</v>
      </c>
      <c r="B46" s="173" t="s">
        <v>207</v>
      </c>
      <c r="C46" s="187">
        <v>3.326E-3</v>
      </c>
      <c r="D46">
        <f t="shared" ref="D46:F48" si="25">C46</f>
        <v>3.326E-3</v>
      </c>
      <c r="E46">
        <f t="shared" si="25"/>
        <v>3.326E-3</v>
      </c>
      <c r="F46">
        <f t="shared" si="25"/>
        <v>3.326E-3</v>
      </c>
      <c r="G46">
        <f t="shared" ref="G46:M48" si="26">F46</f>
        <v>3.326E-3</v>
      </c>
      <c r="H46">
        <f t="shared" si="26"/>
        <v>3.326E-3</v>
      </c>
      <c r="I46">
        <f t="shared" si="26"/>
        <v>3.326E-3</v>
      </c>
      <c r="J46">
        <f t="shared" si="26"/>
        <v>3.326E-3</v>
      </c>
      <c r="K46">
        <f t="shared" si="26"/>
        <v>3.326E-3</v>
      </c>
      <c r="L46">
        <f t="shared" si="26"/>
        <v>3.326E-3</v>
      </c>
      <c r="M46">
        <f t="shared" si="26"/>
        <v>3.326E-3</v>
      </c>
      <c r="N46" s="187">
        <v>3.326E-3</v>
      </c>
    </row>
    <row r="47" spans="1:16">
      <c r="A47" s="74">
        <v>34</v>
      </c>
      <c r="B47" s="173" t="s">
        <v>208</v>
      </c>
      <c r="C47" s="188">
        <v>2E-3</v>
      </c>
      <c r="D47" s="189">
        <f t="shared" si="25"/>
        <v>2E-3</v>
      </c>
      <c r="E47" s="189">
        <f t="shared" si="25"/>
        <v>2E-3</v>
      </c>
      <c r="F47" s="189">
        <f t="shared" si="25"/>
        <v>2E-3</v>
      </c>
      <c r="G47" s="189">
        <f t="shared" si="26"/>
        <v>2E-3</v>
      </c>
      <c r="H47" s="189">
        <f t="shared" si="26"/>
        <v>2E-3</v>
      </c>
      <c r="I47" s="189">
        <f t="shared" si="26"/>
        <v>2E-3</v>
      </c>
      <c r="J47" s="189">
        <f t="shared" si="26"/>
        <v>2E-3</v>
      </c>
      <c r="K47" s="189">
        <f t="shared" si="26"/>
        <v>2E-3</v>
      </c>
      <c r="L47" s="189">
        <f t="shared" si="26"/>
        <v>2E-3</v>
      </c>
      <c r="M47" s="189">
        <f t="shared" si="26"/>
        <v>2E-3</v>
      </c>
      <c r="N47" s="188">
        <v>2E-3</v>
      </c>
    </row>
    <row r="48" spans="1:16">
      <c r="A48" s="74">
        <v>35</v>
      </c>
      <c r="B48" s="173" t="s">
        <v>209</v>
      </c>
      <c r="C48" s="190">
        <v>0.21</v>
      </c>
      <c r="D48" s="191">
        <f t="shared" si="25"/>
        <v>0.21</v>
      </c>
      <c r="E48" s="191">
        <f t="shared" si="25"/>
        <v>0.21</v>
      </c>
      <c r="F48" s="191">
        <f t="shared" si="25"/>
        <v>0.21</v>
      </c>
      <c r="G48" s="191">
        <f t="shared" si="26"/>
        <v>0.21</v>
      </c>
      <c r="H48" s="191">
        <f t="shared" si="26"/>
        <v>0.21</v>
      </c>
      <c r="I48" s="191">
        <f t="shared" si="26"/>
        <v>0.21</v>
      </c>
      <c r="J48" s="191">
        <f t="shared" si="26"/>
        <v>0.21</v>
      </c>
      <c r="K48" s="191">
        <f t="shared" si="26"/>
        <v>0.21</v>
      </c>
      <c r="L48" s="191">
        <f t="shared" si="26"/>
        <v>0.21</v>
      </c>
      <c r="M48" s="191">
        <f t="shared" si="26"/>
        <v>0.21</v>
      </c>
      <c r="N48" s="190">
        <v>0.21</v>
      </c>
    </row>
    <row r="49" spans="1:15" ht="15" customHeight="1">
      <c r="A49" s="74">
        <v>36</v>
      </c>
      <c r="B49" s="173" t="s">
        <v>210</v>
      </c>
      <c r="C49" s="196">
        <v>1.85</v>
      </c>
      <c r="D49" s="196">
        <v>1.85</v>
      </c>
      <c r="E49" s="196">
        <v>1.85</v>
      </c>
      <c r="F49" s="196">
        <v>1.85</v>
      </c>
      <c r="G49" s="196">
        <v>1.85</v>
      </c>
      <c r="H49" s="196">
        <v>1.85</v>
      </c>
      <c r="I49" s="196">
        <v>1.85</v>
      </c>
      <c r="J49" s="196">
        <v>1.85</v>
      </c>
      <c r="K49" s="196">
        <v>1.85</v>
      </c>
      <c r="L49" s="196">
        <v>1.85</v>
      </c>
      <c r="M49" s="196">
        <v>1.85</v>
      </c>
      <c r="N49" s="196">
        <v>1.85</v>
      </c>
    </row>
    <row r="50" spans="1:15" ht="15" customHeight="1">
      <c r="A50" s="74">
        <v>37</v>
      </c>
      <c r="B50" s="173" t="s">
        <v>211</v>
      </c>
      <c r="C50" s="196">
        <v>0.28999999999999998</v>
      </c>
      <c r="D50" s="196">
        <v>0.28999999999999998</v>
      </c>
      <c r="E50" s="196">
        <v>0.28999999999999998</v>
      </c>
      <c r="F50" s="196">
        <v>0.28999999999999998</v>
      </c>
      <c r="G50" s="196">
        <v>0.28999999999999998</v>
      </c>
      <c r="H50" s="196">
        <v>0.28999999999999998</v>
      </c>
      <c r="I50" s="196">
        <v>0.28999999999999998</v>
      </c>
      <c r="J50" s="196">
        <v>0.28999999999999998</v>
      </c>
      <c r="K50" s="196">
        <v>0.28999999999999998</v>
      </c>
      <c r="L50" s="196">
        <v>0.28999999999999998</v>
      </c>
      <c r="M50" s="196">
        <v>0.28999999999999998</v>
      </c>
      <c r="N50" s="196">
        <v>0.28999999999999998</v>
      </c>
    </row>
    <row r="51" spans="1:15">
      <c r="B51" s="173"/>
    </row>
    <row r="52" spans="1:15" ht="19.5" customHeight="1">
      <c r="A52" s="30" t="s">
        <v>212</v>
      </c>
      <c r="B52" s="233" t="s">
        <v>213</v>
      </c>
      <c r="C52" s="233"/>
      <c r="D52" s="233"/>
      <c r="E52" s="233"/>
      <c r="F52" s="233"/>
      <c r="G52" s="233"/>
      <c r="H52" s="233"/>
      <c r="I52" s="233"/>
      <c r="J52" s="233"/>
      <c r="K52" s="233"/>
      <c r="L52" s="233"/>
      <c r="M52" s="233"/>
      <c r="N52" s="233"/>
      <c r="O52" s="233"/>
    </row>
    <row r="53" spans="1:15">
      <c r="A53" s="74" t="s">
        <v>214</v>
      </c>
      <c r="B53" t="s">
        <v>215</v>
      </c>
    </row>
    <row r="54" spans="1:15">
      <c r="A54" s="74" t="s">
        <v>216</v>
      </c>
      <c r="B54" t="s">
        <v>217</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2022</oddHeader>
    <oddFooter>&amp;Cfile: &amp;F /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8E72-56EC-4869-92FE-946E7099F106}">
  <sheetPr>
    <tabColor rgb="FFFFC000"/>
  </sheetPr>
  <dimension ref="A2:P54"/>
  <sheetViews>
    <sheetView workbookViewId="0"/>
  </sheetViews>
  <sheetFormatPr defaultRowHeight="15"/>
  <cols>
    <col min="1" max="1" width="8" style="74" customWidth="1"/>
    <col min="2" max="2" width="32" customWidth="1"/>
    <col min="3" max="3" width="13" customWidth="1"/>
    <col min="4" max="4" width="13.140625" customWidth="1"/>
    <col min="5" max="5" width="12.5703125" bestFit="1" customWidth="1"/>
    <col min="6" max="6" width="12.7109375" customWidth="1"/>
    <col min="7" max="7" width="12.5703125" customWidth="1"/>
    <col min="8" max="8" width="12.85546875" customWidth="1"/>
    <col min="9" max="9" width="12.42578125" customWidth="1"/>
    <col min="10" max="10" width="12.85546875" customWidth="1"/>
    <col min="11" max="11" width="13.140625" customWidth="1"/>
    <col min="12" max="12" width="13" customWidth="1"/>
    <col min="13" max="13" width="12.85546875" customWidth="1"/>
    <col min="14" max="14" width="13.140625" customWidth="1"/>
    <col min="15" max="15" width="12.7109375" customWidth="1"/>
    <col min="16" max="16" width="12.5703125" customWidth="1"/>
  </cols>
  <sheetData>
    <row r="2" spans="1:16" ht="15.75">
      <c r="B2" s="125" t="s">
        <v>172</v>
      </c>
      <c r="C2" s="125"/>
      <c r="D2" s="125"/>
      <c r="E2" s="125"/>
    </row>
    <row r="3" spans="1:16" ht="15.75">
      <c r="B3" s="125" t="s">
        <v>266</v>
      </c>
      <c r="C3" s="125"/>
      <c r="D3" s="125"/>
      <c r="E3" s="125"/>
    </row>
    <row r="5" spans="1:16">
      <c r="P5" s="86">
        <v>2022</v>
      </c>
    </row>
    <row r="6" spans="1:16">
      <c r="A6" s="62" t="s">
        <v>1</v>
      </c>
      <c r="B6" s="62" t="s">
        <v>173</v>
      </c>
      <c r="C6" s="62">
        <v>44562</v>
      </c>
      <c r="D6" s="62">
        <f t="shared" ref="D6:N6" si="0">EDATE(C6,1)</f>
        <v>44593</v>
      </c>
      <c r="E6" s="62">
        <f t="shared" si="0"/>
        <v>44621</v>
      </c>
      <c r="F6" s="62">
        <f t="shared" si="0"/>
        <v>44652</v>
      </c>
      <c r="G6" s="62">
        <f t="shared" si="0"/>
        <v>44682</v>
      </c>
      <c r="H6" s="62">
        <f t="shared" si="0"/>
        <v>44713</v>
      </c>
      <c r="I6" s="62">
        <f t="shared" si="0"/>
        <v>44743</v>
      </c>
      <c r="J6" s="62">
        <f t="shared" si="0"/>
        <v>44774</v>
      </c>
      <c r="K6" s="62">
        <f t="shared" si="0"/>
        <v>44805</v>
      </c>
      <c r="L6" s="62">
        <f t="shared" si="0"/>
        <v>44835</v>
      </c>
      <c r="M6" s="62">
        <f t="shared" si="0"/>
        <v>44866</v>
      </c>
      <c r="N6" s="62">
        <f t="shared" si="0"/>
        <v>44896</v>
      </c>
      <c r="O6" s="62" t="s">
        <v>261</v>
      </c>
      <c r="P6" s="172" t="s">
        <v>174</v>
      </c>
    </row>
    <row r="7" spans="1:16">
      <c r="B7" s="86"/>
      <c r="C7" s="86"/>
      <c r="D7" s="86"/>
      <c r="E7" s="86"/>
    </row>
    <row r="8" spans="1:16" ht="30" customHeight="1">
      <c r="A8" s="74">
        <v>1</v>
      </c>
      <c r="B8" s="173" t="s">
        <v>175</v>
      </c>
      <c r="C8" s="174">
        <f>'Nat Gas Deferral'!D13</f>
        <v>2884</v>
      </c>
      <c r="D8" s="174">
        <f>'Nat Gas Deferral'!E13</f>
        <v>2946</v>
      </c>
      <c r="E8" s="174">
        <f>'Nat Gas Deferral'!F13</f>
        <v>3078</v>
      </c>
      <c r="F8" s="174">
        <f>'Nat Gas Deferral'!G13</f>
        <v>3134</v>
      </c>
      <c r="G8" s="174">
        <f>'Nat Gas Deferral'!H13</f>
        <v>3281</v>
      </c>
      <c r="H8" s="174">
        <f>'Nat Gas Deferral'!I13</f>
        <v>3373</v>
      </c>
      <c r="I8" s="174">
        <f>'Nat Gas Deferral'!J13</f>
        <v>0</v>
      </c>
      <c r="J8" s="174">
        <f>'Nat Gas Deferral'!K13</f>
        <v>0</v>
      </c>
      <c r="K8" s="174">
        <f>'Nat Gas Deferral'!L13</f>
        <v>0</v>
      </c>
      <c r="L8" s="174">
        <f>'Nat Gas Deferral'!M13</f>
        <v>0</v>
      </c>
      <c r="M8" s="174">
        <f>'Nat Gas Deferral'!N13</f>
        <v>0</v>
      </c>
      <c r="N8" s="174">
        <f>'Nat Gas Deferral'!O13</f>
        <v>0</v>
      </c>
      <c r="O8" s="175">
        <f>SUM(C8:N8)</f>
        <v>18696</v>
      </c>
      <c r="P8" s="175">
        <f>AVERAGE(C8:O8)</f>
        <v>2876.3076923076924</v>
      </c>
    </row>
    <row r="9" spans="1:16" ht="30" customHeight="1">
      <c r="A9" s="74">
        <v>2</v>
      </c>
      <c r="B9" s="173" t="s">
        <v>218</v>
      </c>
      <c r="C9" s="174">
        <f>'Nat Gas Deferral'!D14</f>
        <v>416709.87647999998</v>
      </c>
      <c r="D9" s="174">
        <f>'Nat Gas Deferral'!E14</f>
        <v>377269.87972999999</v>
      </c>
      <c r="E9" s="174">
        <f>'Nat Gas Deferral'!F14</f>
        <v>303236.00008000003</v>
      </c>
      <c r="F9" s="174">
        <f>'Nat Gas Deferral'!G14</f>
        <v>225097.389</v>
      </c>
      <c r="G9" s="174">
        <f>'Nat Gas Deferral'!H14</f>
        <v>101342</v>
      </c>
      <c r="H9" s="174">
        <f>'Nat Gas Deferral'!I14</f>
        <v>28784.736299999997</v>
      </c>
      <c r="I9" s="174">
        <f>'Nat Gas Deferral'!J14</f>
        <v>0</v>
      </c>
      <c r="J9" s="174">
        <f>'Nat Gas Deferral'!K14</f>
        <v>0</v>
      </c>
      <c r="K9" s="174">
        <f>'Nat Gas Deferral'!L14</f>
        <v>0</v>
      </c>
      <c r="L9" s="174">
        <f>'Nat Gas Deferral'!M14</f>
        <v>0</v>
      </c>
      <c r="M9" s="174">
        <f>'Nat Gas Deferral'!N14</f>
        <v>0</v>
      </c>
      <c r="N9" s="174">
        <f>'Nat Gas Deferral'!O14</f>
        <v>0</v>
      </c>
      <c r="O9" s="175">
        <f>SUM(C9:N9)</f>
        <v>1452439.8815899999</v>
      </c>
      <c r="P9" s="175"/>
    </row>
    <row r="10" spans="1:16" ht="30" customHeight="1">
      <c r="A10" s="74">
        <v>3</v>
      </c>
      <c r="B10" s="173" t="s">
        <v>177</v>
      </c>
      <c r="C10" s="174">
        <f t="shared" ref="C10:N10" si="1">IF(C8&gt;0,C9/C8,0)</f>
        <v>144.4902484327323</v>
      </c>
      <c r="D10" s="174">
        <f t="shared" si="1"/>
        <v>128.06173785811268</v>
      </c>
      <c r="E10" s="174">
        <f t="shared" si="1"/>
        <v>98.517218999350234</v>
      </c>
      <c r="F10" s="174">
        <f t="shared" si="1"/>
        <v>71.824310465858332</v>
      </c>
      <c r="G10" s="174">
        <f t="shared" si="1"/>
        <v>30.88753428832673</v>
      </c>
      <c r="H10" s="174">
        <f t="shared" si="1"/>
        <v>8.533867862436999</v>
      </c>
      <c r="I10" s="174">
        <f t="shared" si="1"/>
        <v>0</v>
      </c>
      <c r="J10" s="174">
        <f t="shared" si="1"/>
        <v>0</v>
      </c>
      <c r="K10" s="174">
        <f t="shared" si="1"/>
        <v>0</v>
      </c>
      <c r="L10" s="174">
        <f t="shared" si="1"/>
        <v>0</v>
      </c>
      <c r="M10" s="174">
        <f t="shared" si="1"/>
        <v>0</v>
      </c>
      <c r="N10" s="174">
        <f t="shared" si="1"/>
        <v>0</v>
      </c>
      <c r="O10" s="174">
        <f>IF(O8&gt;0,O9/O8,0)</f>
        <v>77.687199485986298</v>
      </c>
      <c r="P10" s="175"/>
    </row>
    <row r="11" spans="1:16" ht="30" customHeight="1">
      <c r="A11" s="74">
        <v>4</v>
      </c>
      <c r="B11" s="173" t="s">
        <v>178</v>
      </c>
      <c r="C11" s="174">
        <f>'Nat Gas Deferral'!D39</f>
        <v>51</v>
      </c>
      <c r="D11" s="174">
        <f>'Nat Gas Deferral'!E39</f>
        <v>54</v>
      </c>
      <c r="E11" s="174">
        <f>'Nat Gas Deferral'!F39</f>
        <v>56</v>
      </c>
      <c r="F11" s="174">
        <f>'Nat Gas Deferral'!G39</f>
        <v>57</v>
      </c>
      <c r="G11" s="174">
        <f>'Nat Gas Deferral'!H39</f>
        <v>64</v>
      </c>
      <c r="H11" s="174">
        <f>'Nat Gas Deferral'!I39</f>
        <v>60</v>
      </c>
      <c r="I11" s="174">
        <f>'Nat Gas Deferral'!J39</f>
        <v>0</v>
      </c>
      <c r="J11" s="174">
        <f>'Nat Gas Deferral'!K39</f>
        <v>0</v>
      </c>
      <c r="K11" s="174">
        <f>'Nat Gas Deferral'!L39</f>
        <v>0</v>
      </c>
      <c r="L11" s="174">
        <f>'Nat Gas Deferral'!M39</f>
        <v>0</v>
      </c>
      <c r="M11" s="174">
        <f>'Nat Gas Deferral'!N39</f>
        <v>0</v>
      </c>
      <c r="N11" s="174">
        <f>'Nat Gas Deferral'!O39</f>
        <v>0</v>
      </c>
      <c r="O11" s="175">
        <f>SUM(C11:N11)</f>
        <v>342</v>
      </c>
      <c r="P11" s="175">
        <f>AVERAGE(C11:O11)</f>
        <v>52.615384615384613</v>
      </c>
    </row>
    <row r="12" spans="1:16" ht="30" customHeight="1">
      <c r="A12" s="74">
        <v>5</v>
      </c>
      <c r="B12" s="173" t="s">
        <v>179</v>
      </c>
      <c r="C12" s="174">
        <f>'Nat Gas Deferral'!D40</f>
        <v>184166.74494999999</v>
      </c>
      <c r="D12" s="174">
        <f>'Nat Gas Deferral'!E40</f>
        <v>202541.17522</v>
      </c>
      <c r="E12" s="174">
        <f>'Nat Gas Deferral'!F40</f>
        <v>182882.60936</v>
      </c>
      <c r="F12" s="174">
        <f>'Nat Gas Deferral'!G40</f>
        <v>116354.489</v>
      </c>
      <c r="G12" s="174">
        <f>'Nat Gas Deferral'!H40</f>
        <v>182427</v>
      </c>
      <c r="H12" s="174">
        <f>'Nat Gas Deferral'!I40</f>
        <v>75029.768700000001</v>
      </c>
      <c r="I12" s="174">
        <f>'Nat Gas Deferral'!J40</f>
        <v>0</v>
      </c>
      <c r="J12" s="174">
        <f>'Nat Gas Deferral'!K40</f>
        <v>0</v>
      </c>
      <c r="K12" s="174">
        <f>'Nat Gas Deferral'!L40</f>
        <v>0</v>
      </c>
      <c r="L12" s="174">
        <f>'Nat Gas Deferral'!M40</f>
        <v>0</v>
      </c>
      <c r="M12" s="174">
        <f>'Nat Gas Deferral'!N40</f>
        <v>0</v>
      </c>
      <c r="N12" s="174">
        <f>'Nat Gas Deferral'!O40</f>
        <v>0</v>
      </c>
      <c r="O12" s="175">
        <f>SUM(C12:N12)</f>
        <v>943401.78723000002</v>
      </c>
      <c r="P12" s="175"/>
    </row>
    <row r="13" spans="1:16" ht="30" customHeight="1">
      <c r="A13" s="74">
        <v>6</v>
      </c>
      <c r="B13" s="173" t="s">
        <v>180</v>
      </c>
      <c r="C13" s="174">
        <f t="shared" ref="C13" si="2">IF(C11&gt;0,C12/C11,0)</f>
        <v>3611.1126460784312</v>
      </c>
      <c r="D13" s="174">
        <f t="shared" ref="D13" si="3">IF(D11&gt;0,D12/D11,0)</f>
        <v>3750.7625040740741</v>
      </c>
      <c r="E13" s="174">
        <f t="shared" ref="E13" si="4">IF(E11&gt;0,E12/E11,0)</f>
        <v>3265.7608814285713</v>
      </c>
      <c r="F13" s="174">
        <f t="shared" ref="F13" si="5">IF(F11&gt;0,F12/F11,0)</f>
        <v>2041.3068245614036</v>
      </c>
      <c r="G13" s="174">
        <f t="shared" ref="G13:N13" si="6">IF(G11&gt;0,G12/G11,0)</f>
        <v>2850.421875</v>
      </c>
      <c r="H13" s="174">
        <f t="shared" si="6"/>
        <v>1250.4961450000001</v>
      </c>
      <c r="I13" s="174">
        <f t="shared" si="6"/>
        <v>0</v>
      </c>
      <c r="J13" s="174">
        <f t="shared" si="6"/>
        <v>0</v>
      </c>
      <c r="K13" s="174">
        <f t="shared" si="6"/>
        <v>0</v>
      </c>
      <c r="L13" s="174">
        <f t="shared" si="6"/>
        <v>0</v>
      </c>
      <c r="M13" s="174">
        <f t="shared" si="6"/>
        <v>0</v>
      </c>
      <c r="N13" s="174">
        <f t="shared" si="6"/>
        <v>0</v>
      </c>
      <c r="O13" s="174">
        <f>IF(O11&gt;0,O12/O11,0)</f>
        <v>2758.4847579824564</v>
      </c>
      <c r="P13" s="175"/>
    </row>
    <row r="14" spans="1:16" ht="12" customHeight="1">
      <c r="B14" s="173"/>
      <c r="C14" s="174"/>
      <c r="D14" s="174"/>
      <c r="E14" s="174"/>
      <c r="F14" s="174"/>
      <c r="G14" s="174"/>
      <c r="H14" s="174"/>
      <c r="I14" s="174"/>
      <c r="J14" s="174"/>
      <c r="K14" s="174"/>
      <c r="L14" s="174"/>
      <c r="M14" s="174"/>
      <c r="N14" s="174"/>
      <c r="O14" s="174"/>
      <c r="P14" s="176"/>
    </row>
    <row r="15" spans="1:16" ht="30">
      <c r="A15" s="74">
        <v>7</v>
      </c>
      <c r="B15" s="173" t="s">
        <v>181</v>
      </c>
      <c r="C15" s="192">
        <f>'Nat Gas Deferral'!D15</f>
        <v>270450.88</v>
      </c>
      <c r="D15" s="192">
        <f>'Nat Gas Deferral'!E15</f>
        <v>250508.45</v>
      </c>
      <c r="E15" s="192">
        <f>'Nat Gas Deferral'!F15</f>
        <v>204761.54</v>
      </c>
      <c r="F15" s="192">
        <f>'Nat Gas Deferral'!G15</f>
        <v>157266.94999999998</v>
      </c>
      <c r="G15" s="192">
        <f>'Nat Gas Deferral'!H15</f>
        <v>86897.919999999998</v>
      </c>
      <c r="H15" s="192">
        <f>'Nat Gas Deferral'!I15</f>
        <v>47212.75</v>
      </c>
      <c r="I15" s="192">
        <f>'Nat Gas Deferral'!J15</f>
        <v>0</v>
      </c>
      <c r="J15" s="192">
        <f>'Nat Gas Deferral'!K15</f>
        <v>0</v>
      </c>
      <c r="K15" s="192">
        <f>'Nat Gas Deferral'!L15</f>
        <v>0</v>
      </c>
      <c r="L15" s="192">
        <f>'Nat Gas Deferral'!M15</f>
        <v>0</v>
      </c>
      <c r="M15" s="192">
        <f>'Nat Gas Deferral'!N15</f>
        <v>0</v>
      </c>
      <c r="N15" s="192">
        <f>'Nat Gas Deferral'!O15</f>
        <v>0</v>
      </c>
      <c r="O15" s="181">
        <f>SUM(C15:N15)</f>
        <v>1017098.49</v>
      </c>
      <c r="P15" s="181">
        <f>O15/P$8</f>
        <v>353.61254733632859</v>
      </c>
    </row>
    <row r="16" spans="1:16" ht="30" customHeight="1">
      <c r="A16" s="74">
        <v>8</v>
      </c>
      <c r="B16" s="173" t="s">
        <v>182</v>
      </c>
      <c r="C16" s="192">
        <f>'Nat Gas Deferral'!D41</f>
        <v>55670.31</v>
      </c>
      <c r="D16" s="192">
        <f>'Nat Gas Deferral'!E41</f>
        <v>61654.9</v>
      </c>
      <c r="E16" s="192">
        <f>'Nat Gas Deferral'!F41</f>
        <v>57884.58</v>
      </c>
      <c r="F16" s="192">
        <f>'Nat Gas Deferral'!G41</f>
        <v>40274.230000000003</v>
      </c>
      <c r="G16" s="192">
        <f>'Nat Gas Deferral'!H41</f>
        <v>51154.87</v>
      </c>
      <c r="H16" s="192">
        <f>'Nat Gas Deferral'!I41</f>
        <v>27410.47</v>
      </c>
      <c r="I16" s="192">
        <f>'Nat Gas Deferral'!J41</f>
        <v>0</v>
      </c>
      <c r="J16" s="192">
        <f>'Nat Gas Deferral'!K41</f>
        <v>0</v>
      </c>
      <c r="K16" s="192">
        <f>'Nat Gas Deferral'!L41</f>
        <v>0</v>
      </c>
      <c r="L16" s="192">
        <f>'Nat Gas Deferral'!M41</f>
        <v>0</v>
      </c>
      <c r="M16" s="192">
        <f>'Nat Gas Deferral'!N41</f>
        <v>0</v>
      </c>
      <c r="N16" s="192">
        <f>'Nat Gas Deferral'!O41</f>
        <v>0</v>
      </c>
      <c r="O16" s="181">
        <f>SUM(C16:N16)</f>
        <v>294049.36</v>
      </c>
      <c r="P16" s="181">
        <f>O16/P$11</f>
        <v>5588.6574269005851</v>
      </c>
    </row>
    <row r="17" spans="1:16" ht="18.75" customHeight="1">
      <c r="A17" s="74">
        <v>9</v>
      </c>
      <c r="B17" s="179" t="s">
        <v>183</v>
      </c>
      <c r="C17" s="180">
        <f t="shared" ref="C17" si="7">C15+C16</f>
        <v>326121.19</v>
      </c>
      <c r="D17" s="180">
        <f t="shared" ref="D17" si="8">D15+D16</f>
        <v>312163.35000000003</v>
      </c>
      <c r="E17" s="180">
        <f t="shared" ref="E17" si="9">E15+E16</f>
        <v>262646.12</v>
      </c>
      <c r="F17" s="180">
        <f t="shared" ref="F17" si="10">F15+F16</f>
        <v>197541.18</v>
      </c>
      <c r="G17" s="180">
        <f t="shared" ref="G17:N17" si="11">G15+G16</f>
        <v>138052.79</v>
      </c>
      <c r="H17" s="180">
        <f t="shared" si="11"/>
        <v>74623.22</v>
      </c>
      <c r="I17" s="180">
        <f t="shared" si="11"/>
        <v>0</v>
      </c>
      <c r="J17" s="180">
        <f t="shared" si="11"/>
        <v>0</v>
      </c>
      <c r="K17" s="180">
        <f t="shared" si="11"/>
        <v>0</v>
      </c>
      <c r="L17" s="180">
        <f t="shared" si="11"/>
        <v>0</v>
      </c>
      <c r="M17" s="180">
        <f t="shared" si="11"/>
        <v>0</v>
      </c>
      <c r="N17" s="180">
        <f t="shared" si="11"/>
        <v>0</v>
      </c>
      <c r="O17" s="180">
        <f>SUM(C17:N17)</f>
        <v>1311147.8500000001</v>
      </c>
    </row>
    <row r="18" spans="1:16">
      <c r="B18" s="173"/>
      <c r="C18" s="173"/>
      <c r="D18" s="173"/>
      <c r="E18" s="173"/>
    </row>
    <row r="19" spans="1:16">
      <c r="A19" s="74">
        <v>10</v>
      </c>
      <c r="B19" s="173" t="s">
        <v>219</v>
      </c>
      <c r="C19" s="181">
        <f t="shared" ref="C19:N19" si="12">(C9+C12)*C44</f>
        <v>0</v>
      </c>
      <c r="D19" s="181">
        <f t="shared" si="12"/>
        <v>0</v>
      </c>
      <c r="E19" s="181">
        <f t="shared" si="12"/>
        <v>0</v>
      </c>
      <c r="F19" s="181">
        <f t="shared" si="12"/>
        <v>0</v>
      </c>
      <c r="G19" s="181">
        <f t="shared" si="12"/>
        <v>0</v>
      </c>
      <c r="H19" s="181">
        <f t="shared" si="12"/>
        <v>0</v>
      </c>
      <c r="I19" s="181">
        <f t="shared" si="12"/>
        <v>0</v>
      </c>
      <c r="J19" s="181">
        <f t="shared" si="12"/>
        <v>0</v>
      </c>
      <c r="K19" s="181">
        <f t="shared" si="12"/>
        <v>0</v>
      </c>
      <c r="L19" s="181">
        <f t="shared" si="12"/>
        <v>0</v>
      </c>
      <c r="M19" s="181">
        <f t="shared" si="12"/>
        <v>0</v>
      </c>
      <c r="N19" s="181">
        <f t="shared" si="12"/>
        <v>0</v>
      </c>
      <c r="O19" s="181">
        <f>SUM(C19:N19)</f>
        <v>0</v>
      </c>
      <c r="P19" s="181"/>
    </row>
    <row r="20" spans="1:16">
      <c r="A20" s="74">
        <v>11</v>
      </c>
      <c r="B20" s="173" t="s">
        <v>185</v>
      </c>
      <c r="C20" s="199">
        <v>60389.775990947863</v>
      </c>
      <c r="D20" s="199">
        <v>62376.950868572865</v>
      </c>
      <c r="E20" s="199">
        <v>64455.130714572864</v>
      </c>
      <c r="F20" s="199">
        <v>67103.717371197868</v>
      </c>
      <c r="G20" s="199">
        <v>70423.310919697877</v>
      </c>
      <c r="H20" s="199">
        <v>74359.134419072871</v>
      </c>
      <c r="I20" s="199">
        <v>79245.19745982287</v>
      </c>
      <c r="J20" s="199">
        <v>83662.820520572845</v>
      </c>
      <c r="K20" s="199">
        <v>86682.768323197844</v>
      </c>
      <c r="L20" s="199">
        <v>89352.95437969784</v>
      </c>
      <c r="M20" s="199">
        <v>92592.115993947853</v>
      </c>
      <c r="N20" s="199">
        <v>96789.759683697848</v>
      </c>
      <c r="O20" s="181">
        <f>SUM(C20:N20)</f>
        <v>927433.63664499926</v>
      </c>
      <c r="P20" s="181"/>
    </row>
    <row r="21" spans="1:16">
      <c r="A21" s="74">
        <v>12</v>
      </c>
      <c r="B21" s="173" t="s">
        <v>186</v>
      </c>
      <c r="C21" s="199">
        <v>29633.39573419937</v>
      </c>
      <c r="D21" s="199">
        <v>30608.536823936873</v>
      </c>
      <c r="E21" s="199">
        <v>31628.33562600354</v>
      </c>
      <c r="F21" s="199">
        <v>32928.042917841041</v>
      </c>
      <c r="G21" s="199">
        <v>34557.024899657707</v>
      </c>
      <c r="H21" s="199">
        <v>36488.401578886871</v>
      </c>
      <c r="I21" s="199">
        <v>38886.077239811872</v>
      </c>
      <c r="J21" s="199">
        <v>41053.881298736866</v>
      </c>
      <c r="K21" s="199">
        <v>42535.821929307691</v>
      </c>
      <c r="L21" s="199">
        <v>43846.128420324356</v>
      </c>
      <c r="M21" s="199">
        <v>45435.641060566028</v>
      </c>
      <c r="N21" s="199">
        <v>47495.497436591024</v>
      </c>
      <c r="O21" s="181">
        <f>SUM(C21:N21)</f>
        <v>455096.78496586322</v>
      </c>
      <c r="P21" s="181"/>
    </row>
    <row r="22" spans="1:16">
      <c r="A22" s="74">
        <v>13</v>
      </c>
      <c r="B22" s="173" t="s">
        <v>187</v>
      </c>
      <c r="C22" s="181">
        <f>(C8+C11)*C49</f>
        <v>5400.4000000000005</v>
      </c>
      <c r="D22" s="181">
        <f t="shared" ref="D22:M22" si="13">(D8+D11)*D49</f>
        <v>5520</v>
      </c>
      <c r="E22" s="181">
        <f t="shared" si="13"/>
        <v>5766.56</v>
      </c>
      <c r="F22" s="181">
        <f t="shared" si="13"/>
        <v>5871.4400000000005</v>
      </c>
      <c r="G22" s="181">
        <f t="shared" si="13"/>
        <v>6154.8</v>
      </c>
      <c r="H22" s="181">
        <f t="shared" si="13"/>
        <v>6316.72</v>
      </c>
      <c r="I22" s="181">
        <f t="shared" si="13"/>
        <v>0</v>
      </c>
      <c r="J22" s="181">
        <f t="shared" si="13"/>
        <v>0</v>
      </c>
      <c r="K22" s="181">
        <f t="shared" si="13"/>
        <v>0</v>
      </c>
      <c r="L22" s="181">
        <f t="shared" si="13"/>
        <v>0</v>
      </c>
      <c r="M22" s="181">
        <f t="shared" si="13"/>
        <v>0</v>
      </c>
      <c r="N22" s="181">
        <f>(N8+N11)*N49</f>
        <v>0</v>
      </c>
      <c r="O22" s="181">
        <f t="shared" ref="O22:O26" si="14">SUM(C22:N22)</f>
        <v>35029.919999999998</v>
      </c>
      <c r="P22" s="181"/>
    </row>
    <row r="23" spans="1:16">
      <c r="A23" s="74">
        <v>14</v>
      </c>
      <c r="B23" s="173" t="s">
        <v>188</v>
      </c>
      <c r="C23" s="181">
        <f>(C8+C11)*C50</f>
        <v>763.1</v>
      </c>
      <c r="D23" s="181">
        <f t="shared" ref="D23:N23" si="15">(D8+D11)*D50</f>
        <v>780</v>
      </c>
      <c r="E23" s="181">
        <f t="shared" si="15"/>
        <v>814.84</v>
      </c>
      <c r="F23" s="181">
        <f t="shared" si="15"/>
        <v>829.66000000000008</v>
      </c>
      <c r="G23" s="181">
        <f t="shared" si="15"/>
        <v>869.7</v>
      </c>
      <c r="H23" s="181">
        <f t="shared" si="15"/>
        <v>892.58</v>
      </c>
      <c r="I23" s="181">
        <f t="shared" si="15"/>
        <v>0</v>
      </c>
      <c r="J23" s="181">
        <f t="shared" si="15"/>
        <v>0</v>
      </c>
      <c r="K23" s="181">
        <f t="shared" si="15"/>
        <v>0</v>
      </c>
      <c r="L23" s="181">
        <f t="shared" si="15"/>
        <v>0</v>
      </c>
      <c r="M23" s="181">
        <f t="shared" si="15"/>
        <v>0</v>
      </c>
      <c r="N23" s="181">
        <f t="shared" si="15"/>
        <v>0</v>
      </c>
      <c r="O23" s="181">
        <f t="shared" si="14"/>
        <v>4949.88</v>
      </c>
      <c r="P23" s="181"/>
    </row>
    <row r="24" spans="1:16">
      <c r="A24" s="74">
        <v>15</v>
      </c>
      <c r="B24" s="173" t="s">
        <v>189</v>
      </c>
      <c r="C24" s="181">
        <f t="shared" ref="C24:E26" si="16">C$17*C45</f>
        <v>12520.44472648</v>
      </c>
      <c r="D24" s="181">
        <f t="shared" si="16"/>
        <v>11984.575333200002</v>
      </c>
      <c r="E24" s="181">
        <f t="shared" si="16"/>
        <v>10083.50983904</v>
      </c>
      <c r="F24" s="181">
        <f>F$17*F45</f>
        <v>7584.00098256</v>
      </c>
      <c r="G24" s="181">
        <f t="shared" ref="G24:N26" si="17">G$17*G45</f>
        <v>5300.1227136800007</v>
      </c>
      <c r="H24" s="181">
        <f t="shared" si="17"/>
        <v>2864.9346622400003</v>
      </c>
      <c r="I24" s="181">
        <f t="shared" si="17"/>
        <v>0</v>
      </c>
      <c r="J24" s="181">
        <f t="shared" si="17"/>
        <v>0</v>
      </c>
      <c r="K24" s="181">
        <f t="shared" si="17"/>
        <v>0</v>
      </c>
      <c r="L24" s="181">
        <f t="shared" si="17"/>
        <v>0</v>
      </c>
      <c r="M24" s="181">
        <f t="shared" si="17"/>
        <v>0</v>
      </c>
      <c r="N24" s="181">
        <f t="shared" si="17"/>
        <v>0</v>
      </c>
      <c r="O24" s="181">
        <f t="shared" si="14"/>
        <v>50337.588257199997</v>
      </c>
      <c r="P24" s="181"/>
    </row>
    <row r="25" spans="1:16">
      <c r="A25" s="74">
        <v>16</v>
      </c>
      <c r="B25" s="173" t="s">
        <v>190</v>
      </c>
      <c r="C25" s="181">
        <f t="shared" si="16"/>
        <v>1084.6790779400001</v>
      </c>
      <c r="D25" s="181">
        <f t="shared" si="16"/>
        <v>1038.2553021000001</v>
      </c>
      <c r="E25" s="181">
        <f t="shared" si="16"/>
        <v>873.56099512000003</v>
      </c>
      <c r="F25" s="181">
        <f>F$17*F46</f>
        <v>657.02196468</v>
      </c>
      <c r="G25" s="181">
        <f t="shared" si="17"/>
        <v>459.16357954</v>
      </c>
      <c r="H25" s="181">
        <f t="shared" si="17"/>
        <v>248.19682972000001</v>
      </c>
      <c r="I25" s="181">
        <f t="shared" si="17"/>
        <v>0</v>
      </c>
      <c r="J25" s="181">
        <f t="shared" si="17"/>
        <v>0</v>
      </c>
      <c r="K25" s="181">
        <f t="shared" si="17"/>
        <v>0</v>
      </c>
      <c r="L25" s="181">
        <f t="shared" si="17"/>
        <v>0</v>
      </c>
      <c r="M25" s="181">
        <f t="shared" si="17"/>
        <v>0</v>
      </c>
      <c r="N25" s="181">
        <f t="shared" si="17"/>
        <v>0</v>
      </c>
      <c r="O25" s="181">
        <f t="shared" si="14"/>
        <v>4360.8777491000001</v>
      </c>
      <c r="P25" s="181"/>
    </row>
    <row r="26" spans="1:16">
      <c r="A26" s="74">
        <v>17</v>
      </c>
      <c r="B26" s="173" t="s">
        <v>191</v>
      </c>
      <c r="C26" s="181">
        <f t="shared" si="16"/>
        <v>652.24238000000003</v>
      </c>
      <c r="D26" s="181">
        <f t="shared" si="16"/>
        <v>624.32670000000007</v>
      </c>
      <c r="E26" s="181">
        <f t="shared" si="16"/>
        <v>525.29223999999999</v>
      </c>
      <c r="F26" s="181">
        <f>F$17*F47</f>
        <v>395.08235999999999</v>
      </c>
      <c r="G26" s="181">
        <f t="shared" si="17"/>
        <v>276.10558000000003</v>
      </c>
      <c r="H26" s="181">
        <f t="shared" si="17"/>
        <v>149.24644000000001</v>
      </c>
      <c r="I26" s="181">
        <f t="shared" si="17"/>
        <v>0</v>
      </c>
      <c r="J26" s="181">
        <f t="shared" si="17"/>
        <v>0</v>
      </c>
      <c r="K26" s="181">
        <f t="shared" si="17"/>
        <v>0</v>
      </c>
      <c r="L26" s="181">
        <f t="shared" si="17"/>
        <v>0</v>
      </c>
      <c r="M26" s="181">
        <f t="shared" si="17"/>
        <v>0</v>
      </c>
      <c r="N26" s="181">
        <f t="shared" si="17"/>
        <v>0</v>
      </c>
      <c r="O26" s="181">
        <f t="shared" si="14"/>
        <v>2622.2957000000001</v>
      </c>
      <c r="P26" s="181"/>
    </row>
    <row r="27" spans="1:16" ht="23.25" customHeight="1">
      <c r="A27" s="74">
        <v>18</v>
      </c>
      <c r="B27" s="179" t="s">
        <v>192</v>
      </c>
      <c r="C27" s="180">
        <f>SUM(C20:C26)</f>
        <v>110444.03790956723</v>
      </c>
      <c r="D27" s="180">
        <f>SUM(D20:D26)</f>
        <v>112932.64502780975</v>
      </c>
      <c r="E27" s="180">
        <f>SUM(E20:E26)</f>
        <v>114147.22941473639</v>
      </c>
      <c r="F27" s="180">
        <f>SUM(F19:F26)</f>
        <v>115368.96559627891</v>
      </c>
      <c r="G27" s="180">
        <f t="shared" ref="G27:O27" si="18">SUM(G20:G26)</f>
        <v>118040.2276925756</v>
      </c>
      <c r="H27" s="180">
        <f t="shared" si="18"/>
        <v>121319.21392991974</v>
      </c>
      <c r="I27" s="180">
        <f t="shared" si="18"/>
        <v>118131.27469963474</v>
      </c>
      <c r="J27" s="180">
        <f t="shared" si="18"/>
        <v>124716.7018193097</v>
      </c>
      <c r="K27" s="180">
        <f t="shared" si="18"/>
        <v>129218.59025250553</v>
      </c>
      <c r="L27" s="180">
        <f t="shared" si="18"/>
        <v>133199.08280002221</v>
      </c>
      <c r="M27" s="180">
        <f t="shared" si="18"/>
        <v>138027.75705451387</v>
      </c>
      <c r="N27" s="180">
        <f t="shared" si="18"/>
        <v>144285.25712028888</v>
      </c>
      <c r="O27" s="180">
        <f t="shared" si="18"/>
        <v>1479830.9833171624</v>
      </c>
      <c r="P27" s="181"/>
    </row>
    <row r="28" spans="1:16">
      <c r="B28" s="173"/>
      <c r="C28" s="181"/>
      <c r="D28" s="181"/>
      <c r="E28" s="181"/>
      <c r="F28" s="181"/>
      <c r="G28" s="181"/>
      <c r="H28" s="181"/>
      <c r="I28" s="181"/>
      <c r="J28" s="181"/>
      <c r="K28" s="181"/>
      <c r="L28" s="181"/>
      <c r="M28" s="181"/>
      <c r="N28" s="181"/>
      <c r="O28" s="181"/>
      <c r="P28" s="181"/>
    </row>
    <row r="29" spans="1:16" ht="16.5" customHeight="1">
      <c r="A29" s="74">
        <v>19</v>
      </c>
      <c r="B29" s="173" t="s">
        <v>193</v>
      </c>
      <c r="C29" s="181">
        <f t="shared" ref="C29:N29" si="19">C17-C27</f>
        <v>215677.15209043276</v>
      </c>
      <c r="D29" s="181">
        <f t="shared" si="19"/>
        <v>199230.70497219029</v>
      </c>
      <c r="E29" s="181">
        <f t="shared" si="19"/>
        <v>148498.89058526361</v>
      </c>
      <c r="F29" s="181">
        <f t="shared" si="19"/>
        <v>82172.214403721082</v>
      </c>
      <c r="G29" s="181">
        <f t="shared" si="19"/>
        <v>20012.562307424407</v>
      </c>
      <c r="H29" s="181">
        <f t="shared" si="19"/>
        <v>-46695.993929919743</v>
      </c>
      <c r="I29" s="181">
        <f t="shared" si="19"/>
        <v>-118131.27469963474</v>
      </c>
      <c r="J29" s="181">
        <f t="shared" si="19"/>
        <v>-124716.7018193097</v>
      </c>
      <c r="K29" s="181">
        <f t="shared" si="19"/>
        <v>-129218.59025250553</v>
      </c>
      <c r="L29" s="181">
        <f t="shared" si="19"/>
        <v>-133199.08280002221</v>
      </c>
      <c r="M29" s="181">
        <f t="shared" si="19"/>
        <v>-138027.75705451387</v>
      </c>
      <c r="N29" s="181">
        <f t="shared" si="19"/>
        <v>-144285.25712028888</v>
      </c>
      <c r="O29" s="181">
        <f t="shared" ref="O29:O30" si="20">SUM(C29:N29)</f>
        <v>-168683.13331716272</v>
      </c>
      <c r="P29" s="181"/>
    </row>
    <row r="30" spans="1:16">
      <c r="A30" s="74">
        <v>20</v>
      </c>
      <c r="B30" s="173" t="s">
        <v>194</v>
      </c>
      <c r="C30" s="181">
        <f t="shared" ref="C30:N30" si="21">C29*C48</f>
        <v>45292.201938990882</v>
      </c>
      <c r="D30" s="181">
        <f t="shared" si="21"/>
        <v>41838.448044159959</v>
      </c>
      <c r="E30" s="181">
        <f t="shared" si="21"/>
        <v>31184.767022905358</v>
      </c>
      <c r="F30" s="181">
        <f>F29*F48</f>
        <v>17256.165024781425</v>
      </c>
      <c r="G30" s="181">
        <f t="shared" si="21"/>
        <v>4202.6380845591257</v>
      </c>
      <c r="H30" s="181">
        <f t="shared" si="21"/>
        <v>-9806.158725283145</v>
      </c>
      <c r="I30" s="181">
        <f t="shared" si="21"/>
        <v>-24807.567686923296</v>
      </c>
      <c r="J30" s="181">
        <f t="shared" si="21"/>
        <v>-26190.507382055035</v>
      </c>
      <c r="K30" s="181">
        <f t="shared" si="21"/>
        <v>-27135.903953026162</v>
      </c>
      <c r="L30" s="181">
        <f t="shared" si="21"/>
        <v>-27971.807388004661</v>
      </c>
      <c r="M30" s="181">
        <f t="shared" si="21"/>
        <v>-28985.828981447914</v>
      </c>
      <c r="N30" s="181">
        <f t="shared" si="21"/>
        <v>-30299.903995260662</v>
      </c>
      <c r="O30" s="181">
        <f t="shared" si="20"/>
        <v>-35423.45799660412</v>
      </c>
      <c r="P30" s="181"/>
    </row>
    <row r="31" spans="1:16">
      <c r="A31" s="74">
        <v>21</v>
      </c>
      <c r="B31" s="173" t="s">
        <v>195</v>
      </c>
      <c r="C31" s="181">
        <f>(C37*C39*-C48)/12</f>
        <v>-13020.253927760359</v>
      </c>
      <c r="D31" s="181">
        <f t="shared" ref="D31:N31" si="22">(D37*D39*-D48)/12</f>
        <v>-13423.75335006941</v>
      </c>
      <c r="E31" s="181">
        <f t="shared" si="22"/>
        <v>-13872.309170807361</v>
      </c>
      <c r="F31" s="181">
        <f>(F37*F39*-F48)/12</f>
        <v>-14532.912659115798</v>
      </c>
      <c r="G31" s="181">
        <f t="shared" si="22"/>
        <v>-15283.77251271555</v>
      </c>
      <c r="H31" s="181">
        <f t="shared" si="22"/>
        <v>-16221.373751662404</v>
      </c>
      <c r="I31" s="181">
        <f t="shared" si="22"/>
        <v>-17400.207377897874</v>
      </c>
      <c r="J31" s="181">
        <f t="shared" si="22"/>
        <v>-18121.998275459686</v>
      </c>
      <c r="K31" s="181">
        <f t="shared" si="22"/>
        <v>-18664.115023815193</v>
      </c>
      <c r="L31" s="181">
        <f t="shared" si="22"/>
        <v>-19225.215347921581</v>
      </c>
      <c r="M31" s="181">
        <f t="shared" si="22"/>
        <v>-20023.36830538946</v>
      </c>
      <c r="N31" s="181">
        <f t="shared" si="22"/>
        <v>-20754.493261777083</v>
      </c>
      <c r="O31" s="181">
        <f>SUM(C31:N31)</f>
        <v>-200543.77296439174</v>
      </c>
      <c r="P31" s="181"/>
    </row>
    <row r="32" spans="1:16" s="29" customFormat="1">
      <c r="A32" s="182">
        <v>22</v>
      </c>
      <c r="B32" s="183" t="s">
        <v>196</v>
      </c>
      <c r="C32" s="184">
        <f>C29-C30-C31</f>
        <v>183405.20407920223</v>
      </c>
      <c r="D32" s="184">
        <f t="shared" ref="D32:O32" si="23">D29-D30-D31</f>
        <v>170816.01027809974</v>
      </c>
      <c r="E32" s="184">
        <f t="shared" si="23"/>
        <v>131186.43273316559</v>
      </c>
      <c r="F32" s="184">
        <f t="shared" si="23"/>
        <v>79448.962038055455</v>
      </c>
      <c r="G32" s="184">
        <f t="shared" si="23"/>
        <v>31093.69673558083</v>
      </c>
      <c r="H32" s="184">
        <f t="shared" si="23"/>
        <v>-20668.461452974196</v>
      </c>
      <c r="I32" s="184">
        <f t="shared" si="23"/>
        <v>-75923.499634813576</v>
      </c>
      <c r="J32" s="184">
        <f t="shared" si="23"/>
        <v>-80404.196161794986</v>
      </c>
      <c r="K32" s="184">
        <f t="shared" si="23"/>
        <v>-83418.571275664173</v>
      </c>
      <c r="L32" s="184">
        <f t="shared" si="23"/>
        <v>-86002.060064095975</v>
      </c>
      <c r="M32" s="184">
        <f t="shared" si="23"/>
        <v>-89018.559767676503</v>
      </c>
      <c r="N32" s="184">
        <f t="shared" si="23"/>
        <v>-93230.859863251142</v>
      </c>
      <c r="O32" s="184">
        <f t="shared" si="23"/>
        <v>67284.097643833142</v>
      </c>
      <c r="P32" s="184"/>
    </row>
    <row r="33" spans="1:16">
      <c r="B33" s="173"/>
      <c r="C33" s="181"/>
      <c r="D33" s="181"/>
      <c r="E33" s="181"/>
      <c r="F33" s="181"/>
      <c r="G33" s="181"/>
      <c r="H33" s="181"/>
      <c r="I33" s="181"/>
      <c r="J33" s="181"/>
      <c r="K33" s="181"/>
      <c r="L33" s="181"/>
      <c r="M33" s="181"/>
      <c r="N33" s="181"/>
      <c r="O33" s="181"/>
      <c r="P33" s="181"/>
    </row>
    <row r="34" spans="1:16" s="186" customFormat="1" ht="33" customHeight="1">
      <c r="A34" s="74">
        <v>23</v>
      </c>
      <c r="B34" s="185" t="s">
        <v>197</v>
      </c>
      <c r="C34" s="197">
        <v>31081757.223769773</v>
      </c>
      <c r="D34" s="197">
        <v>32082893.143769775</v>
      </c>
      <c r="E34" s="197">
        <v>33186243.143769775</v>
      </c>
      <c r="F34" s="197">
        <v>34765006.213769771</v>
      </c>
      <c r="G34" s="197">
        <v>36547856.86376977</v>
      </c>
      <c r="H34" s="197">
        <v>38750650.263769768</v>
      </c>
      <c r="I34" s="197">
        <v>41495768.803769767</v>
      </c>
      <c r="J34" s="197">
        <v>43224192.603769764</v>
      </c>
      <c r="K34" s="197">
        <v>44553943.793769762</v>
      </c>
      <c r="L34" s="197">
        <v>45928178.48376976</v>
      </c>
      <c r="M34" s="197">
        <v>47834107.453769758</v>
      </c>
      <c r="N34" s="197">
        <v>50178956.903769761</v>
      </c>
      <c r="P34" s="178">
        <f>AVERAGE(C34:N34)</f>
        <v>39969129.574603103</v>
      </c>
    </row>
    <row r="35" spans="1:16">
      <c r="A35" s="74">
        <v>24</v>
      </c>
      <c r="B35" s="173" t="s">
        <v>198</v>
      </c>
      <c r="C35" s="198">
        <v>-1457481.625132703</v>
      </c>
      <c r="D35" s="198">
        <v>-1519858.5760012758</v>
      </c>
      <c r="E35" s="198">
        <v>-1584313.7067158488</v>
      </c>
      <c r="F35" s="198">
        <v>-1651417.4240870464</v>
      </c>
      <c r="G35" s="198">
        <v>-1721840.7350067443</v>
      </c>
      <c r="H35" s="198">
        <v>-1796199.8694258172</v>
      </c>
      <c r="I35" s="198">
        <v>-1875445.0668856399</v>
      </c>
      <c r="J35" s="198">
        <v>-1959107.8874062127</v>
      </c>
      <c r="K35" s="198">
        <v>-2045790.6557294105</v>
      </c>
      <c r="L35" s="198">
        <v>-2135143.6101091085</v>
      </c>
      <c r="M35" s="198">
        <v>-2227735.7261030562</v>
      </c>
      <c r="N35" s="198">
        <v>-2324525.4857867537</v>
      </c>
      <c r="P35" s="178">
        <f>AVERAGE(C35:N35)</f>
        <v>-1858238.3640324685</v>
      </c>
    </row>
    <row r="36" spans="1:16" s="186" customFormat="1">
      <c r="A36" s="74">
        <v>25</v>
      </c>
      <c r="B36" s="185" t="s">
        <v>199</v>
      </c>
      <c r="C36" s="197">
        <v>-561208.79560055176</v>
      </c>
      <c r="D36" s="197">
        <v>-599299.41136356874</v>
      </c>
      <c r="E36" s="197">
        <v>-636953.60935892561</v>
      </c>
      <c r="F36" s="197">
        <v>-674051.60415639146</v>
      </c>
      <c r="G36" s="197">
        <v>-710452.48430867214</v>
      </c>
      <c r="H36" s="197">
        <v>-746026.84152608411</v>
      </c>
      <c r="I36" s="197">
        <v>-780575.12550493842</v>
      </c>
      <c r="J36" s="197">
        <v>-814195.70864103537</v>
      </c>
      <c r="K36" s="197">
        <v>-847182.10273858102</v>
      </c>
      <c r="L36" s="197">
        <v>-879607.7577642618</v>
      </c>
      <c r="M36" s="197">
        <v>-911353.18885094987</v>
      </c>
      <c r="N36" s="197">
        <v>-942217.11476279062</v>
      </c>
      <c r="P36" s="178">
        <f>AVERAGE(C36:N36)</f>
        <v>-758593.64538139582</v>
      </c>
    </row>
    <row r="37" spans="1:16">
      <c r="A37" s="74">
        <v>26</v>
      </c>
      <c r="B37" s="173" t="s">
        <v>200</v>
      </c>
      <c r="C37" s="181">
        <f t="shared" ref="C37:N37" si="24">SUM(C34:C36)</f>
        <v>29063066.803036518</v>
      </c>
      <c r="D37" s="181">
        <f t="shared" si="24"/>
        <v>29963735.156404931</v>
      </c>
      <c r="E37" s="181">
        <f t="shared" si="24"/>
        <v>30964975.827695001</v>
      </c>
      <c r="F37" s="181">
        <f t="shared" si="24"/>
        <v>32439537.185526334</v>
      </c>
      <c r="G37" s="181">
        <f t="shared" si="24"/>
        <v>34115563.644454353</v>
      </c>
      <c r="H37" s="181">
        <f t="shared" si="24"/>
        <v>36208423.552817866</v>
      </c>
      <c r="I37" s="181">
        <f t="shared" si="24"/>
        <v>38839748.611379184</v>
      </c>
      <c r="J37" s="181">
        <f t="shared" si="24"/>
        <v>40450889.007722512</v>
      </c>
      <c r="K37" s="181">
        <f t="shared" si="24"/>
        <v>41660971.035301767</v>
      </c>
      <c r="L37" s="181">
        <f t="shared" si="24"/>
        <v>42913427.115896389</v>
      </c>
      <c r="M37" s="181">
        <f t="shared" si="24"/>
        <v>44695018.538815759</v>
      </c>
      <c r="N37" s="181">
        <f t="shared" si="24"/>
        <v>46912214.30322022</v>
      </c>
      <c r="P37" s="178">
        <f>AVERAGE(C37:N37)</f>
        <v>37352297.565189235</v>
      </c>
    </row>
    <row r="38" spans="1:16">
      <c r="A38" s="74">
        <v>27</v>
      </c>
      <c r="B38" s="173" t="s">
        <v>201</v>
      </c>
      <c r="C38" s="93">
        <v>7.1199999999999999E-2</v>
      </c>
      <c r="D38" s="72">
        <f t="shared" ref="D38:G39" si="25">C38</f>
        <v>7.1199999999999999E-2</v>
      </c>
      <c r="E38" s="72">
        <f t="shared" si="25"/>
        <v>7.1199999999999999E-2</v>
      </c>
      <c r="F38" s="72">
        <f t="shared" si="25"/>
        <v>7.1199999999999999E-2</v>
      </c>
      <c r="G38" s="72">
        <f t="shared" si="25"/>
        <v>7.1199999999999999E-2</v>
      </c>
      <c r="H38" s="72">
        <f t="shared" ref="H38:M39" si="26">G38</f>
        <v>7.1199999999999999E-2</v>
      </c>
      <c r="I38" s="72">
        <f t="shared" si="26"/>
        <v>7.1199999999999999E-2</v>
      </c>
      <c r="J38" s="72">
        <f t="shared" si="26"/>
        <v>7.1199999999999999E-2</v>
      </c>
      <c r="K38" s="72">
        <f t="shared" si="26"/>
        <v>7.1199999999999999E-2</v>
      </c>
      <c r="L38" s="72">
        <f t="shared" si="26"/>
        <v>7.1199999999999999E-2</v>
      </c>
      <c r="M38" s="72">
        <f t="shared" si="26"/>
        <v>7.1199999999999999E-2</v>
      </c>
      <c r="N38" s="93">
        <f>(7.12%/31*20)+(7.03%/31*11)</f>
        <v>7.088064516129032E-2</v>
      </c>
    </row>
    <row r="39" spans="1:16">
      <c r="A39" s="74">
        <v>28</v>
      </c>
      <c r="B39" s="173" t="s">
        <v>202</v>
      </c>
      <c r="C39" s="93">
        <v>2.5600000000000001E-2</v>
      </c>
      <c r="D39" s="72">
        <f t="shared" si="25"/>
        <v>2.5600000000000001E-2</v>
      </c>
      <c r="E39" s="72">
        <f t="shared" si="25"/>
        <v>2.5600000000000001E-2</v>
      </c>
      <c r="F39" s="72">
        <f t="shared" si="25"/>
        <v>2.5600000000000001E-2</v>
      </c>
      <c r="G39" s="72">
        <f t="shared" si="25"/>
        <v>2.5600000000000001E-2</v>
      </c>
      <c r="H39" s="72">
        <f t="shared" si="26"/>
        <v>2.5600000000000001E-2</v>
      </c>
      <c r="I39" s="72">
        <f t="shared" si="26"/>
        <v>2.5600000000000001E-2</v>
      </c>
      <c r="J39" s="72">
        <f t="shared" si="26"/>
        <v>2.5600000000000001E-2</v>
      </c>
      <c r="K39" s="72">
        <f t="shared" si="26"/>
        <v>2.5600000000000001E-2</v>
      </c>
      <c r="L39" s="72">
        <f t="shared" si="26"/>
        <v>2.5600000000000001E-2</v>
      </c>
      <c r="M39" s="72">
        <f t="shared" si="26"/>
        <v>2.5600000000000001E-2</v>
      </c>
      <c r="N39" s="93">
        <f>(2.56%/31*20)+(2.47%/31*11)</f>
        <v>2.5280645161290326E-2</v>
      </c>
    </row>
    <row r="40" spans="1:16" s="29" customFormat="1">
      <c r="A40" s="182">
        <v>29</v>
      </c>
      <c r="B40" s="183" t="s">
        <v>203</v>
      </c>
      <c r="C40" s="184">
        <f t="shared" ref="C40:E40" si="27">C37*C38/12</f>
        <v>172440.86303134999</v>
      </c>
      <c r="D40" s="184">
        <f t="shared" si="27"/>
        <v>177784.82859466926</v>
      </c>
      <c r="E40" s="184">
        <f t="shared" si="27"/>
        <v>183725.52324432367</v>
      </c>
      <c r="F40" s="184">
        <f>F37*F38/12</f>
        <v>192474.58730078957</v>
      </c>
      <c r="G40" s="184">
        <f t="shared" ref="G40:M40" si="28">G37*G38/12</f>
        <v>202419.0109570958</v>
      </c>
      <c r="H40" s="184">
        <f t="shared" si="28"/>
        <v>214836.64641338601</v>
      </c>
      <c r="I40" s="184">
        <f t="shared" si="28"/>
        <v>230449.17509418316</v>
      </c>
      <c r="J40" s="184">
        <f t="shared" si="28"/>
        <v>240008.60811248689</v>
      </c>
      <c r="K40" s="184">
        <f t="shared" si="28"/>
        <v>247188.42814279048</v>
      </c>
      <c r="L40" s="184">
        <f t="shared" si="28"/>
        <v>254619.66755431856</v>
      </c>
      <c r="M40" s="184">
        <f t="shared" si="28"/>
        <v>265190.44333030685</v>
      </c>
      <c r="N40" s="184">
        <f>N37*N38/12</f>
        <v>277097.33464641339</v>
      </c>
      <c r="O40" s="184">
        <f>SUM(C40:N40)</f>
        <v>2658235.116422114</v>
      </c>
      <c r="P40" s="184"/>
    </row>
    <row r="42" spans="1:16" s="29" customFormat="1">
      <c r="A42" s="182">
        <v>30</v>
      </c>
      <c r="B42" s="183" t="s">
        <v>204</v>
      </c>
      <c r="C42" s="184">
        <f>C32-C40</f>
        <v>10964.341047852242</v>
      </c>
      <c r="D42" s="184">
        <f t="shared" ref="D42:N42" si="29">D32-D40</f>
        <v>-6968.8183165695227</v>
      </c>
      <c r="E42" s="184">
        <f t="shared" si="29"/>
        <v>-52539.09051115808</v>
      </c>
      <c r="F42" s="184">
        <f t="shared" si="29"/>
        <v>-113025.62526273412</v>
      </c>
      <c r="G42" s="184">
        <f t="shared" si="29"/>
        <v>-171325.31422151497</v>
      </c>
      <c r="H42" s="184">
        <f t="shared" si="29"/>
        <v>-235505.10786636022</v>
      </c>
      <c r="I42" s="184">
        <f t="shared" si="29"/>
        <v>-306372.6747289967</v>
      </c>
      <c r="J42" s="184">
        <f t="shared" si="29"/>
        <v>-320412.80427428189</v>
      </c>
      <c r="K42" s="184">
        <f t="shared" si="29"/>
        <v>-330606.99941845465</v>
      </c>
      <c r="L42" s="184">
        <f t="shared" si="29"/>
        <v>-340621.72761841456</v>
      </c>
      <c r="M42" s="184">
        <f t="shared" si="29"/>
        <v>-354209.00309798337</v>
      </c>
      <c r="N42" s="184">
        <f t="shared" si="29"/>
        <v>-370328.19450966455</v>
      </c>
      <c r="O42" s="184">
        <f>SUM(C42:N42)</f>
        <v>-2590951.0187782808</v>
      </c>
      <c r="P42" s="184"/>
    </row>
    <row r="44" spans="1:16">
      <c r="A44" s="74">
        <v>31</v>
      </c>
      <c r="B44" s="173" t="s">
        <v>220</v>
      </c>
      <c r="C44" s="193">
        <v>0</v>
      </c>
      <c r="D44" s="16">
        <f>C44</f>
        <v>0</v>
      </c>
      <c r="E44" s="16">
        <f>D44</f>
        <v>0</v>
      </c>
      <c r="F44" s="193">
        <v>0</v>
      </c>
      <c r="G44" s="16">
        <f>F44</f>
        <v>0</v>
      </c>
      <c r="H44" s="16">
        <f t="shared" ref="H44:N45" si="30">G44</f>
        <v>0</v>
      </c>
      <c r="I44" s="16">
        <f t="shared" si="30"/>
        <v>0</v>
      </c>
      <c r="J44" s="16">
        <f t="shared" si="30"/>
        <v>0</v>
      </c>
      <c r="K44" s="16">
        <f t="shared" si="30"/>
        <v>0</v>
      </c>
      <c r="L44" s="16">
        <f t="shared" si="30"/>
        <v>0</v>
      </c>
      <c r="M44" s="16">
        <f t="shared" si="30"/>
        <v>0</v>
      </c>
      <c r="N44" s="16">
        <f t="shared" si="30"/>
        <v>0</v>
      </c>
    </row>
    <row r="45" spans="1:16">
      <c r="A45" s="74">
        <v>32</v>
      </c>
      <c r="B45" s="173" t="s">
        <v>206</v>
      </c>
      <c r="C45" s="187">
        <v>3.8392000000000003E-2</v>
      </c>
      <c r="D45">
        <f>C45</f>
        <v>3.8392000000000003E-2</v>
      </c>
      <c r="E45">
        <f>D45</f>
        <v>3.8392000000000003E-2</v>
      </c>
      <c r="F45">
        <f>E45</f>
        <v>3.8392000000000003E-2</v>
      </c>
      <c r="G45">
        <f>F45</f>
        <v>3.8392000000000003E-2</v>
      </c>
      <c r="H45">
        <f t="shared" si="30"/>
        <v>3.8392000000000003E-2</v>
      </c>
      <c r="I45">
        <f t="shared" si="30"/>
        <v>3.8392000000000003E-2</v>
      </c>
      <c r="J45">
        <f t="shared" si="30"/>
        <v>3.8392000000000003E-2</v>
      </c>
      <c r="K45">
        <f t="shared" si="30"/>
        <v>3.8392000000000003E-2</v>
      </c>
      <c r="L45">
        <f t="shared" si="30"/>
        <v>3.8392000000000003E-2</v>
      </c>
      <c r="M45">
        <f t="shared" si="30"/>
        <v>3.8392000000000003E-2</v>
      </c>
      <c r="N45" s="187">
        <v>3.8392000000000003E-2</v>
      </c>
    </row>
    <row r="46" spans="1:16">
      <c r="A46" s="74">
        <v>33</v>
      </c>
      <c r="B46" s="173" t="s">
        <v>207</v>
      </c>
      <c r="C46" s="187">
        <v>3.326E-3</v>
      </c>
      <c r="D46">
        <f t="shared" ref="D46:F48" si="31">C46</f>
        <v>3.326E-3</v>
      </c>
      <c r="E46">
        <f t="shared" si="31"/>
        <v>3.326E-3</v>
      </c>
      <c r="F46">
        <f t="shared" si="31"/>
        <v>3.326E-3</v>
      </c>
      <c r="G46">
        <f t="shared" ref="G46:M48" si="32">F46</f>
        <v>3.326E-3</v>
      </c>
      <c r="H46">
        <f t="shared" si="32"/>
        <v>3.326E-3</v>
      </c>
      <c r="I46">
        <f t="shared" si="32"/>
        <v>3.326E-3</v>
      </c>
      <c r="J46">
        <f t="shared" si="32"/>
        <v>3.326E-3</v>
      </c>
      <c r="K46">
        <f t="shared" si="32"/>
        <v>3.326E-3</v>
      </c>
      <c r="L46">
        <f t="shared" si="32"/>
        <v>3.326E-3</v>
      </c>
      <c r="M46">
        <f t="shared" si="32"/>
        <v>3.326E-3</v>
      </c>
      <c r="N46" s="187">
        <v>3.326E-3</v>
      </c>
    </row>
    <row r="47" spans="1:16">
      <c r="A47" s="74">
        <v>34</v>
      </c>
      <c r="B47" s="173" t="s">
        <v>208</v>
      </c>
      <c r="C47" s="188">
        <v>2E-3</v>
      </c>
      <c r="D47" s="189">
        <f t="shared" si="31"/>
        <v>2E-3</v>
      </c>
      <c r="E47" s="189">
        <f t="shared" si="31"/>
        <v>2E-3</v>
      </c>
      <c r="F47" s="189">
        <f t="shared" si="31"/>
        <v>2E-3</v>
      </c>
      <c r="G47" s="189">
        <f t="shared" si="32"/>
        <v>2E-3</v>
      </c>
      <c r="H47" s="189">
        <f t="shared" si="32"/>
        <v>2E-3</v>
      </c>
      <c r="I47" s="189">
        <f t="shared" si="32"/>
        <v>2E-3</v>
      </c>
      <c r="J47" s="189">
        <f t="shared" si="32"/>
        <v>2E-3</v>
      </c>
      <c r="K47" s="189">
        <f t="shared" si="32"/>
        <v>2E-3</v>
      </c>
      <c r="L47" s="189">
        <f t="shared" si="32"/>
        <v>2E-3</v>
      </c>
      <c r="M47" s="189">
        <f t="shared" si="32"/>
        <v>2E-3</v>
      </c>
      <c r="N47" s="188">
        <v>2E-3</v>
      </c>
    </row>
    <row r="48" spans="1:16">
      <c r="A48" s="74">
        <v>35</v>
      </c>
      <c r="B48" s="173" t="s">
        <v>209</v>
      </c>
      <c r="C48" s="195">
        <v>0.21</v>
      </c>
      <c r="D48" s="191">
        <f t="shared" si="31"/>
        <v>0.21</v>
      </c>
      <c r="E48" s="191">
        <f t="shared" si="31"/>
        <v>0.21</v>
      </c>
      <c r="F48" s="191">
        <f t="shared" si="31"/>
        <v>0.21</v>
      </c>
      <c r="G48" s="191">
        <f t="shared" si="32"/>
        <v>0.21</v>
      </c>
      <c r="H48" s="191">
        <f t="shared" si="32"/>
        <v>0.21</v>
      </c>
      <c r="I48" s="191">
        <f t="shared" si="32"/>
        <v>0.21</v>
      </c>
      <c r="J48" s="191">
        <f t="shared" si="32"/>
        <v>0.21</v>
      </c>
      <c r="K48" s="191">
        <f t="shared" si="32"/>
        <v>0.21</v>
      </c>
      <c r="L48" s="191">
        <f t="shared" si="32"/>
        <v>0.21</v>
      </c>
      <c r="M48" s="191">
        <f t="shared" si="32"/>
        <v>0.21</v>
      </c>
      <c r="N48" s="195">
        <v>0.21</v>
      </c>
    </row>
    <row r="49" spans="1:15" ht="15" customHeight="1">
      <c r="A49" s="74">
        <v>36</v>
      </c>
      <c r="B49" s="173" t="s">
        <v>221</v>
      </c>
      <c r="C49" s="196">
        <v>1.84</v>
      </c>
      <c r="D49" s="196">
        <v>1.84</v>
      </c>
      <c r="E49" s="196">
        <v>1.84</v>
      </c>
      <c r="F49" s="196">
        <v>1.84</v>
      </c>
      <c r="G49" s="196">
        <v>1.84</v>
      </c>
      <c r="H49" s="196">
        <v>1.84</v>
      </c>
      <c r="I49" s="196">
        <v>1.84</v>
      </c>
      <c r="J49" s="196">
        <v>1.84</v>
      </c>
      <c r="K49" s="196">
        <v>1.84</v>
      </c>
      <c r="L49" s="196">
        <v>1.84</v>
      </c>
      <c r="M49" s="196">
        <v>1.84</v>
      </c>
      <c r="N49" s="196">
        <v>1.84</v>
      </c>
    </row>
    <row r="50" spans="1:15" ht="15" customHeight="1">
      <c r="A50" s="74">
        <v>37</v>
      </c>
      <c r="B50" s="173" t="s">
        <v>222</v>
      </c>
      <c r="C50" s="196">
        <v>0.26</v>
      </c>
      <c r="D50" s="196">
        <v>0.26</v>
      </c>
      <c r="E50" s="196">
        <v>0.26</v>
      </c>
      <c r="F50" s="196">
        <v>0.26</v>
      </c>
      <c r="G50" s="196">
        <v>0.26</v>
      </c>
      <c r="H50" s="196">
        <v>0.26</v>
      </c>
      <c r="I50" s="196">
        <v>0.26</v>
      </c>
      <c r="J50" s="196">
        <v>0.26</v>
      </c>
      <c r="K50" s="196">
        <v>0.26</v>
      </c>
      <c r="L50" s="196">
        <v>0.26</v>
      </c>
      <c r="M50" s="196">
        <v>0.26</v>
      </c>
      <c r="N50" s="196">
        <v>0.26</v>
      </c>
    </row>
    <row r="51" spans="1:15">
      <c r="B51" s="173"/>
    </row>
    <row r="52" spans="1:15">
      <c r="A52" s="30" t="s">
        <v>212</v>
      </c>
      <c r="B52" s="233" t="s">
        <v>213</v>
      </c>
      <c r="C52" s="233"/>
      <c r="D52" s="233"/>
      <c r="E52" s="233"/>
      <c r="F52" s="233"/>
      <c r="G52" s="233"/>
      <c r="H52" s="233"/>
      <c r="I52" s="233"/>
      <c r="J52" s="233"/>
      <c r="K52" s="233"/>
      <c r="L52" s="233"/>
      <c r="M52" s="233"/>
      <c r="N52" s="233"/>
      <c r="O52" s="233"/>
    </row>
    <row r="53" spans="1:15">
      <c r="A53" s="74" t="s">
        <v>214</v>
      </c>
      <c r="B53" t="s">
        <v>215</v>
      </c>
    </row>
    <row r="54" spans="1:15">
      <c r="A54" s="74" t="s">
        <v>216</v>
      </c>
      <c r="B54" t="s">
        <v>217</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2022</oddHeader>
    <oddFooter>&amp;Cfile: &amp;F /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71E2-886C-4EC7-ABCE-99F078E9F2E2}">
  <sheetPr>
    <tabColor rgb="FF92D050"/>
  </sheetPr>
  <dimension ref="A1:W84"/>
  <sheetViews>
    <sheetView workbookViewId="0">
      <selection sqref="A1:L1"/>
    </sheetView>
  </sheetViews>
  <sheetFormatPr defaultRowHeight="15"/>
  <cols>
    <col min="1" max="1" width="7.28515625" style="136" customWidth="1"/>
    <col min="2" max="2" width="39" customWidth="1"/>
    <col min="3" max="3" width="12.42578125" customWidth="1"/>
    <col min="4" max="5" width="12.7109375" customWidth="1"/>
    <col min="6" max="6" width="12.5703125" customWidth="1"/>
    <col min="7" max="7" width="12.7109375" customWidth="1"/>
    <col min="8" max="8" width="13" customWidth="1"/>
    <col min="9" max="9" width="13.28515625" bestFit="1" customWidth="1"/>
    <col min="10" max="10" width="12.42578125" customWidth="1"/>
    <col min="11" max="11" width="14" customWidth="1"/>
    <col min="12" max="12" width="12.5703125" customWidth="1"/>
    <col min="13" max="13" width="13.140625" customWidth="1"/>
    <col min="14" max="14" width="12.28515625" customWidth="1"/>
    <col min="15" max="15" width="13.5703125" customWidth="1"/>
    <col min="22" max="22" width="13.42578125" bestFit="1" customWidth="1"/>
    <col min="23" max="23" width="12.28515625" bestFit="1" customWidth="1"/>
  </cols>
  <sheetData>
    <row r="1" spans="1:20">
      <c r="A1" s="233" t="s">
        <v>223</v>
      </c>
      <c r="B1" s="233"/>
      <c r="C1" s="233"/>
      <c r="D1" s="233"/>
      <c r="E1" s="233"/>
      <c r="F1" s="233"/>
      <c r="G1" s="233"/>
      <c r="H1" s="233"/>
      <c r="I1" s="233"/>
      <c r="J1" s="233"/>
      <c r="K1" s="233"/>
      <c r="L1" s="233"/>
    </row>
    <row r="2" spans="1:20" ht="15.75" customHeight="1">
      <c r="A2" s="235" t="s">
        <v>224</v>
      </c>
      <c r="B2" s="235"/>
      <c r="C2" s="235"/>
      <c r="D2" s="235"/>
      <c r="E2" s="235"/>
      <c r="F2" s="235"/>
      <c r="G2" s="235"/>
      <c r="H2" s="235"/>
      <c r="I2" s="235"/>
      <c r="J2" s="235"/>
      <c r="K2" s="235"/>
      <c r="L2" s="235"/>
    </row>
    <row r="3" spans="1:20" ht="69.75" customHeight="1">
      <c r="A3" s="236" t="s">
        <v>225</v>
      </c>
      <c r="B3" s="236"/>
      <c r="C3" s="236"/>
      <c r="D3" s="236"/>
      <c r="E3" s="236"/>
      <c r="F3" s="236"/>
      <c r="G3" s="236"/>
      <c r="H3" s="236"/>
      <c r="I3" s="236"/>
      <c r="J3" s="236"/>
      <c r="K3" s="236"/>
      <c r="L3" s="236"/>
      <c r="M3" s="236"/>
      <c r="N3" s="236"/>
      <c r="O3" s="236"/>
    </row>
    <row r="4" spans="1:20" ht="60.75" customHeight="1">
      <c r="A4" s="236" t="s">
        <v>272</v>
      </c>
      <c r="B4" s="236"/>
      <c r="C4" s="236"/>
      <c r="D4" s="236"/>
      <c r="E4" s="236"/>
      <c r="F4" s="236"/>
      <c r="G4" s="236"/>
      <c r="H4" s="236"/>
      <c r="I4" s="236"/>
      <c r="J4" s="236"/>
      <c r="K4" s="236"/>
      <c r="L4" s="236"/>
      <c r="M4" s="236"/>
      <c r="N4" s="236"/>
      <c r="O4" s="236"/>
    </row>
    <row r="6" spans="1:20">
      <c r="A6" s="62" t="s">
        <v>1</v>
      </c>
      <c r="B6" s="172" t="s">
        <v>173</v>
      </c>
      <c r="C6" s="62">
        <v>44562</v>
      </c>
      <c r="D6" s="62">
        <f t="shared" ref="D6:N6" si="0">EDATE(C6,1)</f>
        <v>44593</v>
      </c>
      <c r="E6" s="62">
        <f t="shared" si="0"/>
        <v>44621</v>
      </c>
      <c r="F6" s="62">
        <f t="shared" si="0"/>
        <v>44652</v>
      </c>
      <c r="G6" s="62">
        <f t="shared" si="0"/>
        <v>44682</v>
      </c>
      <c r="H6" s="62">
        <f t="shared" si="0"/>
        <v>44713</v>
      </c>
      <c r="I6" s="62">
        <f t="shared" si="0"/>
        <v>44743</v>
      </c>
      <c r="J6" s="62">
        <f t="shared" si="0"/>
        <v>44774</v>
      </c>
      <c r="K6" s="62">
        <f t="shared" si="0"/>
        <v>44805</v>
      </c>
      <c r="L6" s="62">
        <f t="shared" si="0"/>
        <v>44835</v>
      </c>
      <c r="M6" s="62">
        <f t="shared" si="0"/>
        <v>44866</v>
      </c>
      <c r="N6" s="62">
        <f t="shared" si="0"/>
        <v>44896</v>
      </c>
      <c r="O6" s="62" t="s">
        <v>261</v>
      </c>
    </row>
    <row r="8" spans="1:20">
      <c r="A8" s="136">
        <v>1</v>
      </c>
      <c r="B8" t="s">
        <v>226</v>
      </c>
      <c r="C8" s="226">
        <v>1098</v>
      </c>
      <c r="D8" s="226">
        <v>930</v>
      </c>
      <c r="E8" s="226">
        <v>688</v>
      </c>
      <c r="F8" s="226">
        <v>679</v>
      </c>
      <c r="G8" s="226">
        <v>421</v>
      </c>
      <c r="H8" s="226">
        <v>123</v>
      </c>
      <c r="I8" s="226">
        <v>5</v>
      </c>
      <c r="J8" s="226">
        <v>3</v>
      </c>
      <c r="K8" s="226">
        <v>59</v>
      </c>
      <c r="L8" s="226">
        <v>302</v>
      </c>
      <c r="M8" s="226">
        <v>1090</v>
      </c>
      <c r="N8" s="226">
        <v>1279</v>
      </c>
      <c r="O8" s="176">
        <f>SUM(C8:N8)</f>
        <v>6677</v>
      </c>
      <c r="Q8" s="176">
        <f>SUM(C8:E8)</f>
        <v>2716</v>
      </c>
      <c r="R8" s="176">
        <f>SUM(F8:H8)</f>
        <v>1223</v>
      </c>
      <c r="S8" s="176">
        <f>SUM(I8:K8)</f>
        <v>67</v>
      </c>
      <c r="T8" s="176">
        <f>SUM(L8:N8)</f>
        <v>2671</v>
      </c>
    </row>
    <row r="9" spans="1:20">
      <c r="A9" s="136">
        <v>2</v>
      </c>
      <c r="B9" t="s">
        <v>227</v>
      </c>
      <c r="C9" s="226">
        <v>0</v>
      </c>
      <c r="D9" s="226">
        <v>0</v>
      </c>
      <c r="E9" s="226">
        <v>0</v>
      </c>
      <c r="F9" s="226">
        <v>0</v>
      </c>
      <c r="G9" s="226">
        <v>0</v>
      </c>
      <c r="H9" s="226">
        <v>37</v>
      </c>
      <c r="I9" s="226">
        <v>294</v>
      </c>
      <c r="J9" s="226">
        <v>353</v>
      </c>
      <c r="K9" s="226">
        <v>80</v>
      </c>
      <c r="L9" s="226">
        <v>1</v>
      </c>
      <c r="M9" s="226">
        <v>0</v>
      </c>
      <c r="N9" s="226">
        <v>0</v>
      </c>
      <c r="O9" s="176">
        <f>SUM(C9:N9)</f>
        <v>765</v>
      </c>
      <c r="Q9" s="176">
        <f>SUM(C11:E11)</f>
        <v>2798</v>
      </c>
      <c r="R9" s="176">
        <f>SUM(F11:H11)</f>
        <v>979</v>
      </c>
      <c r="S9" s="176">
        <f>SUM(I11:K11)</f>
        <v>214</v>
      </c>
      <c r="T9" s="176">
        <f>SUM(L11:N11)</f>
        <v>2518</v>
      </c>
    </row>
    <row r="10" spans="1:20" ht="17.25" customHeight="1">
      <c r="B10" s="86" t="s">
        <v>228</v>
      </c>
      <c r="Q10" s="176">
        <f>Q8-Q9</f>
        <v>-82</v>
      </c>
      <c r="R10" s="176">
        <f>R8-R9</f>
        <v>244</v>
      </c>
      <c r="S10" s="176">
        <f>S8-S9</f>
        <v>-147</v>
      </c>
      <c r="T10" s="176">
        <f>T8-T9</f>
        <v>153</v>
      </c>
    </row>
    <row r="11" spans="1:20">
      <c r="A11" s="136">
        <v>3</v>
      </c>
      <c r="B11" t="s">
        <v>229</v>
      </c>
      <c r="C11" s="226">
        <v>1096</v>
      </c>
      <c r="D11" s="226">
        <v>927</v>
      </c>
      <c r="E11" s="226">
        <v>775</v>
      </c>
      <c r="F11" s="226">
        <v>548</v>
      </c>
      <c r="G11" s="226">
        <v>298</v>
      </c>
      <c r="H11" s="226">
        <v>133</v>
      </c>
      <c r="I11" s="226">
        <v>25</v>
      </c>
      <c r="J11" s="226">
        <v>27</v>
      </c>
      <c r="K11" s="226">
        <v>162</v>
      </c>
      <c r="L11" s="226">
        <v>533</v>
      </c>
      <c r="M11" s="226">
        <v>861</v>
      </c>
      <c r="N11" s="226">
        <v>1124</v>
      </c>
      <c r="O11" s="176">
        <f>SUM(C11:N11)</f>
        <v>6509</v>
      </c>
    </row>
    <row r="12" spans="1:20">
      <c r="A12" s="136">
        <v>4</v>
      </c>
      <c r="B12" t="s">
        <v>230</v>
      </c>
      <c r="C12" s="226">
        <v>0</v>
      </c>
      <c r="D12" s="226">
        <v>0</v>
      </c>
      <c r="E12" s="226">
        <v>0</v>
      </c>
      <c r="F12" s="226">
        <v>0</v>
      </c>
      <c r="G12" s="226">
        <v>15</v>
      </c>
      <c r="H12" s="226">
        <v>57</v>
      </c>
      <c r="I12" s="226">
        <v>223</v>
      </c>
      <c r="J12" s="226">
        <v>193</v>
      </c>
      <c r="K12" s="226">
        <v>44</v>
      </c>
      <c r="L12" s="226">
        <v>1</v>
      </c>
      <c r="M12" s="226">
        <v>0</v>
      </c>
      <c r="N12" s="226">
        <v>0</v>
      </c>
      <c r="O12" s="176">
        <f>SUM(C12:N12)</f>
        <v>533</v>
      </c>
    </row>
    <row r="13" spans="1:20" ht="6.75" customHeight="1"/>
    <row r="14" spans="1:20">
      <c r="A14" s="136">
        <v>5</v>
      </c>
      <c r="B14" t="s">
        <v>231</v>
      </c>
      <c r="C14" s="176">
        <f>C11-C8</f>
        <v>-2</v>
      </c>
      <c r="D14" s="176">
        <f t="shared" ref="D14:N15" si="1">D11-D8</f>
        <v>-3</v>
      </c>
      <c r="E14" s="176">
        <f t="shared" si="1"/>
        <v>87</v>
      </c>
      <c r="F14" s="176">
        <f t="shared" si="1"/>
        <v>-131</v>
      </c>
      <c r="G14" s="176">
        <f t="shared" si="1"/>
        <v>-123</v>
      </c>
      <c r="H14" s="176">
        <f t="shared" si="1"/>
        <v>10</v>
      </c>
      <c r="I14" s="176">
        <f t="shared" si="1"/>
        <v>20</v>
      </c>
      <c r="J14" s="176">
        <f t="shared" si="1"/>
        <v>24</v>
      </c>
      <c r="K14" s="176">
        <f t="shared" si="1"/>
        <v>103</v>
      </c>
      <c r="L14" s="176">
        <f t="shared" si="1"/>
        <v>231</v>
      </c>
      <c r="M14" s="176">
        <f t="shared" si="1"/>
        <v>-229</v>
      </c>
      <c r="N14" s="176">
        <f t="shared" si="1"/>
        <v>-155</v>
      </c>
      <c r="O14" s="176">
        <f t="shared" ref="O14:O15" si="2">SUM(C14:N14)</f>
        <v>-168</v>
      </c>
    </row>
    <row r="15" spans="1:20">
      <c r="A15" s="136">
        <v>6</v>
      </c>
      <c r="B15" t="s">
        <v>232</v>
      </c>
      <c r="C15" s="176">
        <f>C12-C9</f>
        <v>0</v>
      </c>
      <c r="D15" s="176">
        <f t="shared" si="1"/>
        <v>0</v>
      </c>
      <c r="E15" s="176">
        <f t="shared" si="1"/>
        <v>0</v>
      </c>
      <c r="F15" s="176">
        <f t="shared" si="1"/>
        <v>0</v>
      </c>
      <c r="G15" s="176">
        <f t="shared" si="1"/>
        <v>15</v>
      </c>
      <c r="H15" s="176">
        <f t="shared" si="1"/>
        <v>20</v>
      </c>
      <c r="I15" s="176">
        <f t="shared" si="1"/>
        <v>-71</v>
      </c>
      <c r="J15" s="176">
        <f t="shared" si="1"/>
        <v>-160</v>
      </c>
      <c r="K15" s="176">
        <f t="shared" si="1"/>
        <v>-36</v>
      </c>
      <c r="L15" s="176">
        <f t="shared" si="1"/>
        <v>0</v>
      </c>
      <c r="M15" s="176">
        <f t="shared" si="1"/>
        <v>0</v>
      </c>
      <c r="N15" s="176">
        <f t="shared" si="1"/>
        <v>0</v>
      </c>
      <c r="O15" s="176">
        <f t="shared" si="2"/>
        <v>-232</v>
      </c>
    </row>
    <row r="16" spans="1:20" ht="7.5" customHeight="1"/>
    <row r="17" spans="1:23">
      <c r="A17" s="136">
        <v>7</v>
      </c>
      <c r="B17" t="s">
        <v>233</v>
      </c>
      <c r="C17" s="226">
        <v>-259983</v>
      </c>
      <c r="D17" s="226">
        <v>-389974</v>
      </c>
      <c r="E17" s="226">
        <v>11309252</v>
      </c>
      <c r="F17" s="226">
        <v>-12119463</v>
      </c>
      <c r="G17" s="226">
        <v>-6774114</v>
      </c>
      <c r="H17" s="226">
        <v>7069351</v>
      </c>
      <c r="I17" s="226">
        <v>-21576000</v>
      </c>
      <c r="J17" s="226">
        <v>-48863497</v>
      </c>
      <c r="K17" s="226">
        <v>-10990709</v>
      </c>
      <c r="L17" s="226">
        <v>21516553</v>
      </c>
      <c r="M17" s="226">
        <v>-21292611</v>
      </c>
      <c r="N17" s="226">
        <v>-20396345</v>
      </c>
      <c r="O17" s="176">
        <f t="shared" ref="O17:O18" si="3">SUM(C17:N17)</f>
        <v>-102767540</v>
      </c>
    </row>
    <row r="18" spans="1:23">
      <c r="A18" s="136">
        <v>8</v>
      </c>
      <c r="B18" t="s">
        <v>234</v>
      </c>
      <c r="C18" s="226">
        <v>-54563</v>
      </c>
      <c r="D18" s="226">
        <v>-81846</v>
      </c>
      <c r="E18" s="226">
        <v>2373507</v>
      </c>
      <c r="F18" s="226">
        <v>-985931</v>
      </c>
      <c r="G18" s="226">
        <v>877114</v>
      </c>
      <c r="H18" s="226">
        <v>2511594</v>
      </c>
      <c r="I18" s="226">
        <v>-8483215</v>
      </c>
      <c r="J18" s="226">
        <v>-19070901</v>
      </c>
      <c r="K18" s="226">
        <v>-4322117</v>
      </c>
      <c r="L18" s="226">
        <v>1754188</v>
      </c>
      <c r="M18" s="226">
        <v>-1660424</v>
      </c>
      <c r="N18" s="226">
        <v>-4263949</v>
      </c>
      <c r="O18" s="176">
        <f t="shared" si="3"/>
        <v>-31406543</v>
      </c>
    </row>
    <row r="20" spans="1:23">
      <c r="B20" s="86" t="s">
        <v>235</v>
      </c>
      <c r="C20" s="29"/>
      <c r="T20" t="s">
        <v>257</v>
      </c>
      <c r="U20" t="s">
        <v>258</v>
      </c>
      <c r="V20" t="s">
        <v>259</v>
      </c>
      <c r="W20" t="s">
        <v>260</v>
      </c>
    </row>
    <row r="21" spans="1:23">
      <c r="A21" s="136">
        <v>9</v>
      </c>
      <c r="B21" t="s">
        <v>236</v>
      </c>
      <c r="C21" s="227">
        <v>-23024</v>
      </c>
      <c r="D21" s="227">
        <v>-34536</v>
      </c>
      <c r="E21" s="227">
        <v>1001547</v>
      </c>
      <c r="F21" s="227">
        <v>-1073299</v>
      </c>
      <c r="G21" s="227">
        <v>-599915</v>
      </c>
      <c r="H21" s="227">
        <v>626062</v>
      </c>
      <c r="I21" s="227">
        <v>-1910770</v>
      </c>
      <c r="J21" s="227">
        <v>-4327351</v>
      </c>
      <c r="K21" s="227">
        <v>-973337</v>
      </c>
      <c r="L21" s="227">
        <v>1905506</v>
      </c>
      <c r="M21" s="227">
        <v>-1885673</v>
      </c>
      <c r="N21" s="227">
        <v>-1893679</v>
      </c>
      <c r="O21" s="181">
        <f>SUM(C21:N21)</f>
        <v>-9188469</v>
      </c>
      <c r="S21">
        <v>30</v>
      </c>
      <c r="T21" s="202">
        <f>O11</f>
        <v>6509</v>
      </c>
      <c r="U21" s="176">
        <f>O12</f>
        <v>533</v>
      </c>
      <c r="V21" s="176">
        <f>O17</f>
        <v>-102767540</v>
      </c>
      <c r="W21" s="176">
        <f>O18</f>
        <v>-31406543</v>
      </c>
    </row>
    <row r="22" spans="1:23">
      <c r="A22" s="136">
        <v>10</v>
      </c>
      <c r="B22" t="s">
        <v>237</v>
      </c>
      <c r="C22" s="181">
        <f>C23-C21</f>
        <v>-1163719.2072581835</v>
      </c>
      <c r="D22" s="181">
        <f t="shared" ref="D22:E22" si="4">D23-D21</f>
        <v>-691507.45068353042</v>
      </c>
      <c r="E22" s="181">
        <f t="shared" si="4"/>
        <v>-1364195.5451356471</v>
      </c>
      <c r="F22" s="181">
        <f>F23-F21</f>
        <v>655507.16397892497</v>
      </c>
      <c r="G22" s="181">
        <f t="shared" ref="G22:N22" si="5">G23-G21</f>
        <v>1693362.7169958092</v>
      </c>
      <c r="H22" s="181">
        <f t="shared" si="5"/>
        <v>-2507941.8398251645</v>
      </c>
      <c r="I22" s="181">
        <f t="shared" si="5"/>
        <v>1910770</v>
      </c>
      <c r="J22" s="181">
        <f t="shared" si="5"/>
        <v>4327351</v>
      </c>
      <c r="K22" s="181">
        <f t="shared" si="5"/>
        <v>973337</v>
      </c>
      <c r="L22" s="181">
        <f t="shared" si="5"/>
        <v>-1905506</v>
      </c>
      <c r="M22" s="181">
        <f t="shared" si="5"/>
        <v>1885673</v>
      </c>
      <c r="N22" s="181">
        <f t="shared" si="5"/>
        <v>1893679</v>
      </c>
      <c r="O22" s="181">
        <f>SUM(C22:N22)</f>
        <v>5706809.8380722087</v>
      </c>
      <c r="S22">
        <v>20</v>
      </c>
      <c r="T22" s="176">
        <f>O30</f>
        <v>6401</v>
      </c>
      <c r="U22" s="176">
        <f>O31</f>
        <v>598</v>
      </c>
      <c r="V22" s="176">
        <f>O36</f>
        <v>-91713224</v>
      </c>
      <c r="W22" s="176">
        <f>O37</f>
        <v>-24843367</v>
      </c>
    </row>
    <row r="23" spans="1:23">
      <c r="A23" s="136">
        <v>11</v>
      </c>
      <c r="B23" t="s">
        <v>238</v>
      </c>
      <c r="C23" s="201">
        <f>'Electric Deferral'!D29</f>
        <v>-1186743.2072581835</v>
      </c>
      <c r="D23" s="201">
        <f>'Electric Deferral'!E29</f>
        <v>-726043.45068353042</v>
      </c>
      <c r="E23" s="201">
        <f>'Electric Deferral'!F29</f>
        <v>-362648.54513564706</v>
      </c>
      <c r="F23" s="201">
        <f>'Electric Deferral'!G29</f>
        <v>-417791.83602107503</v>
      </c>
      <c r="G23" s="201">
        <f>'Electric Deferral'!H29</f>
        <v>1093447.7169958092</v>
      </c>
      <c r="H23" s="201">
        <f>'Electric Deferral'!I29</f>
        <v>-1881879.8398251645</v>
      </c>
      <c r="I23" s="201">
        <f>'Electric Deferral'!J29</f>
        <v>0</v>
      </c>
      <c r="J23" s="201">
        <f>'Electric Deferral'!K29</f>
        <v>0</v>
      </c>
      <c r="K23" s="201">
        <f>'Electric Deferral'!L29</f>
        <v>0</v>
      </c>
      <c r="L23" s="201">
        <f>'Electric Deferral'!M29</f>
        <v>0</v>
      </c>
      <c r="M23" s="201">
        <f>'Electric Deferral'!N29</f>
        <v>0</v>
      </c>
      <c r="N23" s="201">
        <f>'Electric Deferral'!O29</f>
        <v>0</v>
      </c>
      <c r="O23" s="194">
        <f t="shared" ref="O23" si="6">SUM(O21:O22)</f>
        <v>-3481659.1619277913</v>
      </c>
      <c r="S23">
        <v>15</v>
      </c>
      <c r="T23" s="176">
        <f>O49</f>
        <v>6396</v>
      </c>
      <c r="U23" s="176">
        <f>O50</f>
        <v>617</v>
      </c>
      <c r="V23" s="176">
        <f>O55</f>
        <v>-83904681</v>
      </c>
      <c r="W23" s="176">
        <f>O56</f>
        <v>-21877433</v>
      </c>
    </row>
    <row r="24" spans="1:23">
      <c r="S24">
        <v>10</v>
      </c>
      <c r="T24" s="176">
        <f>O68</f>
        <v>6213</v>
      </c>
      <c r="U24" s="202">
        <f>O69</f>
        <v>682</v>
      </c>
      <c r="V24" s="202">
        <f>O74</f>
        <v>-82437359</v>
      </c>
      <c r="W24" s="202">
        <f>O75</f>
        <v>-16546392</v>
      </c>
    </row>
    <row r="25" spans="1:23">
      <c r="A25" s="136">
        <v>12</v>
      </c>
      <c r="B25" t="s">
        <v>239</v>
      </c>
      <c r="C25" s="227">
        <v>-3644</v>
      </c>
      <c r="D25" s="227">
        <v>-5467</v>
      </c>
      <c r="E25" s="227">
        <v>158537</v>
      </c>
      <c r="F25" s="227">
        <v>-71243</v>
      </c>
      <c r="G25" s="227">
        <v>47836</v>
      </c>
      <c r="H25" s="227">
        <v>160509</v>
      </c>
      <c r="I25" s="227">
        <v>-540042</v>
      </c>
      <c r="J25" s="227">
        <v>-1214295</v>
      </c>
      <c r="K25" s="227">
        <v>-275124</v>
      </c>
      <c r="L25" s="227">
        <v>126788</v>
      </c>
      <c r="M25" s="227">
        <v>-120230</v>
      </c>
      <c r="N25" s="227">
        <v>-285865</v>
      </c>
      <c r="O25" s="181">
        <f>SUM(C25:N25)</f>
        <v>-2022240</v>
      </c>
    </row>
    <row r="26" spans="1:23">
      <c r="A26" s="136">
        <v>13</v>
      </c>
      <c r="B26" t="s">
        <v>240</v>
      </c>
      <c r="C26" s="181">
        <f>C27-C25</f>
        <v>1409260.8213626705</v>
      </c>
      <c r="D26" s="181">
        <f t="shared" ref="D26:E26" si="7">D27-D25</f>
        <v>353755.68224005774</v>
      </c>
      <c r="E26" s="181">
        <f t="shared" si="7"/>
        <v>-1175531.0079395566</v>
      </c>
      <c r="F26" s="181">
        <f>F27-F25</f>
        <v>1008287.3171795551</v>
      </c>
      <c r="G26" s="181">
        <f t="shared" ref="G26:N26" si="8">G27-G25</f>
        <v>117098.02948627062</v>
      </c>
      <c r="H26" s="181">
        <f t="shared" si="8"/>
        <v>1075586.5231123231</v>
      </c>
      <c r="I26" s="181">
        <f t="shared" si="8"/>
        <v>540042</v>
      </c>
      <c r="J26" s="181">
        <f t="shared" si="8"/>
        <v>1214295</v>
      </c>
      <c r="K26" s="181">
        <f t="shared" si="8"/>
        <v>275124</v>
      </c>
      <c r="L26" s="181">
        <f t="shared" si="8"/>
        <v>-126788</v>
      </c>
      <c r="M26" s="181">
        <f t="shared" si="8"/>
        <v>120230</v>
      </c>
      <c r="N26" s="181">
        <f t="shared" si="8"/>
        <v>285865</v>
      </c>
      <c r="O26" s="181">
        <f>SUM(C26:N26)</f>
        <v>5097225.3654413205</v>
      </c>
      <c r="T26" s="176">
        <f>MAX(T21:T24)</f>
        <v>6509</v>
      </c>
      <c r="U26" s="176">
        <f>MAX(U21:U24)</f>
        <v>682</v>
      </c>
      <c r="V26" s="176">
        <f>MAX(V21:V24)</f>
        <v>-82437359</v>
      </c>
      <c r="W26" s="176">
        <f>MAX(W21:W24)</f>
        <v>-16546392</v>
      </c>
    </row>
    <row r="27" spans="1:23">
      <c r="A27" s="136">
        <v>14</v>
      </c>
      <c r="B27" t="s">
        <v>241</v>
      </c>
      <c r="C27" s="201">
        <f>'Electric Deferral'!D57</f>
        <v>1405616.8213626705</v>
      </c>
      <c r="D27" s="201">
        <f>'Electric Deferral'!E57</f>
        <v>348288.68224005774</v>
      </c>
      <c r="E27" s="201">
        <f>'Electric Deferral'!F57</f>
        <v>-1016994.0079395566</v>
      </c>
      <c r="F27" s="201">
        <f>'Electric Deferral'!G57</f>
        <v>937044.31717955507</v>
      </c>
      <c r="G27" s="201">
        <f>'Electric Deferral'!H57</f>
        <v>164934.02948627062</v>
      </c>
      <c r="H27" s="201">
        <f>'Electric Deferral'!I57</f>
        <v>1236095.5231123231</v>
      </c>
      <c r="I27" s="201">
        <f>'Electric Deferral'!J57</f>
        <v>0</v>
      </c>
      <c r="J27" s="201">
        <f>'Electric Deferral'!K57</f>
        <v>0</v>
      </c>
      <c r="K27" s="201">
        <f>'Electric Deferral'!L57</f>
        <v>0</v>
      </c>
      <c r="L27" s="201">
        <f>'Electric Deferral'!M57</f>
        <v>0</v>
      </c>
      <c r="M27" s="201">
        <f>'Electric Deferral'!N57</f>
        <v>0</v>
      </c>
      <c r="N27" s="201">
        <f>'Electric Deferral'!O57</f>
        <v>0</v>
      </c>
      <c r="O27" s="194">
        <f t="shared" ref="O27" si="9">SUM(O25:O26)</f>
        <v>3074985.3654413205</v>
      </c>
      <c r="T27" s="176">
        <f>MIN(T21:T24)</f>
        <v>6213</v>
      </c>
      <c r="U27" s="176">
        <f>MIN(U21:U24)</f>
        <v>533</v>
      </c>
    </row>
    <row r="29" spans="1:23">
      <c r="B29" s="86" t="s">
        <v>242</v>
      </c>
    </row>
    <row r="30" spans="1:23">
      <c r="A30" s="136">
        <v>15</v>
      </c>
      <c r="B30" t="s">
        <v>243</v>
      </c>
      <c r="C30" s="226">
        <v>1091</v>
      </c>
      <c r="D30" s="226">
        <v>923</v>
      </c>
      <c r="E30" s="226">
        <v>762</v>
      </c>
      <c r="F30" s="226">
        <v>540</v>
      </c>
      <c r="G30" s="226">
        <v>283</v>
      </c>
      <c r="H30" s="226">
        <v>122</v>
      </c>
      <c r="I30" s="226">
        <v>14</v>
      </c>
      <c r="J30" s="226">
        <v>19</v>
      </c>
      <c r="K30" s="226">
        <v>155</v>
      </c>
      <c r="L30" s="226">
        <v>522</v>
      </c>
      <c r="M30" s="226">
        <v>855</v>
      </c>
      <c r="N30" s="226">
        <v>1115</v>
      </c>
      <c r="O30" s="176">
        <f>SUM(C30:N30)</f>
        <v>6401</v>
      </c>
    </row>
    <row r="31" spans="1:23">
      <c r="A31" s="136">
        <v>16</v>
      </c>
      <c r="B31" t="s">
        <v>244</v>
      </c>
      <c r="C31" s="226">
        <v>0</v>
      </c>
      <c r="D31" s="226">
        <v>0</v>
      </c>
      <c r="E31" s="226">
        <v>0</v>
      </c>
      <c r="F31" s="226">
        <v>0</v>
      </c>
      <c r="G31" s="226">
        <v>16</v>
      </c>
      <c r="H31" s="226">
        <v>71</v>
      </c>
      <c r="I31" s="226">
        <v>249</v>
      </c>
      <c r="J31" s="226">
        <v>214</v>
      </c>
      <c r="K31" s="226">
        <v>47</v>
      </c>
      <c r="L31" s="226">
        <v>1</v>
      </c>
      <c r="M31" s="226">
        <v>0</v>
      </c>
      <c r="N31" s="226">
        <v>0</v>
      </c>
      <c r="O31" s="176">
        <f>SUM(C31:N31)</f>
        <v>598</v>
      </c>
    </row>
    <row r="33" spans="1:15">
      <c r="A33" s="136">
        <v>17</v>
      </c>
      <c r="B33" t="s">
        <v>231</v>
      </c>
      <c r="C33" s="176">
        <f>C30-C8</f>
        <v>-7</v>
      </c>
      <c r="D33" s="176">
        <f t="shared" ref="D33:N34" si="10">D30-D8</f>
        <v>-7</v>
      </c>
      <c r="E33" s="176">
        <f t="shared" si="10"/>
        <v>74</v>
      </c>
      <c r="F33" s="176">
        <f t="shared" si="10"/>
        <v>-139</v>
      </c>
      <c r="G33" s="176">
        <f t="shared" si="10"/>
        <v>-138</v>
      </c>
      <c r="H33" s="176">
        <f t="shared" si="10"/>
        <v>-1</v>
      </c>
      <c r="I33" s="176">
        <f t="shared" si="10"/>
        <v>9</v>
      </c>
      <c r="J33" s="176">
        <f t="shared" si="10"/>
        <v>16</v>
      </c>
      <c r="K33" s="176">
        <f t="shared" si="10"/>
        <v>96</v>
      </c>
      <c r="L33" s="176">
        <f t="shared" si="10"/>
        <v>220</v>
      </c>
      <c r="M33" s="176">
        <f t="shared" si="10"/>
        <v>-235</v>
      </c>
      <c r="N33" s="176">
        <f t="shared" si="10"/>
        <v>-164</v>
      </c>
      <c r="O33" s="176">
        <f t="shared" ref="O33:O34" si="11">SUM(C33:N33)</f>
        <v>-276</v>
      </c>
    </row>
    <row r="34" spans="1:15">
      <c r="A34" s="136">
        <v>18</v>
      </c>
      <c r="B34" t="s">
        <v>232</v>
      </c>
      <c r="C34" s="176">
        <f>C31-C9</f>
        <v>0</v>
      </c>
      <c r="D34" s="176">
        <f t="shared" si="10"/>
        <v>0</v>
      </c>
      <c r="E34" s="176">
        <f t="shared" si="10"/>
        <v>0</v>
      </c>
      <c r="F34" s="176">
        <f t="shared" si="10"/>
        <v>0</v>
      </c>
      <c r="G34" s="176">
        <f t="shared" si="10"/>
        <v>16</v>
      </c>
      <c r="H34" s="176">
        <f t="shared" si="10"/>
        <v>34</v>
      </c>
      <c r="I34" s="176">
        <f t="shared" si="10"/>
        <v>-45</v>
      </c>
      <c r="J34" s="176">
        <f t="shared" si="10"/>
        <v>-139</v>
      </c>
      <c r="K34" s="176">
        <f t="shared" si="10"/>
        <v>-33</v>
      </c>
      <c r="L34" s="176">
        <f t="shared" si="10"/>
        <v>0</v>
      </c>
      <c r="M34" s="176">
        <f t="shared" si="10"/>
        <v>0</v>
      </c>
      <c r="N34" s="176">
        <f t="shared" si="10"/>
        <v>0</v>
      </c>
      <c r="O34" s="176">
        <f t="shared" si="11"/>
        <v>-167</v>
      </c>
    </row>
    <row r="36" spans="1:15">
      <c r="A36" s="136">
        <v>19</v>
      </c>
      <c r="B36" t="s">
        <v>245</v>
      </c>
      <c r="C36" s="226">
        <v>-909940</v>
      </c>
      <c r="D36" s="226">
        <v>-909940</v>
      </c>
      <c r="E36" s="226">
        <v>9619364</v>
      </c>
      <c r="F36" s="226">
        <v>-12859582</v>
      </c>
      <c r="G36" s="226">
        <v>-7850354</v>
      </c>
      <c r="H36" s="226">
        <v>10336328</v>
      </c>
      <c r="I36" s="226">
        <v>-13674930</v>
      </c>
      <c r="J36" s="226">
        <v>-42450163</v>
      </c>
      <c r="K36" s="226">
        <v>-10074817</v>
      </c>
      <c r="L36" s="226">
        <v>20491955</v>
      </c>
      <c r="M36" s="226">
        <v>-21850496</v>
      </c>
      <c r="N36" s="226">
        <v>-21580649</v>
      </c>
      <c r="O36" s="176">
        <f t="shared" ref="O36:O37" si="12">SUM(C36:N36)</f>
        <v>-91713224</v>
      </c>
    </row>
    <row r="37" spans="1:15">
      <c r="A37" s="136">
        <v>20</v>
      </c>
      <c r="B37" t="s">
        <v>246</v>
      </c>
      <c r="C37" s="226">
        <v>-190972</v>
      </c>
      <c r="D37" s="226">
        <v>-190972</v>
      </c>
      <c r="E37" s="226">
        <v>2018845</v>
      </c>
      <c r="F37" s="226">
        <v>-1046140</v>
      </c>
      <c r="G37" s="226">
        <v>884739</v>
      </c>
      <c r="H37" s="226">
        <v>4132413</v>
      </c>
      <c r="I37" s="226">
        <v>-5376686</v>
      </c>
      <c r="J37" s="226">
        <v>-16567846</v>
      </c>
      <c r="K37" s="226">
        <v>-3961942</v>
      </c>
      <c r="L37" s="226">
        <v>1670655</v>
      </c>
      <c r="M37" s="226">
        <v>-1703928</v>
      </c>
      <c r="N37" s="226">
        <v>-4511533</v>
      </c>
      <c r="O37" s="176">
        <f t="shared" si="12"/>
        <v>-24843367</v>
      </c>
    </row>
    <row r="39" spans="1:15">
      <c r="B39" s="86" t="s">
        <v>235</v>
      </c>
      <c r="C39" s="29"/>
    </row>
    <row r="40" spans="1:15">
      <c r="A40" s="136">
        <v>21</v>
      </c>
      <c r="B40" t="s">
        <v>236</v>
      </c>
      <c r="C40" s="227">
        <v>-80584</v>
      </c>
      <c r="D40" s="227">
        <v>-80584</v>
      </c>
      <c r="E40" s="227">
        <v>851891</v>
      </c>
      <c r="F40" s="227">
        <v>-1138845</v>
      </c>
      <c r="G40" s="227">
        <v>-695227</v>
      </c>
      <c r="H40" s="227">
        <v>915385</v>
      </c>
      <c r="I40" s="227">
        <v>-1211052</v>
      </c>
      <c r="J40" s="227">
        <v>-3759387</v>
      </c>
      <c r="K40" s="227">
        <v>-892225</v>
      </c>
      <c r="L40" s="227">
        <v>1814767</v>
      </c>
      <c r="M40" s="227">
        <v>-1935080</v>
      </c>
      <c r="N40" s="227">
        <v>-2003634</v>
      </c>
      <c r="O40" s="181">
        <f>SUM(C40:N40)</f>
        <v>-8214575</v>
      </c>
    </row>
    <row r="41" spans="1:15">
      <c r="A41" s="136">
        <v>22</v>
      </c>
      <c r="B41" t="s">
        <v>237</v>
      </c>
      <c r="C41" s="181">
        <f>C42-C40</f>
        <v>-1106159.2072581835</v>
      </c>
      <c r="D41" s="181">
        <f t="shared" ref="D41:E41" si="13">D42-D40</f>
        <v>-645459.45068353042</v>
      </c>
      <c r="E41" s="181">
        <f t="shared" si="13"/>
        <v>-1214539.5451356471</v>
      </c>
      <c r="F41" s="181">
        <f>F42-F40</f>
        <v>721053.16397892497</v>
      </c>
      <c r="G41" s="181">
        <f t="shared" ref="G41:N41" si="14">G42-G40</f>
        <v>1788674.7169958092</v>
      </c>
      <c r="H41" s="181">
        <f t="shared" si="14"/>
        <v>-2797264.8398251645</v>
      </c>
      <c r="I41" s="181">
        <f t="shared" si="14"/>
        <v>1211052</v>
      </c>
      <c r="J41" s="181">
        <f t="shared" si="14"/>
        <v>3759387</v>
      </c>
      <c r="K41" s="181">
        <f t="shared" si="14"/>
        <v>892225</v>
      </c>
      <c r="L41" s="181">
        <f t="shared" si="14"/>
        <v>-1814767</v>
      </c>
      <c r="M41" s="181">
        <f t="shared" si="14"/>
        <v>1935080</v>
      </c>
      <c r="N41" s="181">
        <f t="shared" si="14"/>
        <v>2003634</v>
      </c>
      <c r="O41" s="181">
        <f>SUM(C41:N41)</f>
        <v>4732915.8380722087</v>
      </c>
    </row>
    <row r="42" spans="1:15">
      <c r="A42" s="136">
        <v>23</v>
      </c>
      <c r="B42" t="s">
        <v>238</v>
      </c>
      <c r="C42" s="194">
        <f>C23</f>
        <v>-1186743.2072581835</v>
      </c>
      <c r="D42" s="194">
        <f t="shared" ref="D42:N42" si="15">D23</f>
        <v>-726043.45068353042</v>
      </c>
      <c r="E42" s="194">
        <f t="shared" si="15"/>
        <v>-362648.54513564706</v>
      </c>
      <c r="F42" s="194">
        <f t="shared" si="15"/>
        <v>-417791.83602107503</v>
      </c>
      <c r="G42" s="194">
        <f t="shared" si="15"/>
        <v>1093447.7169958092</v>
      </c>
      <c r="H42" s="194">
        <f t="shared" si="15"/>
        <v>-1881879.8398251645</v>
      </c>
      <c r="I42" s="194">
        <f t="shared" si="15"/>
        <v>0</v>
      </c>
      <c r="J42" s="194">
        <f t="shared" si="15"/>
        <v>0</v>
      </c>
      <c r="K42" s="194">
        <f t="shared" si="15"/>
        <v>0</v>
      </c>
      <c r="L42" s="194">
        <f t="shared" si="15"/>
        <v>0</v>
      </c>
      <c r="M42" s="194">
        <f t="shared" si="15"/>
        <v>0</v>
      </c>
      <c r="N42" s="194">
        <f t="shared" si="15"/>
        <v>0</v>
      </c>
      <c r="O42" s="181">
        <f>SUM(C42:N42)</f>
        <v>-3481659.1619277913</v>
      </c>
    </row>
    <row r="44" spans="1:15">
      <c r="A44" s="136">
        <v>24</v>
      </c>
      <c r="B44" t="s">
        <v>239</v>
      </c>
      <c r="C44" s="227">
        <v>-12755</v>
      </c>
      <c r="D44" s="227">
        <v>-12755</v>
      </c>
      <c r="E44" s="227">
        <v>134847</v>
      </c>
      <c r="F44" s="227">
        <v>-75595</v>
      </c>
      <c r="G44" s="227">
        <v>47352</v>
      </c>
      <c r="H44" s="227">
        <v>262940</v>
      </c>
      <c r="I44" s="227">
        <v>-342281</v>
      </c>
      <c r="J44" s="227">
        <v>-1054919</v>
      </c>
      <c r="K44" s="227">
        <v>-252198</v>
      </c>
      <c r="L44" s="227">
        <v>120751</v>
      </c>
      <c r="M44" s="227">
        <v>-123380</v>
      </c>
      <c r="N44" s="227">
        <v>-302464</v>
      </c>
      <c r="O44" s="181">
        <f>SUM(C44:N44)</f>
        <v>-1610457</v>
      </c>
    </row>
    <row r="45" spans="1:15">
      <c r="A45" s="136">
        <v>25</v>
      </c>
      <c r="B45" t="s">
        <v>240</v>
      </c>
      <c r="C45" s="181">
        <f>C46-C44</f>
        <v>1418371.8213626705</v>
      </c>
      <c r="D45" s="181">
        <f t="shared" ref="D45:N45" si="16">D46-D44</f>
        <v>361043.68224005774</v>
      </c>
      <c r="E45" s="181">
        <f t="shared" si="16"/>
        <v>-1151841.0079395566</v>
      </c>
      <c r="F45" s="181">
        <f t="shared" si="16"/>
        <v>1012639.3171795551</v>
      </c>
      <c r="G45" s="181">
        <f t="shared" si="16"/>
        <v>117582.02948627062</v>
      </c>
      <c r="H45" s="181">
        <f t="shared" si="16"/>
        <v>973155.52311232314</v>
      </c>
      <c r="I45" s="181">
        <f t="shared" si="16"/>
        <v>342281</v>
      </c>
      <c r="J45" s="181">
        <f t="shared" si="16"/>
        <v>1054919</v>
      </c>
      <c r="K45" s="181">
        <f t="shared" si="16"/>
        <v>252198</v>
      </c>
      <c r="L45" s="181">
        <f t="shared" si="16"/>
        <v>-120751</v>
      </c>
      <c r="M45" s="181">
        <f t="shared" si="16"/>
        <v>123380</v>
      </c>
      <c r="N45" s="181">
        <f t="shared" si="16"/>
        <v>302464</v>
      </c>
      <c r="O45" s="181">
        <f>SUM(C45:N45)</f>
        <v>4685442.3654413205</v>
      </c>
    </row>
    <row r="46" spans="1:15">
      <c r="A46" s="136">
        <v>26</v>
      </c>
      <c r="B46" t="s">
        <v>241</v>
      </c>
      <c r="C46" s="194">
        <f>C27</f>
        <v>1405616.8213626705</v>
      </c>
      <c r="D46" s="194">
        <f t="shared" ref="D46:N46" si="17">D27</f>
        <v>348288.68224005774</v>
      </c>
      <c r="E46" s="194">
        <f t="shared" si="17"/>
        <v>-1016994.0079395566</v>
      </c>
      <c r="F46" s="194">
        <f t="shared" si="17"/>
        <v>937044.31717955507</v>
      </c>
      <c r="G46" s="194">
        <f t="shared" si="17"/>
        <v>164934.02948627062</v>
      </c>
      <c r="H46" s="194">
        <f t="shared" si="17"/>
        <v>1236095.5231123231</v>
      </c>
      <c r="I46" s="194">
        <f t="shared" si="17"/>
        <v>0</v>
      </c>
      <c r="J46" s="194">
        <f t="shared" si="17"/>
        <v>0</v>
      </c>
      <c r="K46" s="194">
        <f t="shared" si="17"/>
        <v>0</v>
      </c>
      <c r="L46" s="194">
        <f t="shared" si="17"/>
        <v>0</v>
      </c>
      <c r="M46" s="194">
        <f t="shared" si="17"/>
        <v>0</v>
      </c>
      <c r="N46" s="194">
        <f t="shared" si="17"/>
        <v>0</v>
      </c>
      <c r="O46" s="181">
        <f>SUM(C46:N46)</f>
        <v>3074985.3654413205</v>
      </c>
    </row>
    <row r="48" spans="1:15">
      <c r="B48" s="86" t="s">
        <v>247</v>
      </c>
    </row>
    <row r="49" spans="1:15">
      <c r="A49" s="136">
        <v>27</v>
      </c>
      <c r="B49" t="s">
        <v>248</v>
      </c>
      <c r="C49" s="226">
        <v>1092</v>
      </c>
      <c r="D49" s="226">
        <v>932</v>
      </c>
      <c r="E49" s="226">
        <v>775</v>
      </c>
      <c r="F49" s="226">
        <v>545</v>
      </c>
      <c r="G49" s="226">
        <v>277</v>
      </c>
      <c r="H49" s="226">
        <v>120</v>
      </c>
      <c r="I49" s="226">
        <v>14</v>
      </c>
      <c r="J49" s="226">
        <v>18</v>
      </c>
      <c r="K49" s="226">
        <v>142</v>
      </c>
      <c r="L49" s="226">
        <v>521</v>
      </c>
      <c r="M49" s="226">
        <v>837</v>
      </c>
      <c r="N49" s="226">
        <v>1123</v>
      </c>
      <c r="O49" s="176">
        <f>SUM(C49:N49)</f>
        <v>6396</v>
      </c>
    </row>
    <row r="50" spans="1:15">
      <c r="A50" s="136">
        <v>28</v>
      </c>
      <c r="B50" t="s">
        <v>249</v>
      </c>
      <c r="C50" s="226">
        <v>0</v>
      </c>
      <c r="D50" s="226">
        <v>0</v>
      </c>
      <c r="E50" s="226">
        <v>0</v>
      </c>
      <c r="F50" s="226">
        <v>1</v>
      </c>
      <c r="G50" s="226">
        <v>17</v>
      </c>
      <c r="H50" s="226">
        <v>75</v>
      </c>
      <c r="I50" s="226">
        <v>245</v>
      </c>
      <c r="J50" s="226">
        <v>227</v>
      </c>
      <c r="K50" s="226">
        <v>51</v>
      </c>
      <c r="L50" s="226">
        <v>1</v>
      </c>
      <c r="M50" s="226">
        <v>0</v>
      </c>
      <c r="N50" s="226">
        <v>0</v>
      </c>
      <c r="O50" s="176">
        <f>SUM(C50:N50)</f>
        <v>617</v>
      </c>
    </row>
    <row r="52" spans="1:15">
      <c r="A52" s="136">
        <v>29</v>
      </c>
      <c r="B52" t="s">
        <v>231</v>
      </c>
      <c r="C52" s="176">
        <f>C49-C8</f>
        <v>-6</v>
      </c>
      <c r="D52" s="176">
        <f t="shared" ref="D52:N53" si="18">D49-D8</f>
        <v>2</v>
      </c>
      <c r="E52" s="176">
        <f t="shared" si="18"/>
        <v>87</v>
      </c>
      <c r="F52" s="176">
        <f t="shared" si="18"/>
        <v>-134</v>
      </c>
      <c r="G52" s="176">
        <f t="shared" si="18"/>
        <v>-144</v>
      </c>
      <c r="H52" s="176">
        <f t="shared" si="18"/>
        <v>-3</v>
      </c>
      <c r="I52" s="176">
        <f t="shared" si="18"/>
        <v>9</v>
      </c>
      <c r="J52" s="176">
        <f t="shared" si="18"/>
        <v>15</v>
      </c>
      <c r="K52" s="176">
        <f t="shared" si="18"/>
        <v>83</v>
      </c>
      <c r="L52" s="176">
        <f t="shared" si="18"/>
        <v>219</v>
      </c>
      <c r="M52" s="176">
        <f t="shared" si="18"/>
        <v>-253</v>
      </c>
      <c r="N52" s="176">
        <f t="shared" si="18"/>
        <v>-156</v>
      </c>
      <c r="O52" s="176">
        <f t="shared" ref="O52:O53" si="19">SUM(C52:N52)</f>
        <v>-281</v>
      </c>
    </row>
    <row r="53" spans="1:15">
      <c r="A53" s="136">
        <v>30</v>
      </c>
      <c r="B53" t="s">
        <v>232</v>
      </c>
      <c r="C53" s="176">
        <f>C50-C9</f>
        <v>0</v>
      </c>
      <c r="D53" s="176">
        <f t="shared" si="18"/>
        <v>0</v>
      </c>
      <c r="E53" s="176">
        <f t="shared" si="18"/>
        <v>0</v>
      </c>
      <c r="F53" s="176">
        <f t="shared" si="18"/>
        <v>1</v>
      </c>
      <c r="G53" s="176">
        <f t="shared" si="18"/>
        <v>17</v>
      </c>
      <c r="H53" s="176">
        <f t="shared" si="18"/>
        <v>38</v>
      </c>
      <c r="I53" s="176">
        <f t="shared" si="18"/>
        <v>-49</v>
      </c>
      <c r="J53" s="176">
        <f t="shared" si="18"/>
        <v>-126</v>
      </c>
      <c r="K53" s="176">
        <f t="shared" si="18"/>
        <v>-29</v>
      </c>
      <c r="L53" s="176">
        <f t="shared" si="18"/>
        <v>0</v>
      </c>
      <c r="M53" s="176">
        <f t="shared" si="18"/>
        <v>0</v>
      </c>
      <c r="N53" s="176">
        <f t="shared" si="18"/>
        <v>0</v>
      </c>
      <c r="O53" s="176">
        <f t="shared" si="19"/>
        <v>-148</v>
      </c>
    </row>
    <row r="55" spans="1:15">
      <c r="A55" s="136">
        <v>31</v>
      </c>
      <c r="B55" t="s">
        <v>250</v>
      </c>
      <c r="C55" s="226">
        <v>-779948</v>
      </c>
      <c r="D55" s="226">
        <v>259983</v>
      </c>
      <c r="E55" s="226">
        <v>11309252</v>
      </c>
      <c r="F55" s="226">
        <v>-12093224</v>
      </c>
      <c r="G55" s="226">
        <v>-8099874</v>
      </c>
      <c r="H55" s="226">
        <v>11376516</v>
      </c>
      <c r="I55" s="226">
        <v>-14890479</v>
      </c>
      <c r="J55" s="226">
        <v>-38480004</v>
      </c>
      <c r="K55" s="226">
        <v>-8853627</v>
      </c>
      <c r="L55" s="226">
        <v>20398810</v>
      </c>
      <c r="M55" s="226">
        <v>-23524151</v>
      </c>
      <c r="N55" s="226">
        <v>-20527935</v>
      </c>
      <c r="O55" s="176">
        <f t="shared" ref="O55:O56" si="20">SUM(C55:N55)</f>
        <v>-83904681</v>
      </c>
    </row>
    <row r="56" spans="1:15">
      <c r="A56" s="136">
        <v>32</v>
      </c>
      <c r="B56" t="s">
        <v>251</v>
      </c>
      <c r="C56" s="226">
        <v>-163690</v>
      </c>
      <c r="D56" s="226">
        <v>54563</v>
      </c>
      <c r="E56" s="226">
        <v>2373507</v>
      </c>
      <c r="F56" s="226">
        <v>-888212</v>
      </c>
      <c r="G56" s="226">
        <v>959665</v>
      </c>
      <c r="H56" s="226">
        <v>4604223</v>
      </c>
      <c r="I56" s="226">
        <v>-5854612</v>
      </c>
      <c r="J56" s="226">
        <v>-15018333</v>
      </c>
      <c r="K56" s="226">
        <v>-3481706</v>
      </c>
      <c r="L56" s="226">
        <v>1663062</v>
      </c>
      <c r="M56" s="226">
        <v>-1834442</v>
      </c>
      <c r="N56" s="226">
        <v>-4291458</v>
      </c>
      <c r="O56" s="176">
        <f t="shared" si="20"/>
        <v>-21877433</v>
      </c>
    </row>
    <row r="58" spans="1:15">
      <c r="B58" s="86" t="s">
        <v>235</v>
      </c>
      <c r="C58" s="29"/>
    </row>
    <row r="59" spans="1:15">
      <c r="A59" s="136">
        <v>33</v>
      </c>
      <c r="B59" t="s">
        <v>236</v>
      </c>
      <c r="C59" s="227">
        <v>-69072</v>
      </c>
      <c r="D59" s="227">
        <v>23024</v>
      </c>
      <c r="E59" s="227">
        <v>1001547</v>
      </c>
      <c r="F59" s="227">
        <v>-1070976</v>
      </c>
      <c r="G59" s="227">
        <v>-717325</v>
      </c>
      <c r="H59" s="227">
        <v>1007504</v>
      </c>
      <c r="I59" s="227">
        <v>-1318700</v>
      </c>
      <c r="J59" s="227">
        <v>-3407789</v>
      </c>
      <c r="K59" s="227">
        <v>-784078</v>
      </c>
      <c r="L59" s="227">
        <v>1806518</v>
      </c>
      <c r="M59" s="227">
        <v>-2083299</v>
      </c>
      <c r="N59" s="227">
        <v>-1905896</v>
      </c>
      <c r="O59" s="181">
        <f>SUM(C59:N59)</f>
        <v>-7518542</v>
      </c>
    </row>
    <row r="60" spans="1:15">
      <c r="A60" s="136">
        <v>34</v>
      </c>
      <c r="B60" t="s">
        <v>237</v>
      </c>
      <c r="C60" s="181">
        <f>C61-C59</f>
        <v>-1117671.2072581835</v>
      </c>
      <c r="D60" s="181">
        <f t="shared" ref="D60:E60" si="21">D61-D59</f>
        <v>-749067.45068353042</v>
      </c>
      <c r="E60" s="181">
        <f t="shared" si="21"/>
        <v>-1364195.5451356471</v>
      </c>
      <c r="F60" s="181">
        <f>F61-F59</f>
        <v>653184.16397892497</v>
      </c>
      <c r="G60" s="181">
        <f t="shared" ref="G60:N60" si="22">G61-G59</f>
        <v>1810772.7169958092</v>
      </c>
      <c r="H60" s="181">
        <f t="shared" si="22"/>
        <v>-2889383.8398251645</v>
      </c>
      <c r="I60" s="181">
        <f t="shared" si="22"/>
        <v>1318700</v>
      </c>
      <c r="J60" s="181">
        <f t="shared" si="22"/>
        <v>3407789</v>
      </c>
      <c r="K60" s="181">
        <f t="shared" si="22"/>
        <v>784078</v>
      </c>
      <c r="L60" s="181">
        <f t="shared" si="22"/>
        <v>-1806518</v>
      </c>
      <c r="M60" s="181">
        <f t="shared" si="22"/>
        <v>2083299</v>
      </c>
      <c r="N60" s="181">
        <f t="shared" si="22"/>
        <v>1905896</v>
      </c>
      <c r="O60" s="181">
        <f>SUM(C60:N60)</f>
        <v>4036882.8380722087</v>
      </c>
    </row>
    <row r="61" spans="1:15">
      <c r="A61" s="136">
        <v>35</v>
      </c>
      <c r="B61" t="s">
        <v>238</v>
      </c>
      <c r="C61" s="200">
        <f>C23</f>
        <v>-1186743.2072581835</v>
      </c>
      <c r="D61" s="200">
        <f t="shared" ref="D61:N61" si="23">D23</f>
        <v>-726043.45068353042</v>
      </c>
      <c r="E61" s="200">
        <f t="shared" si="23"/>
        <v>-362648.54513564706</v>
      </c>
      <c r="F61" s="200">
        <f t="shared" si="23"/>
        <v>-417791.83602107503</v>
      </c>
      <c r="G61" s="200">
        <f t="shared" si="23"/>
        <v>1093447.7169958092</v>
      </c>
      <c r="H61" s="200">
        <f t="shared" si="23"/>
        <v>-1881879.8398251645</v>
      </c>
      <c r="I61" s="200">
        <f t="shared" si="23"/>
        <v>0</v>
      </c>
      <c r="J61" s="200">
        <f t="shared" si="23"/>
        <v>0</v>
      </c>
      <c r="K61" s="200">
        <f t="shared" si="23"/>
        <v>0</v>
      </c>
      <c r="L61" s="200">
        <f t="shared" si="23"/>
        <v>0</v>
      </c>
      <c r="M61" s="200">
        <f t="shared" si="23"/>
        <v>0</v>
      </c>
      <c r="N61" s="200">
        <f t="shared" si="23"/>
        <v>0</v>
      </c>
      <c r="O61" s="181">
        <f>SUM(C61:N61)</f>
        <v>-3481659.1619277913</v>
      </c>
    </row>
    <row r="63" spans="1:15">
      <c r="A63" s="136">
        <v>36</v>
      </c>
      <c r="B63" t="s">
        <v>239</v>
      </c>
      <c r="C63" s="227">
        <v>-10934</v>
      </c>
      <c r="D63" s="227">
        <v>3644</v>
      </c>
      <c r="E63" s="227">
        <v>158537</v>
      </c>
      <c r="F63" s="227">
        <v>-65223</v>
      </c>
      <c r="G63" s="227">
        <v>51729</v>
      </c>
      <c r="H63" s="227">
        <v>292837</v>
      </c>
      <c r="I63" s="227">
        <v>-372706</v>
      </c>
      <c r="J63" s="227">
        <v>-956257</v>
      </c>
      <c r="K63" s="227">
        <v>-221629</v>
      </c>
      <c r="L63" s="227">
        <v>120201</v>
      </c>
      <c r="M63" s="227">
        <v>-132830</v>
      </c>
      <c r="N63" s="227">
        <v>-287709</v>
      </c>
      <c r="O63" s="181">
        <f>SUM(C63:N63)</f>
        <v>-1420340</v>
      </c>
    </row>
    <row r="64" spans="1:15">
      <c r="A64" s="136">
        <v>37</v>
      </c>
      <c r="B64" t="s">
        <v>240</v>
      </c>
      <c r="C64" s="181">
        <f>C65-C63</f>
        <v>1416550.8213626705</v>
      </c>
      <c r="D64" s="181">
        <f t="shared" ref="D64:N64" si="24">D65-D63</f>
        <v>344644.68224005774</v>
      </c>
      <c r="E64" s="181">
        <f t="shared" si="24"/>
        <v>-1175531.0079395566</v>
      </c>
      <c r="F64" s="181">
        <f t="shared" si="24"/>
        <v>1002267.3171795551</v>
      </c>
      <c r="G64" s="181">
        <f t="shared" si="24"/>
        <v>113205.02948627062</v>
      </c>
      <c r="H64" s="181">
        <f t="shared" si="24"/>
        <v>943258.52311232314</v>
      </c>
      <c r="I64" s="181">
        <f t="shared" si="24"/>
        <v>372706</v>
      </c>
      <c r="J64" s="181">
        <f t="shared" si="24"/>
        <v>956257</v>
      </c>
      <c r="K64" s="181">
        <f t="shared" si="24"/>
        <v>221629</v>
      </c>
      <c r="L64" s="181">
        <f t="shared" si="24"/>
        <v>-120201</v>
      </c>
      <c r="M64" s="181">
        <f t="shared" si="24"/>
        <v>132830</v>
      </c>
      <c r="N64" s="181">
        <f t="shared" si="24"/>
        <v>287709</v>
      </c>
      <c r="O64" s="181">
        <f>SUM(C64:N64)</f>
        <v>4495325.3654413205</v>
      </c>
    </row>
    <row r="65" spans="1:15">
      <c r="A65" s="136">
        <v>38</v>
      </c>
      <c r="B65" t="s">
        <v>241</v>
      </c>
      <c r="C65" s="200">
        <f>C27</f>
        <v>1405616.8213626705</v>
      </c>
      <c r="D65" s="200">
        <f t="shared" ref="D65:N65" si="25">D27</f>
        <v>348288.68224005774</v>
      </c>
      <c r="E65" s="200">
        <f t="shared" si="25"/>
        <v>-1016994.0079395566</v>
      </c>
      <c r="F65" s="200">
        <f t="shared" si="25"/>
        <v>937044.31717955507</v>
      </c>
      <c r="G65" s="200">
        <f t="shared" si="25"/>
        <v>164934.02948627062</v>
      </c>
      <c r="H65" s="200">
        <f t="shared" si="25"/>
        <v>1236095.5231123231</v>
      </c>
      <c r="I65" s="200">
        <f t="shared" si="25"/>
        <v>0</v>
      </c>
      <c r="J65" s="200">
        <f t="shared" si="25"/>
        <v>0</v>
      </c>
      <c r="K65" s="200">
        <f t="shared" si="25"/>
        <v>0</v>
      </c>
      <c r="L65" s="200">
        <f t="shared" si="25"/>
        <v>0</v>
      </c>
      <c r="M65" s="200">
        <f t="shared" si="25"/>
        <v>0</v>
      </c>
      <c r="N65" s="200">
        <f t="shared" si="25"/>
        <v>0</v>
      </c>
      <c r="O65" s="181">
        <f>SUM(C65:N65)</f>
        <v>3074985.3654413205</v>
      </c>
    </row>
    <row r="67" spans="1:15">
      <c r="B67" s="86" t="s">
        <v>252</v>
      </c>
    </row>
    <row r="68" spans="1:15">
      <c r="A68" s="136">
        <v>39</v>
      </c>
      <c r="B68" t="s">
        <v>253</v>
      </c>
      <c r="C68" s="226">
        <v>1084</v>
      </c>
      <c r="D68" s="226">
        <v>939</v>
      </c>
      <c r="E68" s="226">
        <v>747</v>
      </c>
      <c r="F68" s="226">
        <v>518</v>
      </c>
      <c r="G68" s="226">
        <v>241</v>
      </c>
      <c r="H68" s="226">
        <v>98</v>
      </c>
      <c r="I68" s="226">
        <v>10</v>
      </c>
      <c r="J68" s="226">
        <v>11</v>
      </c>
      <c r="K68" s="226">
        <v>144</v>
      </c>
      <c r="L68" s="226">
        <v>508</v>
      </c>
      <c r="M68" s="226">
        <v>820</v>
      </c>
      <c r="N68" s="226">
        <v>1093</v>
      </c>
      <c r="O68" s="176">
        <f>SUM(C68:N68)</f>
        <v>6213</v>
      </c>
    </row>
    <row r="69" spans="1:15">
      <c r="A69" s="136">
        <v>40</v>
      </c>
      <c r="B69" t="s">
        <v>254</v>
      </c>
      <c r="C69" s="226">
        <v>0</v>
      </c>
      <c r="D69" s="226">
        <v>0</v>
      </c>
      <c r="E69" s="226">
        <v>0</v>
      </c>
      <c r="F69" s="226">
        <v>1</v>
      </c>
      <c r="G69" s="226">
        <v>18</v>
      </c>
      <c r="H69" s="226">
        <v>96</v>
      </c>
      <c r="I69" s="226">
        <v>271</v>
      </c>
      <c r="J69" s="226">
        <v>244</v>
      </c>
      <c r="K69" s="226">
        <v>51</v>
      </c>
      <c r="L69" s="226">
        <v>1</v>
      </c>
      <c r="M69" s="226">
        <v>0</v>
      </c>
      <c r="N69" s="226">
        <v>0</v>
      </c>
      <c r="O69" s="176">
        <f>SUM(C69:N69)</f>
        <v>682</v>
      </c>
    </row>
    <row r="71" spans="1:15">
      <c r="A71" s="136">
        <v>41</v>
      </c>
      <c r="B71" t="s">
        <v>231</v>
      </c>
      <c r="C71" s="176">
        <f>C68-C8</f>
        <v>-14</v>
      </c>
      <c r="D71" s="176">
        <f t="shared" ref="D71:N72" si="26">D68-D8</f>
        <v>9</v>
      </c>
      <c r="E71" s="176">
        <f t="shared" si="26"/>
        <v>59</v>
      </c>
      <c r="F71" s="176">
        <f t="shared" si="26"/>
        <v>-161</v>
      </c>
      <c r="G71" s="176">
        <f t="shared" si="26"/>
        <v>-180</v>
      </c>
      <c r="H71" s="176">
        <f t="shared" si="26"/>
        <v>-25</v>
      </c>
      <c r="I71" s="176">
        <f t="shared" si="26"/>
        <v>5</v>
      </c>
      <c r="J71" s="176">
        <f t="shared" si="26"/>
        <v>8</v>
      </c>
      <c r="K71" s="176">
        <f t="shared" si="26"/>
        <v>85</v>
      </c>
      <c r="L71" s="176">
        <f t="shared" si="26"/>
        <v>206</v>
      </c>
      <c r="M71" s="176">
        <f t="shared" si="26"/>
        <v>-270</v>
      </c>
      <c r="N71" s="176">
        <f t="shared" si="26"/>
        <v>-186</v>
      </c>
      <c r="O71" s="176">
        <f t="shared" ref="O71:O72" si="27">SUM(C71:N71)</f>
        <v>-464</v>
      </c>
    </row>
    <row r="72" spans="1:15">
      <c r="A72" s="136">
        <v>42</v>
      </c>
      <c r="B72" t="s">
        <v>232</v>
      </c>
      <c r="C72" s="176">
        <f>C69-C9</f>
        <v>0</v>
      </c>
      <c r="D72" s="176">
        <f t="shared" si="26"/>
        <v>0</v>
      </c>
      <c r="E72" s="176">
        <f t="shared" si="26"/>
        <v>0</v>
      </c>
      <c r="F72" s="176">
        <f t="shared" si="26"/>
        <v>1</v>
      </c>
      <c r="G72" s="176">
        <f t="shared" si="26"/>
        <v>18</v>
      </c>
      <c r="H72" s="176">
        <f t="shared" si="26"/>
        <v>59</v>
      </c>
      <c r="I72" s="176">
        <f t="shared" si="26"/>
        <v>-23</v>
      </c>
      <c r="J72" s="176">
        <f t="shared" si="26"/>
        <v>-109</v>
      </c>
      <c r="K72" s="176">
        <f t="shared" si="26"/>
        <v>-29</v>
      </c>
      <c r="L72" s="176">
        <f t="shared" si="26"/>
        <v>0</v>
      </c>
      <c r="M72" s="176">
        <f t="shared" si="26"/>
        <v>0</v>
      </c>
      <c r="N72" s="176">
        <f t="shared" si="26"/>
        <v>0</v>
      </c>
      <c r="O72" s="176">
        <f t="shared" si="27"/>
        <v>-83</v>
      </c>
    </row>
    <row r="74" spans="1:15">
      <c r="A74" s="136">
        <v>43</v>
      </c>
      <c r="B74" t="s">
        <v>255</v>
      </c>
      <c r="C74" s="226">
        <v>-1819880</v>
      </c>
      <c r="D74" s="226">
        <v>1169923</v>
      </c>
      <c r="E74" s="226">
        <v>7669493</v>
      </c>
      <c r="F74" s="226">
        <v>-14591128</v>
      </c>
      <c r="G74" s="226">
        <v>-11105127</v>
      </c>
      <c r="H74" s="226">
        <v>15763169</v>
      </c>
      <c r="I74" s="226">
        <v>-6989408</v>
      </c>
      <c r="J74" s="226">
        <v>-33288257</v>
      </c>
      <c r="K74" s="226">
        <v>-8853627</v>
      </c>
      <c r="L74" s="226">
        <v>19187922</v>
      </c>
      <c r="M74" s="226">
        <v>-25104825</v>
      </c>
      <c r="N74" s="226">
        <v>-24475614</v>
      </c>
      <c r="O74" s="176">
        <f t="shared" ref="O74:O75" si="28">SUM(C74:N74)</f>
        <v>-82437359</v>
      </c>
    </row>
    <row r="75" spans="1:15">
      <c r="A75" s="136">
        <v>44</v>
      </c>
      <c r="B75" t="s">
        <v>256</v>
      </c>
      <c r="C75" s="226">
        <v>-381943</v>
      </c>
      <c r="D75" s="226">
        <v>245535</v>
      </c>
      <c r="E75" s="226">
        <v>1609620</v>
      </c>
      <c r="F75" s="226">
        <v>-1091418</v>
      </c>
      <c r="G75" s="226">
        <v>810255</v>
      </c>
      <c r="H75" s="226">
        <v>6993502</v>
      </c>
      <c r="I75" s="226">
        <v>-2748083</v>
      </c>
      <c r="J75" s="226">
        <v>-12992051</v>
      </c>
      <c r="K75" s="226">
        <v>-3481706</v>
      </c>
      <c r="L75" s="226">
        <v>1564341</v>
      </c>
      <c r="M75" s="226">
        <v>-1957705</v>
      </c>
      <c r="N75" s="226">
        <v>-5116739</v>
      </c>
      <c r="O75" s="176">
        <f t="shared" si="28"/>
        <v>-16546392</v>
      </c>
    </row>
    <row r="77" spans="1:15">
      <c r="B77" s="86" t="s">
        <v>235</v>
      </c>
      <c r="C77" s="29"/>
    </row>
    <row r="78" spans="1:15">
      <c r="A78" s="136">
        <v>45</v>
      </c>
      <c r="B78" t="s">
        <v>236</v>
      </c>
      <c r="C78" s="227">
        <v>-25512</v>
      </c>
      <c r="D78" s="227">
        <v>16400</v>
      </c>
      <c r="E78" s="227">
        <v>107514</v>
      </c>
      <c r="F78" s="227">
        <v>-79908</v>
      </c>
      <c r="G78" s="227">
        <v>39898</v>
      </c>
      <c r="H78" s="227">
        <v>443452</v>
      </c>
      <c r="I78" s="227">
        <v>-174944</v>
      </c>
      <c r="J78" s="227">
        <v>-827241</v>
      </c>
      <c r="K78" s="227">
        <v>-221629</v>
      </c>
      <c r="L78" s="227">
        <v>113067</v>
      </c>
      <c r="M78" s="227">
        <v>-141754</v>
      </c>
      <c r="N78" s="227">
        <v>-343038</v>
      </c>
      <c r="O78" s="181">
        <f>SUM(C78:N78)</f>
        <v>-1093695</v>
      </c>
    </row>
    <row r="79" spans="1:15">
      <c r="A79" s="136">
        <v>46</v>
      </c>
      <c r="B79" t="s">
        <v>237</v>
      </c>
      <c r="C79" s="181">
        <f>C80-C78</f>
        <v>-1161231.2072581835</v>
      </c>
      <c r="D79" s="181">
        <f t="shared" ref="D79:E79" si="29">D80-D78</f>
        <v>-742443.45068353042</v>
      </c>
      <c r="E79" s="181">
        <f t="shared" si="29"/>
        <v>-470162.54513564706</v>
      </c>
      <c r="F79" s="181">
        <f>F80-F78</f>
        <v>-337883.83602107503</v>
      </c>
      <c r="G79" s="181">
        <f t="shared" ref="G79:N79" si="30">G80-G78</f>
        <v>1053549.7169958092</v>
      </c>
      <c r="H79" s="181">
        <f t="shared" si="30"/>
        <v>-2325331.8398251645</v>
      </c>
      <c r="I79" s="181">
        <f t="shared" si="30"/>
        <v>174944</v>
      </c>
      <c r="J79" s="181">
        <f t="shared" si="30"/>
        <v>827241</v>
      </c>
      <c r="K79" s="181">
        <f t="shared" si="30"/>
        <v>221629</v>
      </c>
      <c r="L79" s="181">
        <f t="shared" si="30"/>
        <v>-113067</v>
      </c>
      <c r="M79" s="181">
        <f t="shared" si="30"/>
        <v>141754</v>
      </c>
      <c r="N79" s="181">
        <f t="shared" si="30"/>
        <v>343038</v>
      </c>
      <c r="O79" s="181">
        <f>SUM(C79:N79)</f>
        <v>-2387964.1619277913</v>
      </c>
    </row>
    <row r="80" spans="1:15">
      <c r="A80" s="136">
        <v>47</v>
      </c>
      <c r="B80" t="s">
        <v>238</v>
      </c>
      <c r="C80" s="200">
        <f>C23</f>
        <v>-1186743.2072581835</v>
      </c>
      <c r="D80" s="200">
        <f t="shared" ref="D80:N80" si="31">D23</f>
        <v>-726043.45068353042</v>
      </c>
      <c r="E80" s="200">
        <f t="shared" si="31"/>
        <v>-362648.54513564706</v>
      </c>
      <c r="F80" s="200">
        <f t="shared" si="31"/>
        <v>-417791.83602107503</v>
      </c>
      <c r="G80" s="200">
        <f t="shared" si="31"/>
        <v>1093447.7169958092</v>
      </c>
      <c r="H80" s="200">
        <f t="shared" si="31"/>
        <v>-1881879.8398251645</v>
      </c>
      <c r="I80" s="200">
        <f t="shared" si="31"/>
        <v>0</v>
      </c>
      <c r="J80" s="200">
        <f t="shared" si="31"/>
        <v>0</v>
      </c>
      <c r="K80" s="200">
        <f t="shared" si="31"/>
        <v>0</v>
      </c>
      <c r="L80" s="200">
        <f t="shared" si="31"/>
        <v>0</v>
      </c>
      <c r="M80" s="200">
        <f t="shared" si="31"/>
        <v>0</v>
      </c>
      <c r="N80" s="200">
        <f t="shared" si="31"/>
        <v>0</v>
      </c>
      <c r="O80" s="181">
        <f>SUM(C80:N80)</f>
        <v>-3481659.1619277913</v>
      </c>
    </row>
    <row r="82" spans="1:15">
      <c r="A82" s="136">
        <v>48</v>
      </c>
      <c r="B82" t="s">
        <v>239</v>
      </c>
      <c r="C82" s="227">
        <v>-161169</v>
      </c>
      <c r="D82" s="227">
        <v>103608</v>
      </c>
      <c r="E82" s="227">
        <v>679210</v>
      </c>
      <c r="F82" s="227">
        <v>-1292191</v>
      </c>
      <c r="G82" s="227">
        <v>-983470</v>
      </c>
      <c r="H82" s="227">
        <v>1395986</v>
      </c>
      <c r="I82" s="227">
        <v>-618982</v>
      </c>
      <c r="J82" s="227">
        <v>-2948008</v>
      </c>
      <c r="K82" s="227">
        <v>-784078</v>
      </c>
      <c r="L82" s="227">
        <v>1699282</v>
      </c>
      <c r="M82" s="227">
        <v>-2223283</v>
      </c>
      <c r="N82" s="227">
        <v>-2272413</v>
      </c>
      <c r="O82" s="181">
        <f>SUM(C82:N82)</f>
        <v>-7405508</v>
      </c>
    </row>
    <row r="83" spans="1:15">
      <c r="A83" s="136">
        <v>49</v>
      </c>
      <c r="B83" t="s">
        <v>240</v>
      </c>
      <c r="C83" s="181">
        <f>C84-C82</f>
        <v>1566785.8213626705</v>
      </c>
      <c r="D83" s="181">
        <f t="shared" ref="D83:N83" si="32">D84-D82</f>
        <v>244680.68224005774</v>
      </c>
      <c r="E83" s="181">
        <f t="shared" si="32"/>
        <v>-1696204.0079395566</v>
      </c>
      <c r="F83" s="181">
        <f t="shared" si="32"/>
        <v>2229235.3171795551</v>
      </c>
      <c r="G83" s="181">
        <f t="shared" si="32"/>
        <v>1148404.0294862706</v>
      </c>
      <c r="H83" s="181">
        <f t="shared" si="32"/>
        <v>-159890.47688767686</v>
      </c>
      <c r="I83" s="181">
        <f t="shared" si="32"/>
        <v>618982</v>
      </c>
      <c r="J83" s="181">
        <f t="shared" si="32"/>
        <v>2948008</v>
      </c>
      <c r="K83" s="181">
        <f t="shared" si="32"/>
        <v>784078</v>
      </c>
      <c r="L83" s="181">
        <f t="shared" si="32"/>
        <v>-1699282</v>
      </c>
      <c r="M83" s="181">
        <f t="shared" si="32"/>
        <v>2223283</v>
      </c>
      <c r="N83" s="181">
        <f t="shared" si="32"/>
        <v>2272413</v>
      </c>
      <c r="O83" s="181">
        <f>SUM(C83:N83)</f>
        <v>10480493.36544132</v>
      </c>
    </row>
    <row r="84" spans="1:15">
      <c r="A84" s="136">
        <v>50</v>
      </c>
      <c r="B84" t="s">
        <v>241</v>
      </c>
      <c r="C84" s="200">
        <f>C27</f>
        <v>1405616.8213626705</v>
      </c>
      <c r="D84" s="200">
        <f t="shared" ref="D84:N84" si="33">D27</f>
        <v>348288.68224005774</v>
      </c>
      <c r="E84" s="200">
        <f t="shared" si="33"/>
        <v>-1016994.0079395566</v>
      </c>
      <c r="F84" s="200">
        <f t="shared" si="33"/>
        <v>937044.31717955507</v>
      </c>
      <c r="G84" s="200">
        <f t="shared" si="33"/>
        <v>164934.02948627062</v>
      </c>
      <c r="H84" s="200">
        <f t="shared" si="33"/>
        <v>1236095.5231123231</v>
      </c>
      <c r="I84" s="200">
        <f t="shared" si="33"/>
        <v>0</v>
      </c>
      <c r="J84" s="200">
        <f t="shared" si="33"/>
        <v>0</v>
      </c>
      <c r="K84" s="200">
        <f t="shared" si="33"/>
        <v>0</v>
      </c>
      <c r="L84" s="200">
        <f t="shared" si="33"/>
        <v>0</v>
      </c>
      <c r="M84" s="200">
        <f t="shared" si="33"/>
        <v>0</v>
      </c>
      <c r="N84" s="200">
        <f t="shared" si="33"/>
        <v>0</v>
      </c>
      <c r="O84" s="181">
        <f>SUM(C84:N84)</f>
        <v>3074985.3654413205</v>
      </c>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2022</oddHeader>
    <oddFooter>&amp;Cfile: &amp;F / &amp;A</oddFooter>
  </headerFooter>
  <rowBreaks count="1" manualBreakCount="1">
    <brk id="4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E64F-02BF-4EB1-868B-D925C5C9BB1C}">
  <sheetPr>
    <tabColor rgb="FF92D050"/>
  </sheetPr>
  <dimension ref="A1:W84"/>
  <sheetViews>
    <sheetView workbookViewId="0">
      <selection sqref="A1:L1"/>
    </sheetView>
  </sheetViews>
  <sheetFormatPr defaultRowHeight="15"/>
  <cols>
    <col min="1" max="1" width="7.28515625" style="136" customWidth="1"/>
    <col min="2" max="2" width="39" customWidth="1"/>
    <col min="3" max="3" width="12.42578125" customWidth="1"/>
    <col min="4" max="5" width="12.7109375" customWidth="1"/>
    <col min="6" max="6" width="12.5703125" customWidth="1"/>
    <col min="7" max="7" width="12.7109375" customWidth="1"/>
    <col min="8" max="8" width="13" customWidth="1"/>
    <col min="9" max="9" width="13.28515625" bestFit="1" customWidth="1"/>
    <col min="10" max="10" width="12.42578125" customWidth="1"/>
    <col min="11" max="11" width="14" customWidth="1"/>
    <col min="12" max="12" width="12.5703125" customWidth="1"/>
    <col min="13" max="13" width="13.140625" customWidth="1"/>
    <col min="14" max="14" width="12.28515625" customWidth="1"/>
    <col min="15" max="15" width="13.5703125" customWidth="1"/>
    <col min="22" max="23" width="11.28515625" bestFit="1" customWidth="1"/>
  </cols>
  <sheetData>
    <row r="1" spans="1:15">
      <c r="A1" s="233" t="s">
        <v>223</v>
      </c>
      <c r="B1" s="233"/>
      <c r="C1" s="233"/>
      <c r="D1" s="233"/>
      <c r="E1" s="233"/>
      <c r="F1" s="233"/>
      <c r="G1" s="233"/>
      <c r="H1" s="233"/>
      <c r="I1" s="233"/>
      <c r="J1" s="233"/>
      <c r="K1" s="233"/>
      <c r="L1" s="233"/>
    </row>
    <row r="2" spans="1:15" ht="15.75" customHeight="1">
      <c r="A2" s="235" t="s">
        <v>224</v>
      </c>
      <c r="B2" s="235"/>
      <c r="C2" s="235"/>
      <c r="D2" s="235"/>
      <c r="E2" s="235"/>
      <c r="F2" s="235"/>
      <c r="G2" s="235"/>
      <c r="H2" s="235"/>
      <c r="I2" s="235"/>
      <c r="J2" s="235"/>
      <c r="K2" s="235"/>
      <c r="L2" s="235"/>
    </row>
    <row r="3" spans="1:15" ht="69.75" customHeight="1">
      <c r="A3" s="236" t="s">
        <v>225</v>
      </c>
      <c r="B3" s="236"/>
      <c r="C3" s="236"/>
      <c r="D3" s="236"/>
      <c r="E3" s="236"/>
      <c r="F3" s="236"/>
      <c r="G3" s="236"/>
      <c r="H3" s="236"/>
      <c r="I3" s="236"/>
      <c r="J3" s="236"/>
      <c r="K3" s="236"/>
      <c r="L3" s="236"/>
      <c r="M3" s="236"/>
      <c r="N3" s="236"/>
      <c r="O3" s="236"/>
    </row>
    <row r="4" spans="1:15" ht="60.75" customHeight="1">
      <c r="A4" s="236" t="s">
        <v>265</v>
      </c>
      <c r="B4" s="236"/>
      <c r="C4" s="236"/>
      <c r="D4" s="236"/>
      <c r="E4" s="236"/>
      <c r="F4" s="236"/>
      <c r="G4" s="236"/>
      <c r="H4" s="236"/>
      <c r="I4" s="236"/>
      <c r="J4" s="236"/>
      <c r="K4" s="236"/>
      <c r="L4" s="236"/>
      <c r="M4" s="236"/>
      <c r="N4" s="236"/>
      <c r="O4" s="236"/>
    </row>
    <row r="6" spans="1:15">
      <c r="A6" s="62" t="s">
        <v>1</v>
      </c>
      <c r="B6" s="172" t="s">
        <v>173</v>
      </c>
      <c r="C6" s="62">
        <v>44562</v>
      </c>
      <c r="D6" s="62">
        <f t="shared" ref="D6:N6" si="0">EDATE(C6,1)</f>
        <v>44593</v>
      </c>
      <c r="E6" s="62">
        <f t="shared" si="0"/>
        <v>44621</v>
      </c>
      <c r="F6" s="62">
        <f t="shared" si="0"/>
        <v>44652</v>
      </c>
      <c r="G6" s="62">
        <f t="shared" si="0"/>
        <v>44682</v>
      </c>
      <c r="H6" s="62">
        <f t="shared" si="0"/>
        <v>44713</v>
      </c>
      <c r="I6" s="62">
        <f t="shared" si="0"/>
        <v>44743</v>
      </c>
      <c r="J6" s="62">
        <f t="shared" si="0"/>
        <v>44774</v>
      </c>
      <c r="K6" s="62">
        <f t="shared" si="0"/>
        <v>44805</v>
      </c>
      <c r="L6" s="62">
        <f t="shared" si="0"/>
        <v>44835</v>
      </c>
      <c r="M6" s="62">
        <f t="shared" si="0"/>
        <v>44866</v>
      </c>
      <c r="N6" s="62">
        <f t="shared" si="0"/>
        <v>44896</v>
      </c>
      <c r="O6" s="62" t="s">
        <v>261</v>
      </c>
    </row>
    <row r="8" spans="1:15">
      <c r="A8" s="136">
        <v>1</v>
      </c>
      <c r="B8" t="s">
        <v>226</v>
      </c>
      <c r="C8" s="226">
        <f>'Electric Weather Component'!C8</f>
        <v>1098</v>
      </c>
      <c r="D8" s="226">
        <f>'Electric Weather Component'!D8</f>
        <v>930</v>
      </c>
      <c r="E8" s="226">
        <f>'Electric Weather Component'!E8</f>
        <v>688</v>
      </c>
      <c r="F8" s="226">
        <f>'Electric Weather Component'!F8</f>
        <v>679</v>
      </c>
      <c r="G8" s="226">
        <f>'Electric Weather Component'!G8</f>
        <v>421</v>
      </c>
      <c r="H8" s="226">
        <f>'Electric Weather Component'!H8</f>
        <v>123</v>
      </c>
      <c r="I8" s="226">
        <f>'Electric Weather Component'!I8</f>
        <v>5</v>
      </c>
      <c r="J8" s="226">
        <f>'Electric Weather Component'!J8</f>
        <v>3</v>
      </c>
      <c r="K8" s="226">
        <f>'Electric Weather Component'!K8</f>
        <v>59</v>
      </c>
      <c r="L8" s="226">
        <f>'Electric Weather Component'!L8</f>
        <v>302</v>
      </c>
      <c r="M8" s="226">
        <f>'Electric Weather Component'!M8</f>
        <v>1090</v>
      </c>
      <c r="N8" s="226">
        <f>'Electric Weather Component'!N8</f>
        <v>1279</v>
      </c>
      <c r="O8" s="176">
        <f>SUM(C8:N8)</f>
        <v>6677</v>
      </c>
    </row>
    <row r="9" spans="1:15">
      <c r="A9" s="136">
        <v>2</v>
      </c>
      <c r="B9" t="s">
        <v>227</v>
      </c>
      <c r="C9" s="226">
        <f>'Electric Weather Component'!C9</f>
        <v>0</v>
      </c>
      <c r="D9" s="226">
        <f>'Electric Weather Component'!D9</f>
        <v>0</v>
      </c>
      <c r="E9" s="226">
        <f>'Electric Weather Component'!E9</f>
        <v>0</v>
      </c>
      <c r="F9" s="226">
        <f>'Electric Weather Component'!F9</f>
        <v>0</v>
      </c>
      <c r="G9" s="226">
        <f>'Electric Weather Component'!G9</f>
        <v>0</v>
      </c>
      <c r="H9" s="226">
        <f>'Electric Weather Component'!H9</f>
        <v>37</v>
      </c>
      <c r="I9" s="226">
        <f>'Electric Weather Component'!I9</f>
        <v>294</v>
      </c>
      <c r="J9" s="226">
        <f>'Electric Weather Component'!J9</f>
        <v>353</v>
      </c>
      <c r="K9" s="226">
        <f>'Electric Weather Component'!K9</f>
        <v>80</v>
      </c>
      <c r="L9" s="226">
        <f>'Electric Weather Component'!L9</f>
        <v>1</v>
      </c>
      <c r="M9" s="226">
        <f>'Electric Weather Component'!M9</f>
        <v>0</v>
      </c>
      <c r="N9" s="226">
        <f>'Electric Weather Component'!N9</f>
        <v>0</v>
      </c>
      <c r="O9" s="176">
        <f>SUM(C9:N9)</f>
        <v>765</v>
      </c>
    </row>
    <row r="10" spans="1:15" ht="17.25" customHeight="1">
      <c r="B10" s="86" t="s">
        <v>228</v>
      </c>
    </row>
    <row r="11" spans="1:15">
      <c r="A11" s="136">
        <v>3</v>
      </c>
      <c r="B11" t="s">
        <v>229</v>
      </c>
      <c r="C11" s="226">
        <f>'Electric Weather Component'!C11</f>
        <v>1096</v>
      </c>
      <c r="D11" s="226">
        <f>'Electric Weather Component'!D11</f>
        <v>927</v>
      </c>
      <c r="E11" s="226">
        <f>'Electric Weather Component'!E11</f>
        <v>775</v>
      </c>
      <c r="F11" s="226">
        <f>'Electric Weather Component'!F11</f>
        <v>548</v>
      </c>
      <c r="G11" s="226">
        <f>'Electric Weather Component'!G11</f>
        <v>298</v>
      </c>
      <c r="H11" s="226">
        <f>'Electric Weather Component'!H11</f>
        <v>133</v>
      </c>
      <c r="I11" s="226">
        <f>'Electric Weather Component'!I11</f>
        <v>25</v>
      </c>
      <c r="J11" s="226">
        <f>'Electric Weather Component'!J11</f>
        <v>27</v>
      </c>
      <c r="K11" s="226">
        <f>'Electric Weather Component'!K11</f>
        <v>162</v>
      </c>
      <c r="L11" s="226">
        <f>'Electric Weather Component'!L11</f>
        <v>533</v>
      </c>
      <c r="M11" s="226">
        <f>'Electric Weather Component'!M11</f>
        <v>861</v>
      </c>
      <c r="N11" s="226">
        <f>'Electric Weather Component'!N11</f>
        <v>1124</v>
      </c>
      <c r="O11" s="176">
        <f>SUM(C11:N11)</f>
        <v>6509</v>
      </c>
    </row>
    <row r="12" spans="1:15">
      <c r="A12" s="136">
        <v>4</v>
      </c>
      <c r="B12" t="s">
        <v>230</v>
      </c>
      <c r="C12" s="226">
        <f>'Electric Weather Component'!C12</f>
        <v>0</v>
      </c>
      <c r="D12" s="226">
        <f>'Electric Weather Component'!D12</f>
        <v>0</v>
      </c>
      <c r="E12" s="226">
        <f>'Electric Weather Component'!E12</f>
        <v>0</v>
      </c>
      <c r="F12" s="226">
        <f>'Electric Weather Component'!F12</f>
        <v>0</v>
      </c>
      <c r="G12" s="226">
        <f>'Electric Weather Component'!G12</f>
        <v>15</v>
      </c>
      <c r="H12" s="226">
        <f>'Electric Weather Component'!H12</f>
        <v>57</v>
      </c>
      <c r="I12" s="226">
        <f>'Electric Weather Component'!I12</f>
        <v>223</v>
      </c>
      <c r="J12" s="226">
        <f>'Electric Weather Component'!J12</f>
        <v>193</v>
      </c>
      <c r="K12" s="226">
        <f>'Electric Weather Component'!K12</f>
        <v>44</v>
      </c>
      <c r="L12" s="226">
        <f>'Electric Weather Component'!L12</f>
        <v>1</v>
      </c>
      <c r="M12" s="226">
        <f>'Electric Weather Component'!M12</f>
        <v>0</v>
      </c>
      <c r="N12" s="226">
        <f>'Electric Weather Component'!N12</f>
        <v>0</v>
      </c>
      <c r="O12" s="176">
        <f>SUM(C12:N12)</f>
        <v>533</v>
      </c>
    </row>
    <row r="13" spans="1:15" ht="6.75" customHeight="1"/>
    <row r="14" spans="1:15">
      <c r="A14" s="136">
        <v>5</v>
      </c>
      <c r="B14" t="s">
        <v>231</v>
      </c>
      <c r="C14" s="176">
        <f>C11-C8</f>
        <v>-2</v>
      </c>
      <c r="D14" s="176">
        <f t="shared" ref="D14:N15" si="1">D11-D8</f>
        <v>-3</v>
      </c>
      <c r="E14" s="176">
        <f t="shared" si="1"/>
        <v>87</v>
      </c>
      <c r="F14" s="176">
        <f t="shared" si="1"/>
        <v>-131</v>
      </c>
      <c r="G14" s="176">
        <f t="shared" si="1"/>
        <v>-123</v>
      </c>
      <c r="H14" s="176">
        <f t="shared" si="1"/>
        <v>10</v>
      </c>
      <c r="I14" s="176">
        <f t="shared" si="1"/>
        <v>20</v>
      </c>
      <c r="J14" s="176">
        <f t="shared" si="1"/>
        <v>24</v>
      </c>
      <c r="K14" s="176">
        <f t="shared" si="1"/>
        <v>103</v>
      </c>
      <c r="L14" s="176">
        <f t="shared" si="1"/>
        <v>231</v>
      </c>
      <c r="M14" s="176">
        <f t="shared" si="1"/>
        <v>-229</v>
      </c>
      <c r="N14" s="176">
        <f t="shared" si="1"/>
        <v>-155</v>
      </c>
      <c r="O14" s="176">
        <f t="shared" ref="O14:O15" si="2">SUM(C14:N14)</f>
        <v>-168</v>
      </c>
    </row>
    <row r="15" spans="1:15">
      <c r="A15" s="136">
        <v>6</v>
      </c>
      <c r="B15" t="s">
        <v>232</v>
      </c>
      <c r="C15" s="176">
        <f>C12-C9</f>
        <v>0</v>
      </c>
      <c r="D15" s="176">
        <f t="shared" si="1"/>
        <v>0</v>
      </c>
      <c r="E15" s="176">
        <f t="shared" si="1"/>
        <v>0</v>
      </c>
      <c r="F15" s="176">
        <f t="shared" si="1"/>
        <v>0</v>
      </c>
      <c r="G15" s="176">
        <f t="shared" si="1"/>
        <v>15</v>
      </c>
      <c r="H15" s="176">
        <f t="shared" si="1"/>
        <v>20</v>
      </c>
      <c r="I15" s="176">
        <f t="shared" si="1"/>
        <v>-71</v>
      </c>
      <c r="J15" s="176">
        <f t="shared" si="1"/>
        <v>-160</v>
      </c>
      <c r="K15" s="176">
        <f t="shared" si="1"/>
        <v>-36</v>
      </c>
      <c r="L15" s="176">
        <f t="shared" si="1"/>
        <v>0</v>
      </c>
      <c r="M15" s="176">
        <f t="shared" si="1"/>
        <v>0</v>
      </c>
      <c r="N15" s="176">
        <f t="shared" si="1"/>
        <v>0</v>
      </c>
      <c r="O15" s="176">
        <f t="shared" si="2"/>
        <v>-232</v>
      </c>
    </row>
    <row r="16" spans="1:15" ht="7.5" customHeight="1"/>
    <row r="17" spans="1:23">
      <c r="A17" s="136">
        <v>7</v>
      </c>
      <c r="B17" t="s">
        <v>233</v>
      </c>
      <c r="C17" s="226">
        <v>-39193</v>
      </c>
      <c r="D17" s="226">
        <v>-58790</v>
      </c>
      <c r="E17" s="226">
        <v>1704915</v>
      </c>
      <c r="F17" s="226">
        <v>-2318315</v>
      </c>
      <c r="G17" s="226">
        <v>-2163654</v>
      </c>
      <c r="H17" s="226">
        <v>178673</v>
      </c>
      <c r="I17" s="226">
        <v>412933</v>
      </c>
      <c r="J17" s="226">
        <v>498076</v>
      </c>
      <c r="K17" s="226">
        <v>2133409</v>
      </c>
      <c r="L17" s="226">
        <v>4117683</v>
      </c>
      <c r="M17" s="226">
        <v>-4068980</v>
      </c>
      <c r="N17" s="226">
        <v>-3063106</v>
      </c>
      <c r="O17" s="176">
        <f t="shared" ref="O17:O18" si="3">SUM(C17:N17)</f>
        <v>-2666349</v>
      </c>
    </row>
    <row r="18" spans="1:23">
      <c r="A18" s="136">
        <v>8</v>
      </c>
      <c r="B18" t="s">
        <v>234</v>
      </c>
      <c r="C18" s="226">
        <v>-13594</v>
      </c>
      <c r="D18" s="226">
        <v>-20392</v>
      </c>
      <c r="E18" s="226">
        <v>591355</v>
      </c>
      <c r="F18" s="226">
        <v>-789683</v>
      </c>
      <c r="G18" s="226">
        <v>-740912</v>
      </c>
      <c r="H18" s="226">
        <v>61732</v>
      </c>
      <c r="I18" s="226">
        <v>158879</v>
      </c>
      <c r="J18" s="226">
        <v>193107</v>
      </c>
      <c r="K18" s="226">
        <v>826553</v>
      </c>
      <c r="L18" s="226">
        <v>1414494</v>
      </c>
      <c r="M18" s="226">
        <v>-1412963</v>
      </c>
      <c r="N18" s="226">
        <v>-1110413</v>
      </c>
      <c r="O18" s="176">
        <f t="shared" si="3"/>
        <v>-841837</v>
      </c>
    </row>
    <row r="20" spans="1:23">
      <c r="B20" s="86" t="s">
        <v>235</v>
      </c>
      <c r="C20" s="29"/>
      <c r="T20" t="s">
        <v>257</v>
      </c>
      <c r="U20" t="s">
        <v>258</v>
      </c>
      <c r="V20" t="s">
        <v>259</v>
      </c>
      <c r="W20" t="s">
        <v>260</v>
      </c>
    </row>
    <row r="21" spans="1:23">
      <c r="A21" s="136">
        <v>9</v>
      </c>
      <c r="B21" t="s">
        <v>236</v>
      </c>
      <c r="C21" s="227">
        <v>-20200</v>
      </c>
      <c r="D21" s="227">
        <v>-30300</v>
      </c>
      <c r="E21" s="227">
        <v>878696</v>
      </c>
      <c r="F21" s="227">
        <v>-1194836</v>
      </c>
      <c r="G21" s="227">
        <v>-1115126</v>
      </c>
      <c r="H21" s="227">
        <v>92086</v>
      </c>
      <c r="I21" s="227">
        <v>212822</v>
      </c>
      <c r="J21" s="227">
        <v>256703</v>
      </c>
      <c r="K21" s="227">
        <v>1099538</v>
      </c>
      <c r="L21" s="227">
        <v>2122213</v>
      </c>
      <c r="M21" s="227">
        <v>-2097112</v>
      </c>
      <c r="N21" s="227">
        <v>-1712001</v>
      </c>
      <c r="O21" s="181">
        <f>SUM(C21:N21)</f>
        <v>-1507517</v>
      </c>
      <c r="S21">
        <v>30</v>
      </c>
      <c r="T21" s="202">
        <f>O11</f>
        <v>6509</v>
      </c>
      <c r="U21" s="202">
        <f>O12</f>
        <v>533</v>
      </c>
      <c r="V21" s="202">
        <f>O17</f>
        <v>-2666349</v>
      </c>
      <c r="W21" s="202">
        <f>O18</f>
        <v>-841837</v>
      </c>
    </row>
    <row r="22" spans="1:23">
      <c r="A22" s="136">
        <v>10</v>
      </c>
      <c r="B22" t="s">
        <v>237</v>
      </c>
      <c r="C22" s="181">
        <f>C23-C21</f>
        <v>-1810140.0264102221</v>
      </c>
      <c r="D22" s="181">
        <f t="shared" ref="D22:N22" si="4">D23-D21</f>
        <v>-1888372.781487884</v>
      </c>
      <c r="E22" s="181">
        <f t="shared" si="4"/>
        <v>-1072865.0337839406</v>
      </c>
      <c r="F22" s="181">
        <f t="shared" si="4"/>
        <v>1322798.700132682</v>
      </c>
      <c r="G22" s="181">
        <f t="shared" si="4"/>
        <v>2584601.5460741371</v>
      </c>
      <c r="H22" s="181">
        <f t="shared" si="4"/>
        <v>1358425.6165493764</v>
      </c>
      <c r="I22" s="181">
        <f t="shared" si="4"/>
        <v>-212822</v>
      </c>
      <c r="J22" s="181">
        <f t="shared" si="4"/>
        <v>-256703</v>
      </c>
      <c r="K22" s="181">
        <f t="shared" si="4"/>
        <v>-1099538</v>
      </c>
      <c r="L22" s="181">
        <f t="shared" si="4"/>
        <v>-2122213</v>
      </c>
      <c r="M22" s="181">
        <f t="shared" si="4"/>
        <v>2097112</v>
      </c>
      <c r="N22" s="181">
        <f t="shared" si="4"/>
        <v>1712001</v>
      </c>
      <c r="O22" s="181">
        <f>SUM(C22:N22)</f>
        <v>612285.02107414883</v>
      </c>
      <c r="S22">
        <v>20</v>
      </c>
      <c r="T22" s="176">
        <f>O30</f>
        <v>6401</v>
      </c>
      <c r="U22" s="176">
        <f>O31</f>
        <v>598</v>
      </c>
      <c r="V22" s="176">
        <f>O36</f>
        <v>-4718131</v>
      </c>
      <c r="W22" s="176">
        <f>O37</f>
        <v>-1574635</v>
      </c>
    </row>
    <row r="23" spans="1:23">
      <c r="A23" s="136">
        <v>11</v>
      </c>
      <c r="B23" t="s">
        <v>238</v>
      </c>
      <c r="C23" s="200">
        <f>'Nat Gas Deferral'!D$27</f>
        <v>-1830340.0264102221</v>
      </c>
      <c r="D23" s="200">
        <f>'Nat Gas Deferral'!E$27</f>
        <v>-1918672.781487884</v>
      </c>
      <c r="E23" s="200">
        <f>'Nat Gas Deferral'!F$27</f>
        <v>-194169.0337839406</v>
      </c>
      <c r="F23" s="200">
        <f>'Nat Gas Deferral'!G$27</f>
        <v>127962.70013268199</v>
      </c>
      <c r="G23" s="200">
        <f>'Nat Gas Deferral'!H$27</f>
        <v>1469475.5460741371</v>
      </c>
      <c r="H23" s="200">
        <f>'Nat Gas Deferral'!I$27</f>
        <v>1450511.6165493764</v>
      </c>
      <c r="I23" s="200">
        <f>'Nat Gas Deferral'!J$27</f>
        <v>0</v>
      </c>
      <c r="J23" s="200">
        <f>'Nat Gas Deferral'!K$27</f>
        <v>0</v>
      </c>
      <c r="K23" s="200">
        <f>'Nat Gas Deferral'!L$27</f>
        <v>0</v>
      </c>
      <c r="L23" s="200">
        <f>'Nat Gas Deferral'!M$27</f>
        <v>0</v>
      </c>
      <c r="M23" s="200">
        <f>'Nat Gas Deferral'!N$27</f>
        <v>0</v>
      </c>
      <c r="N23" s="200">
        <f>'Nat Gas Deferral'!O$27</f>
        <v>0</v>
      </c>
      <c r="O23" s="181">
        <f>SUM(C23:N23)</f>
        <v>-895231.97892585117</v>
      </c>
      <c r="S23">
        <v>15</v>
      </c>
      <c r="T23" s="176">
        <f>O49</f>
        <v>6396</v>
      </c>
      <c r="U23" s="176">
        <f>O50</f>
        <v>617</v>
      </c>
      <c r="V23" s="176">
        <f>O55</f>
        <v>-4789779</v>
      </c>
      <c r="W23" s="176">
        <f>O56</f>
        <v>-1608894</v>
      </c>
    </row>
    <row r="24" spans="1:23">
      <c r="S24">
        <v>10</v>
      </c>
      <c r="T24" s="202">
        <f>O68</f>
        <v>6213</v>
      </c>
      <c r="U24" s="202">
        <f>O69</f>
        <v>682</v>
      </c>
      <c r="V24" s="202">
        <f>O74</f>
        <v>-8175340</v>
      </c>
      <c r="W24" s="202">
        <f>O75</f>
        <v>-2792897</v>
      </c>
    </row>
    <row r="25" spans="1:23">
      <c r="A25" s="136">
        <v>12</v>
      </c>
      <c r="B25" t="s">
        <v>239</v>
      </c>
      <c r="C25" s="227">
        <v>-3731</v>
      </c>
      <c r="D25" s="227">
        <v>-5596</v>
      </c>
      <c r="E25" s="227">
        <v>162291</v>
      </c>
      <c r="F25" s="227">
        <v>-216721</v>
      </c>
      <c r="G25" s="227">
        <v>-203336</v>
      </c>
      <c r="H25" s="227">
        <v>16942</v>
      </c>
      <c r="I25" s="227">
        <v>43603</v>
      </c>
      <c r="J25" s="227">
        <v>52996</v>
      </c>
      <c r="K25" s="227">
        <v>226839</v>
      </c>
      <c r="L25" s="227">
        <v>388194</v>
      </c>
      <c r="M25" s="227">
        <v>-387774</v>
      </c>
      <c r="N25" s="227">
        <v>-323874</v>
      </c>
      <c r="O25" s="181">
        <f>SUM(C25:N25)</f>
        <v>-250167</v>
      </c>
    </row>
    <row r="26" spans="1:23">
      <c r="A26" s="136">
        <v>13</v>
      </c>
      <c r="B26" t="s">
        <v>240</v>
      </c>
      <c r="C26" s="181">
        <f>C27-C25</f>
        <v>-1510085.9156406932</v>
      </c>
      <c r="D26" s="181">
        <f t="shared" ref="D26:N26" si="5">D27-D25</f>
        <v>-48557.728224963881</v>
      </c>
      <c r="E26" s="181">
        <f t="shared" si="5"/>
        <v>-207673.18297577975</v>
      </c>
      <c r="F26" s="181">
        <f t="shared" si="5"/>
        <v>186636.46679963241</v>
      </c>
      <c r="G26" s="181">
        <f t="shared" si="5"/>
        <v>352283.65056708525</v>
      </c>
      <c r="H26" s="181">
        <f t="shared" si="5"/>
        <v>180978.31957963214</v>
      </c>
      <c r="I26" s="181">
        <f t="shared" si="5"/>
        <v>-43603</v>
      </c>
      <c r="J26" s="181">
        <f t="shared" si="5"/>
        <v>-52996</v>
      </c>
      <c r="K26" s="181">
        <f t="shared" si="5"/>
        <v>-226839</v>
      </c>
      <c r="L26" s="181">
        <f t="shared" si="5"/>
        <v>-388194</v>
      </c>
      <c r="M26" s="181">
        <f t="shared" si="5"/>
        <v>387774</v>
      </c>
      <c r="N26" s="181">
        <f t="shared" si="5"/>
        <v>323874</v>
      </c>
      <c r="O26" s="181">
        <f>SUM(C26:N26)</f>
        <v>-1046402.3898950871</v>
      </c>
      <c r="T26" s="202">
        <f>MAX(T21:T24)</f>
        <v>6509</v>
      </c>
      <c r="U26" s="202">
        <f>MAX(U21:U24)</f>
        <v>682</v>
      </c>
      <c r="V26" s="202">
        <f>MAX(V21:V24)</f>
        <v>-2666349</v>
      </c>
      <c r="W26" s="202">
        <f>MAX(W21:W24)</f>
        <v>-841837</v>
      </c>
    </row>
    <row r="27" spans="1:23">
      <c r="A27" s="136">
        <v>14</v>
      </c>
      <c r="B27" t="s">
        <v>241</v>
      </c>
      <c r="C27" s="194">
        <f>'Nat Gas Deferral'!D$53</f>
        <v>-1513816.9156406932</v>
      </c>
      <c r="D27" s="194">
        <f>'Nat Gas Deferral'!E$53</f>
        <v>-54153.728224963881</v>
      </c>
      <c r="E27" s="194">
        <f>'Nat Gas Deferral'!F$53</f>
        <v>-45382.182975779753</v>
      </c>
      <c r="F27" s="194">
        <f>'Nat Gas Deferral'!G$53</f>
        <v>-30084.533200367587</v>
      </c>
      <c r="G27" s="194">
        <f>'Nat Gas Deferral'!H$53</f>
        <v>148947.65056708525</v>
      </c>
      <c r="H27" s="194">
        <f>'Nat Gas Deferral'!I$53</f>
        <v>197920.31957963214</v>
      </c>
      <c r="I27" s="194">
        <f>'Nat Gas Deferral'!J$53</f>
        <v>0</v>
      </c>
      <c r="J27" s="194">
        <f>'Nat Gas Deferral'!K$53</f>
        <v>0</v>
      </c>
      <c r="K27" s="194">
        <f>'Nat Gas Deferral'!L$53</f>
        <v>0</v>
      </c>
      <c r="L27" s="194">
        <f>'Nat Gas Deferral'!M$53</f>
        <v>0</v>
      </c>
      <c r="M27" s="194">
        <f>'Nat Gas Deferral'!N$53</f>
        <v>0</v>
      </c>
      <c r="N27" s="194">
        <f>'Nat Gas Deferral'!O$53</f>
        <v>0</v>
      </c>
      <c r="O27" s="181">
        <f>SUM(C27:N27)</f>
        <v>-1296569.3898950871</v>
      </c>
      <c r="T27" s="202">
        <f>MIN(T21:T24)</f>
        <v>6213</v>
      </c>
      <c r="U27" s="202">
        <f>MIN(U21:U24)</f>
        <v>533</v>
      </c>
      <c r="V27" s="202">
        <f>MIN(V21:V24)</f>
        <v>-8175340</v>
      </c>
      <c r="W27" s="202">
        <f>MIN(W21:W24)</f>
        <v>-2792897</v>
      </c>
    </row>
    <row r="29" spans="1:23">
      <c r="B29" s="86" t="s">
        <v>242</v>
      </c>
    </row>
    <row r="30" spans="1:23">
      <c r="A30" s="136">
        <v>15</v>
      </c>
      <c r="B30" t="s">
        <v>243</v>
      </c>
      <c r="C30" s="226">
        <f>'Electric Weather Component'!C30</f>
        <v>1091</v>
      </c>
      <c r="D30" s="226">
        <f>'Electric Weather Component'!D30</f>
        <v>923</v>
      </c>
      <c r="E30" s="226">
        <f>'Electric Weather Component'!E30</f>
        <v>762</v>
      </c>
      <c r="F30" s="226">
        <f>'Electric Weather Component'!F30</f>
        <v>540</v>
      </c>
      <c r="G30" s="226">
        <f>'Electric Weather Component'!G30</f>
        <v>283</v>
      </c>
      <c r="H30" s="226">
        <f>'Electric Weather Component'!H30</f>
        <v>122</v>
      </c>
      <c r="I30" s="226">
        <f>'Electric Weather Component'!I30</f>
        <v>14</v>
      </c>
      <c r="J30" s="226">
        <f>'Electric Weather Component'!J30</f>
        <v>19</v>
      </c>
      <c r="K30" s="226">
        <f>'Electric Weather Component'!K30</f>
        <v>155</v>
      </c>
      <c r="L30" s="226">
        <f>'Electric Weather Component'!L30</f>
        <v>522</v>
      </c>
      <c r="M30" s="226">
        <f>'Electric Weather Component'!M30</f>
        <v>855</v>
      </c>
      <c r="N30" s="226">
        <f>'Electric Weather Component'!N30</f>
        <v>1115</v>
      </c>
      <c r="O30" s="176">
        <f>SUM(C30:N30)</f>
        <v>6401</v>
      </c>
    </row>
    <row r="31" spans="1:23">
      <c r="A31" s="136">
        <v>16</v>
      </c>
      <c r="B31" t="s">
        <v>244</v>
      </c>
      <c r="C31" s="226">
        <f>'Electric Weather Component'!C31</f>
        <v>0</v>
      </c>
      <c r="D31" s="226">
        <f>'Electric Weather Component'!D31</f>
        <v>0</v>
      </c>
      <c r="E31" s="226">
        <f>'Electric Weather Component'!E31</f>
        <v>0</v>
      </c>
      <c r="F31" s="226">
        <f>'Electric Weather Component'!F31</f>
        <v>0</v>
      </c>
      <c r="G31" s="226">
        <f>'Electric Weather Component'!G31</f>
        <v>16</v>
      </c>
      <c r="H31" s="226">
        <f>'Electric Weather Component'!H31</f>
        <v>71</v>
      </c>
      <c r="I31" s="226">
        <f>'Electric Weather Component'!I31</f>
        <v>249</v>
      </c>
      <c r="J31" s="226">
        <f>'Electric Weather Component'!J31</f>
        <v>214</v>
      </c>
      <c r="K31" s="226">
        <f>'Electric Weather Component'!K31</f>
        <v>47</v>
      </c>
      <c r="L31" s="226">
        <f>'Electric Weather Component'!L31</f>
        <v>1</v>
      </c>
      <c r="M31" s="226">
        <f>'Electric Weather Component'!M31</f>
        <v>0</v>
      </c>
      <c r="N31" s="226">
        <f>'Electric Weather Component'!N31</f>
        <v>0</v>
      </c>
      <c r="O31" s="176">
        <f>SUM(C31:N31)</f>
        <v>598</v>
      </c>
    </row>
    <row r="33" spans="1:15">
      <c r="A33" s="136">
        <v>17</v>
      </c>
      <c r="B33" t="s">
        <v>231</v>
      </c>
      <c r="C33" s="176">
        <f>C30-C8</f>
        <v>-7</v>
      </c>
      <c r="D33" s="176">
        <f t="shared" ref="D33:N34" si="6">D30-D8</f>
        <v>-7</v>
      </c>
      <c r="E33" s="176">
        <f t="shared" si="6"/>
        <v>74</v>
      </c>
      <c r="F33" s="176">
        <f t="shared" si="6"/>
        <v>-139</v>
      </c>
      <c r="G33" s="176">
        <f t="shared" si="6"/>
        <v>-138</v>
      </c>
      <c r="H33" s="176">
        <f t="shared" si="6"/>
        <v>-1</v>
      </c>
      <c r="I33" s="176">
        <f t="shared" si="6"/>
        <v>9</v>
      </c>
      <c r="J33" s="176">
        <f t="shared" si="6"/>
        <v>16</v>
      </c>
      <c r="K33" s="176">
        <f t="shared" si="6"/>
        <v>96</v>
      </c>
      <c r="L33" s="176">
        <f t="shared" si="6"/>
        <v>220</v>
      </c>
      <c r="M33" s="176">
        <f t="shared" si="6"/>
        <v>-235</v>
      </c>
      <c r="N33" s="176">
        <f t="shared" si="6"/>
        <v>-164</v>
      </c>
      <c r="O33" s="176">
        <f t="shared" ref="O33:O34" si="7">SUM(C33:N33)</f>
        <v>-276</v>
      </c>
    </row>
    <row r="34" spans="1:15">
      <c r="A34" s="136">
        <v>18</v>
      </c>
      <c r="B34" t="s">
        <v>232</v>
      </c>
      <c r="C34" s="176">
        <f>C31-C9</f>
        <v>0</v>
      </c>
      <c r="D34" s="176">
        <f t="shared" si="6"/>
        <v>0</v>
      </c>
      <c r="E34" s="176">
        <f t="shared" si="6"/>
        <v>0</v>
      </c>
      <c r="F34" s="176">
        <f t="shared" si="6"/>
        <v>0</v>
      </c>
      <c r="G34" s="176">
        <f t="shared" si="6"/>
        <v>16</v>
      </c>
      <c r="H34" s="176">
        <f t="shared" si="6"/>
        <v>34</v>
      </c>
      <c r="I34" s="176">
        <f t="shared" si="6"/>
        <v>-45</v>
      </c>
      <c r="J34" s="176">
        <f t="shared" si="6"/>
        <v>-139</v>
      </c>
      <c r="K34" s="176">
        <f t="shared" si="6"/>
        <v>-33</v>
      </c>
      <c r="L34" s="176">
        <f t="shared" si="6"/>
        <v>0</v>
      </c>
      <c r="M34" s="176">
        <f t="shared" si="6"/>
        <v>0</v>
      </c>
      <c r="N34" s="176">
        <f t="shared" si="6"/>
        <v>0</v>
      </c>
      <c r="O34" s="176">
        <f t="shared" si="7"/>
        <v>-167</v>
      </c>
    </row>
    <row r="36" spans="1:15">
      <c r="A36" s="136">
        <v>19</v>
      </c>
      <c r="B36" t="s">
        <v>245</v>
      </c>
      <c r="C36" s="226">
        <v>-137177</v>
      </c>
      <c r="D36" s="226">
        <v>-137177</v>
      </c>
      <c r="E36" s="226">
        <v>1450158</v>
      </c>
      <c r="F36" s="226">
        <v>-2459892</v>
      </c>
      <c r="G36" s="226">
        <v>-2427513</v>
      </c>
      <c r="H36" s="226">
        <v>-17868</v>
      </c>
      <c r="I36" s="226">
        <v>185820</v>
      </c>
      <c r="J36" s="226">
        <v>332050</v>
      </c>
      <c r="K36" s="226">
        <v>1988420</v>
      </c>
      <c r="L36" s="226">
        <v>3921603</v>
      </c>
      <c r="M36" s="226">
        <v>-4175591</v>
      </c>
      <c r="N36" s="226">
        <v>-3240964</v>
      </c>
      <c r="O36" s="176">
        <f t="shared" ref="O36:O37" si="8">SUM(C36:N36)</f>
        <v>-4718131</v>
      </c>
    </row>
    <row r="37" spans="1:15">
      <c r="A37" s="136">
        <v>20</v>
      </c>
      <c r="B37" t="s">
        <v>246</v>
      </c>
      <c r="C37" s="226">
        <v>-47580</v>
      </c>
      <c r="D37" s="226">
        <v>-47580</v>
      </c>
      <c r="E37" s="226">
        <v>502992</v>
      </c>
      <c r="F37" s="226">
        <v>-837907</v>
      </c>
      <c r="G37" s="226">
        <v>-831268</v>
      </c>
      <c r="H37" s="226">
        <v>-6173</v>
      </c>
      <c r="I37" s="226">
        <v>71496</v>
      </c>
      <c r="J37" s="226">
        <v>128739</v>
      </c>
      <c r="K37" s="226">
        <v>770379</v>
      </c>
      <c r="L37" s="226">
        <v>1347138</v>
      </c>
      <c r="M37" s="226">
        <v>-1449982</v>
      </c>
      <c r="N37" s="226">
        <v>-1174889</v>
      </c>
      <c r="O37" s="176">
        <f t="shared" si="8"/>
        <v>-1574635</v>
      </c>
    </row>
    <row r="39" spans="1:15">
      <c r="B39" s="86" t="s">
        <v>235</v>
      </c>
      <c r="C39" s="29"/>
    </row>
    <row r="40" spans="1:15">
      <c r="A40" s="136">
        <v>21</v>
      </c>
      <c r="B40" t="s">
        <v>236</v>
      </c>
      <c r="C40" s="227">
        <v>-70700</v>
      </c>
      <c r="D40" s="227">
        <v>-70700</v>
      </c>
      <c r="E40" s="227">
        <v>747397</v>
      </c>
      <c r="F40" s="227">
        <v>-1267804</v>
      </c>
      <c r="G40" s="227">
        <v>-1251116</v>
      </c>
      <c r="H40" s="227">
        <v>-9209</v>
      </c>
      <c r="I40" s="227">
        <v>95770</v>
      </c>
      <c r="J40" s="227">
        <v>171135</v>
      </c>
      <c r="K40" s="227">
        <v>1024812</v>
      </c>
      <c r="L40" s="227">
        <v>2021155</v>
      </c>
      <c r="M40" s="227">
        <v>-2152058</v>
      </c>
      <c r="N40" s="227">
        <v>-1811407</v>
      </c>
      <c r="O40" s="181">
        <f>SUM(C40:N40)</f>
        <v>-2572725</v>
      </c>
    </row>
    <row r="41" spans="1:15">
      <c r="A41" s="136">
        <v>22</v>
      </c>
      <c r="B41" t="s">
        <v>237</v>
      </c>
      <c r="C41" s="181">
        <f>C42-C40</f>
        <v>-1759640.0264102221</v>
      </c>
      <c r="D41" s="181">
        <f t="shared" ref="D41:E41" si="9">D42-D40</f>
        <v>-1847972.781487884</v>
      </c>
      <c r="E41" s="181">
        <f t="shared" si="9"/>
        <v>-941566.0337839406</v>
      </c>
      <c r="F41" s="181">
        <f>F42-F40</f>
        <v>1395766.700132682</v>
      </c>
      <c r="G41" s="181">
        <f t="shared" ref="G41:N41" si="10">G42-G40</f>
        <v>2720591.5460741371</v>
      </c>
      <c r="H41" s="181">
        <f t="shared" si="10"/>
        <v>1459720.6165493764</v>
      </c>
      <c r="I41" s="181">
        <f t="shared" si="10"/>
        <v>-95770</v>
      </c>
      <c r="J41" s="181">
        <f t="shared" si="10"/>
        <v>-171135</v>
      </c>
      <c r="K41" s="181">
        <f t="shared" si="10"/>
        <v>-1024812</v>
      </c>
      <c r="L41" s="181">
        <f t="shared" si="10"/>
        <v>-2021155</v>
      </c>
      <c r="M41" s="181">
        <f t="shared" si="10"/>
        <v>2152058</v>
      </c>
      <c r="N41" s="181">
        <f t="shared" si="10"/>
        <v>1811407</v>
      </c>
      <c r="O41" s="181">
        <f>SUM(C41:N41)</f>
        <v>1677493.0210741488</v>
      </c>
    </row>
    <row r="42" spans="1:15">
      <c r="A42" s="136">
        <v>23</v>
      </c>
      <c r="B42" t="s">
        <v>238</v>
      </c>
      <c r="C42" s="200">
        <f>C$23</f>
        <v>-1830340.0264102221</v>
      </c>
      <c r="D42" s="200">
        <f t="shared" ref="D42:N42" si="11">D$23</f>
        <v>-1918672.781487884</v>
      </c>
      <c r="E42" s="200">
        <f t="shared" si="11"/>
        <v>-194169.0337839406</v>
      </c>
      <c r="F42" s="200">
        <f t="shared" si="11"/>
        <v>127962.70013268199</v>
      </c>
      <c r="G42" s="200">
        <f t="shared" si="11"/>
        <v>1469475.5460741371</v>
      </c>
      <c r="H42" s="200">
        <f t="shared" si="11"/>
        <v>1450511.6165493764</v>
      </c>
      <c r="I42" s="200">
        <f t="shared" si="11"/>
        <v>0</v>
      </c>
      <c r="J42" s="200">
        <f t="shared" si="11"/>
        <v>0</v>
      </c>
      <c r="K42" s="200">
        <f t="shared" si="11"/>
        <v>0</v>
      </c>
      <c r="L42" s="200">
        <f t="shared" si="11"/>
        <v>0</v>
      </c>
      <c r="M42" s="200">
        <f t="shared" si="11"/>
        <v>0</v>
      </c>
      <c r="N42" s="200">
        <f t="shared" si="11"/>
        <v>0</v>
      </c>
      <c r="O42" s="181">
        <f>SUM(C42:N42)</f>
        <v>-895231.97892585117</v>
      </c>
    </row>
    <row r="44" spans="1:15">
      <c r="A44" s="136">
        <v>24</v>
      </c>
      <c r="B44" t="s">
        <v>239</v>
      </c>
      <c r="C44" s="227">
        <v>-13058</v>
      </c>
      <c r="D44" s="227">
        <v>-13058</v>
      </c>
      <c r="E44" s="227">
        <v>138041</v>
      </c>
      <c r="F44" s="227">
        <v>-229955</v>
      </c>
      <c r="G44" s="227">
        <v>-228133</v>
      </c>
      <c r="H44" s="227">
        <v>-1694</v>
      </c>
      <c r="I44" s="227">
        <v>19621</v>
      </c>
      <c r="J44" s="227">
        <v>35331</v>
      </c>
      <c r="K44" s="227">
        <v>211423</v>
      </c>
      <c r="L44" s="227">
        <v>369709</v>
      </c>
      <c r="M44" s="227">
        <v>-397933</v>
      </c>
      <c r="N44" s="227">
        <v>-342680</v>
      </c>
      <c r="O44" s="181">
        <f>SUM(C44:N44)</f>
        <v>-452386</v>
      </c>
    </row>
    <row r="45" spans="1:15">
      <c r="A45" s="136">
        <v>25</v>
      </c>
      <c r="B45" t="s">
        <v>240</v>
      </c>
      <c r="C45" s="181">
        <f>C46-C44</f>
        <v>-1500758.9156406932</v>
      </c>
      <c r="D45" s="181">
        <f t="shared" ref="D45:N45" si="12">D46-D44</f>
        <v>-41095.728224963881</v>
      </c>
      <c r="E45" s="181">
        <f t="shared" si="12"/>
        <v>-183423.18297577975</v>
      </c>
      <c r="F45" s="181">
        <f t="shared" si="12"/>
        <v>199870.46679963241</v>
      </c>
      <c r="G45" s="181">
        <f t="shared" si="12"/>
        <v>377080.65056708525</v>
      </c>
      <c r="H45" s="181">
        <f t="shared" si="12"/>
        <v>199614.31957963214</v>
      </c>
      <c r="I45" s="181">
        <f t="shared" si="12"/>
        <v>-19621</v>
      </c>
      <c r="J45" s="181">
        <f t="shared" si="12"/>
        <v>-35331</v>
      </c>
      <c r="K45" s="181">
        <f t="shared" si="12"/>
        <v>-211423</v>
      </c>
      <c r="L45" s="181">
        <f t="shared" si="12"/>
        <v>-369709</v>
      </c>
      <c r="M45" s="181">
        <f t="shared" si="12"/>
        <v>397933</v>
      </c>
      <c r="N45" s="181">
        <f t="shared" si="12"/>
        <v>342680</v>
      </c>
      <c r="O45" s="181">
        <f>SUM(C45:N45)</f>
        <v>-844183.38989508711</v>
      </c>
    </row>
    <row r="46" spans="1:15">
      <c r="A46" s="136">
        <v>26</v>
      </c>
      <c r="B46" t="s">
        <v>241</v>
      </c>
      <c r="C46" s="194">
        <f>C$27</f>
        <v>-1513816.9156406932</v>
      </c>
      <c r="D46" s="194">
        <f t="shared" ref="D46:N46" si="13">D$27</f>
        <v>-54153.728224963881</v>
      </c>
      <c r="E46" s="194">
        <f t="shared" si="13"/>
        <v>-45382.182975779753</v>
      </c>
      <c r="F46" s="194">
        <f t="shared" si="13"/>
        <v>-30084.533200367587</v>
      </c>
      <c r="G46" s="194">
        <f t="shared" si="13"/>
        <v>148947.65056708525</v>
      </c>
      <c r="H46" s="194">
        <f t="shared" si="13"/>
        <v>197920.31957963214</v>
      </c>
      <c r="I46" s="194">
        <f t="shared" si="13"/>
        <v>0</v>
      </c>
      <c r="J46" s="194">
        <f t="shared" si="13"/>
        <v>0</v>
      </c>
      <c r="K46" s="194">
        <f t="shared" si="13"/>
        <v>0</v>
      </c>
      <c r="L46" s="194">
        <f t="shared" si="13"/>
        <v>0</v>
      </c>
      <c r="M46" s="194">
        <f t="shared" si="13"/>
        <v>0</v>
      </c>
      <c r="N46" s="194">
        <f t="shared" si="13"/>
        <v>0</v>
      </c>
      <c r="O46" s="181">
        <f>SUM(C46:N46)</f>
        <v>-1296569.3898950871</v>
      </c>
    </row>
    <row r="48" spans="1:15">
      <c r="B48" s="86" t="s">
        <v>247</v>
      </c>
    </row>
    <row r="49" spans="1:15">
      <c r="A49" s="136">
        <v>27</v>
      </c>
      <c r="B49" t="s">
        <v>248</v>
      </c>
      <c r="C49" s="226">
        <f>'Electric Weather Component'!C49</f>
        <v>1092</v>
      </c>
      <c r="D49" s="226">
        <f>'Electric Weather Component'!D49</f>
        <v>932</v>
      </c>
      <c r="E49" s="226">
        <f>'Electric Weather Component'!E49</f>
        <v>775</v>
      </c>
      <c r="F49" s="226">
        <f>'Electric Weather Component'!F49</f>
        <v>545</v>
      </c>
      <c r="G49" s="226">
        <f>'Electric Weather Component'!G49</f>
        <v>277</v>
      </c>
      <c r="H49" s="226">
        <f>'Electric Weather Component'!H49</f>
        <v>120</v>
      </c>
      <c r="I49" s="226">
        <f>'Electric Weather Component'!I49</f>
        <v>14</v>
      </c>
      <c r="J49" s="226">
        <f>'Electric Weather Component'!J49</f>
        <v>18</v>
      </c>
      <c r="K49" s="226">
        <f>'Electric Weather Component'!K49</f>
        <v>142</v>
      </c>
      <c r="L49" s="226">
        <f>'Electric Weather Component'!L49</f>
        <v>521</v>
      </c>
      <c r="M49" s="226">
        <f>'Electric Weather Component'!M49</f>
        <v>837</v>
      </c>
      <c r="N49" s="226">
        <f>'Electric Weather Component'!N49</f>
        <v>1123</v>
      </c>
      <c r="O49" s="176">
        <f>SUM(C49:N49)</f>
        <v>6396</v>
      </c>
    </row>
    <row r="50" spans="1:15">
      <c r="A50" s="136">
        <v>28</v>
      </c>
      <c r="B50" t="s">
        <v>249</v>
      </c>
      <c r="C50" s="226">
        <f>'Electric Weather Component'!C50</f>
        <v>0</v>
      </c>
      <c r="D50" s="226">
        <f>'Electric Weather Component'!D50</f>
        <v>0</v>
      </c>
      <c r="E50" s="226">
        <f>'Electric Weather Component'!E50</f>
        <v>0</v>
      </c>
      <c r="F50" s="226">
        <f>'Electric Weather Component'!F50</f>
        <v>1</v>
      </c>
      <c r="G50" s="226">
        <f>'Electric Weather Component'!G50</f>
        <v>17</v>
      </c>
      <c r="H50" s="226">
        <f>'Electric Weather Component'!H50</f>
        <v>75</v>
      </c>
      <c r="I50" s="226">
        <f>'Electric Weather Component'!I50</f>
        <v>245</v>
      </c>
      <c r="J50" s="226">
        <f>'Electric Weather Component'!J50</f>
        <v>227</v>
      </c>
      <c r="K50" s="226">
        <f>'Electric Weather Component'!K50</f>
        <v>51</v>
      </c>
      <c r="L50" s="226">
        <f>'Electric Weather Component'!L50</f>
        <v>1</v>
      </c>
      <c r="M50" s="226">
        <f>'Electric Weather Component'!M50</f>
        <v>0</v>
      </c>
      <c r="N50" s="226">
        <f>'Electric Weather Component'!N50</f>
        <v>0</v>
      </c>
      <c r="O50" s="176">
        <f>SUM(C50:N50)</f>
        <v>617</v>
      </c>
    </row>
    <row r="52" spans="1:15">
      <c r="A52" s="136">
        <v>29</v>
      </c>
      <c r="B52" t="s">
        <v>231</v>
      </c>
      <c r="C52" s="176">
        <f>C49-C8</f>
        <v>-6</v>
      </c>
      <c r="D52" s="176">
        <f t="shared" ref="D52:N53" si="14">D49-D8</f>
        <v>2</v>
      </c>
      <c r="E52" s="176">
        <f t="shared" si="14"/>
        <v>87</v>
      </c>
      <c r="F52" s="176">
        <f t="shared" si="14"/>
        <v>-134</v>
      </c>
      <c r="G52" s="176">
        <f t="shared" si="14"/>
        <v>-144</v>
      </c>
      <c r="H52" s="176">
        <f t="shared" si="14"/>
        <v>-3</v>
      </c>
      <c r="I52" s="176">
        <f t="shared" si="14"/>
        <v>9</v>
      </c>
      <c r="J52" s="176">
        <f t="shared" si="14"/>
        <v>15</v>
      </c>
      <c r="K52" s="176">
        <f t="shared" si="14"/>
        <v>83</v>
      </c>
      <c r="L52" s="176">
        <f t="shared" si="14"/>
        <v>219</v>
      </c>
      <c r="M52" s="176">
        <f t="shared" si="14"/>
        <v>-253</v>
      </c>
      <c r="N52" s="176">
        <f t="shared" si="14"/>
        <v>-156</v>
      </c>
      <c r="O52" s="176">
        <f t="shared" ref="O52:O53" si="15">SUM(C52:N52)</f>
        <v>-281</v>
      </c>
    </row>
    <row r="53" spans="1:15">
      <c r="A53" s="136">
        <v>30</v>
      </c>
      <c r="B53" t="s">
        <v>232</v>
      </c>
      <c r="C53" s="176">
        <f>C50-C9</f>
        <v>0</v>
      </c>
      <c r="D53" s="176">
        <f t="shared" si="14"/>
        <v>0</v>
      </c>
      <c r="E53" s="176">
        <f t="shared" si="14"/>
        <v>0</v>
      </c>
      <c r="F53" s="176">
        <f t="shared" si="14"/>
        <v>1</v>
      </c>
      <c r="G53" s="176">
        <f t="shared" si="14"/>
        <v>17</v>
      </c>
      <c r="H53" s="176">
        <f t="shared" si="14"/>
        <v>38</v>
      </c>
      <c r="I53" s="176">
        <f t="shared" si="14"/>
        <v>-49</v>
      </c>
      <c r="J53" s="176">
        <f t="shared" si="14"/>
        <v>-126</v>
      </c>
      <c r="K53" s="176">
        <f t="shared" si="14"/>
        <v>-29</v>
      </c>
      <c r="L53" s="176">
        <f t="shared" si="14"/>
        <v>0</v>
      </c>
      <c r="M53" s="176">
        <f t="shared" si="14"/>
        <v>0</v>
      </c>
      <c r="N53" s="176">
        <f t="shared" si="14"/>
        <v>0</v>
      </c>
      <c r="O53" s="176">
        <f t="shared" si="15"/>
        <v>-148</v>
      </c>
    </row>
    <row r="55" spans="1:15">
      <c r="A55" s="136">
        <v>31</v>
      </c>
      <c r="B55" t="s">
        <v>250</v>
      </c>
      <c r="C55" s="226">
        <v>-117580</v>
      </c>
      <c r="D55" s="226">
        <v>39193</v>
      </c>
      <c r="E55" s="226">
        <v>1704915</v>
      </c>
      <c r="F55" s="226">
        <v>-2371406</v>
      </c>
      <c r="G55" s="226">
        <v>-2533057</v>
      </c>
      <c r="H55" s="226">
        <v>-53603</v>
      </c>
      <c r="I55" s="226">
        <v>185820</v>
      </c>
      <c r="J55" s="226">
        <v>311297</v>
      </c>
      <c r="K55" s="226">
        <v>1719155</v>
      </c>
      <c r="L55" s="226">
        <v>3903778</v>
      </c>
      <c r="M55" s="226">
        <v>-4495423</v>
      </c>
      <c r="N55" s="226">
        <v>-3082868</v>
      </c>
      <c r="O55" s="176">
        <f t="shared" ref="O55:O56" si="16">SUM(C55:N55)</f>
        <v>-4789779</v>
      </c>
    </row>
    <row r="56" spans="1:15">
      <c r="A56" s="136">
        <v>32</v>
      </c>
      <c r="B56" t="s">
        <v>251</v>
      </c>
      <c r="C56" s="226">
        <v>-40783</v>
      </c>
      <c r="D56" s="226">
        <v>13594</v>
      </c>
      <c r="E56" s="226">
        <v>591355</v>
      </c>
      <c r="F56" s="226">
        <v>-807768</v>
      </c>
      <c r="G56" s="226">
        <v>-867410</v>
      </c>
      <c r="H56" s="226">
        <v>-18519</v>
      </c>
      <c r="I56" s="226">
        <v>71496</v>
      </c>
      <c r="J56" s="226">
        <v>120692</v>
      </c>
      <c r="K56" s="226">
        <v>666057</v>
      </c>
      <c r="L56" s="226">
        <v>1341015</v>
      </c>
      <c r="M56" s="226">
        <v>-1561045</v>
      </c>
      <c r="N56" s="226">
        <v>-1117578</v>
      </c>
      <c r="O56" s="176">
        <f t="shared" si="16"/>
        <v>-1608894</v>
      </c>
    </row>
    <row r="58" spans="1:15">
      <c r="B58" s="86" t="s">
        <v>235</v>
      </c>
      <c r="C58" s="29"/>
    </row>
    <row r="59" spans="1:15">
      <c r="A59" s="136">
        <v>33</v>
      </c>
      <c r="B59" t="s">
        <v>236</v>
      </c>
      <c r="C59" s="227">
        <v>-60600</v>
      </c>
      <c r="D59" s="227">
        <v>20200</v>
      </c>
      <c r="E59" s="227">
        <v>878696</v>
      </c>
      <c r="F59" s="227">
        <v>-1222199</v>
      </c>
      <c r="G59" s="227">
        <v>-1305512</v>
      </c>
      <c r="H59" s="227">
        <v>-27626</v>
      </c>
      <c r="I59" s="227">
        <v>95770</v>
      </c>
      <c r="J59" s="227">
        <v>160439</v>
      </c>
      <c r="K59" s="227">
        <v>886035</v>
      </c>
      <c r="L59" s="227">
        <v>2011968</v>
      </c>
      <c r="M59" s="227">
        <v>-2316896</v>
      </c>
      <c r="N59" s="227">
        <v>-1723046</v>
      </c>
      <c r="O59" s="181">
        <f>SUM(C59:N59)</f>
        <v>-2602771</v>
      </c>
    </row>
    <row r="60" spans="1:15">
      <c r="A60" s="136">
        <v>34</v>
      </c>
      <c r="B60" t="s">
        <v>237</v>
      </c>
      <c r="C60" s="181">
        <f>C61-C59</f>
        <v>-1769740.0264102221</v>
      </c>
      <c r="D60" s="181">
        <f t="shared" ref="D60:E60" si="17">D61-D59</f>
        <v>-1938872.781487884</v>
      </c>
      <c r="E60" s="181">
        <f t="shared" si="17"/>
        <v>-1072865.0337839406</v>
      </c>
      <c r="F60" s="181">
        <f>F61-F59</f>
        <v>1350161.700132682</v>
      </c>
      <c r="G60" s="181">
        <f t="shared" ref="G60:N60" si="18">G61-G59</f>
        <v>2774987.5460741371</v>
      </c>
      <c r="H60" s="181">
        <f t="shared" si="18"/>
        <v>1478137.6165493764</v>
      </c>
      <c r="I60" s="181">
        <f t="shared" si="18"/>
        <v>-95770</v>
      </c>
      <c r="J60" s="181">
        <f t="shared" si="18"/>
        <v>-160439</v>
      </c>
      <c r="K60" s="181">
        <f t="shared" si="18"/>
        <v>-886035</v>
      </c>
      <c r="L60" s="181">
        <f t="shared" si="18"/>
        <v>-2011968</v>
      </c>
      <c r="M60" s="181">
        <f t="shared" si="18"/>
        <v>2316896</v>
      </c>
      <c r="N60" s="181">
        <f t="shared" si="18"/>
        <v>1723046</v>
      </c>
      <c r="O60" s="181">
        <f>SUM(C60:N60)</f>
        <v>1707539.0210741488</v>
      </c>
    </row>
    <row r="61" spans="1:15">
      <c r="A61" s="136">
        <v>35</v>
      </c>
      <c r="B61" t="s">
        <v>238</v>
      </c>
      <c r="C61" s="200">
        <f t="shared" ref="C61:N61" si="19">C$23</f>
        <v>-1830340.0264102221</v>
      </c>
      <c r="D61" s="200">
        <f t="shared" si="19"/>
        <v>-1918672.781487884</v>
      </c>
      <c r="E61" s="200">
        <f t="shared" si="19"/>
        <v>-194169.0337839406</v>
      </c>
      <c r="F61" s="200">
        <f t="shared" si="19"/>
        <v>127962.70013268199</v>
      </c>
      <c r="G61" s="200">
        <f t="shared" si="19"/>
        <v>1469475.5460741371</v>
      </c>
      <c r="H61" s="200">
        <f t="shared" si="19"/>
        <v>1450511.6165493764</v>
      </c>
      <c r="I61" s="200">
        <f t="shared" si="19"/>
        <v>0</v>
      </c>
      <c r="J61" s="200">
        <f t="shared" si="19"/>
        <v>0</v>
      </c>
      <c r="K61" s="200">
        <f t="shared" si="19"/>
        <v>0</v>
      </c>
      <c r="L61" s="200">
        <f t="shared" si="19"/>
        <v>0</v>
      </c>
      <c r="M61" s="200">
        <f t="shared" si="19"/>
        <v>0</v>
      </c>
      <c r="N61" s="200">
        <f t="shared" si="19"/>
        <v>0</v>
      </c>
      <c r="O61" s="181">
        <f>SUM(C61:N61)</f>
        <v>-895231.97892585117</v>
      </c>
    </row>
    <row r="63" spans="1:15">
      <c r="A63" s="136">
        <v>36</v>
      </c>
      <c r="B63" t="s">
        <v>239</v>
      </c>
      <c r="C63" s="227">
        <v>-11192</v>
      </c>
      <c r="D63" s="227">
        <v>3731</v>
      </c>
      <c r="E63" s="227">
        <v>162291</v>
      </c>
      <c r="F63" s="227">
        <v>-221684</v>
      </c>
      <c r="G63" s="227">
        <v>-238052</v>
      </c>
      <c r="H63" s="227">
        <v>-5082</v>
      </c>
      <c r="I63" s="227">
        <v>19621</v>
      </c>
      <c r="J63" s="227">
        <v>33123</v>
      </c>
      <c r="K63" s="227">
        <v>182793</v>
      </c>
      <c r="L63" s="227">
        <v>368028</v>
      </c>
      <c r="M63" s="227">
        <v>-428413</v>
      </c>
      <c r="N63" s="227">
        <v>-325964</v>
      </c>
      <c r="O63" s="181">
        <f>SUM(C63:N63)</f>
        <v>-460800</v>
      </c>
    </row>
    <row r="64" spans="1:15">
      <c r="A64" s="136">
        <v>37</v>
      </c>
      <c r="B64" t="s">
        <v>240</v>
      </c>
      <c r="C64" s="181">
        <f>C65-C63</f>
        <v>-1502624.9156406932</v>
      </c>
      <c r="D64" s="181">
        <f t="shared" ref="D64:N64" si="20">D65-D63</f>
        <v>-57884.728224963881</v>
      </c>
      <c r="E64" s="181">
        <f t="shared" si="20"/>
        <v>-207673.18297577975</v>
      </c>
      <c r="F64" s="181">
        <f t="shared" si="20"/>
        <v>191599.46679963241</v>
      </c>
      <c r="G64" s="181">
        <f t="shared" si="20"/>
        <v>386999.65056708525</v>
      </c>
      <c r="H64" s="181">
        <f t="shared" si="20"/>
        <v>203002.31957963214</v>
      </c>
      <c r="I64" s="181">
        <f t="shared" si="20"/>
        <v>-19621</v>
      </c>
      <c r="J64" s="181">
        <f t="shared" si="20"/>
        <v>-33123</v>
      </c>
      <c r="K64" s="181">
        <f t="shared" si="20"/>
        <v>-182793</v>
      </c>
      <c r="L64" s="181">
        <f t="shared" si="20"/>
        <v>-368028</v>
      </c>
      <c r="M64" s="181">
        <f t="shared" si="20"/>
        <v>428413</v>
      </c>
      <c r="N64" s="181">
        <f t="shared" si="20"/>
        <v>325964</v>
      </c>
      <c r="O64" s="181">
        <f>SUM(C64:N64)</f>
        <v>-835769.38989508711</v>
      </c>
    </row>
    <row r="65" spans="1:15">
      <c r="A65" s="136">
        <v>38</v>
      </c>
      <c r="B65" t="s">
        <v>241</v>
      </c>
      <c r="C65" s="200">
        <f>C$27</f>
        <v>-1513816.9156406932</v>
      </c>
      <c r="D65" s="200">
        <f t="shared" ref="D65:N65" si="21">D$27</f>
        <v>-54153.728224963881</v>
      </c>
      <c r="E65" s="200">
        <f t="shared" si="21"/>
        <v>-45382.182975779753</v>
      </c>
      <c r="F65" s="200">
        <f t="shared" si="21"/>
        <v>-30084.533200367587</v>
      </c>
      <c r="G65" s="200">
        <f t="shared" si="21"/>
        <v>148947.65056708525</v>
      </c>
      <c r="H65" s="200">
        <f t="shared" si="21"/>
        <v>197920.31957963214</v>
      </c>
      <c r="I65" s="200">
        <f t="shared" si="21"/>
        <v>0</v>
      </c>
      <c r="J65" s="200">
        <f t="shared" si="21"/>
        <v>0</v>
      </c>
      <c r="K65" s="200">
        <f t="shared" si="21"/>
        <v>0</v>
      </c>
      <c r="L65" s="200">
        <f t="shared" si="21"/>
        <v>0</v>
      </c>
      <c r="M65" s="200">
        <f t="shared" si="21"/>
        <v>0</v>
      </c>
      <c r="N65" s="200">
        <f t="shared" si="21"/>
        <v>0</v>
      </c>
      <c r="O65" s="181">
        <f>SUM(C65:N65)</f>
        <v>-1296569.3898950871</v>
      </c>
    </row>
    <row r="67" spans="1:15">
      <c r="B67" s="86" t="s">
        <v>252</v>
      </c>
    </row>
    <row r="68" spans="1:15">
      <c r="A68" s="136">
        <v>39</v>
      </c>
      <c r="B68" t="s">
        <v>253</v>
      </c>
      <c r="C68" s="226">
        <f>'Electric Weather Component'!C68</f>
        <v>1084</v>
      </c>
      <c r="D68" s="226">
        <f>'Electric Weather Component'!D68</f>
        <v>939</v>
      </c>
      <c r="E68" s="226">
        <f>'Electric Weather Component'!E68</f>
        <v>747</v>
      </c>
      <c r="F68" s="226">
        <f>'Electric Weather Component'!F68</f>
        <v>518</v>
      </c>
      <c r="G68" s="226">
        <f>'Electric Weather Component'!G68</f>
        <v>241</v>
      </c>
      <c r="H68" s="226">
        <f>'Electric Weather Component'!H68</f>
        <v>98</v>
      </c>
      <c r="I68" s="226">
        <f>'Electric Weather Component'!I68</f>
        <v>10</v>
      </c>
      <c r="J68" s="226">
        <f>'Electric Weather Component'!J68</f>
        <v>11</v>
      </c>
      <c r="K68" s="226">
        <f>'Electric Weather Component'!K68</f>
        <v>144</v>
      </c>
      <c r="L68" s="226">
        <f>'Electric Weather Component'!L68</f>
        <v>508</v>
      </c>
      <c r="M68" s="226">
        <f>'Electric Weather Component'!M68</f>
        <v>820</v>
      </c>
      <c r="N68" s="226">
        <f>'Electric Weather Component'!N68</f>
        <v>1093</v>
      </c>
      <c r="O68" s="176">
        <f>SUM(C68:N68)</f>
        <v>6213</v>
      </c>
    </row>
    <row r="69" spans="1:15">
      <c r="A69" s="136">
        <v>40</v>
      </c>
      <c r="B69" t="s">
        <v>254</v>
      </c>
      <c r="C69" s="226">
        <f>'Electric Weather Component'!C69</f>
        <v>0</v>
      </c>
      <c r="D69" s="226">
        <f>'Electric Weather Component'!D69</f>
        <v>0</v>
      </c>
      <c r="E69" s="226">
        <f>'Electric Weather Component'!E69</f>
        <v>0</v>
      </c>
      <c r="F69" s="226">
        <f>'Electric Weather Component'!F69</f>
        <v>1</v>
      </c>
      <c r="G69" s="226">
        <f>'Electric Weather Component'!G69</f>
        <v>18</v>
      </c>
      <c r="H69" s="226">
        <f>'Electric Weather Component'!H69</f>
        <v>96</v>
      </c>
      <c r="I69" s="226">
        <f>'Electric Weather Component'!I69</f>
        <v>271</v>
      </c>
      <c r="J69" s="226">
        <f>'Electric Weather Component'!J69</f>
        <v>244</v>
      </c>
      <c r="K69" s="226">
        <f>'Electric Weather Component'!K69</f>
        <v>51</v>
      </c>
      <c r="L69" s="226">
        <f>'Electric Weather Component'!L69</f>
        <v>1</v>
      </c>
      <c r="M69" s="226">
        <f>'Electric Weather Component'!M69</f>
        <v>0</v>
      </c>
      <c r="N69" s="226">
        <f>'Electric Weather Component'!N69</f>
        <v>0</v>
      </c>
      <c r="O69" s="176">
        <f>SUM(C69:N69)</f>
        <v>682</v>
      </c>
    </row>
    <row r="71" spans="1:15">
      <c r="A71" s="136">
        <v>41</v>
      </c>
      <c r="B71" t="s">
        <v>231</v>
      </c>
      <c r="C71" s="176">
        <f>C68-C8</f>
        <v>-14</v>
      </c>
      <c r="D71" s="176">
        <f t="shared" ref="D71:N72" si="22">D68-D8</f>
        <v>9</v>
      </c>
      <c r="E71" s="176">
        <f t="shared" si="22"/>
        <v>59</v>
      </c>
      <c r="F71" s="176">
        <f t="shared" si="22"/>
        <v>-161</v>
      </c>
      <c r="G71" s="176">
        <f t="shared" si="22"/>
        <v>-180</v>
      </c>
      <c r="H71" s="176">
        <f t="shared" si="22"/>
        <v>-25</v>
      </c>
      <c r="I71" s="176">
        <f t="shared" si="22"/>
        <v>5</v>
      </c>
      <c r="J71" s="176">
        <f t="shared" si="22"/>
        <v>8</v>
      </c>
      <c r="K71" s="176">
        <f t="shared" si="22"/>
        <v>85</v>
      </c>
      <c r="L71" s="176">
        <f t="shared" si="22"/>
        <v>206</v>
      </c>
      <c r="M71" s="176">
        <f t="shared" si="22"/>
        <v>-270</v>
      </c>
      <c r="N71" s="176">
        <f t="shared" si="22"/>
        <v>-186</v>
      </c>
      <c r="O71" s="176">
        <f t="shared" ref="O71:O72" si="23">SUM(C71:N71)</f>
        <v>-464</v>
      </c>
    </row>
    <row r="72" spans="1:15">
      <c r="A72" s="136">
        <v>42</v>
      </c>
      <c r="B72" t="s">
        <v>232</v>
      </c>
      <c r="C72" s="176">
        <f>C69-C9</f>
        <v>0</v>
      </c>
      <c r="D72" s="176">
        <f t="shared" si="22"/>
        <v>0</v>
      </c>
      <c r="E72" s="176">
        <f t="shared" si="22"/>
        <v>0</v>
      </c>
      <c r="F72" s="176">
        <f t="shared" si="22"/>
        <v>1</v>
      </c>
      <c r="G72" s="176">
        <f t="shared" si="22"/>
        <v>18</v>
      </c>
      <c r="H72" s="176">
        <f t="shared" si="22"/>
        <v>59</v>
      </c>
      <c r="I72" s="176">
        <f t="shared" si="22"/>
        <v>-23</v>
      </c>
      <c r="J72" s="176">
        <f t="shared" si="22"/>
        <v>-109</v>
      </c>
      <c r="K72" s="176">
        <f t="shared" si="22"/>
        <v>-29</v>
      </c>
      <c r="L72" s="176">
        <f t="shared" si="22"/>
        <v>0</v>
      </c>
      <c r="M72" s="176">
        <f t="shared" si="22"/>
        <v>0</v>
      </c>
      <c r="N72" s="176">
        <f t="shared" si="22"/>
        <v>0</v>
      </c>
      <c r="O72" s="176">
        <f t="shared" si="23"/>
        <v>-83</v>
      </c>
    </row>
    <row r="74" spans="1:15">
      <c r="A74" s="136">
        <v>43</v>
      </c>
      <c r="B74" t="s">
        <v>255</v>
      </c>
      <c r="C74" s="226">
        <v>-274354</v>
      </c>
      <c r="D74" s="226">
        <v>176371</v>
      </c>
      <c r="E74" s="226">
        <v>1156206</v>
      </c>
      <c r="F74" s="226">
        <v>-2849228</v>
      </c>
      <c r="G74" s="226">
        <v>-3166321</v>
      </c>
      <c r="H74" s="226">
        <v>-446685</v>
      </c>
      <c r="I74" s="226">
        <v>103233</v>
      </c>
      <c r="J74" s="226">
        <v>166026</v>
      </c>
      <c r="K74" s="226">
        <v>1760581</v>
      </c>
      <c r="L74" s="226">
        <v>3672045</v>
      </c>
      <c r="M74" s="226">
        <v>-4797487</v>
      </c>
      <c r="N74" s="226">
        <v>-3675727</v>
      </c>
      <c r="O74" s="176">
        <f t="shared" ref="O74:O75" si="24">SUM(C74:N74)</f>
        <v>-8175340</v>
      </c>
    </row>
    <row r="75" spans="1:15">
      <c r="A75" s="136">
        <v>44</v>
      </c>
      <c r="B75" t="s">
        <v>256</v>
      </c>
      <c r="C75" s="226">
        <v>-95161</v>
      </c>
      <c r="D75" s="226">
        <v>61175</v>
      </c>
      <c r="E75" s="226">
        <v>401034</v>
      </c>
      <c r="F75" s="226">
        <v>-970527</v>
      </c>
      <c r="G75" s="226">
        <v>-1084263</v>
      </c>
      <c r="H75" s="226">
        <v>-154328</v>
      </c>
      <c r="I75" s="226">
        <v>39719</v>
      </c>
      <c r="J75" s="226">
        <v>64369</v>
      </c>
      <c r="K75" s="226">
        <v>682106</v>
      </c>
      <c r="L75" s="226">
        <v>1261412</v>
      </c>
      <c r="M75" s="226">
        <v>-1665937</v>
      </c>
      <c r="N75" s="226">
        <v>-1332496</v>
      </c>
      <c r="O75" s="176">
        <f t="shared" si="24"/>
        <v>-2792897</v>
      </c>
    </row>
    <row r="77" spans="1:15">
      <c r="B77" s="86" t="s">
        <v>235</v>
      </c>
      <c r="C77" s="29"/>
    </row>
    <row r="78" spans="1:15">
      <c r="A78" s="136">
        <v>45</v>
      </c>
      <c r="B78" t="s">
        <v>236</v>
      </c>
      <c r="C78" s="227">
        <v>-141399</v>
      </c>
      <c r="D78" s="227">
        <v>90900</v>
      </c>
      <c r="E78" s="227">
        <v>595897</v>
      </c>
      <c r="F78" s="227">
        <v>-1468464</v>
      </c>
      <c r="G78" s="227">
        <v>-1631890</v>
      </c>
      <c r="H78" s="227">
        <v>-230217</v>
      </c>
      <c r="I78" s="227">
        <v>53205</v>
      </c>
      <c r="J78" s="227">
        <v>85568</v>
      </c>
      <c r="K78" s="227">
        <v>907386</v>
      </c>
      <c r="L78" s="227">
        <v>1892535</v>
      </c>
      <c r="M78" s="227">
        <v>-2472577</v>
      </c>
      <c r="N78" s="227">
        <v>-2054401</v>
      </c>
      <c r="O78" s="181">
        <f>SUM(C78:N78)</f>
        <v>-4373457</v>
      </c>
    </row>
    <row r="79" spans="1:15">
      <c r="A79" s="136">
        <v>46</v>
      </c>
      <c r="B79" t="s">
        <v>237</v>
      </c>
      <c r="C79" s="181">
        <f>C80-C78</f>
        <v>-1688941.0264102221</v>
      </c>
      <c r="D79" s="181">
        <f t="shared" ref="D79:E79" si="25">D80-D78</f>
        <v>-2009572.781487884</v>
      </c>
      <c r="E79" s="181">
        <f t="shared" si="25"/>
        <v>-790066.0337839406</v>
      </c>
      <c r="F79" s="181">
        <f>F80-F78</f>
        <v>1596426.700132682</v>
      </c>
      <c r="G79" s="181">
        <f t="shared" ref="G79:N79" si="26">G80-G78</f>
        <v>3101365.5460741371</v>
      </c>
      <c r="H79" s="181">
        <f t="shared" si="26"/>
        <v>1680728.6165493764</v>
      </c>
      <c r="I79" s="181">
        <f t="shared" si="26"/>
        <v>-53205</v>
      </c>
      <c r="J79" s="181">
        <f t="shared" si="26"/>
        <v>-85568</v>
      </c>
      <c r="K79" s="181">
        <f t="shared" si="26"/>
        <v>-907386</v>
      </c>
      <c r="L79" s="181">
        <f t="shared" si="26"/>
        <v>-1892535</v>
      </c>
      <c r="M79" s="181">
        <f t="shared" si="26"/>
        <v>2472577</v>
      </c>
      <c r="N79" s="181">
        <f t="shared" si="26"/>
        <v>2054401</v>
      </c>
      <c r="O79" s="181">
        <f>SUM(C79:N79)</f>
        <v>3478225.0210741488</v>
      </c>
    </row>
    <row r="80" spans="1:15">
      <c r="A80" s="136">
        <v>47</v>
      </c>
      <c r="B80" t="s">
        <v>238</v>
      </c>
      <c r="C80" s="200">
        <f t="shared" ref="C80:N80" si="27">C$23</f>
        <v>-1830340.0264102221</v>
      </c>
      <c r="D80" s="200">
        <f t="shared" si="27"/>
        <v>-1918672.781487884</v>
      </c>
      <c r="E80" s="200">
        <f t="shared" si="27"/>
        <v>-194169.0337839406</v>
      </c>
      <c r="F80" s="200">
        <f t="shared" si="27"/>
        <v>127962.70013268199</v>
      </c>
      <c r="G80" s="200">
        <f t="shared" si="27"/>
        <v>1469475.5460741371</v>
      </c>
      <c r="H80" s="200">
        <f t="shared" si="27"/>
        <v>1450511.6165493764</v>
      </c>
      <c r="I80" s="200">
        <f t="shared" si="27"/>
        <v>0</v>
      </c>
      <c r="J80" s="200">
        <f t="shared" si="27"/>
        <v>0</v>
      </c>
      <c r="K80" s="200">
        <f t="shared" si="27"/>
        <v>0</v>
      </c>
      <c r="L80" s="200">
        <f t="shared" si="27"/>
        <v>0</v>
      </c>
      <c r="M80" s="200">
        <f t="shared" si="27"/>
        <v>0</v>
      </c>
      <c r="N80" s="200">
        <f t="shared" si="27"/>
        <v>0</v>
      </c>
      <c r="O80" s="181">
        <f>SUM(C80:N80)</f>
        <v>-895231.97892585117</v>
      </c>
    </row>
    <row r="82" spans="1:15">
      <c r="A82" s="136">
        <v>48</v>
      </c>
      <c r="B82" t="s">
        <v>239</v>
      </c>
      <c r="C82" s="227">
        <v>-26116</v>
      </c>
      <c r="D82" s="227">
        <v>16789</v>
      </c>
      <c r="E82" s="227">
        <v>110060</v>
      </c>
      <c r="F82" s="227">
        <v>-266351</v>
      </c>
      <c r="G82" s="227">
        <v>-297565</v>
      </c>
      <c r="H82" s="227">
        <v>-42354</v>
      </c>
      <c r="I82" s="227">
        <v>10900</v>
      </c>
      <c r="J82" s="227">
        <v>17665</v>
      </c>
      <c r="K82" s="227">
        <v>187197</v>
      </c>
      <c r="L82" s="227">
        <v>346182</v>
      </c>
      <c r="M82" s="227">
        <v>-457200</v>
      </c>
      <c r="N82" s="227">
        <v>-388649</v>
      </c>
      <c r="O82" s="181">
        <f>SUM(C82:N82)</f>
        <v>-789442</v>
      </c>
    </row>
    <row r="83" spans="1:15">
      <c r="A83" s="136">
        <v>49</v>
      </c>
      <c r="B83" t="s">
        <v>240</v>
      </c>
      <c r="C83" s="181">
        <f>C84-C82</f>
        <v>-1487700.9156406932</v>
      </c>
      <c r="D83" s="181">
        <f t="shared" ref="D83:N83" si="28">D84-D82</f>
        <v>-70942.728224963881</v>
      </c>
      <c r="E83" s="181">
        <f t="shared" si="28"/>
        <v>-155442.18297577975</v>
      </c>
      <c r="F83" s="181">
        <f t="shared" si="28"/>
        <v>236266.46679963241</v>
      </c>
      <c r="G83" s="181">
        <f t="shared" si="28"/>
        <v>446512.65056708525</v>
      </c>
      <c r="H83" s="181">
        <f t="shared" si="28"/>
        <v>240274.31957963214</v>
      </c>
      <c r="I83" s="181">
        <f t="shared" si="28"/>
        <v>-10900</v>
      </c>
      <c r="J83" s="181">
        <f t="shared" si="28"/>
        <v>-17665</v>
      </c>
      <c r="K83" s="181">
        <f t="shared" si="28"/>
        <v>-187197</v>
      </c>
      <c r="L83" s="181">
        <f t="shared" si="28"/>
        <v>-346182</v>
      </c>
      <c r="M83" s="181">
        <f t="shared" si="28"/>
        <v>457200</v>
      </c>
      <c r="N83" s="181">
        <f t="shared" si="28"/>
        <v>388649</v>
      </c>
      <c r="O83" s="181">
        <f>SUM(C83:N83)</f>
        <v>-507127.38989508711</v>
      </c>
    </row>
    <row r="84" spans="1:15">
      <c r="A84" s="136">
        <v>50</v>
      </c>
      <c r="B84" t="s">
        <v>241</v>
      </c>
      <c r="C84" s="200">
        <f>C$27</f>
        <v>-1513816.9156406932</v>
      </c>
      <c r="D84" s="200">
        <f t="shared" ref="D84:N84" si="29">D$27</f>
        <v>-54153.728224963881</v>
      </c>
      <c r="E84" s="200">
        <f t="shared" si="29"/>
        <v>-45382.182975779753</v>
      </c>
      <c r="F84" s="200">
        <f t="shared" si="29"/>
        <v>-30084.533200367587</v>
      </c>
      <c r="G84" s="200">
        <f t="shared" si="29"/>
        <v>148947.65056708525</v>
      </c>
      <c r="H84" s="200">
        <f t="shared" si="29"/>
        <v>197920.31957963214</v>
      </c>
      <c r="I84" s="200">
        <f t="shared" si="29"/>
        <v>0</v>
      </c>
      <c r="J84" s="200">
        <f t="shared" si="29"/>
        <v>0</v>
      </c>
      <c r="K84" s="200">
        <f t="shared" si="29"/>
        <v>0</v>
      </c>
      <c r="L84" s="200">
        <f t="shared" si="29"/>
        <v>0</v>
      </c>
      <c r="M84" s="200">
        <f t="shared" si="29"/>
        <v>0</v>
      </c>
      <c r="N84" s="200">
        <f t="shared" si="29"/>
        <v>0</v>
      </c>
      <c r="O84" s="181">
        <f>SUM(C84:N84)</f>
        <v>-1296569.3898950871</v>
      </c>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2022</oddHeader>
    <oddFooter>&amp;Cfile: &amp;F / &amp;A</oddFooter>
  </headerFooter>
  <rowBreaks count="1" manualBreakCount="1">
    <brk id="4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2023-08-28T07:00:00+00:00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438FD016-DED2-42D1-961A-D1475A0BFEF5}"/>
</file>

<file path=customXml/itemProps2.xml><?xml version="1.0" encoding="utf-8"?>
<ds:datastoreItem xmlns:ds="http://schemas.openxmlformats.org/officeDocument/2006/customXml" ds:itemID="{B1726B4B-6DD6-4238-B4F7-9C8818F993E9}"/>
</file>

<file path=customXml/itemProps3.xml><?xml version="1.0" encoding="utf-8"?>
<ds:datastoreItem xmlns:ds="http://schemas.openxmlformats.org/officeDocument/2006/customXml" ds:itemID="{DB9C1E64-CD4A-413F-A11A-B8E78C286920}"/>
</file>

<file path=customXml/itemProps4.xml><?xml version="1.0" encoding="utf-8"?>
<ds:datastoreItem xmlns:ds="http://schemas.openxmlformats.org/officeDocument/2006/customXml" ds:itemID="{B997E5F1-9F97-453C-8A26-684873AEDB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Electric Deferral</vt:lpstr>
      <vt:lpstr>Nat Gas Deferral</vt:lpstr>
      <vt:lpstr>Accounting Balances</vt:lpstr>
      <vt:lpstr>Interest Reconciliation</vt:lpstr>
      <vt:lpstr>Electric New Customer Status</vt:lpstr>
      <vt:lpstr>Natural Gas New Customer Status</vt:lpstr>
      <vt:lpstr>Electric Weather Component</vt:lpstr>
      <vt:lpstr>Natural Gas Weather Component</vt:lpstr>
      <vt:lpstr>'Accounting Balances'!Print_Area</vt:lpstr>
      <vt:lpstr>'Electric Deferral'!Print_Area</vt:lpstr>
      <vt:lpstr>'Electric New Customer Status'!Print_Area</vt:lpstr>
      <vt:lpstr>'Electric Weather Component'!Print_Area</vt:lpstr>
      <vt:lpstr>'Interest Reconciliation'!Print_Area</vt:lpstr>
      <vt:lpstr>'Nat Gas Deferral'!Print_Area</vt:lpstr>
      <vt:lpstr>'Natural Gas New Customer Status'!Print_Area</vt:lpstr>
      <vt:lpstr>'Natural Gas Weather Component'!Print_Area</vt:lpstr>
      <vt:lpstr>'Electric Deferral'!Print_Titles</vt:lpstr>
      <vt:lpstr>'Electric Weather Component'!Print_Titles</vt:lpstr>
      <vt:lpstr>'Interest Reconciliation'!Print_Titles</vt:lpstr>
      <vt:lpstr>'Nat Gas Deferral'!Print_Titles</vt:lpstr>
      <vt:lpstr>'Natural Gas Weather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2023-08-28T17:46:11Z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ies>
</file>