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9328388-8445-4655-8C80-02FF3E3FF40E}" xr6:coauthVersionLast="47" xr6:coauthVersionMax="47" xr10:uidLastSave="{00000000-0000-0000-0000-000000000000}"/>
  <bookViews>
    <workbookView xWindow="-120" yWindow="-120" windowWidth="29040" windowHeight="15840" xr2:uid="{0B43B3AB-3E35-43C6-8C1B-35723D063ADC}"/>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 name="Electric New Customer Status" sheetId="8" r:id="rId7"/>
    <sheet name="Natural Gas New Customer Status" sheetId="9" r:id="rId8"/>
    <sheet name="Electric Weather Component" sheetId="10" r:id="rId9"/>
    <sheet name="Natural Gas Weather Component" sheetId="11" r:id="rId10"/>
  </sheets>
  <externalReferences>
    <externalReference r:id="rId11"/>
  </externalReferences>
  <definedNames>
    <definedName name="Current_Month">[1]Summary!$K$1</definedName>
    <definedName name="_xlnm.Print_Area" localSheetId="3">'Accounting Balances'!$A$1:$H$200</definedName>
    <definedName name="_xlnm.Print_Area" localSheetId="0">'Electric Deferral'!$A$1:$U$65</definedName>
    <definedName name="_xlnm.Print_Area" localSheetId="6">'Electric New Customer Status'!$A$1:$P$54</definedName>
    <definedName name="_xlnm.Print_Area" localSheetId="8">'Electric Weather Component'!$A$1:$O$84</definedName>
    <definedName name="_xlnm.Print_Area" localSheetId="4">'Interest Reconciliation'!$A$1:$R$186</definedName>
    <definedName name="_xlnm.Print_Area" localSheetId="2">'Nat Gas Deferral'!$A$1:$U$61</definedName>
    <definedName name="_xlnm.Print_Area" localSheetId="7">'Natural Gas New Customer Status'!$A$1:$P$54</definedName>
    <definedName name="_xlnm.Print_Area" localSheetId="9">'Natural Gas Weather Component'!$A$1:$O$84</definedName>
    <definedName name="_xlnm.Print_Area" localSheetId="5">Notes!$A$1:$J$29</definedName>
    <definedName name="_xlnm.Print_Titles" localSheetId="0">'Electric Deferral'!$1:$7</definedName>
    <definedName name="_xlnm.Print_Titles" localSheetId="8">'Electric Weather Component'!$6:$9</definedName>
    <definedName name="_xlnm.Print_Titles" localSheetId="4">'Interest Reconciliation'!$1:$2</definedName>
    <definedName name="_xlnm.Print_Titles" localSheetId="2">'Nat Gas Deferral'!$1:$7</definedName>
    <definedName name="_xlnm.Print_Titles" localSheetId="9">'Natural Gas Weather Component'!$6:$9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10" l="1"/>
  <c r="Q8" i="10"/>
  <c r="Q10" i="10" s="1"/>
  <c r="T10" i="10"/>
  <c r="S10" i="10"/>
  <c r="R10" i="10"/>
  <c r="T8" i="10"/>
  <c r="S8" i="10"/>
  <c r="R8" i="10"/>
  <c r="T9" i="10"/>
  <c r="S9" i="10"/>
  <c r="R9" i="10"/>
  <c r="C14" i="10"/>
  <c r="T27" i="11" l="1"/>
  <c r="T26" i="11"/>
  <c r="U27" i="11"/>
  <c r="U26" i="11"/>
  <c r="W27" i="11"/>
  <c r="W26" i="11"/>
  <c r="V27" i="11"/>
  <c r="V26" i="11"/>
  <c r="U27" i="10"/>
  <c r="T27" i="10"/>
  <c r="U26" i="10"/>
  <c r="T26" i="10"/>
  <c r="N39" i="8" l="1"/>
  <c r="N38" i="8"/>
  <c r="C31" i="9"/>
  <c r="N40" i="9"/>
  <c r="N39" i="9"/>
  <c r="N38" i="9"/>
  <c r="N19" i="8" l="1"/>
  <c r="P37" i="8"/>
  <c r="P36" i="8"/>
  <c r="P35" i="8"/>
  <c r="P34" i="8"/>
  <c r="C22" i="8"/>
  <c r="C24" i="8"/>
  <c r="C37" i="8"/>
  <c r="C31" i="8"/>
  <c r="C40" i="8"/>
  <c r="L48" i="9" l="1"/>
  <c r="L47" i="9"/>
  <c r="L46" i="9"/>
  <c r="L45" i="9"/>
  <c r="K48" i="9"/>
  <c r="K47" i="9"/>
  <c r="K46" i="9"/>
  <c r="K45" i="9"/>
  <c r="M38" i="9"/>
  <c r="L38" i="9"/>
  <c r="K38" i="9"/>
  <c r="M39" i="8"/>
  <c r="M38" i="8"/>
  <c r="L39" i="8"/>
  <c r="L38" i="8"/>
  <c r="M48" i="8"/>
  <c r="M47" i="8"/>
  <c r="M46" i="8"/>
  <c r="M45" i="8"/>
  <c r="M44" i="8"/>
  <c r="L48" i="8"/>
  <c r="L47" i="8"/>
  <c r="L46" i="8"/>
  <c r="L45" i="8"/>
  <c r="L44" i="8"/>
  <c r="C19" i="8"/>
  <c r="P16" i="8"/>
  <c r="P15" i="8"/>
  <c r="C10" i="8"/>
  <c r="N10" i="8"/>
  <c r="I164" i="3"/>
  <c r="I165" i="3"/>
  <c r="I160" i="3"/>
  <c r="I161" i="3"/>
  <c r="I155" i="3"/>
  <c r="I156" i="3"/>
  <c r="J165" i="3"/>
  <c r="J164" i="3"/>
  <c r="J163" i="3"/>
  <c r="J161" i="3"/>
  <c r="J160" i="3"/>
  <c r="J159" i="3"/>
  <c r="J156" i="3"/>
  <c r="J155" i="3"/>
  <c r="J154" i="3"/>
  <c r="I152" i="3"/>
  <c r="J152" i="3" s="1"/>
  <c r="I151" i="3"/>
  <c r="J151" i="3" s="1"/>
  <c r="J150" i="3"/>
  <c r="I163" i="3"/>
  <c r="I159" i="3"/>
  <c r="I154" i="3"/>
  <c r="I150" i="3"/>
  <c r="I142" i="3"/>
  <c r="J142" i="3" s="1"/>
  <c r="I143" i="3"/>
  <c r="I141" i="3"/>
  <c r="I138" i="3"/>
  <c r="I139" i="3"/>
  <c r="J139" i="3" s="1"/>
  <c r="I137" i="3"/>
  <c r="J137" i="3" s="1"/>
  <c r="I130" i="3"/>
  <c r="I131" i="3"/>
  <c r="J131" i="3" s="1"/>
  <c r="J130" i="3"/>
  <c r="J129" i="3"/>
  <c r="J143" i="3"/>
  <c r="J141" i="3"/>
  <c r="J138" i="3"/>
  <c r="I129" i="3"/>
  <c r="J134" i="3"/>
  <c r="J135" i="3"/>
  <c r="J133" i="3"/>
  <c r="I135" i="3"/>
  <c r="I134" i="3"/>
  <c r="I133" i="3"/>
  <c r="E123" i="3" l="1"/>
  <c r="E122" i="3"/>
  <c r="G123" i="3"/>
  <c r="G122" i="3"/>
  <c r="G121" i="3"/>
  <c r="K123" i="3"/>
  <c r="I123" i="3"/>
  <c r="J123" i="3" s="1"/>
  <c r="I122" i="3"/>
  <c r="J122" i="3" s="1"/>
  <c r="I121" i="3"/>
  <c r="K119" i="3"/>
  <c r="L119" i="3" s="1"/>
  <c r="K115" i="3"/>
  <c r="L115" i="3" s="1"/>
  <c r="I115" i="3"/>
  <c r="J115" i="3" s="1"/>
  <c r="I114" i="3"/>
  <c r="J114" i="3" s="1"/>
  <c r="I113" i="3"/>
  <c r="J113" i="3" s="1"/>
  <c r="J121" i="3"/>
  <c r="J119" i="3"/>
  <c r="J118" i="3"/>
  <c r="J117" i="3"/>
  <c r="I119" i="3"/>
  <c r="I118" i="3"/>
  <c r="I117" i="3"/>
  <c r="L111" i="3"/>
  <c r="K111" i="3"/>
  <c r="J110" i="3"/>
  <c r="J111" i="3"/>
  <c r="J109" i="3"/>
  <c r="I109" i="3"/>
  <c r="I111" i="3"/>
  <c r="I110" i="3"/>
  <c r="L123" i="3" l="1"/>
  <c r="J94" i="3" l="1"/>
  <c r="G21" i="3"/>
  <c r="J21" i="3" s="1"/>
  <c r="F21" i="3"/>
  <c r="I72" i="3"/>
  <c r="I64" i="3"/>
  <c r="I60" i="3"/>
  <c r="I55" i="3"/>
  <c r="O146" i="7"/>
  <c r="O130" i="7"/>
  <c r="O114" i="7"/>
  <c r="O100" i="7"/>
  <c r="O101" i="7" s="1"/>
  <c r="F148" i="7"/>
  <c r="D149" i="7" s="1"/>
  <c r="F133" i="7"/>
  <c r="C118" i="7"/>
  <c r="F118" i="7"/>
  <c r="F117" i="7"/>
  <c r="F116" i="7"/>
  <c r="F113" i="7"/>
  <c r="L8" i="7"/>
  <c r="C8" i="7"/>
  <c r="C150" i="7"/>
  <c r="L150" i="7"/>
  <c r="M85" i="7"/>
  <c r="M101" i="7"/>
  <c r="D101" i="7"/>
  <c r="D133" i="7"/>
  <c r="L134" i="7"/>
  <c r="C134" i="7"/>
  <c r="L102" i="7"/>
  <c r="C102" i="7"/>
  <c r="M84" i="7"/>
  <c r="D84" i="7"/>
  <c r="M66" i="7"/>
  <c r="D66" i="7"/>
  <c r="F149" i="7" l="1"/>
  <c r="O20" i="2" l="1"/>
  <c r="O48" i="1" l="1"/>
  <c r="O20" i="1"/>
  <c r="D53" i="1" l="1"/>
  <c r="O53" i="1"/>
  <c r="N53" i="1"/>
  <c r="M53" i="1"/>
  <c r="L53" i="1"/>
  <c r="K53" i="1"/>
  <c r="J53" i="1"/>
  <c r="I53" i="1"/>
  <c r="H53" i="1"/>
  <c r="G53" i="1"/>
  <c r="F53" i="1"/>
  <c r="E53" i="1"/>
  <c r="E25" i="1"/>
  <c r="F25" i="1" s="1"/>
  <c r="G25" i="1" s="1"/>
  <c r="H25" i="1" s="1"/>
  <c r="I25" i="1" s="1"/>
  <c r="J25" i="1" s="1"/>
  <c r="K25" i="1" s="1"/>
  <c r="L25" i="1" s="1"/>
  <c r="M25" i="1" s="1"/>
  <c r="N25" i="1" s="1"/>
  <c r="N9" i="11" l="1"/>
  <c r="M9" i="11"/>
  <c r="L9" i="11"/>
  <c r="K9" i="11"/>
  <c r="J9" i="11"/>
  <c r="I9" i="11"/>
  <c r="H9" i="11"/>
  <c r="G9" i="11"/>
  <c r="F9" i="11"/>
  <c r="E9" i="11"/>
  <c r="D9" i="11"/>
  <c r="C9" i="11"/>
  <c r="N8" i="11"/>
  <c r="M8" i="11"/>
  <c r="L8" i="11"/>
  <c r="K8" i="11"/>
  <c r="J8" i="11"/>
  <c r="I8" i="11"/>
  <c r="H8" i="11"/>
  <c r="G8" i="11"/>
  <c r="F8" i="11"/>
  <c r="E8" i="11"/>
  <c r="D8" i="11"/>
  <c r="C8" i="11"/>
  <c r="N69" i="11"/>
  <c r="M69" i="11"/>
  <c r="L69" i="11"/>
  <c r="K69" i="11"/>
  <c r="J69" i="11"/>
  <c r="I69" i="11"/>
  <c r="H69" i="11"/>
  <c r="G69" i="11"/>
  <c r="F69" i="11"/>
  <c r="E69" i="11"/>
  <c r="D69" i="11"/>
  <c r="C69" i="11"/>
  <c r="N68" i="11"/>
  <c r="M68" i="11"/>
  <c r="L68" i="11"/>
  <c r="K68" i="11"/>
  <c r="J68" i="11"/>
  <c r="I68" i="11"/>
  <c r="H68" i="11"/>
  <c r="G68" i="11"/>
  <c r="F68" i="11"/>
  <c r="E68" i="11"/>
  <c r="D68" i="11"/>
  <c r="C68" i="11"/>
  <c r="N50" i="11"/>
  <c r="M50" i="11"/>
  <c r="L50" i="11"/>
  <c r="K50" i="11"/>
  <c r="J50" i="11"/>
  <c r="I50" i="11"/>
  <c r="H50" i="11"/>
  <c r="G50" i="11"/>
  <c r="F50" i="11"/>
  <c r="E50" i="11"/>
  <c r="D50" i="11"/>
  <c r="C50" i="11"/>
  <c r="N49" i="11"/>
  <c r="M49" i="11"/>
  <c r="L49" i="11"/>
  <c r="K49" i="11"/>
  <c r="J49" i="11"/>
  <c r="I49" i="11"/>
  <c r="H49" i="11"/>
  <c r="G49" i="11"/>
  <c r="F49" i="11"/>
  <c r="E49" i="11"/>
  <c r="D49" i="11"/>
  <c r="C49" i="11"/>
  <c r="N31" i="11"/>
  <c r="M31" i="11"/>
  <c r="L31" i="11"/>
  <c r="K31" i="11"/>
  <c r="J31" i="11"/>
  <c r="I31" i="11"/>
  <c r="H31" i="11"/>
  <c r="G31" i="11"/>
  <c r="F31" i="11"/>
  <c r="E31" i="11"/>
  <c r="D31" i="11"/>
  <c r="C31" i="11"/>
  <c r="N30" i="11"/>
  <c r="M30" i="11"/>
  <c r="L30" i="11"/>
  <c r="K30" i="11"/>
  <c r="J30" i="11"/>
  <c r="I30" i="11"/>
  <c r="H30" i="11"/>
  <c r="G30" i="11"/>
  <c r="F30" i="11"/>
  <c r="E30" i="11"/>
  <c r="D30" i="11"/>
  <c r="C30" i="11"/>
  <c r="D11" i="11"/>
  <c r="E11" i="11"/>
  <c r="F11" i="11"/>
  <c r="G11" i="11"/>
  <c r="H11" i="11"/>
  <c r="I11" i="11"/>
  <c r="J11" i="11"/>
  <c r="K11" i="11"/>
  <c r="L11" i="11"/>
  <c r="M11" i="11"/>
  <c r="N11" i="11"/>
  <c r="D12" i="11"/>
  <c r="E12" i="11"/>
  <c r="F12" i="11"/>
  <c r="G12" i="11"/>
  <c r="H12" i="11"/>
  <c r="I12" i="11"/>
  <c r="J12" i="11"/>
  <c r="K12" i="11"/>
  <c r="L12" i="11"/>
  <c r="M12" i="11"/>
  <c r="N12" i="11"/>
  <c r="C12" i="11"/>
  <c r="C11" i="11"/>
  <c r="P36" i="9" l="1"/>
  <c r="P35" i="9"/>
  <c r="P34" i="9"/>
  <c r="O20" i="8"/>
  <c r="N16" i="9" l="1"/>
  <c r="N15" i="9"/>
  <c r="N12" i="9"/>
  <c r="N11" i="9"/>
  <c r="N13" i="9" s="1"/>
  <c r="N9" i="9"/>
  <c r="N8" i="9"/>
  <c r="N23" i="9" s="1"/>
  <c r="M16" i="9"/>
  <c r="M15" i="9"/>
  <c r="M12" i="9"/>
  <c r="M11" i="9"/>
  <c r="M13" i="9" s="1"/>
  <c r="M9" i="9"/>
  <c r="M8" i="9"/>
  <c r="L16" i="9"/>
  <c r="L15" i="9"/>
  <c r="L17" i="9" s="1"/>
  <c r="L12" i="9"/>
  <c r="L11" i="9"/>
  <c r="L13" i="9" s="1"/>
  <c r="L9" i="9"/>
  <c r="L8" i="9"/>
  <c r="K16" i="9"/>
  <c r="K17" i="9" s="1"/>
  <c r="K15" i="9"/>
  <c r="K12" i="9"/>
  <c r="K11" i="9"/>
  <c r="K13" i="9" s="1"/>
  <c r="K9" i="9"/>
  <c r="K8" i="9"/>
  <c r="J16" i="9"/>
  <c r="J15" i="9"/>
  <c r="J12" i="9"/>
  <c r="J11" i="9"/>
  <c r="J9" i="9"/>
  <c r="J8" i="9"/>
  <c r="J22" i="9" s="1"/>
  <c r="I16" i="9"/>
  <c r="I15" i="9"/>
  <c r="I12" i="9"/>
  <c r="I11" i="9"/>
  <c r="I9" i="9"/>
  <c r="I8" i="9"/>
  <c r="H16" i="9"/>
  <c r="H15" i="9"/>
  <c r="H12" i="9"/>
  <c r="H19" i="9" s="1"/>
  <c r="H11" i="9"/>
  <c r="H9" i="9"/>
  <c r="H8" i="9"/>
  <c r="G16" i="9"/>
  <c r="G15" i="9"/>
  <c r="G12" i="9"/>
  <c r="G11" i="9"/>
  <c r="G13" i="9" s="1"/>
  <c r="G9" i="9"/>
  <c r="G8" i="9"/>
  <c r="C16" i="9"/>
  <c r="C15" i="9"/>
  <c r="C12" i="9"/>
  <c r="C11" i="9"/>
  <c r="C9" i="9"/>
  <c r="C8" i="9"/>
  <c r="D16" i="9"/>
  <c r="D15" i="9"/>
  <c r="D12" i="9"/>
  <c r="D11" i="9"/>
  <c r="D9" i="9"/>
  <c r="D8" i="9"/>
  <c r="D22" i="9" s="1"/>
  <c r="E16" i="9"/>
  <c r="E15" i="9"/>
  <c r="E12" i="9"/>
  <c r="E11" i="9"/>
  <c r="E9" i="9"/>
  <c r="E8" i="9"/>
  <c r="E10" i="9" s="1"/>
  <c r="F16" i="9"/>
  <c r="F15" i="9"/>
  <c r="F12" i="9"/>
  <c r="F11" i="9"/>
  <c r="F22" i="9" s="1"/>
  <c r="F9" i="9"/>
  <c r="F10" i="9" s="1"/>
  <c r="F8" i="9"/>
  <c r="N16" i="8"/>
  <c r="N15" i="8"/>
  <c r="M16" i="8"/>
  <c r="M15" i="8"/>
  <c r="L16" i="8"/>
  <c r="L15" i="8"/>
  <c r="L17" i="8" s="1"/>
  <c r="K16" i="8"/>
  <c r="K17" i="8" s="1"/>
  <c r="K15" i="8"/>
  <c r="J16" i="8"/>
  <c r="J15" i="8"/>
  <c r="I16" i="8"/>
  <c r="I15" i="8"/>
  <c r="H16" i="8"/>
  <c r="H15" i="8"/>
  <c r="G16" i="8"/>
  <c r="G15" i="8"/>
  <c r="F16" i="8"/>
  <c r="F15" i="8"/>
  <c r="E16" i="8"/>
  <c r="E15" i="8"/>
  <c r="D16" i="8"/>
  <c r="D15" i="8"/>
  <c r="D17" i="8" s="1"/>
  <c r="C15" i="8"/>
  <c r="C16" i="8"/>
  <c r="N12" i="8"/>
  <c r="N11" i="8"/>
  <c r="N13" i="8" s="1"/>
  <c r="N9" i="8"/>
  <c r="N8" i="8"/>
  <c r="M12" i="8"/>
  <c r="M11" i="8"/>
  <c r="M13" i="8" s="1"/>
  <c r="M9" i="8"/>
  <c r="M8" i="8"/>
  <c r="M10" i="8" s="1"/>
  <c r="L12" i="8"/>
  <c r="L13" i="8" s="1"/>
  <c r="L11" i="8"/>
  <c r="L9" i="8"/>
  <c r="L8" i="8"/>
  <c r="K12" i="8"/>
  <c r="K11" i="8"/>
  <c r="K23" i="8" s="1"/>
  <c r="K9" i="8"/>
  <c r="K8" i="8"/>
  <c r="K10" i="8" s="1"/>
  <c r="J12" i="8"/>
  <c r="J11" i="8"/>
  <c r="J9" i="8"/>
  <c r="J8" i="8"/>
  <c r="I12" i="8"/>
  <c r="I11" i="8"/>
  <c r="I9" i="8"/>
  <c r="I8" i="8"/>
  <c r="H12" i="8"/>
  <c r="H11" i="8"/>
  <c r="H13" i="8" s="1"/>
  <c r="H9" i="8"/>
  <c r="H8" i="8"/>
  <c r="H23" i="8" s="1"/>
  <c r="G12" i="8"/>
  <c r="G11" i="8"/>
  <c r="G22" i="8" s="1"/>
  <c r="G9" i="8"/>
  <c r="G8" i="8"/>
  <c r="G10" i="8" s="1"/>
  <c r="F12" i="8"/>
  <c r="F11" i="8"/>
  <c r="F9" i="8"/>
  <c r="F8" i="8"/>
  <c r="E12" i="8"/>
  <c r="E11" i="8"/>
  <c r="E9" i="8"/>
  <c r="E8" i="8"/>
  <c r="E10" i="8" s="1"/>
  <c r="D12" i="8"/>
  <c r="D11" i="8"/>
  <c r="D9" i="8"/>
  <c r="D8" i="8"/>
  <c r="D22" i="8" s="1"/>
  <c r="C12" i="8"/>
  <c r="C11" i="8"/>
  <c r="C9" i="8"/>
  <c r="C8" i="8"/>
  <c r="O20" i="9"/>
  <c r="O82" i="11"/>
  <c r="O78" i="11"/>
  <c r="O75" i="11"/>
  <c r="W24" i="11" s="1"/>
  <c r="O74" i="11"/>
  <c r="V24" i="11" s="1"/>
  <c r="N72" i="11"/>
  <c r="M72" i="11"/>
  <c r="L72" i="11"/>
  <c r="K72" i="11"/>
  <c r="J72" i="11"/>
  <c r="I72" i="11"/>
  <c r="H72" i="11"/>
  <c r="G72" i="11"/>
  <c r="F72" i="11"/>
  <c r="E72" i="11"/>
  <c r="D72" i="11"/>
  <c r="C72" i="11"/>
  <c r="N71" i="11"/>
  <c r="M71" i="11"/>
  <c r="L71" i="11"/>
  <c r="K71" i="11"/>
  <c r="J71" i="11"/>
  <c r="I71" i="11"/>
  <c r="H71" i="11"/>
  <c r="G71" i="11"/>
  <c r="F71" i="11"/>
  <c r="E71" i="11"/>
  <c r="D71" i="11"/>
  <c r="C71" i="11"/>
  <c r="O69" i="11"/>
  <c r="U24" i="11" s="1"/>
  <c r="O68" i="11"/>
  <c r="T24" i="11" s="1"/>
  <c r="O63" i="11"/>
  <c r="O59" i="11"/>
  <c r="O56" i="11"/>
  <c r="W23" i="11" s="1"/>
  <c r="O55" i="11"/>
  <c r="V23" i="11" s="1"/>
  <c r="N53" i="11"/>
  <c r="M53" i="11"/>
  <c r="L53" i="11"/>
  <c r="K53" i="11"/>
  <c r="J53" i="11"/>
  <c r="I53" i="11"/>
  <c r="H53" i="11"/>
  <c r="G53" i="11"/>
  <c r="F53" i="11"/>
  <c r="E53" i="11"/>
  <c r="D53" i="11"/>
  <c r="C53" i="11"/>
  <c r="N52" i="11"/>
  <c r="M52" i="11"/>
  <c r="L52" i="11"/>
  <c r="K52" i="11"/>
  <c r="J52" i="11"/>
  <c r="I52" i="11"/>
  <c r="H52" i="11"/>
  <c r="G52" i="11"/>
  <c r="F52" i="11"/>
  <c r="E52" i="11"/>
  <c r="D52" i="11"/>
  <c r="C52" i="11"/>
  <c r="O50" i="11"/>
  <c r="U23" i="11" s="1"/>
  <c r="O49" i="11"/>
  <c r="T23" i="11" s="1"/>
  <c r="O44" i="11"/>
  <c r="O40" i="11"/>
  <c r="O37" i="11"/>
  <c r="W22" i="11" s="1"/>
  <c r="O36" i="11"/>
  <c r="V22" i="11" s="1"/>
  <c r="N34" i="11"/>
  <c r="M34" i="11"/>
  <c r="L34" i="11"/>
  <c r="K34" i="11"/>
  <c r="J34" i="11"/>
  <c r="I34" i="11"/>
  <c r="H34" i="11"/>
  <c r="G34" i="11"/>
  <c r="F34" i="11"/>
  <c r="E34" i="11"/>
  <c r="D34" i="11"/>
  <c r="C34" i="11"/>
  <c r="N33" i="11"/>
  <c r="M33" i="11"/>
  <c r="L33" i="11"/>
  <c r="K33" i="11"/>
  <c r="J33" i="11"/>
  <c r="I33" i="11"/>
  <c r="H33" i="11"/>
  <c r="G33" i="11"/>
  <c r="F33" i="11"/>
  <c r="E33" i="11"/>
  <c r="D33" i="11"/>
  <c r="C33" i="11"/>
  <c r="O31" i="11"/>
  <c r="U22" i="11" s="1"/>
  <c r="O30" i="11"/>
  <c r="T22" i="11" s="1"/>
  <c r="O25" i="11"/>
  <c r="O21" i="11"/>
  <c r="O18" i="11"/>
  <c r="W21" i="11" s="1"/>
  <c r="O17" i="11"/>
  <c r="V21" i="11" s="1"/>
  <c r="N15" i="11"/>
  <c r="M15" i="11"/>
  <c r="L15" i="11"/>
  <c r="K15" i="11"/>
  <c r="J15" i="11"/>
  <c r="I15" i="11"/>
  <c r="H15" i="11"/>
  <c r="G15" i="11"/>
  <c r="F15" i="11"/>
  <c r="E15" i="11"/>
  <c r="D15" i="11"/>
  <c r="C15" i="11"/>
  <c r="N14" i="11"/>
  <c r="M14" i="11"/>
  <c r="L14" i="11"/>
  <c r="K14" i="11"/>
  <c r="J14" i="11"/>
  <c r="I14" i="11"/>
  <c r="H14" i="11"/>
  <c r="G14" i="11"/>
  <c r="F14" i="11"/>
  <c r="E14" i="11"/>
  <c r="D14" i="11"/>
  <c r="C14" i="11"/>
  <c r="O12" i="11"/>
  <c r="U21" i="11" s="1"/>
  <c r="O11" i="11"/>
  <c r="T21" i="11" s="1"/>
  <c r="O9" i="11"/>
  <c r="O8" i="11"/>
  <c r="D6" i="11"/>
  <c r="E6" i="11" s="1"/>
  <c r="F6" i="11" s="1"/>
  <c r="G6" i="11" s="1"/>
  <c r="H6" i="11" s="1"/>
  <c r="I6" i="11" s="1"/>
  <c r="J6" i="11" s="1"/>
  <c r="K6" i="11" s="1"/>
  <c r="L6" i="11" s="1"/>
  <c r="M6" i="11" s="1"/>
  <c r="N6" i="11" s="1"/>
  <c r="O82" i="10"/>
  <c r="O78" i="10"/>
  <c r="O75" i="10"/>
  <c r="W24" i="10" s="1"/>
  <c r="O74" i="10"/>
  <c r="V24" i="10" s="1"/>
  <c r="N72" i="10"/>
  <c r="M72" i="10"/>
  <c r="L72" i="10"/>
  <c r="K72" i="10"/>
  <c r="J72" i="10"/>
  <c r="I72" i="10"/>
  <c r="H72" i="10"/>
  <c r="G72" i="10"/>
  <c r="F72" i="10"/>
  <c r="E72" i="10"/>
  <c r="D72" i="10"/>
  <c r="C72" i="10"/>
  <c r="N71" i="10"/>
  <c r="M71" i="10"/>
  <c r="L71" i="10"/>
  <c r="K71" i="10"/>
  <c r="J71" i="10"/>
  <c r="I71" i="10"/>
  <c r="H71" i="10"/>
  <c r="G71" i="10"/>
  <c r="F71" i="10"/>
  <c r="E71" i="10"/>
  <c r="D71" i="10"/>
  <c r="C71" i="10"/>
  <c r="O69" i="10"/>
  <c r="U24" i="10" s="1"/>
  <c r="O68" i="10"/>
  <c r="T24" i="10" s="1"/>
  <c r="O63" i="10"/>
  <c r="O59" i="10"/>
  <c r="O56" i="10"/>
  <c r="W23" i="10" s="1"/>
  <c r="O55" i="10"/>
  <c r="V23" i="10" s="1"/>
  <c r="N53" i="10"/>
  <c r="M53" i="10"/>
  <c r="L53" i="10"/>
  <c r="K53" i="10"/>
  <c r="J53" i="10"/>
  <c r="I53" i="10"/>
  <c r="H53" i="10"/>
  <c r="G53" i="10"/>
  <c r="F53" i="10"/>
  <c r="E53" i="10"/>
  <c r="D53" i="10"/>
  <c r="C53" i="10"/>
  <c r="N52" i="10"/>
  <c r="M52" i="10"/>
  <c r="L52" i="10"/>
  <c r="K52" i="10"/>
  <c r="J52" i="10"/>
  <c r="I52" i="10"/>
  <c r="H52" i="10"/>
  <c r="G52" i="10"/>
  <c r="F52" i="10"/>
  <c r="E52" i="10"/>
  <c r="D52" i="10"/>
  <c r="C52" i="10"/>
  <c r="O50" i="10"/>
  <c r="U23" i="10" s="1"/>
  <c r="O49" i="10"/>
  <c r="T23" i="10" s="1"/>
  <c r="O44" i="10"/>
  <c r="O40" i="10"/>
  <c r="O37" i="10"/>
  <c r="W22" i="10" s="1"/>
  <c r="O36" i="10"/>
  <c r="V22" i="10" s="1"/>
  <c r="N34" i="10"/>
  <c r="M34" i="10"/>
  <c r="L34" i="10"/>
  <c r="K34" i="10"/>
  <c r="J34" i="10"/>
  <c r="I34" i="10"/>
  <c r="H34" i="10"/>
  <c r="G34" i="10"/>
  <c r="F34" i="10"/>
  <c r="E34" i="10"/>
  <c r="D34" i="10"/>
  <c r="C34" i="10"/>
  <c r="N33" i="10"/>
  <c r="M33" i="10"/>
  <c r="L33" i="10"/>
  <c r="K33" i="10"/>
  <c r="J33" i="10"/>
  <c r="I33" i="10"/>
  <c r="H33" i="10"/>
  <c r="G33" i="10"/>
  <c r="F33" i="10"/>
  <c r="E33" i="10"/>
  <c r="D33" i="10"/>
  <c r="C33" i="10"/>
  <c r="O31" i="10"/>
  <c r="U22" i="10" s="1"/>
  <c r="O30" i="10"/>
  <c r="T22" i="10" s="1"/>
  <c r="O25" i="10"/>
  <c r="O21" i="10"/>
  <c r="O18" i="10"/>
  <c r="W21" i="10" s="1"/>
  <c r="O17" i="10"/>
  <c r="V21" i="10" s="1"/>
  <c r="N15" i="10"/>
  <c r="M15" i="10"/>
  <c r="L15" i="10"/>
  <c r="K15" i="10"/>
  <c r="J15" i="10"/>
  <c r="I15" i="10"/>
  <c r="H15" i="10"/>
  <c r="G15" i="10"/>
  <c r="F15" i="10"/>
  <c r="E15" i="10"/>
  <c r="D15" i="10"/>
  <c r="C15" i="10"/>
  <c r="N14" i="10"/>
  <c r="M14" i="10"/>
  <c r="L14" i="10"/>
  <c r="K14" i="10"/>
  <c r="J14" i="10"/>
  <c r="I14" i="10"/>
  <c r="H14" i="10"/>
  <c r="G14" i="10"/>
  <c r="F14" i="10"/>
  <c r="E14" i="10"/>
  <c r="D14" i="10"/>
  <c r="O12" i="10"/>
  <c r="U21" i="10" s="1"/>
  <c r="O11" i="10"/>
  <c r="T21" i="10" s="1"/>
  <c r="O9" i="10"/>
  <c r="O8" i="10"/>
  <c r="D6" i="10"/>
  <c r="E6" i="10" s="1"/>
  <c r="F6" i="10" s="1"/>
  <c r="G6" i="10" s="1"/>
  <c r="H6" i="10" s="1"/>
  <c r="I6" i="10" s="1"/>
  <c r="J6" i="10" s="1"/>
  <c r="K6" i="10" s="1"/>
  <c r="L6" i="10" s="1"/>
  <c r="M6" i="10" s="1"/>
  <c r="N6" i="10" s="1"/>
  <c r="D48" i="9"/>
  <c r="E48" i="9" s="1"/>
  <c r="F48" i="9" s="1"/>
  <c r="G48" i="9" s="1"/>
  <c r="H48" i="9" s="1"/>
  <c r="I48" i="9" s="1"/>
  <c r="J48" i="9" s="1"/>
  <c r="M48" i="9" s="1"/>
  <c r="D47" i="9"/>
  <c r="E47" i="9" s="1"/>
  <c r="F47" i="9" s="1"/>
  <c r="G47" i="9" s="1"/>
  <c r="H47" i="9" s="1"/>
  <c r="I47" i="9" s="1"/>
  <c r="J47" i="9" s="1"/>
  <c r="M47" i="9" s="1"/>
  <c r="D46" i="9"/>
  <c r="E46" i="9" s="1"/>
  <c r="F46" i="9" s="1"/>
  <c r="G46" i="9" s="1"/>
  <c r="H46" i="9" s="1"/>
  <c r="I46" i="9" s="1"/>
  <c r="J46" i="9" s="1"/>
  <c r="M46" i="9" s="1"/>
  <c r="D45" i="9"/>
  <c r="E45" i="9" s="1"/>
  <c r="F45" i="9" s="1"/>
  <c r="G45" i="9" s="1"/>
  <c r="H45" i="9" s="1"/>
  <c r="I45" i="9" s="1"/>
  <c r="J45" i="9" s="1"/>
  <c r="G44" i="9"/>
  <c r="H44" i="9" s="1"/>
  <c r="I44" i="9" s="1"/>
  <c r="J44" i="9" s="1"/>
  <c r="K44" i="9" s="1"/>
  <c r="L44" i="9" s="1"/>
  <c r="D44" i="9"/>
  <c r="E44" i="9" s="1"/>
  <c r="D39" i="9"/>
  <c r="E39" i="9" s="1"/>
  <c r="F39" i="9" s="1"/>
  <c r="G39" i="9" s="1"/>
  <c r="D38" i="9"/>
  <c r="E38" i="9" s="1"/>
  <c r="F38" i="9" s="1"/>
  <c r="G38" i="9" s="1"/>
  <c r="N37" i="9"/>
  <c r="M37" i="9"/>
  <c r="L37" i="9"/>
  <c r="K37" i="9"/>
  <c r="J37" i="9"/>
  <c r="I37" i="9"/>
  <c r="H37" i="9"/>
  <c r="G37" i="9"/>
  <c r="F37" i="9"/>
  <c r="E37" i="9"/>
  <c r="D37" i="9"/>
  <c r="C37" i="9"/>
  <c r="C40" i="9" s="1"/>
  <c r="O21" i="9"/>
  <c r="F17" i="9"/>
  <c r="J19" i="9"/>
  <c r="I19" i="9"/>
  <c r="D6" i="9"/>
  <c r="E6" i="9" s="1"/>
  <c r="F6" i="9" s="1"/>
  <c r="G6" i="9" s="1"/>
  <c r="H6" i="9" s="1"/>
  <c r="I6" i="9" s="1"/>
  <c r="J6" i="9" s="1"/>
  <c r="K6" i="9" s="1"/>
  <c r="L6" i="9" s="1"/>
  <c r="M6" i="9" s="1"/>
  <c r="N6" i="9" s="1"/>
  <c r="D48" i="8"/>
  <c r="D47" i="8"/>
  <c r="E47" i="8" s="1"/>
  <c r="F47" i="8" s="1"/>
  <c r="G47" i="8" s="1"/>
  <c r="H47" i="8" s="1"/>
  <c r="I47" i="8" s="1"/>
  <c r="J47" i="8" s="1"/>
  <c r="K47" i="8" s="1"/>
  <c r="D46" i="8"/>
  <c r="E46" i="8" s="1"/>
  <c r="F46" i="8" s="1"/>
  <c r="G46" i="8" s="1"/>
  <c r="H46" i="8" s="1"/>
  <c r="I46" i="8" s="1"/>
  <c r="J46" i="8" s="1"/>
  <c r="K46" i="8" s="1"/>
  <c r="D45" i="8"/>
  <c r="E45" i="8" s="1"/>
  <c r="F45" i="8" s="1"/>
  <c r="G45" i="8" s="1"/>
  <c r="H45" i="8" s="1"/>
  <c r="I45" i="8" s="1"/>
  <c r="J45" i="8" s="1"/>
  <c r="K45" i="8" s="1"/>
  <c r="D44" i="8"/>
  <c r="E44" i="8" s="1"/>
  <c r="F44" i="8" s="1"/>
  <c r="G44" i="8" s="1"/>
  <c r="H44" i="8" s="1"/>
  <c r="D39" i="8"/>
  <c r="E39" i="8" s="1"/>
  <c r="F39" i="8" s="1"/>
  <c r="G39" i="8" s="1"/>
  <c r="D38" i="8"/>
  <c r="E38" i="8" s="1"/>
  <c r="F38" i="8" s="1"/>
  <c r="G38" i="8" s="1"/>
  <c r="H38" i="8" s="1"/>
  <c r="I38" i="8" s="1"/>
  <c r="J38" i="8" s="1"/>
  <c r="K38" i="8" s="1"/>
  <c r="N37" i="8"/>
  <c r="M37" i="8"/>
  <c r="L37" i="8"/>
  <c r="K37" i="8"/>
  <c r="J37" i="8"/>
  <c r="I37" i="8"/>
  <c r="H37" i="8"/>
  <c r="G37" i="8"/>
  <c r="F37" i="8"/>
  <c r="E37" i="8"/>
  <c r="D37" i="8"/>
  <c r="D40" i="8" s="1"/>
  <c r="L23" i="8"/>
  <c r="O21" i="8"/>
  <c r="C17" i="8"/>
  <c r="C13" i="8"/>
  <c r="J23" i="8"/>
  <c r="F22" i="8"/>
  <c r="D6" i="8"/>
  <c r="E6" i="8" s="1"/>
  <c r="F6" i="8" s="1"/>
  <c r="G6" i="8" s="1"/>
  <c r="H6" i="8" s="1"/>
  <c r="I6" i="8" s="1"/>
  <c r="J6" i="8" s="1"/>
  <c r="K6" i="8" s="1"/>
  <c r="L6" i="8" s="1"/>
  <c r="M6" i="8" s="1"/>
  <c r="N6" i="8" s="1"/>
  <c r="V26" i="10" l="1"/>
  <c r="W26" i="10"/>
  <c r="O53" i="10"/>
  <c r="P37" i="9"/>
  <c r="F25" i="9"/>
  <c r="H38" i="9"/>
  <c r="I38" i="9" s="1"/>
  <c r="J38" i="9" s="1"/>
  <c r="G40" i="9"/>
  <c r="F40" i="9"/>
  <c r="F40" i="8"/>
  <c r="N17" i="9"/>
  <c r="L10" i="8"/>
  <c r="M17" i="9"/>
  <c r="C13" i="9"/>
  <c r="O11" i="9"/>
  <c r="P11" i="9"/>
  <c r="G17" i="9"/>
  <c r="G24" i="9" s="1"/>
  <c r="J13" i="9"/>
  <c r="O12" i="9"/>
  <c r="E19" i="9"/>
  <c r="D13" i="9"/>
  <c r="H23" i="9"/>
  <c r="I13" i="9"/>
  <c r="J17" i="9"/>
  <c r="O16" i="9"/>
  <c r="L22" i="9"/>
  <c r="E13" i="9"/>
  <c r="D17" i="9"/>
  <c r="D24" i="9" s="1"/>
  <c r="G23" i="9"/>
  <c r="H13" i="9"/>
  <c r="I17" i="9"/>
  <c r="K22" i="9"/>
  <c r="O9" i="9"/>
  <c r="H17" i="8"/>
  <c r="F13" i="8"/>
  <c r="M17" i="8"/>
  <c r="N17" i="8"/>
  <c r="N25" i="8" s="1"/>
  <c r="O11" i="8"/>
  <c r="F19" i="8"/>
  <c r="D13" i="8"/>
  <c r="J13" i="8"/>
  <c r="E17" i="8"/>
  <c r="I17" i="8"/>
  <c r="I24" i="8" s="1"/>
  <c r="F17" i="8"/>
  <c r="J17" i="8"/>
  <c r="J25" i="8" s="1"/>
  <c r="P11" i="8"/>
  <c r="E13" i="8"/>
  <c r="O12" i="8"/>
  <c r="O13" i="8" s="1"/>
  <c r="G13" i="8"/>
  <c r="I13" i="8"/>
  <c r="K13" i="8"/>
  <c r="O16" i="8"/>
  <c r="G17" i="8"/>
  <c r="G25" i="8" s="1"/>
  <c r="C23" i="8"/>
  <c r="O8" i="8"/>
  <c r="O9" i="8"/>
  <c r="I10" i="8"/>
  <c r="C25" i="8"/>
  <c r="O17" i="8"/>
  <c r="C26" i="8"/>
  <c r="F10" i="8"/>
  <c r="J10" i="8"/>
  <c r="O15" i="8"/>
  <c r="M10" i="9"/>
  <c r="D23" i="9"/>
  <c r="H17" i="9"/>
  <c r="F19" i="9"/>
  <c r="I10" i="9"/>
  <c r="O15" i="9"/>
  <c r="C17" i="9"/>
  <c r="C22" i="9"/>
  <c r="O8" i="9"/>
  <c r="O14" i="11"/>
  <c r="O33" i="11"/>
  <c r="O34" i="11"/>
  <c r="O53" i="11"/>
  <c r="O52" i="11"/>
  <c r="O71" i="11"/>
  <c r="O34" i="10"/>
  <c r="O72" i="10"/>
  <c r="O52" i="10"/>
  <c r="O33" i="10"/>
  <c r="O71" i="10"/>
  <c r="O14" i="10"/>
  <c r="M25" i="8"/>
  <c r="N25" i="9"/>
  <c r="F31" i="9"/>
  <c r="N10" i="9"/>
  <c r="M22" i="9"/>
  <c r="L23" i="9"/>
  <c r="L10" i="9"/>
  <c r="K10" i="9"/>
  <c r="J10" i="9"/>
  <c r="H10" i="9"/>
  <c r="G10" i="9"/>
  <c r="C10" i="9"/>
  <c r="D10" i="9"/>
  <c r="D19" i="9"/>
  <c r="E17" i="9"/>
  <c r="E25" i="9" s="1"/>
  <c r="F13" i="9"/>
  <c r="F23" i="9"/>
  <c r="F25" i="8"/>
  <c r="L22" i="8"/>
  <c r="I23" i="8"/>
  <c r="H10" i="8"/>
  <c r="E19" i="8"/>
  <c r="D10" i="8"/>
  <c r="N22" i="8"/>
  <c r="H22" i="8"/>
  <c r="D23" i="8"/>
  <c r="I44" i="8"/>
  <c r="H19" i="8"/>
  <c r="G19" i="8"/>
  <c r="D19" i="8"/>
  <c r="H39" i="8"/>
  <c r="G40" i="8"/>
  <c r="H40" i="9"/>
  <c r="E40" i="9"/>
  <c r="E31" i="9"/>
  <c r="L19" i="8"/>
  <c r="M45" i="9"/>
  <c r="N24" i="9" s="1"/>
  <c r="L24" i="9"/>
  <c r="I24" i="9"/>
  <c r="I25" i="9"/>
  <c r="I26" i="9"/>
  <c r="L26" i="8"/>
  <c r="L24" i="8"/>
  <c r="L25" i="8"/>
  <c r="H25" i="8"/>
  <c r="H26" i="8"/>
  <c r="H24" i="8"/>
  <c r="D26" i="8"/>
  <c r="D24" i="8"/>
  <c r="D25" i="8"/>
  <c r="N40" i="8"/>
  <c r="L40" i="8"/>
  <c r="I25" i="8"/>
  <c r="I26" i="8"/>
  <c r="M44" i="9"/>
  <c r="L19" i="9"/>
  <c r="J26" i="8"/>
  <c r="J24" i="8"/>
  <c r="K26" i="8"/>
  <c r="K24" i="8"/>
  <c r="K25" i="8"/>
  <c r="M25" i="9"/>
  <c r="M26" i="9"/>
  <c r="I22" i="8"/>
  <c r="O15" i="10"/>
  <c r="J22" i="8"/>
  <c r="M23" i="8"/>
  <c r="F26" i="8"/>
  <c r="K22" i="8"/>
  <c r="F23" i="8"/>
  <c r="N23" i="8"/>
  <c r="C19" i="9"/>
  <c r="K19" i="9"/>
  <c r="H39" i="9"/>
  <c r="I39" i="9" s="1"/>
  <c r="G31" i="9"/>
  <c r="E23" i="9"/>
  <c r="I40" i="9"/>
  <c r="E23" i="8"/>
  <c r="I22" i="9"/>
  <c r="J40" i="9"/>
  <c r="G23" i="8"/>
  <c r="E25" i="8"/>
  <c r="D25" i="9"/>
  <c r="D26" i="9"/>
  <c r="L25" i="9"/>
  <c r="L26" i="9"/>
  <c r="N22" i="9"/>
  <c r="D31" i="9"/>
  <c r="D40" i="9"/>
  <c r="L40" i="9"/>
  <c r="M26" i="8"/>
  <c r="M23" i="9"/>
  <c r="J40" i="8"/>
  <c r="N26" i="9"/>
  <c r="K40" i="9"/>
  <c r="O72" i="11"/>
  <c r="E26" i="8"/>
  <c r="E22" i="8"/>
  <c r="M22" i="8"/>
  <c r="I40" i="8"/>
  <c r="M40" i="9"/>
  <c r="E24" i="8"/>
  <c r="M24" i="8"/>
  <c r="K40" i="8"/>
  <c r="E40" i="8"/>
  <c r="G19" i="9"/>
  <c r="G25" i="9"/>
  <c r="G26" i="9"/>
  <c r="J26" i="9"/>
  <c r="J24" i="9"/>
  <c r="I23" i="9"/>
  <c r="E48" i="8"/>
  <c r="D31" i="8"/>
  <c r="F26" i="9"/>
  <c r="F24" i="9"/>
  <c r="F24" i="8"/>
  <c r="N24" i="8"/>
  <c r="N26" i="8"/>
  <c r="H40" i="8"/>
  <c r="E22" i="9"/>
  <c r="J25" i="9"/>
  <c r="O15" i="11"/>
  <c r="G22" i="9"/>
  <c r="J23" i="9"/>
  <c r="H22" i="9"/>
  <c r="C23" i="9"/>
  <c r="K23" i="9"/>
  <c r="D27" i="9" l="1"/>
  <c r="D29" i="9" s="1"/>
  <c r="D30" i="9" s="1"/>
  <c r="D32" i="9" s="1"/>
  <c r="D42" i="9" s="1"/>
  <c r="E31" i="8"/>
  <c r="F48" i="8"/>
  <c r="P16" i="9"/>
  <c r="M40" i="8"/>
  <c r="O13" i="9"/>
  <c r="O22" i="8"/>
  <c r="G26" i="8"/>
  <c r="G24" i="8"/>
  <c r="O10" i="8"/>
  <c r="P8" i="8"/>
  <c r="E26" i="9"/>
  <c r="E24" i="9"/>
  <c r="P8" i="9"/>
  <c r="P15" i="9" s="1"/>
  <c r="O10" i="9"/>
  <c r="O17" i="9"/>
  <c r="L27" i="9"/>
  <c r="L29" i="9" s="1"/>
  <c r="L30" i="9" s="1"/>
  <c r="M24" i="9"/>
  <c r="M27" i="9" s="1"/>
  <c r="M29" i="9" s="1"/>
  <c r="M30" i="9" s="1"/>
  <c r="O23" i="9"/>
  <c r="F27" i="9"/>
  <c r="F29" i="9" s="1"/>
  <c r="F30" i="9" s="1"/>
  <c r="F32" i="9" s="1"/>
  <c r="F42" i="9" s="1"/>
  <c r="D27" i="8"/>
  <c r="D29" i="8" s="1"/>
  <c r="D30" i="8" s="1"/>
  <c r="D32" i="8" s="1"/>
  <c r="D42" i="8" s="1"/>
  <c r="H27" i="8"/>
  <c r="H29" i="8" s="1"/>
  <c r="N27" i="8"/>
  <c r="N29" i="8" s="1"/>
  <c r="O23" i="8"/>
  <c r="J44" i="8"/>
  <c r="I19" i="8"/>
  <c r="F27" i="8"/>
  <c r="F29" i="8" s="1"/>
  <c r="I27" i="8"/>
  <c r="I29" i="8" s="1"/>
  <c r="K27" i="8"/>
  <c r="K29" i="8" s="1"/>
  <c r="L27" i="8"/>
  <c r="L29" i="8" s="1"/>
  <c r="L30" i="8" s="1"/>
  <c r="I39" i="8"/>
  <c r="O40" i="8"/>
  <c r="H31" i="9"/>
  <c r="O40" i="9"/>
  <c r="J27" i="9"/>
  <c r="J29" i="9" s="1"/>
  <c r="J30" i="9" s="1"/>
  <c r="K25" i="9"/>
  <c r="K26" i="9"/>
  <c r="K24" i="9"/>
  <c r="H26" i="9"/>
  <c r="H24" i="9"/>
  <c r="H25" i="9"/>
  <c r="C25" i="9"/>
  <c r="C26" i="9"/>
  <c r="C24" i="9"/>
  <c r="C27" i="8"/>
  <c r="C29" i="8" s="1"/>
  <c r="N44" i="9"/>
  <c r="N19" i="9" s="1"/>
  <c r="M19" i="9"/>
  <c r="N27" i="9"/>
  <c r="N29" i="9" s="1"/>
  <c r="I27" i="9"/>
  <c r="I29" i="9" s="1"/>
  <c r="O22" i="9"/>
  <c r="G27" i="9"/>
  <c r="G29" i="9" s="1"/>
  <c r="M27" i="8"/>
  <c r="M29" i="8" s="1"/>
  <c r="O25" i="8"/>
  <c r="M19" i="8"/>
  <c r="E27" i="8"/>
  <c r="E29" i="8" s="1"/>
  <c r="J27" i="8"/>
  <c r="J29" i="8" s="1"/>
  <c r="O24" i="8"/>
  <c r="J39" i="9"/>
  <c r="K39" i="9" s="1"/>
  <c r="L39" i="9" s="1"/>
  <c r="M39" i="9" s="1"/>
  <c r="I31" i="9"/>
  <c r="O26" i="8"/>
  <c r="C30" i="8" l="1"/>
  <c r="C32" i="8"/>
  <c r="C42" i="8" s="1"/>
  <c r="G48" i="8"/>
  <c r="F31" i="8"/>
  <c r="G27" i="8"/>
  <c r="G29" i="8" s="1"/>
  <c r="G30" i="8" s="1"/>
  <c r="E27" i="9"/>
  <c r="E29" i="9" s="1"/>
  <c r="E30" i="9" s="1"/>
  <c r="E32" i="9" s="1"/>
  <c r="E42" i="9" s="1"/>
  <c r="K27" i="9"/>
  <c r="K29" i="9" s="1"/>
  <c r="K30" i="9" s="1"/>
  <c r="O19" i="9"/>
  <c r="F30" i="8"/>
  <c r="K44" i="8"/>
  <c r="K19" i="8" s="1"/>
  <c r="J19" i="8"/>
  <c r="O19" i="8" s="1"/>
  <c r="J39" i="8"/>
  <c r="H27" i="9"/>
  <c r="H29" i="9" s="1"/>
  <c r="H30" i="9" s="1"/>
  <c r="H32" i="9" s="1"/>
  <c r="H42" i="9" s="1"/>
  <c r="C27" i="9"/>
  <c r="C29" i="9" s="1"/>
  <c r="I30" i="9"/>
  <c r="I32" i="9" s="1"/>
  <c r="I42" i="9" s="1"/>
  <c r="O27" i="8"/>
  <c r="G30" i="9"/>
  <c r="G32" i="9" s="1"/>
  <c r="G42" i="9" s="1"/>
  <c r="O24" i="9"/>
  <c r="J31" i="9"/>
  <c r="J32" i="9" s="1"/>
  <c r="J42" i="9" s="1"/>
  <c r="E30" i="8"/>
  <c r="E32" i="8" s="1"/>
  <c r="E42" i="8" s="1"/>
  <c r="O26" i="9"/>
  <c r="N30" i="9"/>
  <c r="O25" i="9"/>
  <c r="O29" i="8" l="1"/>
  <c r="H48" i="8"/>
  <c r="G31" i="8"/>
  <c r="G32" i="8" s="1"/>
  <c r="G42" i="8" s="1"/>
  <c r="F32" i="8"/>
  <c r="F42" i="8" s="1"/>
  <c r="O29" i="9"/>
  <c r="C30" i="9"/>
  <c r="C32" i="9" s="1"/>
  <c r="C42" i="9" s="1"/>
  <c r="K39" i="8"/>
  <c r="O27" i="9"/>
  <c r="L31" i="8"/>
  <c r="L32" i="8" s="1"/>
  <c r="L42" i="8" s="1"/>
  <c r="K31" i="9"/>
  <c r="I48" i="8" l="1"/>
  <c r="H31" i="8"/>
  <c r="H30" i="8"/>
  <c r="O30" i="9"/>
  <c r="K32" i="9"/>
  <c r="K42" i="9" s="1"/>
  <c r="L31" i="9"/>
  <c r="L32" i="9" s="1"/>
  <c r="L42" i="9" s="1"/>
  <c r="H32" i="8" l="1"/>
  <c r="H42" i="8" s="1"/>
  <c r="J48" i="8"/>
  <c r="I30" i="8"/>
  <c r="I31" i="8"/>
  <c r="I32" i="8" s="1"/>
  <c r="I42" i="8" s="1"/>
  <c r="M31" i="9"/>
  <c r="M32" i="9" s="1"/>
  <c r="M42" i="9" s="1"/>
  <c r="N31" i="9"/>
  <c r="K48" i="8" l="1"/>
  <c r="J30" i="8"/>
  <c r="J31" i="8"/>
  <c r="J32" i="8" s="1"/>
  <c r="J42" i="8" s="1"/>
  <c r="N32" i="9"/>
  <c r="N42" i="9" s="1"/>
  <c r="O42" i="9" s="1"/>
  <c r="O31" i="9"/>
  <c r="O32" i="9" s="1"/>
  <c r="K30" i="8" l="1"/>
  <c r="K31" i="8"/>
  <c r="F112" i="3"/>
  <c r="F116" i="3"/>
  <c r="F120" i="3"/>
  <c r="F124" i="3"/>
  <c r="F132" i="3"/>
  <c r="F136" i="3"/>
  <c r="F140" i="3"/>
  <c r="F144" i="3"/>
  <c r="F101" i="3"/>
  <c r="F97" i="3"/>
  <c r="F88" i="3"/>
  <c r="F84" i="3"/>
  <c r="F79" i="3"/>
  <c r="F75" i="3"/>
  <c r="F67" i="3"/>
  <c r="F63" i="3"/>
  <c r="F58" i="3"/>
  <c r="F54" i="3"/>
  <c r="F44" i="3"/>
  <c r="F40" i="3"/>
  <c r="F35" i="3"/>
  <c r="F31" i="3"/>
  <c r="F22" i="3"/>
  <c r="F18" i="3"/>
  <c r="F13" i="3"/>
  <c r="F9" i="3"/>
  <c r="J100" i="3"/>
  <c r="J99" i="3"/>
  <c r="J98" i="3"/>
  <c r="J96" i="3"/>
  <c r="J95" i="3"/>
  <c r="K32" i="8" l="1"/>
  <c r="K42" i="8" s="1"/>
  <c r="M30" i="8"/>
  <c r="M31" i="8"/>
  <c r="M32" i="8" s="1"/>
  <c r="M42" i="8" s="1"/>
  <c r="K100" i="3"/>
  <c r="K99" i="3"/>
  <c r="K98" i="3"/>
  <c r="K96" i="3"/>
  <c r="K95" i="3"/>
  <c r="K94" i="3"/>
  <c r="N30" i="8" l="1"/>
  <c r="N31" i="8"/>
  <c r="O31" i="8" s="1"/>
  <c r="U9" i="1"/>
  <c r="R9" i="1"/>
  <c r="N32" i="8" l="1"/>
  <c r="N42" i="8" s="1"/>
  <c r="O42" i="8" s="1"/>
  <c r="O30" i="8"/>
  <c r="O32" i="8" s="1"/>
  <c r="F8" i="7"/>
  <c r="H175" i="7" l="1"/>
  <c r="Q175" i="7" s="1"/>
  <c r="Q174" i="7"/>
  <c r="M174" i="7" s="1"/>
  <c r="O174" i="7" s="1"/>
  <c r="D174" i="7"/>
  <c r="F174" i="7" s="1"/>
  <c r="J172" i="7"/>
  <c r="J171" i="7"/>
  <c r="H159" i="7"/>
  <c r="H160" i="7" s="1"/>
  <c r="H161" i="7" s="1"/>
  <c r="H162" i="7" s="1"/>
  <c r="H163" i="7" s="1"/>
  <c r="H164" i="7" s="1"/>
  <c r="Q158" i="7"/>
  <c r="M158" i="7" s="1"/>
  <c r="O158" i="7" s="1"/>
  <c r="D158" i="7"/>
  <c r="F158" i="7" s="1"/>
  <c r="J156" i="7"/>
  <c r="J155" i="7"/>
  <c r="H142" i="7"/>
  <c r="Q142" i="7" s="1"/>
  <c r="M142" i="7" s="1"/>
  <c r="J140" i="7"/>
  <c r="J139" i="7"/>
  <c r="H126" i="7"/>
  <c r="Q126" i="7" s="1"/>
  <c r="M126" i="7" s="1"/>
  <c r="J124" i="7"/>
  <c r="J123" i="7"/>
  <c r="H110" i="7"/>
  <c r="Q110" i="7" s="1"/>
  <c r="M110" i="7" s="1"/>
  <c r="J108" i="7"/>
  <c r="J107" i="7"/>
  <c r="H94" i="7"/>
  <c r="Q94" i="7" s="1"/>
  <c r="M94" i="7" s="1"/>
  <c r="J92" i="7"/>
  <c r="J91" i="7"/>
  <c r="H77" i="7"/>
  <c r="Q77" i="7" s="1"/>
  <c r="M77" i="7" s="1"/>
  <c r="A76" i="7"/>
  <c r="J76" i="7" s="1"/>
  <c r="J74" i="7"/>
  <c r="J73" i="7"/>
  <c r="H59" i="7"/>
  <c r="Q59" i="7" s="1"/>
  <c r="M59" i="7" s="1"/>
  <c r="J58" i="7"/>
  <c r="J56" i="7"/>
  <c r="J55" i="7"/>
  <c r="H42" i="7"/>
  <c r="J40" i="7"/>
  <c r="J39" i="7"/>
  <c r="H27" i="7"/>
  <c r="H43" i="7" s="1"/>
  <c r="Q43" i="7" s="1"/>
  <c r="Q26" i="7"/>
  <c r="M26" i="7" s="1"/>
  <c r="D26" i="7"/>
  <c r="A26" i="7"/>
  <c r="A42" i="7" s="1"/>
  <c r="J42" i="7" s="1"/>
  <c r="A25" i="7"/>
  <c r="A57" i="7" s="1"/>
  <c r="J57"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Q162" i="7" l="1"/>
  <c r="D142" i="7"/>
  <c r="Q163" i="7"/>
  <c r="D110" i="7"/>
  <c r="F110" i="7" s="1"/>
  <c r="D59" i="7"/>
  <c r="F59" i="7" s="1"/>
  <c r="Q159" i="7"/>
  <c r="F18" i="7"/>
  <c r="A41" i="7"/>
  <c r="J41" i="7" s="1"/>
  <c r="J25" i="7"/>
  <c r="A141" i="7"/>
  <c r="J141" i="7" s="1"/>
  <c r="F26" i="7"/>
  <c r="D27" i="7" s="1"/>
  <c r="O26" i="7"/>
  <c r="Q160" i="7"/>
  <c r="Q161" i="7"/>
  <c r="O126" i="7"/>
  <c r="O94" i="7"/>
  <c r="O59" i="7"/>
  <c r="O110" i="7"/>
  <c r="O77" i="7"/>
  <c r="F142" i="7"/>
  <c r="O20" i="7"/>
  <c r="F19" i="7"/>
  <c r="O142" i="7"/>
  <c r="F17" i="7"/>
  <c r="O19" i="7"/>
  <c r="D126" i="7"/>
  <c r="O17" i="7"/>
  <c r="D77" i="7"/>
  <c r="F21" i="7"/>
  <c r="D94" i="7"/>
  <c r="O18" i="7"/>
  <c r="F20" i="7"/>
  <c r="A159" i="7"/>
  <c r="J159" i="7" s="1"/>
  <c r="A111" i="7"/>
  <c r="J111" i="7" s="1"/>
  <c r="A127" i="7"/>
  <c r="J127" i="7" s="1"/>
  <c r="A175" i="7"/>
  <c r="J175" i="7" s="1"/>
  <c r="A95" i="7"/>
  <c r="J95" i="7" s="1"/>
  <c r="A143" i="7"/>
  <c r="J143" i="7" s="1"/>
  <c r="A78" i="7"/>
  <c r="J78" i="7" s="1"/>
  <c r="J27" i="7"/>
  <c r="A60" i="7"/>
  <c r="J60" i="7" s="1"/>
  <c r="A43" i="7"/>
  <c r="J43" i="7" s="1"/>
  <c r="O21" i="7"/>
  <c r="M159" i="7"/>
  <c r="O159" i="7" s="1"/>
  <c r="J6" i="7"/>
  <c r="A7" i="7"/>
  <c r="H143" i="7"/>
  <c r="H111" i="7"/>
  <c r="Q111" i="7" s="1"/>
  <c r="M111" i="7" s="1"/>
  <c r="H127" i="7"/>
  <c r="Q127" i="7" s="1"/>
  <c r="H95" i="7"/>
  <c r="Q95" i="7" s="1"/>
  <c r="H60" i="7"/>
  <c r="Q60" i="7" s="1"/>
  <c r="H28" i="7"/>
  <c r="H78" i="7"/>
  <c r="Q78" i="7" s="1"/>
  <c r="Q27" i="7"/>
  <c r="D175" i="7"/>
  <c r="F175" i="7" s="1"/>
  <c r="D42" i="7"/>
  <c r="Q42" i="7"/>
  <c r="M42" i="7" s="1"/>
  <c r="A93" i="7"/>
  <c r="J93" i="7" s="1"/>
  <c r="A75" i="7"/>
  <c r="J75" i="7" s="1"/>
  <c r="A109" i="7"/>
  <c r="J109" i="7" s="1"/>
  <c r="A125" i="7"/>
  <c r="J125" i="7" s="1"/>
  <c r="A173" i="7"/>
  <c r="J173" i="7" s="1"/>
  <c r="A157" i="7"/>
  <c r="J157" i="7" s="1"/>
  <c r="D159" i="7"/>
  <c r="F159" i="7" s="1"/>
  <c r="A174" i="7"/>
  <c r="J174" i="7" s="1"/>
  <c r="A110" i="7"/>
  <c r="J110" i="7" s="1"/>
  <c r="A126" i="7"/>
  <c r="J126" i="7" s="1"/>
  <c r="A158" i="7"/>
  <c r="J158" i="7" s="1"/>
  <c r="A94" i="7"/>
  <c r="J94" i="7" s="1"/>
  <c r="A59" i="7"/>
  <c r="J59" i="7" s="1"/>
  <c r="A142" i="7"/>
  <c r="J142" i="7" s="1"/>
  <c r="M175" i="7"/>
  <c r="O175" i="7" s="1"/>
  <c r="J26" i="7"/>
  <c r="A77" i="7"/>
  <c r="J77" i="7" s="1"/>
  <c r="H165" i="7"/>
  <c r="Q164" i="7"/>
  <c r="H176" i="7"/>
  <c r="M78" i="7" l="1"/>
  <c r="O78" i="7" s="1"/>
  <c r="M127" i="7"/>
  <c r="O127" i="7" s="1"/>
  <c r="M95" i="7"/>
  <c r="O95" i="7" s="1"/>
  <c r="M27" i="7"/>
  <c r="O27" i="7" s="1"/>
  <c r="F126" i="7"/>
  <c r="D127" i="7" s="1"/>
  <c r="F27" i="7"/>
  <c r="D28" i="7" s="1"/>
  <c r="M60" i="7"/>
  <c r="F94" i="7"/>
  <c r="O42" i="7"/>
  <c r="O111" i="7"/>
  <c r="F77" i="7"/>
  <c r="D78" i="7" s="1"/>
  <c r="D111" i="7"/>
  <c r="H112" i="7"/>
  <c r="Q112" i="7" s="1"/>
  <c r="H79" i="7"/>
  <c r="Q79" i="7" s="1"/>
  <c r="H128" i="7"/>
  <c r="Q128" i="7" s="1"/>
  <c r="H96" i="7"/>
  <c r="Q96" i="7" s="1"/>
  <c r="H61" i="7"/>
  <c r="Q61" i="7" s="1"/>
  <c r="H44" i="7"/>
  <c r="Q44" i="7" s="1"/>
  <c r="H144" i="7"/>
  <c r="Q144" i="7" s="1"/>
  <c r="Q28" i="7"/>
  <c r="A28" i="7"/>
  <c r="J7" i="7"/>
  <c r="A8" i="7"/>
  <c r="C5" i="7"/>
  <c r="F42" i="7"/>
  <c r="H166" i="7"/>
  <c r="Q165" i="7"/>
  <c r="D60" i="7"/>
  <c r="Q176" i="7"/>
  <c r="H177" i="7"/>
  <c r="Q143" i="7"/>
  <c r="M143" i="7" s="1"/>
  <c r="D143" i="7"/>
  <c r="L5" i="7"/>
  <c r="M79" i="7" l="1"/>
  <c r="O79" i="7" s="1"/>
  <c r="D95" i="7"/>
  <c r="F95" i="7" s="1"/>
  <c r="O143" i="7"/>
  <c r="F111" i="7"/>
  <c r="F143" i="7"/>
  <c r="F60" i="7"/>
  <c r="D61" i="7" s="1"/>
  <c r="M43" i="7"/>
  <c r="F127" i="7"/>
  <c r="F78" i="7"/>
  <c r="O60" i="7"/>
  <c r="M61" i="7" s="1"/>
  <c r="A160" i="7"/>
  <c r="A176" i="7"/>
  <c r="A112" i="7"/>
  <c r="A96" i="7"/>
  <c r="J28" i="7"/>
  <c r="A128" i="7"/>
  <c r="A61" i="7"/>
  <c r="J61" i="7" s="1"/>
  <c r="A144" i="7"/>
  <c r="A79" i="7"/>
  <c r="J79" i="7" s="1"/>
  <c r="A44" i="7"/>
  <c r="D43" i="7"/>
  <c r="H113" i="7"/>
  <c r="Q113" i="7" s="1"/>
  <c r="H97" i="7"/>
  <c r="Q97" i="7" s="1"/>
  <c r="H80" i="7"/>
  <c r="Q80" i="7" s="1"/>
  <c r="H129" i="7"/>
  <c r="Q129" i="7" s="1"/>
  <c r="H145" i="7"/>
  <c r="Q145" i="7" s="1"/>
  <c r="H62" i="7"/>
  <c r="Q62" i="7" s="1"/>
  <c r="H30" i="7"/>
  <c r="Q29" i="7"/>
  <c r="H45" i="7"/>
  <c r="Q5" i="7"/>
  <c r="H5" i="7"/>
  <c r="D79" i="7"/>
  <c r="H167" i="7"/>
  <c r="Q166" i="7"/>
  <c r="Q177" i="7"/>
  <c r="H178" i="7"/>
  <c r="A29" i="7"/>
  <c r="J8" i="7"/>
  <c r="A9" i="7"/>
  <c r="M80" i="7" l="1"/>
  <c r="Q45" i="7"/>
  <c r="F79" i="7"/>
  <c r="F61" i="7"/>
  <c r="O61" i="7"/>
  <c r="C6" i="7"/>
  <c r="H6" i="7" s="1"/>
  <c r="O43" i="7"/>
  <c r="L6" i="7"/>
  <c r="Q6" i="7" s="1"/>
  <c r="H114" i="7"/>
  <c r="Q114" i="7" s="1"/>
  <c r="H81" i="7"/>
  <c r="Q81" i="7" s="1"/>
  <c r="H130" i="7"/>
  <c r="Q130" i="7" s="1"/>
  <c r="H98" i="7"/>
  <c r="Q98" i="7" s="1"/>
  <c r="Q30" i="7"/>
  <c r="H63" i="7"/>
  <c r="Q63" i="7" s="1"/>
  <c r="H146" i="7"/>
  <c r="Q146" i="7" s="1"/>
  <c r="H46" i="7"/>
  <c r="Q46" i="7" s="1"/>
  <c r="H31" i="7"/>
  <c r="J144" i="7"/>
  <c r="M144" i="7" s="1"/>
  <c r="D144" i="7"/>
  <c r="J160" i="7"/>
  <c r="H168" i="7"/>
  <c r="Q167" i="7"/>
  <c r="D62" i="7"/>
  <c r="A30" i="7"/>
  <c r="J9" i="7"/>
  <c r="A10" i="7"/>
  <c r="F43" i="7"/>
  <c r="J128" i="7"/>
  <c r="M128" i="7" s="1"/>
  <c r="D128" i="7"/>
  <c r="M28" i="7"/>
  <c r="J96" i="7"/>
  <c r="M96" i="7" s="1"/>
  <c r="D96" i="7"/>
  <c r="A177" i="7"/>
  <c r="A161" i="7"/>
  <c r="A113" i="7"/>
  <c r="A129" i="7"/>
  <c r="A97" i="7"/>
  <c r="A62" i="7"/>
  <c r="J62" i="7" s="1"/>
  <c r="A145" i="7"/>
  <c r="A80" i="7"/>
  <c r="J80" i="7" s="1"/>
  <c r="A45" i="7"/>
  <c r="J29" i="7"/>
  <c r="Q178" i="7"/>
  <c r="H179" i="7"/>
  <c r="J44" i="7"/>
  <c r="D112" i="7"/>
  <c r="J112" i="7"/>
  <c r="M112" i="7" s="1"/>
  <c r="J176" i="7"/>
  <c r="M176" i="7" s="1"/>
  <c r="O176" i="7" s="1"/>
  <c r="D176" i="7"/>
  <c r="F176" i="7" s="1"/>
  <c r="F62" i="7" l="1"/>
  <c r="O80" i="7"/>
  <c r="M81" i="7" s="1"/>
  <c r="D80" i="7"/>
  <c r="O144" i="7"/>
  <c r="F96" i="7"/>
  <c r="D97" i="7" s="1"/>
  <c r="F144" i="7"/>
  <c r="O28" i="7"/>
  <c r="M29" i="7" s="1"/>
  <c r="O29" i="7" s="1"/>
  <c r="M30" i="7" s="1"/>
  <c r="F28" i="7"/>
  <c r="F128" i="7"/>
  <c r="F112" i="7"/>
  <c r="M62" i="7"/>
  <c r="O128" i="7"/>
  <c r="O112" i="7"/>
  <c r="O96" i="7"/>
  <c r="H115" i="7"/>
  <c r="Q115" i="7" s="1"/>
  <c r="H82" i="7"/>
  <c r="Q82" i="7" s="1"/>
  <c r="H131" i="7"/>
  <c r="Q131" i="7" s="1"/>
  <c r="H64" i="7"/>
  <c r="Q64" i="7" s="1"/>
  <c r="H147" i="7"/>
  <c r="Q147" i="7" s="1"/>
  <c r="Q31" i="7"/>
  <c r="H99" i="7"/>
  <c r="Q99" i="7" s="1"/>
  <c r="H47" i="7"/>
  <c r="Q47" i="7" s="1"/>
  <c r="J129" i="7"/>
  <c r="J113" i="7"/>
  <c r="J45" i="7"/>
  <c r="J161" i="7"/>
  <c r="D44" i="7"/>
  <c r="Q168" i="7"/>
  <c r="H169" i="7"/>
  <c r="Q169" i="7" s="1"/>
  <c r="D177" i="7"/>
  <c r="F177" i="7" s="1"/>
  <c r="J177" i="7"/>
  <c r="M177" i="7" s="1"/>
  <c r="O177" i="7" s="1"/>
  <c r="M160" i="7"/>
  <c r="O160" i="7" s="1"/>
  <c r="A11" i="7"/>
  <c r="J10" i="7"/>
  <c r="A31" i="7"/>
  <c r="A162" i="7"/>
  <c r="A146" i="7"/>
  <c r="A178" i="7"/>
  <c r="A98" i="7"/>
  <c r="A130" i="7"/>
  <c r="A46" i="7"/>
  <c r="A63" i="7"/>
  <c r="J63" i="7" s="1"/>
  <c r="J30" i="7"/>
  <c r="A81" i="7"/>
  <c r="J81" i="7" s="1"/>
  <c r="A114" i="7"/>
  <c r="D160" i="7"/>
  <c r="F160" i="7" s="1"/>
  <c r="J145" i="7"/>
  <c r="M44" i="7"/>
  <c r="Q179" i="7"/>
  <c r="H180" i="7"/>
  <c r="J97" i="7"/>
  <c r="D29" i="7" l="1"/>
  <c r="F29" i="7" s="1"/>
  <c r="D30" i="7" s="1"/>
  <c r="F30" i="7" s="1"/>
  <c r="M97" i="7"/>
  <c r="O97" i="7" s="1"/>
  <c r="D63" i="7"/>
  <c r="F63" i="7" s="1"/>
  <c r="F97" i="7"/>
  <c r="D98" i="7" s="1"/>
  <c r="O62" i="7"/>
  <c r="F80" i="7"/>
  <c r="O81" i="7"/>
  <c r="M113" i="7"/>
  <c r="D129" i="7"/>
  <c r="D113" i="7"/>
  <c r="D145" i="7"/>
  <c r="M145" i="7"/>
  <c r="M129" i="7"/>
  <c r="O44" i="7"/>
  <c r="F44" i="7"/>
  <c r="D45" i="7" s="1"/>
  <c r="F45" i="7" s="1"/>
  <c r="D46" i="7" s="1"/>
  <c r="C7" i="7"/>
  <c r="H7" i="7" s="1"/>
  <c r="L7" i="7"/>
  <c r="Q7" i="7" s="1"/>
  <c r="D161" i="7"/>
  <c r="F161" i="7" s="1"/>
  <c r="J46" i="7"/>
  <c r="Q180" i="7"/>
  <c r="H181" i="7"/>
  <c r="H116" i="7"/>
  <c r="Q116" i="7" s="1"/>
  <c r="H83" i="7"/>
  <c r="Q83" i="7" s="1"/>
  <c r="H132" i="7"/>
  <c r="Q132" i="7" s="1"/>
  <c r="H148" i="7"/>
  <c r="Q148" i="7" s="1"/>
  <c r="H65" i="7"/>
  <c r="Q65" i="7" s="1"/>
  <c r="H48" i="7"/>
  <c r="Q48" i="7" s="1"/>
  <c r="Q32" i="7"/>
  <c r="H100" i="7"/>
  <c r="Q100" i="7" s="1"/>
  <c r="H33" i="7"/>
  <c r="A147" i="7"/>
  <c r="A179" i="7"/>
  <c r="A99" i="7"/>
  <c r="A131" i="7"/>
  <c r="A115" i="7"/>
  <c r="A82" i="7"/>
  <c r="J82" i="7" s="1"/>
  <c r="A163" i="7"/>
  <c r="A64" i="7"/>
  <c r="J64" i="7" s="1"/>
  <c r="J31" i="7"/>
  <c r="A47" i="7"/>
  <c r="J98" i="7"/>
  <c r="J114" i="7"/>
  <c r="A12" i="7"/>
  <c r="A32" i="7"/>
  <c r="J11" i="7"/>
  <c r="J130" i="7"/>
  <c r="J178" i="7"/>
  <c r="M178" i="7" s="1"/>
  <c r="O178" i="7" s="1"/>
  <c r="D178" i="7"/>
  <c r="F178" i="7" s="1"/>
  <c r="J146" i="7"/>
  <c r="J162" i="7"/>
  <c r="M161" i="7"/>
  <c r="O161" i="7" s="1"/>
  <c r="M45" i="7" l="1"/>
  <c r="O45" i="7" s="1"/>
  <c r="M98" i="7"/>
  <c r="O98" i="7" s="1"/>
  <c r="D64" i="7"/>
  <c r="F64" i="7" s="1"/>
  <c r="F129" i="7"/>
  <c r="M82" i="7"/>
  <c r="O113" i="7"/>
  <c r="O129" i="7"/>
  <c r="M130" i="7" s="1"/>
  <c r="M63" i="7"/>
  <c r="D81" i="7"/>
  <c r="O145" i="7"/>
  <c r="F98" i="7"/>
  <c r="F145" i="7"/>
  <c r="L17" i="7"/>
  <c r="Q17" i="7" s="1"/>
  <c r="C17" i="7"/>
  <c r="H17" i="7" s="1"/>
  <c r="D162" i="7"/>
  <c r="F162" i="7" s="1"/>
  <c r="J163" i="7"/>
  <c r="H117" i="7"/>
  <c r="Q117" i="7" s="1"/>
  <c r="H84" i="7"/>
  <c r="Q84" i="7" s="1"/>
  <c r="H133" i="7"/>
  <c r="Q133" i="7" s="1"/>
  <c r="H101" i="7"/>
  <c r="Q101" i="7" s="1"/>
  <c r="H66" i="7"/>
  <c r="Q66" i="7" s="1"/>
  <c r="H34" i="7"/>
  <c r="H49" i="7"/>
  <c r="Q49" i="7" s="1"/>
  <c r="Q33" i="7"/>
  <c r="H149" i="7"/>
  <c r="Q149" i="7" s="1"/>
  <c r="H182" i="7"/>
  <c r="Q181" i="7"/>
  <c r="J115" i="7"/>
  <c r="A164" i="7"/>
  <c r="A148" i="7"/>
  <c r="A180" i="7"/>
  <c r="A100" i="7"/>
  <c r="J32" i="7"/>
  <c r="A132" i="7"/>
  <c r="A65" i="7"/>
  <c r="J65" i="7" s="1"/>
  <c r="A83" i="7"/>
  <c r="J83" i="7" s="1"/>
  <c r="A116" i="7"/>
  <c r="A48" i="7"/>
  <c r="J131" i="7"/>
  <c r="J99" i="7"/>
  <c r="A13" i="7"/>
  <c r="A33" i="7"/>
  <c r="J12" i="7"/>
  <c r="M162" i="7"/>
  <c r="O162" i="7" s="1"/>
  <c r="J47" i="7"/>
  <c r="D179" i="7"/>
  <c r="F179" i="7" s="1"/>
  <c r="J179" i="7"/>
  <c r="M179" i="7" s="1"/>
  <c r="O179" i="7" s="1"/>
  <c r="J147" i="7"/>
  <c r="D65" i="7" l="1"/>
  <c r="F81" i="7"/>
  <c r="M114" i="7"/>
  <c r="O63" i="7"/>
  <c r="D130" i="7"/>
  <c r="D99" i="7"/>
  <c r="M146" i="7"/>
  <c r="O82" i="7"/>
  <c r="M99" i="7"/>
  <c r="D146" i="7"/>
  <c r="D114" i="7"/>
  <c r="F114" i="7" s="1"/>
  <c r="M163" i="7"/>
  <c r="O163" i="7" s="1"/>
  <c r="D163" i="7"/>
  <c r="F163" i="7" s="1"/>
  <c r="J132" i="7"/>
  <c r="H118" i="7"/>
  <c r="Q118" i="7" s="1"/>
  <c r="H134" i="7"/>
  <c r="Q134" i="7" s="1"/>
  <c r="H102" i="7"/>
  <c r="Q102" i="7" s="1"/>
  <c r="Q34" i="7"/>
  <c r="H150" i="7"/>
  <c r="Q150" i="7" s="1"/>
  <c r="H85" i="7"/>
  <c r="Q85" i="7" s="1"/>
  <c r="H67" i="7"/>
  <c r="Q67" i="7" s="1"/>
  <c r="H50" i="7"/>
  <c r="Q50" i="7" s="1"/>
  <c r="J100" i="7"/>
  <c r="Q182" i="7"/>
  <c r="H183" i="7"/>
  <c r="A34" i="7"/>
  <c r="A14" i="7"/>
  <c r="J13" i="7"/>
  <c r="J116" i="7"/>
  <c r="J148" i="7"/>
  <c r="A149" i="7"/>
  <c r="A101" i="7"/>
  <c r="A181" i="7"/>
  <c r="A133" i="7"/>
  <c r="A66" i="7"/>
  <c r="J66" i="7" s="1"/>
  <c r="A165" i="7"/>
  <c r="A84" i="7"/>
  <c r="J84" i="7" s="1"/>
  <c r="A49" i="7"/>
  <c r="J33" i="7"/>
  <c r="A117" i="7"/>
  <c r="J48" i="7"/>
  <c r="J180" i="7"/>
  <c r="M180" i="7" s="1"/>
  <c r="O180" i="7" s="1"/>
  <c r="D180" i="7"/>
  <c r="F180" i="7" s="1"/>
  <c r="J164" i="7"/>
  <c r="F65" i="7" l="1"/>
  <c r="M131" i="7"/>
  <c r="O131" i="7" s="1"/>
  <c r="Q8" i="7"/>
  <c r="M64" i="7"/>
  <c r="O30" i="7"/>
  <c r="M31" i="7" s="1"/>
  <c r="H8" i="7"/>
  <c r="F146" i="7"/>
  <c r="O99" i="7"/>
  <c r="M100" i="7" s="1"/>
  <c r="F99" i="7"/>
  <c r="F130" i="7"/>
  <c r="M83" i="7"/>
  <c r="D82" i="7"/>
  <c r="M46" i="7"/>
  <c r="O46" i="7" s="1"/>
  <c r="D164" i="7"/>
  <c r="F164" i="7" s="1"/>
  <c r="J101" i="7"/>
  <c r="J49" i="7"/>
  <c r="J149" i="7"/>
  <c r="A166" i="7"/>
  <c r="A102" i="7"/>
  <c r="A85" i="7"/>
  <c r="J85" i="7" s="1"/>
  <c r="A182" i="7"/>
  <c r="A118" i="7"/>
  <c r="A50" i="7"/>
  <c r="A150" i="7"/>
  <c r="J34" i="7"/>
  <c r="A67" i="7"/>
  <c r="J67" i="7" s="1"/>
  <c r="A134" i="7"/>
  <c r="J14" i="7"/>
  <c r="A15" i="7"/>
  <c r="A35" i="7"/>
  <c r="H119" i="7"/>
  <c r="Q119" i="7" s="1"/>
  <c r="H135" i="7"/>
  <c r="Q135" i="7" s="1"/>
  <c r="H103" i="7"/>
  <c r="Q103" i="7" s="1"/>
  <c r="H68" i="7"/>
  <c r="Q68" i="7" s="1"/>
  <c r="H36" i="7"/>
  <c r="H151" i="7"/>
  <c r="Q151" i="7" s="1"/>
  <c r="H86" i="7"/>
  <c r="Q86" i="7" s="1"/>
  <c r="H51" i="7"/>
  <c r="Q51" i="7" s="1"/>
  <c r="Q35" i="7"/>
  <c r="J165" i="7"/>
  <c r="M164" i="7"/>
  <c r="O164" i="7" s="1"/>
  <c r="H184" i="7"/>
  <c r="Q183" i="7"/>
  <c r="J133" i="7"/>
  <c r="J117" i="7"/>
  <c r="D181" i="7"/>
  <c r="F181" i="7" s="1"/>
  <c r="J181" i="7"/>
  <c r="M181" i="7" s="1"/>
  <c r="O181" i="7" s="1"/>
  <c r="O83" i="7" l="1"/>
  <c r="D31" i="7"/>
  <c r="F31" i="7" s="1"/>
  <c r="M132" i="7"/>
  <c r="O132" i="7" s="1"/>
  <c r="O64" i="7"/>
  <c r="D131" i="7"/>
  <c r="M115" i="7"/>
  <c r="O115" i="7" s="1"/>
  <c r="D147" i="7"/>
  <c r="F46" i="7"/>
  <c r="D47" i="7" s="1"/>
  <c r="F82" i="7"/>
  <c r="D115" i="7"/>
  <c r="F115" i="7" s="1"/>
  <c r="D100" i="7"/>
  <c r="F100" i="7" s="1"/>
  <c r="M147" i="7"/>
  <c r="O147" i="7" s="1"/>
  <c r="M165" i="7"/>
  <c r="O165" i="7" s="1"/>
  <c r="M182" i="7"/>
  <c r="O182" i="7" s="1"/>
  <c r="D165" i="7"/>
  <c r="F165" i="7" s="1"/>
  <c r="J182" i="7"/>
  <c r="D182" i="7"/>
  <c r="F182" i="7" s="1"/>
  <c r="J134" i="7"/>
  <c r="J102" i="7"/>
  <c r="Q184" i="7"/>
  <c r="H185" i="7"/>
  <c r="Q185" i="7" s="1"/>
  <c r="J166" i="7"/>
  <c r="J50" i="7"/>
  <c r="J150" i="7"/>
  <c r="A103" i="7"/>
  <c r="A86" i="7"/>
  <c r="J86" i="7" s="1"/>
  <c r="A119" i="7"/>
  <c r="A167" i="7"/>
  <c r="A151" i="7"/>
  <c r="A183" i="7"/>
  <c r="A68" i="7"/>
  <c r="J68" i="7" s="1"/>
  <c r="A51" i="7"/>
  <c r="A135" i="7"/>
  <c r="J35" i="7"/>
  <c r="H120" i="7"/>
  <c r="Q120" i="7" s="1"/>
  <c r="H136" i="7"/>
  <c r="Q136" i="7" s="1"/>
  <c r="H87" i="7"/>
  <c r="Q87" i="7" s="1"/>
  <c r="H69" i="7"/>
  <c r="Q69" i="7" s="1"/>
  <c r="H52" i="7"/>
  <c r="Q52" i="7" s="1"/>
  <c r="Q36" i="7"/>
  <c r="H152" i="7"/>
  <c r="Q152" i="7" s="1"/>
  <c r="H104" i="7"/>
  <c r="Q104" i="7" s="1"/>
  <c r="H37" i="7"/>
  <c r="J15" i="7"/>
  <c r="A36" i="7"/>
  <c r="A16" i="7"/>
  <c r="J118" i="7"/>
  <c r="M133" i="7" l="1"/>
  <c r="O133" i="7" s="1"/>
  <c r="M47" i="7"/>
  <c r="O47" i="7" s="1"/>
  <c r="L9" i="7"/>
  <c r="Q9" i="7" s="1"/>
  <c r="O31" i="7"/>
  <c r="M32" i="7" s="1"/>
  <c r="F147" i="7"/>
  <c r="C9" i="7"/>
  <c r="M65" i="7"/>
  <c r="D83" i="7"/>
  <c r="F131" i="7"/>
  <c r="D166" i="7"/>
  <c r="F166" i="7" s="1"/>
  <c r="J119" i="7"/>
  <c r="M166" i="7"/>
  <c r="O166" i="7" s="1"/>
  <c r="H121" i="7"/>
  <c r="Q121" i="7" s="1"/>
  <c r="H137" i="7"/>
  <c r="Q137" i="7" s="1"/>
  <c r="H70" i="7"/>
  <c r="Q70" i="7" s="1"/>
  <c r="H105" i="7"/>
  <c r="Q105" i="7" s="1"/>
  <c r="H53" i="7"/>
  <c r="Q53" i="7" s="1"/>
  <c r="Q37" i="7"/>
  <c r="H153" i="7"/>
  <c r="Q153" i="7" s="1"/>
  <c r="H88" i="7"/>
  <c r="Q88" i="7" s="1"/>
  <c r="J135" i="7"/>
  <c r="J103" i="7"/>
  <c r="J51" i="7"/>
  <c r="A37" i="7"/>
  <c r="J16" i="7"/>
  <c r="J183" i="7"/>
  <c r="M183" i="7" s="1"/>
  <c r="O183" i="7" s="1"/>
  <c r="D183" i="7"/>
  <c r="F183" i="7" s="1"/>
  <c r="A168" i="7"/>
  <c r="A152" i="7"/>
  <c r="A104" i="7"/>
  <c r="A87" i="7"/>
  <c r="J87" i="7" s="1"/>
  <c r="A136" i="7"/>
  <c r="J36" i="7"/>
  <c r="A120" i="7"/>
  <c r="A184" i="7"/>
  <c r="A52" i="7"/>
  <c r="A69" i="7"/>
  <c r="J69" i="7" s="1"/>
  <c r="J151" i="7"/>
  <c r="J167" i="7"/>
  <c r="H9" i="7" l="1"/>
  <c r="L10" i="7"/>
  <c r="Q10" i="7" s="1"/>
  <c r="O84" i="7"/>
  <c r="F66" i="7"/>
  <c r="D67" i="7" s="1"/>
  <c r="F83" i="7"/>
  <c r="O65" i="7"/>
  <c r="D116" i="7"/>
  <c r="M116" i="7"/>
  <c r="O116" i="7" s="1"/>
  <c r="D148" i="7"/>
  <c r="D132" i="7"/>
  <c r="F132" i="7" s="1"/>
  <c r="M148" i="7"/>
  <c r="O148" i="7" s="1"/>
  <c r="D32" i="7"/>
  <c r="F32" i="7" s="1"/>
  <c r="F47" i="7"/>
  <c r="D48" i="7" s="1"/>
  <c r="M48" i="7"/>
  <c r="O48" i="7" s="1"/>
  <c r="D167" i="7"/>
  <c r="F167" i="7" s="1"/>
  <c r="M167" i="7"/>
  <c r="O167" i="7" s="1"/>
  <c r="A153" i="7"/>
  <c r="A105" i="7"/>
  <c r="A88" i="7"/>
  <c r="J88" i="7" s="1"/>
  <c r="A137" i="7"/>
  <c r="A185" i="7"/>
  <c r="A169" i="7"/>
  <c r="A70" i="7"/>
  <c r="J70" i="7" s="1"/>
  <c r="A121" i="7"/>
  <c r="J37" i="7"/>
  <c r="A53" i="7"/>
  <c r="J136" i="7"/>
  <c r="J52" i="7"/>
  <c r="J152" i="7"/>
  <c r="J168" i="7"/>
  <c r="J104" i="7"/>
  <c r="J184" i="7"/>
  <c r="M184" i="7" s="1"/>
  <c r="O184" i="7" s="1"/>
  <c r="D184" i="7"/>
  <c r="F184" i="7" s="1"/>
  <c r="J120" i="7"/>
  <c r="M149" i="7" l="1"/>
  <c r="O149" i="7" s="1"/>
  <c r="L18" i="7"/>
  <c r="Q18" i="7" s="1"/>
  <c r="M117" i="7"/>
  <c r="O117" i="7" s="1"/>
  <c r="D117" i="7"/>
  <c r="F67" i="7"/>
  <c r="F84" i="7"/>
  <c r="O85" i="7"/>
  <c r="O32" i="7"/>
  <c r="M33" i="7" s="1"/>
  <c r="C10" i="7"/>
  <c r="C18" i="7" s="1"/>
  <c r="M168" i="7"/>
  <c r="O168" i="7" s="1"/>
  <c r="D185" i="7"/>
  <c r="F185" i="7" s="1"/>
  <c r="J137" i="7"/>
  <c r="D168" i="7"/>
  <c r="F168" i="7" s="1"/>
  <c r="J53" i="7"/>
  <c r="J105" i="7"/>
  <c r="J153" i="7"/>
  <c r="J121" i="7"/>
  <c r="J169" i="7"/>
  <c r="J185" i="7"/>
  <c r="M185" i="7" s="1"/>
  <c r="O185" i="7" s="1"/>
  <c r="L86" i="7" l="1"/>
  <c r="L118" i="7" s="1"/>
  <c r="C68" i="7"/>
  <c r="D68" i="7"/>
  <c r="M49" i="7"/>
  <c r="O49" i="7" s="1"/>
  <c r="D33" i="7"/>
  <c r="F33" i="7" s="1"/>
  <c r="O66" i="7"/>
  <c r="D85" i="7"/>
  <c r="L11" i="7"/>
  <c r="Q11" i="7" s="1"/>
  <c r="H18" i="7"/>
  <c r="H10" i="7"/>
  <c r="F48" i="7"/>
  <c r="D49" i="7" s="1"/>
  <c r="M169" i="7"/>
  <c r="O169" i="7" s="1"/>
  <c r="D169" i="7"/>
  <c r="F169" i="7" s="1"/>
  <c r="M86" i="7" l="1"/>
  <c r="M102" i="7"/>
  <c r="O102" i="7" s="1"/>
  <c r="O86" i="7"/>
  <c r="I41" i="3"/>
  <c r="F68" i="7"/>
  <c r="I28" i="3"/>
  <c r="M150" i="7"/>
  <c r="O150" i="7" s="1"/>
  <c r="F85" i="7"/>
  <c r="M67" i="7"/>
  <c r="O33" i="7"/>
  <c r="M34" i="7" s="1"/>
  <c r="C11" i="7"/>
  <c r="H11" i="7" s="1"/>
  <c r="L135" i="7" l="1"/>
  <c r="L103" i="7" s="1"/>
  <c r="C86" i="7"/>
  <c r="D86" i="7"/>
  <c r="D69" i="7"/>
  <c r="J28" i="3"/>
  <c r="M87" i="7"/>
  <c r="J41" i="3"/>
  <c r="M134" i="7"/>
  <c r="O134" i="7" s="1"/>
  <c r="D150" i="7"/>
  <c r="F150" i="7" s="1"/>
  <c r="O67" i="7"/>
  <c r="M50" i="7"/>
  <c r="O50" i="7" s="1"/>
  <c r="L12" i="7"/>
  <c r="Q12" i="7" s="1"/>
  <c r="D34" i="7"/>
  <c r="F34" i="7" s="1"/>
  <c r="F49" i="7"/>
  <c r="D50" i="7" s="1"/>
  <c r="M118" i="7"/>
  <c r="O118" i="7" s="1"/>
  <c r="L151" i="7" l="1"/>
  <c r="M103" i="7"/>
  <c r="O103" i="7" s="1"/>
  <c r="L68" i="7"/>
  <c r="M68" i="7" s="1"/>
  <c r="F86" i="7"/>
  <c r="I37" i="3"/>
  <c r="O87" i="7"/>
  <c r="I42" i="3"/>
  <c r="F69" i="7"/>
  <c r="I29" i="3"/>
  <c r="D118" i="7"/>
  <c r="O34" i="7"/>
  <c r="M35" i="7" s="1"/>
  <c r="M151" i="7" l="1"/>
  <c r="O151" i="7"/>
  <c r="M135" i="7"/>
  <c r="O135" i="7" s="1"/>
  <c r="C151" i="7"/>
  <c r="L119" i="7"/>
  <c r="M88" i="7"/>
  <c r="J42" i="3"/>
  <c r="O68" i="7"/>
  <c r="I32" i="3"/>
  <c r="M104" i="7"/>
  <c r="J55" i="3"/>
  <c r="I76" i="3"/>
  <c r="I85" i="3"/>
  <c r="D70" i="7"/>
  <c r="J29" i="3"/>
  <c r="D87" i="7"/>
  <c r="J37" i="3"/>
  <c r="F50" i="7"/>
  <c r="D51" i="7" s="1"/>
  <c r="D35" i="7"/>
  <c r="F35" i="7" s="1"/>
  <c r="L13" i="7"/>
  <c r="Q13" i="7" s="1"/>
  <c r="M51" i="7"/>
  <c r="O51" i="7" s="1"/>
  <c r="D151" i="7" l="1"/>
  <c r="F151" i="7"/>
  <c r="M119" i="7"/>
  <c r="O119" i="7" s="1"/>
  <c r="C119" i="7"/>
  <c r="F87" i="7"/>
  <c r="I38" i="3"/>
  <c r="O104" i="7"/>
  <c r="I56" i="3"/>
  <c r="F70" i="7"/>
  <c r="J30" i="3" s="1"/>
  <c r="I30" i="3"/>
  <c r="M69" i="7"/>
  <c r="J32" i="3"/>
  <c r="I81" i="3"/>
  <c r="M136" i="7"/>
  <c r="O136" i="7" s="1"/>
  <c r="J76" i="3"/>
  <c r="M152" i="7"/>
  <c r="O152" i="7" s="1"/>
  <c r="J85" i="3"/>
  <c r="O88" i="7"/>
  <c r="J43" i="3" s="1"/>
  <c r="I43" i="3"/>
  <c r="L19" i="7"/>
  <c r="Q19" i="7" s="1"/>
  <c r="I6" i="3"/>
  <c r="D119" i="7" l="1"/>
  <c r="F119" i="7" s="1"/>
  <c r="I10" i="3"/>
  <c r="O35" i="7"/>
  <c r="M36" i="7" s="1"/>
  <c r="I77" i="3"/>
  <c r="M105" i="7"/>
  <c r="J56" i="3"/>
  <c r="I86" i="3"/>
  <c r="D152" i="7"/>
  <c r="J81" i="3"/>
  <c r="D88" i="7"/>
  <c r="J38" i="3"/>
  <c r="D36" i="7"/>
  <c r="F36" i="7" s="1"/>
  <c r="M52" i="7"/>
  <c r="O52" i="7" s="1"/>
  <c r="I19" i="3"/>
  <c r="O69" i="7"/>
  <c r="I33" i="3"/>
  <c r="M120" i="7"/>
  <c r="O120" i="7" s="1"/>
  <c r="J64" i="3"/>
  <c r="F51" i="7"/>
  <c r="D52" i="7" s="1"/>
  <c r="L14" i="7"/>
  <c r="Q14" i="7" s="1"/>
  <c r="J10" i="3"/>
  <c r="M153" i="7" l="1"/>
  <c r="O153" i="7" s="1"/>
  <c r="J86" i="3"/>
  <c r="M70" i="7"/>
  <c r="J33" i="3"/>
  <c r="J19" i="3"/>
  <c r="D120" i="7"/>
  <c r="F120" i="7" s="1"/>
  <c r="J60" i="3"/>
  <c r="J15" i="3"/>
  <c r="I15" i="3"/>
  <c r="F88" i="7"/>
  <c r="J39" i="3" s="1"/>
  <c r="I39" i="3"/>
  <c r="O105" i="7"/>
  <c r="I57" i="3"/>
  <c r="I65" i="3"/>
  <c r="J6" i="3"/>
  <c r="F152" i="7"/>
  <c r="I82" i="3"/>
  <c r="M137" i="7"/>
  <c r="O137" i="7" s="1"/>
  <c r="J77" i="3"/>
  <c r="O36" i="7"/>
  <c r="M37" i="7" s="1"/>
  <c r="J57" i="3" l="1"/>
  <c r="L15" i="7"/>
  <c r="Q15" i="7" s="1"/>
  <c r="I11" i="3"/>
  <c r="M121" i="7"/>
  <c r="O121" i="7" s="1"/>
  <c r="J65" i="3"/>
  <c r="I61" i="3"/>
  <c r="J78" i="3"/>
  <c r="I78" i="3"/>
  <c r="O70" i="7"/>
  <c r="J34" i="3" s="1"/>
  <c r="I34" i="3"/>
  <c r="M53" i="7"/>
  <c r="O53" i="7" s="1"/>
  <c r="I20" i="3"/>
  <c r="D153" i="7"/>
  <c r="F153" i="7" s="1"/>
  <c r="J82" i="3"/>
  <c r="I7" i="3"/>
  <c r="D37" i="7"/>
  <c r="F37" i="7" s="1"/>
  <c r="F52" i="7"/>
  <c r="D53" i="7" s="1"/>
  <c r="J87" i="3"/>
  <c r="I87" i="3"/>
  <c r="J11" i="3"/>
  <c r="D121" i="7" l="1"/>
  <c r="J61" i="3"/>
  <c r="J20" i="3"/>
  <c r="J66" i="3"/>
  <c r="I66" i="3"/>
  <c r="J7" i="3"/>
  <c r="I8" i="3"/>
  <c r="J16" i="3"/>
  <c r="I16" i="3"/>
  <c r="O37" i="7"/>
  <c r="D50" i="2"/>
  <c r="D49" i="2"/>
  <c r="D48" i="2"/>
  <c r="E50" i="2"/>
  <c r="E49" i="2"/>
  <c r="E48" i="2"/>
  <c r="F50" i="2"/>
  <c r="F49" i="2"/>
  <c r="F48" i="2"/>
  <c r="D44" i="2"/>
  <c r="E44" i="2"/>
  <c r="F44" i="2"/>
  <c r="D24" i="2"/>
  <c r="D23" i="2"/>
  <c r="D22" i="2"/>
  <c r="E24" i="2"/>
  <c r="E23" i="2"/>
  <c r="E22" i="2"/>
  <c r="F24" i="2"/>
  <c r="F23" i="2"/>
  <c r="F22" i="2"/>
  <c r="D18" i="2"/>
  <c r="E18" i="2"/>
  <c r="F18" i="2"/>
  <c r="I21" i="3" l="1"/>
  <c r="L16" i="7"/>
  <c r="Q16" i="7" s="1"/>
  <c r="I12" i="3"/>
  <c r="F53" i="7"/>
  <c r="F121" i="7"/>
  <c r="J62" i="3" s="1"/>
  <c r="I62" i="3"/>
  <c r="D52" i="1"/>
  <c r="D51" i="1"/>
  <c r="D50" i="1"/>
  <c r="E52" i="1"/>
  <c r="E51" i="1"/>
  <c r="E50" i="1"/>
  <c r="F52" i="1"/>
  <c r="F51" i="1"/>
  <c r="F50" i="1"/>
  <c r="D46" i="1"/>
  <c r="E46" i="1"/>
  <c r="F46" i="1"/>
  <c r="D24" i="1"/>
  <c r="Q24" i="1" s="1"/>
  <c r="D23" i="1"/>
  <c r="Q23" i="1" s="1"/>
  <c r="D22" i="1"/>
  <c r="E24" i="1"/>
  <c r="E23" i="1"/>
  <c r="E22" i="1"/>
  <c r="F24" i="1"/>
  <c r="F23" i="1"/>
  <c r="F22" i="1"/>
  <c r="D18" i="1"/>
  <c r="E18" i="1"/>
  <c r="F18" i="1"/>
  <c r="L21" i="7" l="1"/>
  <c r="Q21" i="7" s="1"/>
  <c r="Q50" i="1"/>
  <c r="Q52" i="1"/>
  <c r="Q51" i="1"/>
  <c r="Q22" i="1"/>
  <c r="J8" i="3"/>
  <c r="L20" i="7"/>
  <c r="Q20" i="7" s="1"/>
  <c r="J12" i="3"/>
  <c r="I17" i="3"/>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O46" i="2" s="1"/>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J17" i="3" l="1"/>
  <c r="R49" i="2"/>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N46" i="1"/>
  <c r="N48" i="1" s="1"/>
  <c r="M46" i="1"/>
  <c r="M48" i="1" s="1"/>
  <c r="L46" i="1"/>
  <c r="L48" i="1" s="1"/>
  <c r="K46" i="1"/>
  <c r="K48" i="1" s="1"/>
  <c r="J46" i="1"/>
  <c r="J48" i="1" s="1"/>
  <c r="I46" i="1"/>
  <c r="I48" i="1" s="1"/>
  <c r="H46" i="1"/>
  <c r="H48" i="1" s="1"/>
  <c r="G46" i="1"/>
  <c r="G48" i="1" s="1"/>
  <c r="O24" i="1"/>
  <c r="O26" i="1" s="1"/>
  <c r="N24" i="1"/>
  <c r="N26" i="1" s="1"/>
  <c r="M24" i="1"/>
  <c r="L24" i="1"/>
  <c r="L26" i="1" s="1"/>
  <c r="K24" i="1"/>
  <c r="K26" i="1" s="1"/>
  <c r="J24" i="1"/>
  <c r="I24" i="1"/>
  <c r="H24" i="1"/>
  <c r="G24" i="1"/>
  <c r="G26" i="1" s="1"/>
  <c r="O23" i="1"/>
  <c r="N23" i="1"/>
  <c r="M23" i="1"/>
  <c r="L23" i="1"/>
  <c r="K23" i="1"/>
  <c r="J23" i="1"/>
  <c r="I23" i="1"/>
  <c r="H23" i="1"/>
  <c r="G23" i="1"/>
  <c r="O22" i="1"/>
  <c r="O27" i="1" s="1"/>
  <c r="N22" i="1"/>
  <c r="M22" i="1"/>
  <c r="L22" i="1"/>
  <c r="K22" i="1"/>
  <c r="J22" i="1"/>
  <c r="I22" i="1"/>
  <c r="H22" i="1"/>
  <c r="G22" i="1"/>
  <c r="O18" i="1"/>
  <c r="J18" i="1"/>
  <c r="J20" i="1" s="1"/>
  <c r="K18" i="1"/>
  <c r="K20" i="1" s="1"/>
  <c r="L18" i="1"/>
  <c r="L20" i="1" s="1"/>
  <c r="M18" i="1"/>
  <c r="M20" i="1" s="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D26" i="1"/>
  <c r="E26" i="1"/>
  <c r="E27" i="1" s="1"/>
  <c r="F26" i="1"/>
  <c r="F27" i="1" s="1"/>
  <c r="H26" i="1"/>
  <c r="J26" i="1"/>
  <c r="Q46" i="1"/>
  <c r="D48" i="1"/>
  <c r="E48" i="1"/>
  <c r="F48" i="1"/>
  <c r="D54" i="1"/>
  <c r="E54" i="1"/>
  <c r="E55" i="1" s="1"/>
  <c r="F54" i="1"/>
  <c r="F55" i="1" s="1"/>
  <c r="L54" i="1"/>
  <c r="D59" i="1"/>
  <c r="E59" i="1"/>
  <c r="F59" i="1"/>
  <c r="G59" i="1"/>
  <c r="H59" i="1"/>
  <c r="I59" i="1"/>
  <c r="J59" i="1"/>
  <c r="K59" i="1"/>
  <c r="L59" i="1"/>
  <c r="M59" i="1"/>
  <c r="N59" i="1"/>
  <c r="O59" i="1"/>
  <c r="O29" i="1" l="1"/>
  <c r="N23" i="10"/>
  <c r="S54" i="1"/>
  <c r="D55" i="1"/>
  <c r="D56" i="1" s="1"/>
  <c r="Q54" i="1"/>
  <c r="R54" i="1"/>
  <c r="S26" i="1"/>
  <c r="D27" i="1"/>
  <c r="D28" i="1" s="1"/>
  <c r="Q26" i="1"/>
  <c r="T24" i="1"/>
  <c r="R51" i="1"/>
  <c r="I55" i="1"/>
  <c r="I56" i="1" s="1"/>
  <c r="L55" i="1"/>
  <c r="G27" i="1"/>
  <c r="U38" i="1"/>
  <c r="U11" i="1"/>
  <c r="L56" i="1"/>
  <c r="J55" i="1"/>
  <c r="J56" i="1" s="1"/>
  <c r="K55" i="1"/>
  <c r="K56" i="1" s="1"/>
  <c r="Q48" i="1"/>
  <c r="Q47" i="1" s="1"/>
  <c r="U12" i="1"/>
  <c r="T50" i="1"/>
  <c r="T51" i="1"/>
  <c r="T52" i="1"/>
  <c r="N27" i="1"/>
  <c r="N29" i="1" s="1"/>
  <c r="M26" i="1"/>
  <c r="T22" i="1"/>
  <c r="T23" i="1"/>
  <c r="U50" i="1"/>
  <c r="U51" i="1"/>
  <c r="S50" i="1"/>
  <c r="S51" i="1"/>
  <c r="S22" i="1"/>
  <c r="S23" i="1"/>
  <c r="U24" i="1"/>
  <c r="S24" i="1"/>
  <c r="D57" i="1"/>
  <c r="H27" i="1"/>
  <c r="H28" i="1" s="1"/>
  <c r="R22" i="1"/>
  <c r="R24" i="1"/>
  <c r="J27" i="1"/>
  <c r="J29" i="1" s="1"/>
  <c r="I26" i="1"/>
  <c r="I27" i="1" s="1"/>
  <c r="I29" i="1" s="1"/>
  <c r="Q11" i="1"/>
  <c r="U22" i="1"/>
  <c r="G55" i="1"/>
  <c r="G56" i="1" s="1"/>
  <c r="O55" i="1"/>
  <c r="O56" i="1" s="1"/>
  <c r="N55" i="1"/>
  <c r="N57" i="1" s="1"/>
  <c r="R23" i="1"/>
  <c r="R50" i="1"/>
  <c r="R52" i="1"/>
  <c r="Q20" i="1"/>
  <c r="Q19" i="1" s="1"/>
  <c r="K27" i="1"/>
  <c r="K28" i="1" s="1"/>
  <c r="S52" i="1"/>
  <c r="M54" i="1"/>
  <c r="A48" i="1"/>
  <c r="Q40" i="1"/>
  <c r="U10" i="1"/>
  <c r="U23" i="1"/>
  <c r="U52" i="1"/>
  <c r="Q10" i="1"/>
  <c r="Q12" i="1"/>
  <c r="Q39" i="1"/>
  <c r="U40" i="1"/>
  <c r="U39" i="1"/>
  <c r="Q38" i="1"/>
  <c r="U37" i="1"/>
  <c r="Q37" i="1"/>
  <c r="H55" i="1"/>
  <c r="H56" i="1" s="1"/>
  <c r="I57" i="1"/>
  <c r="H27" i="10" s="1"/>
  <c r="L57" i="1"/>
  <c r="K27" i="10" s="1"/>
  <c r="L27" i="1"/>
  <c r="L28" i="1" s="1"/>
  <c r="G29" i="1"/>
  <c r="A53" i="1"/>
  <c r="A54" i="1" s="1"/>
  <c r="A55" i="1" s="1"/>
  <c r="F57" i="1"/>
  <c r="F56" i="1"/>
  <c r="E56" i="1"/>
  <c r="Q55" i="1"/>
  <c r="Q56" i="1" s="1"/>
  <c r="E57" i="1"/>
  <c r="F28" i="1"/>
  <c r="F29" i="1"/>
  <c r="E28" i="1"/>
  <c r="E29" i="1"/>
  <c r="G28" i="1"/>
  <c r="D29" i="1" l="1"/>
  <c r="Q27" i="1"/>
  <c r="Q28" i="1" s="1"/>
  <c r="N42" i="10"/>
  <c r="N41" i="10" s="1"/>
  <c r="N80" i="10"/>
  <c r="N79" i="10" s="1"/>
  <c r="N61" i="10"/>
  <c r="N60" i="10" s="1"/>
  <c r="M23" i="10"/>
  <c r="M27" i="10"/>
  <c r="K65" i="10"/>
  <c r="K64" i="10" s="1"/>
  <c r="K46" i="10"/>
  <c r="K45" i="10" s="1"/>
  <c r="K84" i="10"/>
  <c r="K83" i="10" s="1"/>
  <c r="K26" i="10"/>
  <c r="H46" i="10"/>
  <c r="H45" i="10" s="1"/>
  <c r="H84" i="10"/>
  <c r="H83" i="10" s="1"/>
  <c r="H65" i="10"/>
  <c r="H64" i="10" s="1"/>
  <c r="H26" i="10"/>
  <c r="C27" i="10"/>
  <c r="D27" i="10"/>
  <c r="E27" i="10"/>
  <c r="C23" i="10"/>
  <c r="H23" i="10"/>
  <c r="I23" i="10"/>
  <c r="D23" i="10"/>
  <c r="E23" i="10"/>
  <c r="R26" i="1"/>
  <c r="F23" i="10"/>
  <c r="M55" i="1"/>
  <c r="M56" i="1" s="1"/>
  <c r="U54" i="1"/>
  <c r="T54" i="1"/>
  <c r="M27" i="1"/>
  <c r="M29" i="1" s="1"/>
  <c r="U26" i="1"/>
  <c r="T26" i="1"/>
  <c r="C54" i="1"/>
  <c r="N56" i="1"/>
  <c r="K57" i="1"/>
  <c r="J57" i="1"/>
  <c r="I27" i="10" s="1"/>
  <c r="Q57" i="1"/>
  <c r="I28" i="1"/>
  <c r="N28" i="1"/>
  <c r="H29" i="1"/>
  <c r="G57" i="1"/>
  <c r="F27" i="10" s="1"/>
  <c r="O57" i="1"/>
  <c r="O28" i="1"/>
  <c r="K29" i="1"/>
  <c r="L29" i="1"/>
  <c r="J28" i="1"/>
  <c r="H57" i="1"/>
  <c r="G27" i="10" s="1"/>
  <c r="C57" i="1"/>
  <c r="C56" i="1"/>
  <c r="C55" i="1"/>
  <c r="Q29" i="1"/>
  <c r="D60" i="1"/>
  <c r="D62" i="1" s="1"/>
  <c r="M57" i="1" l="1"/>
  <c r="M80" i="10"/>
  <c r="M79" i="10" s="1"/>
  <c r="M61" i="10"/>
  <c r="M60" i="10" s="1"/>
  <c r="M42" i="10"/>
  <c r="M41" i="10" s="1"/>
  <c r="L23" i="10"/>
  <c r="L27" i="10"/>
  <c r="N27" i="10"/>
  <c r="M84" i="10"/>
  <c r="M83" i="10" s="1"/>
  <c r="M65" i="10"/>
  <c r="M64" i="10" s="1"/>
  <c r="M46" i="10"/>
  <c r="M45" i="10" s="1"/>
  <c r="M26" i="10"/>
  <c r="F46" i="10"/>
  <c r="F45" i="10" s="1"/>
  <c r="F84" i="10"/>
  <c r="F83" i="10" s="1"/>
  <c r="F65" i="10"/>
  <c r="F64" i="10" s="1"/>
  <c r="F26" i="10"/>
  <c r="G46" i="10"/>
  <c r="G45" i="10" s="1"/>
  <c r="G84" i="10"/>
  <c r="G83" i="10" s="1"/>
  <c r="G65" i="10"/>
  <c r="G64" i="10" s="1"/>
  <c r="G26" i="10"/>
  <c r="J27" i="10"/>
  <c r="E84" i="10"/>
  <c r="E83" i="10" s="1"/>
  <c r="E65" i="10"/>
  <c r="E64" i="10" s="1"/>
  <c r="E46" i="10"/>
  <c r="E45" i="10" s="1"/>
  <c r="E26" i="10"/>
  <c r="D84" i="10"/>
  <c r="D83" i="10" s="1"/>
  <c r="D65" i="10"/>
  <c r="D64" i="10" s="1"/>
  <c r="D46" i="10"/>
  <c r="D45" i="10" s="1"/>
  <c r="D26" i="10"/>
  <c r="C46" i="10"/>
  <c r="C65" i="10"/>
  <c r="C84" i="10"/>
  <c r="C26" i="10"/>
  <c r="I46" i="10"/>
  <c r="I45" i="10" s="1"/>
  <c r="I84" i="10"/>
  <c r="I83" i="10" s="1"/>
  <c r="I65" i="10"/>
  <c r="I64" i="10" s="1"/>
  <c r="I26" i="10"/>
  <c r="G23" i="10"/>
  <c r="I80" i="10"/>
  <c r="I79" i="10" s="1"/>
  <c r="I42" i="10"/>
  <c r="I41" i="10" s="1"/>
  <c r="I61" i="10"/>
  <c r="I60" i="10" s="1"/>
  <c r="F61" i="10"/>
  <c r="F60" i="10" s="1"/>
  <c r="F42" i="10"/>
  <c r="F41" i="10" s="1"/>
  <c r="F80" i="10"/>
  <c r="F79" i="10" s="1"/>
  <c r="H42" i="10"/>
  <c r="H41" i="10" s="1"/>
  <c r="H61" i="10"/>
  <c r="H60" i="10" s="1"/>
  <c r="H80" i="10"/>
  <c r="H79" i="10" s="1"/>
  <c r="J23" i="10"/>
  <c r="D61" i="10"/>
  <c r="D60" i="10" s="1"/>
  <c r="D42" i="10"/>
  <c r="D41" i="10" s="1"/>
  <c r="D80" i="10"/>
  <c r="D79" i="10" s="1"/>
  <c r="K23" i="10"/>
  <c r="C22" i="10"/>
  <c r="C42" i="10"/>
  <c r="C61" i="10"/>
  <c r="C80" i="10"/>
  <c r="E61" i="10"/>
  <c r="E60" i="10" s="1"/>
  <c r="E42" i="10"/>
  <c r="E41" i="10" s="1"/>
  <c r="E80" i="10"/>
  <c r="E79" i="10" s="1"/>
  <c r="M28" i="1"/>
  <c r="D61" i="1"/>
  <c r="Q30" i="1"/>
  <c r="Q58" i="1"/>
  <c r="D32" i="1"/>
  <c r="D33" i="1" s="1"/>
  <c r="E60" i="1"/>
  <c r="L80" i="10" l="1"/>
  <c r="L79" i="10" s="1"/>
  <c r="L61" i="10"/>
  <c r="L60" i="10" s="1"/>
  <c r="L42" i="10"/>
  <c r="L41" i="10" s="1"/>
  <c r="N84" i="10"/>
  <c r="N83" i="10" s="1"/>
  <c r="N65" i="10"/>
  <c r="N64" i="10" s="1"/>
  <c r="N46" i="10"/>
  <c r="N45" i="10" s="1"/>
  <c r="N26" i="10"/>
  <c r="L84" i="10"/>
  <c r="L83" i="10" s="1"/>
  <c r="L65" i="10"/>
  <c r="L64" i="10" s="1"/>
  <c r="L46" i="10"/>
  <c r="L45" i="10" s="1"/>
  <c r="L26" i="10"/>
  <c r="C83" i="10"/>
  <c r="C64" i="10"/>
  <c r="C45" i="10"/>
  <c r="J65" i="10"/>
  <c r="J64" i="10" s="1"/>
  <c r="J46" i="10"/>
  <c r="J45" i="10" s="1"/>
  <c r="J84" i="10"/>
  <c r="J83" i="10" s="1"/>
  <c r="J26" i="10"/>
  <c r="C79" i="10"/>
  <c r="C60" i="10"/>
  <c r="J80" i="10"/>
  <c r="J79" i="10" s="1"/>
  <c r="J42" i="10"/>
  <c r="J41" i="10" s="1"/>
  <c r="J61" i="10"/>
  <c r="J60" i="10" s="1"/>
  <c r="C41" i="10"/>
  <c r="K42" i="10"/>
  <c r="K41" i="10" s="1"/>
  <c r="K80" i="10"/>
  <c r="K79" i="10" s="1"/>
  <c r="K61" i="10"/>
  <c r="K60" i="10" s="1"/>
  <c r="G61" i="10"/>
  <c r="G60" i="10" s="1"/>
  <c r="G42" i="10"/>
  <c r="G41" i="10" s="1"/>
  <c r="G80" i="10"/>
  <c r="G79" i="10" s="1"/>
  <c r="O79" i="10" s="1"/>
  <c r="D34" i="1"/>
  <c r="E32" i="1" s="1"/>
  <c r="E33" i="1" s="1"/>
  <c r="E62" i="1"/>
  <c r="E61" i="1"/>
  <c r="O26" i="10" l="1"/>
  <c r="D64" i="1"/>
  <c r="O41" i="10"/>
  <c r="O46" i="10"/>
  <c r="O45" i="10"/>
  <c r="O64" i="10"/>
  <c r="O84" i="10"/>
  <c r="O65" i="10"/>
  <c r="O83" i="10"/>
  <c r="O60" i="10"/>
  <c r="O61" i="10"/>
  <c r="O42" i="10"/>
  <c r="O80" i="10"/>
  <c r="E34" i="1"/>
  <c r="F32" i="1" s="1"/>
  <c r="F33" i="1" s="1"/>
  <c r="F60" i="1"/>
  <c r="F62" i="1" s="1"/>
  <c r="E64" i="1" l="1"/>
  <c r="F34" i="1"/>
  <c r="G60" i="1"/>
  <c r="G61" i="1" s="1"/>
  <c r="G32" i="1"/>
  <c r="G33" i="1" s="1"/>
  <c r="F64" i="1"/>
  <c r="F61" i="1"/>
  <c r="Q60" i="1"/>
  <c r="Q32" i="1"/>
  <c r="Q33" i="1" s="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O60" i="1" s="1"/>
  <c r="M32" i="1"/>
  <c r="M33" i="1" s="1"/>
  <c r="L64" i="1"/>
  <c r="M34" i="1" l="1"/>
  <c r="M64" i="1" s="1"/>
  <c r="O61" i="1"/>
  <c r="O62" i="1" l="1"/>
  <c r="N32" i="1"/>
  <c r="N33" i="1" s="1"/>
  <c r="N34" i="1" l="1"/>
  <c r="N64" i="1" s="1"/>
  <c r="O32" i="1" l="1"/>
  <c r="O33" i="1" s="1"/>
  <c r="O34" i="1" l="1"/>
  <c r="O64" i="1" s="1"/>
  <c r="U18" i="2" l="1"/>
  <c r="U18" i="1" l="1"/>
  <c r="F68" i="3" l="1"/>
  <c r="F190" i="3" l="1"/>
  <c r="F80" i="3" l="1"/>
  <c r="F162" i="3" l="1"/>
  <c r="F166" i="3"/>
  <c r="F167" i="3" l="1"/>
  <c r="F199" i="3" l="1"/>
  <c r="F195" i="3"/>
  <c r="F186" i="3"/>
  <c r="F191" i="3" s="1"/>
  <c r="F181" i="3"/>
  <c r="F177" i="3"/>
  <c r="F157" i="3"/>
  <c r="F153" i="3"/>
  <c r="F89" i="3"/>
  <c r="F102" i="3" l="1"/>
  <c r="F36" i="3"/>
  <c r="F45" i="3"/>
  <c r="F158" i="3"/>
  <c r="F168" i="3" s="1"/>
  <c r="F23" i="3"/>
  <c r="F182" i="3"/>
  <c r="F59" i="3"/>
  <c r="F14" i="3"/>
  <c r="T18" i="1" l="1"/>
  <c r="O51" i="2" l="1"/>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O25" i="2"/>
  <c r="N25" i="2"/>
  <c r="N26" i="2" s="1"/>
  <c r="M25" i="2"/>
  <c r="M26" i="2" s="1"/>
  <c r="L25" i="2"/>
  <c r="K25" i="2"/>
  <c r="K26" i="2" s="1"/>
  <c r="J25" i="2"/>
  <c r="J26" i="2" s="1"/>
  <c r="I25" i="2"/>
  <c r="I26" i="2" s="1"/>
  <c r="H25" i="2"/>
  <c r="G25" i="2"/>
  <c r="G26" i="2" s="1"/>
  <c r="F25" i="2"/>
  <c r="F26" i="2" s="1"/>
  <c r="E25" i="2"/>
  <c r="E26" i="2" s="1"/>
  <c r="D25" i="2"/>
  <c r="N20" i="2"/>
  <c r="M20" i="2"/>
  <c r="L20" i="2"/>
  <c r="L27"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K23" i="11" l="1"/>
  <c r="E27" i="2"/>
  <c r="D53" i="2"/>
  <c r="C27" i="11" s="1"/>
  <c r="K27" i="2"/>
  <c r="H27" i="2"/>
  <c r="F27" i="2"/>
  <c r="G27" i="2"/>
  <c r="J27" i="2"/>
  <c r="M27" i="2"/>
  <c r="N27" i="2"/>
  <c r="O27" i="2"/>
  <c r="U20" i="1"/>
  <c r="I27" i="2"/>
  <c r="S20" i="2"/>
  <c r="S19" i="2" s="1"/>
  <c r="Q25" i="2"/>
  <c r="Q26" i="2" s="1"/>
  <c r="E53" i="2"/>
  <c r="D27" i="11" s="1"/>
  <c r="T46" i="2"/>
  <c r="T45" i="2" s="1"/>
  <c r="T20" i="2"/>
  <c r="T19" i="2" s="1"/>
  <c r="N53" i="2"/>
  <c r="D26" i="2"/>
  <c r="L53" i="2"/>
  <c r="K27" i="11" s="1"/>
  <c r="K53" i="2"/>
  <c r="J27" i="11" s="1"/>
  <c r="F53" i="2"/>
  <c r="E27" i="11" s="1"/>
  <c r="Q51" i="2"/>
  <c r="Q52" i="2" s="1"/>
  <c r="D27" i="2"/>
  <c r="Q20" i="2"/>
  <c r="Q19" i="2" s="1"/>
  <c r="U46" i="2"/>
  <c r="U45" i="2" s="1"/>
  <c r="Q46" i="2"/>
  <c r="Q45" i="2" s="1"/>
  <c r="S51" i="2"/>
  <c r="S52" i="2" s="1"/>
  <c r="J52" i="2"/>
  <c r="J53" i="2"/>
  <c r="I27" i="11" s="1"/>
  <c r="K52" i="2"/>
  <c r="H26" i="2"/>
  <c r="R46" i="2"/>
  <c r="R45" i="2" s="1"/>
  <c r="M53" i="2"/>
  <c r="M52" i="2"/>
  <c r="G53" i="2"/>
  <c r="F27" i="11" s="1"/>
  <c r="R48" i="1"/>
  <c r="R47" i="1" s="1"/>
  <c r="R20" i="1"/>
  <c r="R19" i="1" s="1"/>
  <c r="O53" i="2"/>
  <c r="T51" i="2"/>
  <c r="T52" i="2" s="1"/>
  <c r="O26" i="2"/>
  <c r="T25" i="2"/>
  <c r="T26" i="2" s="1"/>
  <c r="U51" i="2"/>
  <c r="U52" i="2" s="1"/>
  <c r="S46" i="2"/>
  <c r="S45" i="2" s="1"/>
  <c r="L26" i="2"/>
  <c r="S25" i="2"/>
  <c r="S26" i="2" s="1"/>
  <c r="U20" i="2"/>
  <c r="U19" i="2" s="1"/>
  <c r="S20" i="1"/>
  <c r="S19" i="1" s="1"/>
  <c r="R51" i="2"/>
  <c r="R52" i="2" s="1"/>
  <c r="I53" i="2"/>
  <c r="H27" i="11" s="1"/>
  <c r="H53" i="2"/>
  <c r="G27" i="11" s="1"/>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E84" i="11" l="1"/>
  <c r="E83" i="11" s="1"/>
  <c r="E46" i="11"/>
  <c r="E45" i="11" s="1"/>
  <c r="E65" i="11"/>
  <c r="E64" i="11" s="1"/>
  <c r="E26" i="11"/>
  <c r="J65" i="11"/>
  <c r="J64" i="11" s="1"/>
  <c r="J46" i="11"/>
  <c r="J45" i="11" s="1"/>
  <c r="J84" i="11"/>
  <c r="J83" i="11" s="1"/>
  <c r="J26" i="11"/>
  <c r="H65" i="11"/>
  <c r="H64" i="11" s="1"/>
  <c r="H46" i="11"/>
  <c r="H45" i="11" s="1"/>
  <c r="H84" i="11"/>
  <c r="H83" i="11" s="1"/>
  <c r="H26" i="11"/>
  <c r="K46" i="11"/>
  <c r="K45" i="11" s="1"/>
  <c r="K84" i="11"/>
  <c r="K83" i="11" s="1"/>
  <c r="K65" i="11"/>
  <c r="K64" i="11" s="1"/>
  <c r="K26" i="11"/>
  <c r="D65" i="11"/>
  <c r="D64" i="11" s="1"/>
  <c r="D46" i="11"/>
  <c r="D45" i="11" s="1"/>
  <c r="D84" i="11"/>
  <c r="D83" i="11" s="1"/>
  <c r="D26" i="11"/>
  <c r="G65" i="11"/>
  <c r="G64" i="11" s="1"/>
  <c r="G46" i="11"/>
  <c r="G45" i="11" s="1"/>
  <c r="G84" i="11"/>
  <c r="G83" i="11" s="1"/>
  <c r="G26" i="11"/>
  <c r="C46" i="11"/>
  <c r="C45" i="11" s="1"/>
  <c r="C84" i="11"/>
  <c r="C83" i="11" s="1"/>
  <c r="C65" i="11"/>
  <c r="C64" i="11" s="1"/>
  <c r="C26" i="11"/>
  <c r="M27" i="11"/>
  <c r="N27" i="11"/>
  <c r="F84" i="11"/>
  <c r="F83" i="11" s="1"/>
  <c r="F65" i="11"/>
  <c r="F64" i="11" s="1"/>
  <c r="F46" i="11"/>
  <c r="F45" i="11" s="1"/>
  <c r="F26" i="11"/>
  <c r="I46" i="11"/>
  <c r="I45" i="11" s="1"/>
  <c r="I65" i="11"/>
  <c r="I64" i="11" s="1"/>
  <c r="I84" i="11"/>
  <c r="I83" i="11" s="1"/>
  <c r="I26" i="11"/>
  <c r="E23" i="11"/>
  <c r="F23" i="11"/>
  <c r="H23" i="11"/>
  <c r="R28" i="2"/>
  <c r="G23" i="11"/>
  <c r="J23" i="11"/>
  <c r="N23" i="11"/>
  <c r="M23" i="11"/>
  <c r="D23" i="11"/>
  <c r="C23" i="11"/>
  <c r="L23" i="11"/>
  <c r="K80" i="11"/>
  <c r="K79" i="11" s="1"/>
  <c r="K42" i="11"/>
  <c r="K41" i="11" s="1"/>
  <c r="K61" i="11"/>
  <c r="K60" i="11" s="1"/>
  <c r="K22" i="11"/>
  <c r="I23" i="11"/>
  <c r="L27" i="11"/>
  <c r="R54" i="2"/>
  <c r="T57" i="1"/>
  <c r="T58" i="1"/>
  <c r="Q53" i="2"/>
  <c r="R27" i="2"/>
  <c r="S53" i="2"/>
  <c r="S27" i="2"/>
  <c r="T53" i="2"/>
  <c r="D56" i="2"/>
  <c r="D58" i="2" s="1"/>
  <c r="Q27" i="2"/>
  <c r="T29" i="1"/>
  <c r="T27" i="2"/>
  <c r="U27" i="2"/>
  <c r="U53" i="2"/>
  <c r="R53" i="2"/>
  <c r="U19" i="1"/>
  <c r="U55" i="1"/>
  <c r="U56" i="1" s="1"/>
  <c r="S29" i="1"/>
  <c r="T30" i="1"/>
  <c r="U48" i="1"/>
  <c r="U47" i="1" s="1"/>
  <c r="R57" i="1"/>
  <c r="S57" i="1"/>
  <c r="R29" i="1"/>
  <c r="M84" i="11" l="1"/>
  <c r="M83" i="11" s="1"/>
  <c r="M65" i="11"/>
  <c r="M64" i="11" s="1"/>
  <c r="M46" i="11"/>
  <c r="M45" i="11" s="1"/>
  <c r="M26" i="11"/>
  <c r="N84" i="11"/>
  <c r="N83" i="11" s="1"/>
  <c r="N65" i="11"/>
  <c r="N64" i="11" s="1"/>
  <c r="N46" i="11"/>
  <c r="N45" i="11" s="1"/>
  <c r="N26" i="11"/>
  <c r="T54" i="2"/>
  <c r="Q28" i="2"/>
  <c r="H61" i="11"/>
  <c r="H60" i="11" s="1"/>
  <c r="H80" i="11"/>
  <c r="H79" i="11" s="1"/>
  <c r="H42" i="11"/>
  <c r="H41" i="11" s="1"/>
  <c r="H22" i="11"/>
  <c r="D80" i="11"/>
  <c r="D79" i="11" s="1"/>
  <c r="D42" i="11"/>
  <c r="D41" i="11" s="1"/>
  <c r="D61" i="11"/>
  <c r="D60" i="11" s="1"/>
  <c r="D22" i="11"/>
  <c r="G61" i="11"/>
  <c r="G60" i="11" s="1"/>
  <c r="G80" i="11"/>
  <c r="G79" i="11" s="1"/>
  <c r="G42" i="11"/>
  <c r="G41" i="11" s="1"/>
  <c r="G22" i="11"/>
  <c r="M61" i="11"/>
  <c r="M60" i="11" s="1"/>
  <c r="M80" i="11"/>
  <c r="M79" i="11" s="1"/>
  <c r="M42" i="11"/>
  <c r="M41" i="11" s="1"/>
  <c r="M22" i="11"/>
  <c r="L80" i="11"/>
  <c r="L79" i="11" s="1"/>
  <c r="L42" i="11"/>
  <c r="L41" i="11" s="1"/>
  <c r="L61" i="11"/>
  <c r="L60" i="11" s="1"/>
  <c r="L22" i="11"/>
  <c r="N61" i="11"/>
  <c r="N60" i="11" s="1"/>
  <c r="N80" i="11"/>
  <c r="N79" i="11" s="1"/>
  <c r="N42" i="11"/>
  <c r="N41" i="11" s="1"/>
  <c r="N22" i="11"/>
  <c r="F61" i="11"/>
  <c r="F60" i="11" s="1"/>
  <c r="F80" i="11"/>
  <c r="F79" i="11" s="1"/>
  <c r="F42" i="11"/>
  <c r="F41" i="11" s="1"/>
  <c r="F22" i="11"/>
  <c r="I80" i="11"/>
  <c r="I79" i="11" s="1"/>
  <c r="I42" i="11"/>
  <c r="I41" i="11" s="1"/>
  <c r="I61" i="11"/>
  <c r="I60" i="11" s="1"/>
  <c r="I22" i="11"/>
  <c r="C80" i="11"/>
  <c r="C42" i="11"/>
  <c r="C61" i="11"/>
  <c r="C22" i="11"/>
  <c r="O23" i="11"/>
  <c r="J80" i="11"/>
  <c r="J79" i="11" s="1"/>
  <c r="J42" i="11"/>
  <c r="J41" i="11" s="1"/>
  <c r="J61" i="11"/>
  <c r="J60" i="11" s="1"/>
  <c r="J22" i="11"/>
  <c r="E61" i="11"/>
  <c r="E60" i="11" s="1"/>
  <c r="E80" i="11"/>
  <c r="E79" i="11" s="1"/>
  <c r="E42" i="11"/>
  <c r="E41" i="11" s="1"/>
  <c r="E22" i="11"/>
  <c r="L65" i="11"/>
  <c r="L84" i="11"/>
  <c r="L46" i="11"/>
  <c r="L26" i="11"/>
  <c r="O27" i="11"/>
  <c r="Q54" i="2"/>
  <c r="S54" i="2"/>
  <c r="T28" i="2"/>
  <c r="S28" i="2"/>
  <c r="U54" i="2"/>
  <c r="U28" i="2"/>
  <c r="E56" i="2"/>
  <c r="E57" i="2" s="1"/>
  <c r="D57" i="2"/>
  <c r="D30" i="2"/>
  <c r="S58" i="1"/>
  <c r="R58" i="1"/>
  <c r="U58" i="1"/>
  <c r="U30" i="1"/>
  <c r="U57" i="1"/>
  <c r="U29" i="1"/>
  <c r="R30" i="1"/>
  <c r="S30" i="1"/>
  <c r="O26" i="11" l="1"/>
  <c r="O22" i="11"/>
  <c r="O42" i="11"/>
  <c r="C41" i="11"/>
  <c r="O41" i="11" s="1"/>
  <c r="C60" i="11"/>
  <c r="O60" i="11" s="1"/>
  <c r="O61" i="11"/>
  <c r="O80" i="11"/>
  <c r="C79" i="11"/>
  <c r="O79" i="11" s="1"/>
  <c r="L45" i="11"/>
  <c r="O45" i="11" s="1"/>
  <c r="O46" i="11"/>
  <c r="L83" i="11"/>
  <c r="O83" i="11" s="1"/>
  <c r="O84" i="11"/>
  <c r="L64" i="11"/>
  <c r="O64" i="11" s="1"/>
  <c r="O65" i="11"/>
  <c r="D32" i="2"/>
  <c r="D31" i="2"/>
  <c r="E58" i="2"/>
  <c r="F56" i="2" l="1"/>
  <c r="D60" i="2"/>
  <c r="E30" i="2"/>
  <c r="F57" i="2" l="1"/>
  <c r="Q56" i="2"/>
  <c r="Q57" i="2" s="1"/>
  <c r="E31" i="2"/>
  <c r="E32" i="2"/>
  <c r="E60" i="2" s="1"/>
  <c r="F58" i="2"/>
  <c r="F30" i="2" l="1"/>
  <c r="F31" i="2" s="1"/>
  <c r="G56"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V46" i="7" s="1"/>
  <c r="O58" i="2"/>
  <c r="L60" i="2"/>
  <c r="M30" i="2"/>
  <c r="S32" i="1"/>
  <c r="S33" i="1" s="1"/>
  <c r="M32" i="2" l="1"/>
  <c r="M31" i="2"/>
  <c r="M60" i="2" l="1"/>
  <c r="N30" i="2"/>
  <c r="N32" i="2" s="1"/>
  <c r="U60" i="1"/>
  <c r="T60" i="1"/>
  <c r="N31" i="2" l="1"/>
  <c r="N60" i="2"/>
  <c r="O30" i="2"/>
  <c r="U30" i="2" s="1"/>
  <c r="U31" i="2" s="1"/>
  <c r="V29" i="7" s="1"/>
  <c r="T63" i="1"/>
  <c r="T61" i="1"/>
  <c r="U63" i="1"/>
  <c r="U61" i="1"/>
  <c r="U46" i="7" s="1"/>
  <c r="T30" i="2" l="1"/>
  <c r="T31" i="2" s="1"/>
  <c r="O32" i="2"/>
  <c r="O60" i="2" s="1"/>
  <c r="O31" i="2"/>
  <c r="U32" i="1"/>
  <c r="U33" i="1" s="1"/>
  <c r="U29" i="7" s="1"/>
  <c r="T32" i="1"/>
  <c r="T33" i="1" s="1"/>
  <c r="F101" i="7" l="1"/>
  <c r="D102" i="7" l="1"/>
  <c r="C12" i="7" l="1"/>
  <c r="H12" i="7" s="1"/>
  <c r="D134" i="7"/>
  <c r="F134" i="7" s="1"/>
  <c r="F102" i="7"/>
  <c r="C13" i="7" l="1"/>
  <c r="C103" i="7" l="1"/>
  <c r="D103" i="7" s="1"/>
  <c r="F103" i="7" s="1"/>
  <c r="J51" i="3" s="1"/>
  <c r="C135" i="7"/>
  <c r="C19" i="7"/>
  <c r="H19" i="7" s="1"/>
  <c r="H13" i="7"/>
  <c r="D135" i="7" l="1"/>
  <c r="F135" i="7" s="1"/>
  <c r="I51" i="3"/>
  <c r="C14" i="7"/>
  <c r="H14" i="7" s="1"/>
  <c r="D104" i="7"/>
  <c r="I52" i="3" l="1"/>
  <c r="D136" i="7"/>
  <c r="J72" i="3"/>
  <c r="F104" i="7"/>
  <c r="J52" i="3" s="1"/>
  <c r="F136" i="7" l="1"/>
  <c r="I73" i="3"/>
  <c r="C15" i="7"/>
  <c r="H15" i="7" s="1"/>
  <c r="D105" i="7"/>
  <c r="I53" i="3" l="1"/>
  <c r="D137" i="7"/>
  <c r="J73" i="3"/>
  <c r="F105" i="7"/>
  <c r="J53" i="3" s="1"/>
  <c r="F137" i="7" l="1"/>
  <c r="J74" i="3" s="1"/>
  <c r="I74" i="3"/>
  <c r="C16" i="7"/>
  <c r="H16" i="7" l="1"/>
  <c r="C20" i="7"/>
  <c r="H20" i="7" s="1"/>
  <c r="C21" i="7"/>
  <c r="H21" i="7" s="1"/>
  <c r="O27" i="10" l="1"/>
  <c r="H22" i="10"/>
  <c r="I22" i="10"/>
  <c r="D22" i="10"/>
  <c r="K22" i="10"/>
  <c r="E22" i="10"/>
  <c r="G22" i="10"/>
  <c r="L22" i="10"/>
  <c r="M22" i="10"/>
  <c r="J22" i="10"/>
  <c r="F22" i="10"/>
  <c r="N22" i="10"/>
  <c r="O22" i="10" l="1"/>
  <c r="O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8"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58"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6"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76"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<sst xmlns="http://schemas.openxmlformats.org/spreadsheetml/2006/main" count="1141" uniqueCount="308">
  <si>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</si>
  <si>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</si>
  <si>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</si>
  <si>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</si>
  <si>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</si>
  <si>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</si>
  <si>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</si>
  <si>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</si>
  <si>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</si>
  <si>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</si>
  <si>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</si>
  <si>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</si>
  <si>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</si>
  <si>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</si>
  <si>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</si>
  <si>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</si>
  <si>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</si>
  <si>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</si>
  <si>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</si>
  <si>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</si>
  <si>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</si>
  <si>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</si>
  <si>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</si>
  <si>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</si>
  <si>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</si>
  <si>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</si>
  <si>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</si>
  <si>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</si>
  <si>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</si>
  <si>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</si>
  <si>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</si>
  <si>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</si>
  <si>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</si>
  <si>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</si>
  <si>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</si>
  <si>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</si>
  <si>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</si>
  <si>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</si>
  <si>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</si>
  <si>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</si>
  <si>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</si>
  <si>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</si>
  <si>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</si>
  <si>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</si>
  <si>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</si>
  <si>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</si>
  <si>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</si>
  <si>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</si>
  <si>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</si>
  <si>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</si>
  <si>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</si>
  <si>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</si>
  <si>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</si>
  <si>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</si>
  <si>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</si>
  <si>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</si>
  <si>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</si>
  <si>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</si>
  <si>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</si>
  <si>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</si>
  <si>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</si>
  <si>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</si>
  <si>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</si>
  <si>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</si>
  <si>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</si>
  <si>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</si>
  <si>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</si>
  <si>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</si>
  <si>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</si>
  <si>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</si>
  <si>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</si>
  <si>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</si>
  <si>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</si>
  <si>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</si>
  <si>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</si>
  <si>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</si>
  <si>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</si>
  <si>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</si>
  <si>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</si>
  <si>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</si>
  <si>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</si>
  <si>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</si>
  <si>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</si>
  <si>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</si>
  <si>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</si>
  <si>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</si>
  <si>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</si>
  <si>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</si>
  <si>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</si>
  <si>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</si>
  <si>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</si>
  <si>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</si>
  <si>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</si>
  <si>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</si>
  <si>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</si>
  <si>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</si>
  <si>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</si>
  <si>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</si>
  <si>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</si>
  <si>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</si>
  <si>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</si>
  <si>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</si>
  <si>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</si>
  <si>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</si>
  <si>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</si>
  <si>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</si>
  <si>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</si>
  <si>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</si>
  <si>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</si>
  <si>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</si>
  <si>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</si>
  <si>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</si>
  <si>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</si>
  <si>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</si>
  <si>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</si>
  <si>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</si>
  <si>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</si>
  <si>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</si>
  <si>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</si>
  <si>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</si>
  <si>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</si>
  <si>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</si>
  <si>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</si>
  <si>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</si>
  <si>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</si>
  <si>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</si>
  <si>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</si>
  <si>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</si>
  <si>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</si>
  <si>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</si>
  <si>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</si>
  <si>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</si>
  <si>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</si>
  <si>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</si>
  <si>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</si>
  <si>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</si>
  <si>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</si>
  <si>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</si>
  <si>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</si>
  <si>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</si>
  <si>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</si>
  <si>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</si>
  <si>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</si>
  <si>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</si>
  <si>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</si>
  <si>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</si>
  <si>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</si>
  <si>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</si>
  <si>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</si>
  <si>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</si>
  <si>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</si>
  <si>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</si>
  <si>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</si>
  <si>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</si>
  <si>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</si>
  <si>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</si>
  <si>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</si>
  <si>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</si>
  <si>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</si>
  <si>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</si>
  <si>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</si>
  <si>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</si>
  <si>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</si>
  <si>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</si>
  <si>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</si>
  <si>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</si>
  <si>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</si>
  <si>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</si>
  <si>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</si>
  <si>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</si>
  <si>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</si>
  <si>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</si>
  <si>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</si>
  <si>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YTD Weighted</t>
  </si>
  <si>
    <t>Check to Int Recon Tab</t>
  </si>
  <si>
    <t>Average Customer Adjustment</t>
  </si>
  <si>
    <t>*</t>
  </si>
  <si>
    <t>Provision for Rate Refund - December 2020 Estimate</t>
  </si>
  <si>
    <t>Check to Deferral</t>
  </si>
  <si>
    <t>A</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</si>
  <si>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</si>
  <si>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</si>
  <si>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</si>
  <si>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</si>
  <si>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</si>
  <si>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</si>
  <si>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</si>
  <si>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</si>
  <si>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</si>
  <si>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</si>
  <si>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2020 Deferred Revenue Pending Recovery</t>
  </si>
  <si>
    <t>B</t>
  </si>
  <si>
    <t>New Customers Excluded from Decoupling Mechanism</t>
  </si>
  <si>
    <t>Description</t>
  </si>
  <si>
    <t>Average</t>
  </si>
  <si>
    <t>No. of Excluded Customer Bills - Residential</t>
  </si>
  <si>
    <t>New Customer Usage -
 Residential</t>
  </si>
  <si>
    <t xml:space="preserve">New Customer Use per Customer - Residential </t>
  </si>
  <si>
    <t>No. of Excluded Customer Bills - Non-Residential</t>
  </si>
  <si>
    <t>New Customer Usage - 
Non-Residential</t>
  </si>
  <si>
    <t xml:space="preserve">New Customer Use per Customer - Non-Residential </t>
  </si>
  <si>
    <t>Base Rate Revenue from Excluded Customers - Residential</t>
  </si>
  <si>
    <t>Base Rate Revenue from Excluded Customers - Non-Residential</t>
  </si>
  <si>
    <t>Total New Customer Revenue</t>
  </si>
  <si>
    <t>Variable Power Costs</t>
  </si>
  <si>
    <t>Depreciation Expense (1)</t>
  </si>
  <si>
    <t>Property Tax Expense (1)</t>
  </si>
  <si>
    <t>Customer Accounting Cost (2)</t>
  </si>
  <si>
    <t>Customer Service Cost (3)</t>
  </si>
  <si>
    <t>Excise Tax</t>
  </si>
  <si>
    <t>Uncollectibles</t>
  </si>
  <si>
    <t>Commission Fees</t>
  </si>
  <si>
    <t>Total New Customer Expense</t>
  </si>
  <si>
    <t>Operating Income Before FIT</t>
  </si>
  <si>
    <t>Income Tax</t>
  </si>
  <si>
    <t>Tax Benefit of Interest</t>
  </si>
  <si>
    <t>Operating Income</t>
  </si>
  <si>
    <t>Plant Investment Associated with New Customers Since Test Year (1)</t>
  </si>
  <si>
    <t>Accumulated Depreciation (1)</t>
  </si>
  <si>
    <t>Accumulated Deferred Taxes (1)</t>
  </si>
  <si>
    <t>Rate Base</t>
  </si>
  <si>
    <t>Allowed ROR</t>
  </si>
  <si>
    <t>Weighted Cost of Debt</t>
  </si>
  <si>
    <t>Return Requirement</t>
  </si>
  <si>
    <t>NOI Sufficiency (Deficiency)</t>
  </si>
  <si>
    <t>Retail Revenue Credit Rate</t>
  </si>
  <si>
    <t>Excise Tax Rate</t>
  </si>
  <si>
    <t>Uncollectible Expense Rate</t>
  </si>
  <si>
    <t>Commission Fee Rate</t>
  </si>
  <si>
    <t>Federal Tax Rate</t>
  </si>
  <si>
    <t>Avg Cust Acctg Cost per Bill (2)</t>
  </si>
  <si>
    <t>Avg Cust Service Cost per Bill (3)</t>
  </si>
  <si>
    <t>Note (1)</t>
  </si>
  <si>
    <t>All plant related new customer costs are derived from "New Revenue - Growth" project category transfers to plant cumulative additions since the test year.</t>
  </si>
  <si>
    <t>Note (2)</t>
  </si>
  <si>
    <t>Reflects 12ME Customer Accounting Expenses per Bill (excludes Uncollectible Accounts Expense).</t>
  </si>
  <si>
    <t>Note (3)</t>
  </si>
  <si>
    <t>Reflects 12ME Customer Service and Info Expenses per Bill (excludes Public Purpose Tariff Rider and Limited Income Tax Refund Program expense offsets).</t>
  </si>
  <si>
    <t>New Customer Usage - 
Residential</t>
  </si>
  <si>
    <t>Variable Gas Costs</t>
  </si>
  <si>
    <t>Gas Cost Excl from Base Rate Rev</t>
  </si>
  <si>
    <t>Avg Cust Acctg Cost per Bill (1)</t>
  </si>
  <si>
    <t>Avg Cust Service Cost per Bill (2)</t>
  </si>
  <si>
    <t>The Company will maintain and present data and a brief explanatory narrative for 30-, 20-, 15-, and 10-year moving averages for purposes of decoupling in its annual decoupling report.</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</si>
  <si>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</si>
  <si>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</si>
  <si>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Actual Degree Days Heating</t>
  </si>
  <si>
    <t>Actual Degree Days Cooling</t>
  </si>
  <si>
    <t>30-Year Weather Assumption</t>
  </si>
  <si>
    <t>30-Year Normal DDH</t>
  </si>
  <si>
    <t>30-Year Normal DDC</t>
  </si>
  <si>
    <t>Normal - Actual DDH</t>
  </si>
  <si>
    <t>Normal - Actual DDC</t>
  </si>
  <si>
    <t>30-Year Residential Usage Adjustment</t>
  </si>
  <si>
    <t>30-Year Non-Residential Usage Adjustment</t>
  </si>
  <si>
    <t>Deferred Decoupled Revenue</t>
  </si>
  <si>
    <t>Residential Weather Component</t>
  </si>
  <si>
    <t>Residential Non-Weather</t>
  </si>
  <si>
    <t>Total Residential Decoupling Deferral</t>
  </si>
  <si>
    <t>Non-Residential Weather Component</t>
  </si>
  <si>
    <t>Non-Residential Non-Weather</t>
  </si>
  <si>
    <t>Total Non-Residential Decoupling Deferral</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</si>
  <si>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</si>
  <si>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</si>
  <si>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</si>
  <si>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</si>
  <si>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</si>
  <si>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</si>
  <si>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</si>
  <si>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</si>
  <si>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</si>
  <si>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</si>
  <si>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</si>
  <si>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</si>
  <si>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</si>
  <si>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</si>
  <si>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</si>
  <si>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HDD</t>
  </si>
  <si>
    <t>CDD</t>
  </si>
  <si>
    <t>Res Adj</t>
  </si>
  <si>
    <t>NR Adj</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</si>
  <si>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2022 surcharge may not be fully recovered by 12/31/2024 and therefore would not be recognizable as income for financial reporting purposes in 2022.   The income statement impact of any contra deferral entries will be eliminated for Commission Basis results reporting.</t>
    </r>
  </si>
  <si>
    <t>2022 Total</t>
  </si>
  <si>
    <t>Decoupling Mechanism - UE-200900 Base Effective 10/1/2021 &amp; UE-220053 Base Effective 12/21/2022</t>
  </si>
  <si>
    <t>Decoupling Mechanism -UG-200901 Base effective 10/1/2021 &amp; UG-220054 Base effective 12/21/2022</t>
  </si>
  <si>
    <t>Development of WA Natural Gas Deferrals (Calendar Year 2022)</t>
  </si>
  <si>
    <t>Development of WA Electric Deferrals (Calendar Year 2022)</t>
  </si>
  <si>
    <t>*Prorated for 12/21/22 Effective date of GRC</t>
  </si>
  <si>
    <r>
      <rPr>
        <b/>
        <sz val="10"/>
        <color theme="5"/>
        <rFont val="Times New Roman"/>
        <family val="1"/>
      </rPr>
      <t>B</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$24,216.</t>
    </r>
  </si>
  <si>
    <r>
      <rPr>
        <b/>
        <sz val="10"/>
        <color theme="5"/>
        <rFont val="Times New Roman"/>
        <family val="1"/>
      </rPr>
      <t>A</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$81,997.</t>
    </r>
  </si>
  <si>
    <r>
      <rPr>
        <b/>
        <sz val="10"/>
        <color theme="5"/>
        <rFont val="Times New Roman"/>
        <family val="1"/>
      </rPr>
      <t>A</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$135,984.</t>
    </r>
  </si>
  <si>
    <r>
      <rPr>
        <b/>
        <sz val="10"/>
        <color theme="5"/>
        <rFont val="Times New Roman"/>
        <family val="1"/>
      </rPr>
      <t>B</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$55,402.</t>
    </r>
  </si>
  <si>
    <t>TRANSFER PRIOR YEAR BALANCES APPROVED FOR RECOVERY TO SURCHARGE/REBATE ACCOUNTS OCT 1.</t>
  </si>
  <si>
    <t>202210</t>
  </si>
  <si>
    <t>202211</t>
  </si>
  <si>
    <t>202212</t>
  </si>
  <si>
    <t>*Includes effect of correcting entry booked with January 2023 month end close</t>
  </si>
  <si>
    <t>Variance due to correcting entry booked with January 2023 close. Balance is correct as of 1/31/23 and the variance is not deemed material to correct effective 12/31</t>
  </si>
  <si>
    <r>
      <t xml:space="preserve">The data shown below indicates that if 2022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</si>
  <si>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UG-200901 Base effective 10/1/2021 &amp; UG-220054 Base Effective 12/21/2022</t>
  </si>
  <si>
    <t>UE-200900 Base Effective 10/1/2021 &amp; UE-220053 Base Effective 12/21/2022</t>
  </si>
  <si>
    <r>
      <rPr>
        <b/>
        <sz val="11"/>
        <color rgb="FFFF0000"/>
        <rFont val="Calibri"/>
        <family val="2"/>
        <scheme val="minor"/>
      </rPr>
      <t>A</t>
    </r>
    <r>
      <rPr>
        <b/>
        <sz val="11"/>
        <color theme="5"/>
        <rFont val="Calibri"/>
        <family val="2"/>
        <scheme val="minor"/>
      </rPr>
      <t xml:space="preserve"> </t>
    </r>
    <r>
      <rPr>
        <sz val="11"/>
        <color theme="1"/>
        <rFont val="Calibri"/>
        <family val="2"/>
        <scheme val="minor"/>
      </rPr>
      <t>- Variance corrected with Janauary 2023 month end entry</t>
    </r>
  </si>
  <si>
    <t>Per Deferral Tab</t>
  </si>
  <si>
    <t>Check</t>
  </si>
  <si>
    <t>Monthly Activity Per Int Recon Tab</t>
  </si>
  <si>
    <t>Monthly Activity Per Deferral Tab</t>
  </si>
  <si>
    <t>The data shown below indicates that if 2022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and non-residential service would have the highest normalized usage under the 10-year moving average assumption.</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</si>
  <si>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2022.  On an annual basis, Residential electric and natural gas customers usage and decoupled revenues were higher than authorized resulting in net rebate deferral at the end of Q4  and  Non-Residential electric and natural gas customers usage and decoupled revenues were lower than authorized resulting in net surcharge deferral at the end of Q4.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</si>
</sst>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000000000"/>
  </numFmts>
  <fonts count="188">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1"/>
      <color theme="5"/>
      <name val="Calibri"/>
      <family val="2"/>
      <scheme val="minor"/>
    </font>
    <font>
      <b/>
      <sz val="10"/>
      <color theme="5"/>
      <name val="Times New Roman"/>
      <family val="1"/>
    </font>
    <font>
      <b/>
      <sz val="11"/>
      <color rgb="FFFF0000"/>
      <name val="Calibri"/>
      <family val="2"/>
      <scheme val="minor"/>
    </font>
    <font>
      <i/>
      <sz val="10"/>
      <color indexed="8"/>
      <name val="Arial"/>
      <family val="2"/>
    </font>
  </fonts>
  <fills count="11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rgb="FFFFFF00"/>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308">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0" fontId="7" fillId="2" borderId="0" xfId="3" applyFont="1" applyFill="1" applyBorder="1"/>
    <xf numFmtId="166" fontId="7" fillId="2" borderId="0" xfId="3" applyNumberFormat="1" applyFont="1" applyFill="1" applyBorder="1" applyAlignment="1">
      <alignment vertical="center" wrapText="1"/>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4"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5" fontId="181" fillId="2" borderId="0" xfId="3" applyNumberFormat="1" applyFont="1" applyFill="1" applyBorder="1" applyAlignment="1">
      <alignment horizontal="center"/>
    </xf>
    <xf numFmtId="167" fontId="181" fillId="2" borderId="0" xfId="3" applyNumberFormat="1" applyFont="1" applyFill="1" applyAlignment="1">
      <alignment horizontal="center"/>
    </xf>
    <xf numFmtId="167" fontId="181"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5" fontId="181" fillId="2" borderId="0" xfId="3" applyNumberFormat="1" applyFont="1" applyFill="1" applyBorder="1"/>
    <xf numFmtId="167" fontId="181"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0" fontId="0" fillId="0" borderId="0" xfId="0" applyAlignment="1">
      <alignment horizontal="center" wrapText="1"/>
    </xf>
    <xf numFmtId="167" fontId="6" fillId="2" borderId="0" xfId="3" applyNumberFormat="1" applyFont="1" applyFill="1" applyBorder="1"/>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17" fontId="0" fillId="110" borderId="0" xfId="0" applyNumberFormat="1" applyFill="1" applyAlignment="1">
      <alignment horizontal="left"/>
    </xf>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0" fontId="0" fillId="0" borderId="0" xfId="0" applyFill="1" applyAlignment="1">
      <alignment horizontal="center"/>
    </xf>
    <xf numFmtId="0" fontId="0" fillId="0" borderId="0" xfId="0" applyAlignment="1">
      <alignment horizontal="center"/>
    </xf>
    <xf numFmtId="43" fontId="0" fillId="0" borderId="0" xfId="6" applyFont="1" applyFill="1"/>
    <xf numFmtId="43" fontId="0" fillId="0" borderId="0" xfId="0" applyNumberFormat="1" applyFill="1"/>
    <xf numFmtId="0" fontId="0" fillId="0" borderId="0" xfId="0" applyAlignment="1">
      <alignment horizontal="right"/>
    </xf>
    <xf numFmtId="0" fontId="14" fillId="0" borderId="0" xfId="0" applyFont="1" applyAlignment="1">
      <alignment horizontal="center"/>
    </xf>
    <xf numFmtId="0" fontId="30" fillId="0" borderId="0" xfId="0" applyFont="1" applyAlignment="1">
      <alignment horizontal="center"/>
    </xf>
    <xf numFmtId="0" fontId="0" fillId="0" borderId="0" xfId="0" applyAlignment="1">
      <alignment horizontal="center"/>
    </xf>
    <xf numFmtId="167" fontId="3" fillId="2" borderId="0" xfId="3" applyNumberFormat="1" applyFont="1" applyFill="1" applyAlignment="1"/>
    <xf numFmtId="167" fontId="5" fillId="2" borderId="0" xfId="3" applyNumberFormat="1" applyFont="1" applyFill="1" applyAlignment="1">
      <alignment horizontal="center"/>
    </xf>
    <xf numFmtId="167" fontId="0" fillId="2" borderId="0" xfId="0" applyNumberFormat="1" applyFill="1"/>
    <xf numFmtId="0" fontId="30" fillId="0" borderId="51" xfId="0" applyFont="1" applyBorder="1" applyAlignment="1">
      <alignment horizontal="center"/>
    </xf>
    <xf numFmtId="0" fontId="0" fillId="0" borderId="0" xfId="0" applyAlignment="1">
      <alignment wrapText="1"/>
    </xf>
    <xf numFmtId="165" fontId="0" fillId="0" borderId="0" xfId="6" applyNumberFormat="1" applyFont="1" applyAlignment="1">
      <alignment vertical="center" wrapText="1"/>
    </xf>
    <xf numFmtId="165" fontId="0" fillId="0" borderId="0" xfId="0" applyNumberFormat="1" applyAlignment="1">
      <alignment vertical="center"/>
    </xf>
    <xf numFmtId="165" fontId="0" fillId="0" borderId="0" xfId="0" applyNumberFormat="1"/>
    <xf numFmtId="167" fontId="0" fillId="0" borderId="0" xfId="1" applyNumberFormat="1" applyFont="1" applyAlignment="1">
      <alignment vertical="center" wrapText="1"/>
    </xf>
    <xf numFmtId="167" fontId="0" fillId="0" borderId="0" xfId="0" applyNumberFormat="1" applyAlignment="1">
      <alignment vertical="center"/>
    </xf>
    <xf numFmtId="0" fontId="30" fillId="0" borderId="0" xfId="0" applyFont="1" applyAlignment="1">
      <alignment horizontal="center" vertical="center" wrapText="1"/>
    </xf>
    <xf numFmtId="167" fontId="30" fillId="0" borderId="0" xfId="0" applyNumberFormat="1" applyFont="1" applyAlignment="1">
      <alignment vertical="center" wrapText="1"/>
    </xf>
    <xf numFmtId="167" fontId="0" fillId="0" borderId="0" xfId="0" applyNumberFormat="1"/>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0" fillId="0" borderId="0" xfId="0" applyAlignment="1">
      <alignment vertical="center" wrapText="1"/>
    </xf>
    <xf numFmtId="0" fontId="0" fillId="0" borderId="0" xfId="0" applyAlignment="1">
      <alignment vertical="center"/>
    </xf>
    <xf numFmtId="0" fontId="177" fillId="0" borderId="0" xfId="0" applyFont="1"/>
    <xf numFmtId="174" fontId="177" fillId="0" borderId="0" xfId="0" applyNumberFormat="1" applyFont="1"/>
    <xf numFmtId="174" fontId="0" fillId="0" borderId="0" xfId="0" applyNumberFormat="1"/>
    <xf numFmtId="9" fontId="177" fillId="0" borderId="0" xfId="2" applyFont="1"/>
    <xf numFmtId="9" fontId="0" fillId="0" borderId="0" xfId="2" applyFont="1"/>
    <xf numFmtId="167" fontId="0" fillId="0" borderId="0" xfId="1" applyNumberFormat="1" applyFont="1" applyAlignment="1">
      <alignment wrapText="1"/>
    </xf>
    <xf numFmtId="43" fontId="177" fillId="0" borderId="0" xfId="6" applyFont="1"/>
    <xf numFmtId="167" fontId="0" fillId="0" borderId="0" xfId="1" applyNumberFormat="1" applyFont="1"/>
    <xf numFmtId="0" fontId="177" fillId="0" borderId="0" xfId="0" applyFont="1" applyFill="1"/>
    <xf numFmtId="174" fontId="177" fillId="0" borderId="0" xfId="0" applyNumberFormat="1" applyFont="1" applyFill="1"/>
    <xf numFmtId="9" fontId="177" fillId="0" borderId="0" xfId="2" applyFont="1" applyFill="1"/>
    <xf numFmtId="10" fontId="177" fillId="0" borderId="0" xfId="0" applyNumberFormat="1" applyFont="1" applyFill="1"/>
    <xf numFmtId="44" fontId="177" fillId="0" borderId="0" xfId="1" applyFont="1" applyFill="1"/>
    <xf numFmtId="167" fontId="177" fillId="0" borderId="0" xfId="1" applyNumberFormat="1" applyFont="1" applyFill="1" applyAlignment="1">
      <alignment vertical="center" wrapText="1"/>
    </xf>
    <xf numFmtId="167" fontId="177" fillId="0" borderId="0" xfId="1" applyNumberFormat="1" applyFont="1" applyFill="1" applyAlignment="1">
      <alignment wrapText="1"/>
    </xf>
    <xf numFmtId="167" fontId="177" fillId="0" borderId="0" xfId="0" applyNumberFormat="1" applyFont="1" applyFill="1"/>
    <xf numFmtId="167" fontId="0" fillId="0" borderId="0" xfId="0" applyNumberFormat="1" applyFill="1"/>
    <xf numFmtId="167" fontId="0" fillId="0" borderId="0" xfId="1" applyNumberFormat="1" applyFont="1" applyFill="1"/>
    <xf numFmtId="167" fontId="171" fillId="0" borderId="0" xfId="1" applyNumberFormat="1" applyFont="1" applyFill="1"/>
    <xf numFmtId="165" fontId="0" fillId="0" borderId="0" xfId="0" applyNumberFormat="1" applyFill="1"/>
    <xf numFmtId="165" fontId="0" fillId="111"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2" borderId="0" xfId="4" applyNumberFormat="1" applyFont="1" applyFill="1"/>
    <xf numFmtId="169" fontId="7" fillId="2" borderId="0" xfId="5" applyNumberFormat="1" applyFont="1" applyFill="1" applyBorder="1" applyAlignment="1"/>
    <xf numFmtId="166" fontId="181" fillId="2" borderId="0" xfId="3" applyNumberFormat="1" applyFont="1" applyFill="1" applyAlignment="1">
      <alignment vertical="center"/>
    </xf>
    <xf numFmtId="166" fontId="181" fillId="2" borderId="0" xfId="3" applyNumberFormat="1" applyFont="1" applyFill="1" applyBorder="1" applyAlignment="1">
      <alignment vertical="center"/>
    </xf>
    <xf numFmtId="10" fontId="181" fillId="2" borderId="0" xfId="2" applyNumberFormat="1" applyFont="1" applyFill="1" applyBorder="1"/>
    <xf numFmtId="167" fontId="5" fillId="2" borderId="0" xfId="3" applyNumberFormat="1" applyFont="1" applyFill="1" applyAlignment="1">
      <alignment wrapText="1"/>
    </xf>
    <xf numFmtId="169" fontId="122" fillId="2" borderId="0" xfId="5" applyNumberFormat="1" applyFont="1" applyFill="1" applyBorder="1" applyAlignment="1"/>
    <xf numFmtId="169" fontId="7" fillId="2" borderId="0" xfId="5" applyNumberFormat="1" applyFont="1" applyFill="1" applyAlignment="1">
      <alignment horizontal="left"/>
    </xf>
    <xf numFmtId="167" fontId="185" fillId="2" borderId="0" xfId="3" applyNumberFormat="1" applyFont="1" applyFill="1" applyAlignment="1">
      <alignment horizontal="left"/>
    </xf>
    <xf numFmtId="166" fontId="181" fillId="2" borderId="0" xfId="3" applyNumberFormat="1" applyFont="1" applyFill="1" applyAlignment="1">
      <alignment wrapText="1"/>
    </xf>
    <xf numFmtId="166" fontId="181" fillId="2" borderId="0" xfId="3" applyNumberFormat="1" applyFont="1" applyFill="1" applyBorder="1" applyAlignment="1">
      <alignment wrapText="1"/>
    </xf>
    <xf numFmtId="166" fontId="181" fillId="2" borderId="0" xfId="3" applyNumberFormat="1" applyFont="1" applyFill="1" applyAlignment="1">
      <alignment horizontal="right" wrapText="1"/>
    </xf>
    <xf numFmtId="166" fontId="181" fillId="2" borderId="0" xfId="3" applyNumberFormat="1" applyFont="1" applyFill="1" applyBorder="1" applyAlignment="1">
      <alignment horizontal="right" wrapText="1"/>
    </xf>
    <xf numFmtId="165" fontId="181" fillId="2" borderId="0" xfId="3" applyNumberFormat="1" applyFont="1" applyFill="1" applyAlignment="1">
      <alignment horizontal="left"/>
    </xf>
    <xf numFmtId="167" fontId="5" fillId="2" borderId="0" xfId="3" applyNumberFormat="1" applyFont="1" applyFill="1" applyAlignment="1">
      <alignment horizontal="right"/>
    </xf>
    <xf numFmtId="167" fontId="5" fillId="2" borderId="0" xfId="3" applyNumberFormat="1" applyFont="1" applyFill="1" applyAlignment="1"/>
    <xf numFmtId="0" fontId="186" fillId="0" borderId="0" xfId="0" applyFont="1"/>
    <xf numFmtId="173" fontId="187" fillId="0" borderId="0" xfId="7" applyNumberFormat="1" applyFont="1" applyFill="1" applyBorder="1" applyAlignment="1">
      <alignment horizontal="left" vertical="center"/>
    </xf>
    <xf numFmtId="0" fontId="11" fillId="108" borderId="0" xfId="0" applyFont="1" applyFill="1" applyBorder="1" applyAlignment="1">
      <alignment horizontal="center" wrapText="1"/>
    </xf>
    <xf numFmtId="44" fontId="0" fillId="0" borderId="0" xfId="0" applyNumberFormat="1"/>
    <xf numFmtId="166" fontId="0" fillId="0" borderId="0" xfId="0" applyNumberFormat="1"/>
    <xf numFmtId="203" fontId="171" fillId="0" borderId="0" xfId="0" applyNumberFormat="1" applyFont="1" applyFill="1" applyAlignment="1">
      <alignment vertical="top"/>
    </xf>
    <xf numFmtId="203" fontId="0" fillId="0" borderId="0" xfId="0" applyNumberFormat="1" applyFill="1" applyAlignment="1">
      <alignment vertical="top"/>
    </xf>
    <xf numFmtId="165" fontId="177" fillId="0" borderId="0" xfId="6" applyNumberFormat="1" applyFont="1" applyFill="1"/>
    <xf numFmtId="167" fontId="177" fillId="0" borderId="0" xfId="1" applyNumberFormat="1" applyFon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justify" vertical="top" wrapText="1"/>
    </xf>
    <xf numFmtId="0" fontId="0" fillId="0" borderId="0" xfId="0" applyFill="1" applyAlignment="1">
      <alignment horizontal="center"/>
    </xf>
    <xf numFmtId="0" fontId="0" fillId="0" borderId="0" xfId="0" applyAlignment="1">
      <alignment horizontal="center"/>
    </xf>
    <xf numFmtId="0" fontId="0" fillId="0" borderId="0" xfId="0" applyFont="1" applyFill="1" applyAlignment="1">
      <alignment horizontal="justify" vertical="top" wrapText="1"/>
    </xf>
    <xf numFmtId="0" fontId="30" fillId="0" borderId="0" xfId="0" applyFont="1" applyAlignment="1">
      <alignment horizontal="left" wrapText="1"/>
    </xf>
    <xf numFmtId="0" fontId="0" fillId="0" borderId="0" xfId="0" applyFill="1" applyAlignment="1">
      <alignment horizontal="justify" vertical="top"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workbookViewId="0"/>
  </sheetViews>
  <sheetFormatPr defaultRowHeight="15"/>
  <cols>
    <col min="1" max="1" width="6" style="201" customWidth="1"/>
    <col min="2" max="2" width="38.140625" style="201" customWidth="1"/>
    <col min="3" max="3" width="16.85546875" style="201" customWidth="1"/>
    <col min="4" max="4" width="12.7109375" style="201" hidden="1" customWidth="1"/>
    <col min="5" max="6" width="12.42578125" style="201" hidden="1" customWidth="1"/>
    <col min="7" max="8" width="12.28515625" style="201" hidden="1" customWidth="1"/>
    <col min="9" max="9" width="11.5703125" style="201" hidden="1" customWidth="1"/>
    <col min="10" max="10" width="12.7109375" style="201" hidden="1" customWidth="1"/>
    <col min="11" max="11" width="13" style="201" hidden="1" customWidth="1"/>
    <col min="12" max="12" width="12.42578125" style="201" hidden="1" customWidth="1"/>
    <col min="13" max="14" width="12.7109375" style="201" customWidth="1"/>
    <col min="15" max="15" width="13.85546875" style="225" customWidth="1"/>
    <col min="16" max="16" width="4.140625" style="201" customWidth="1"/>
    <col min="17" max="18" width="11.7109375" style="201" customWidth="1"/>
    <col min="19" max="20" width="11.5703125" style="201" customWidth="1"/>
    <col min="21" max="21" width="13" style="201" customWidth="1"/>
    <col min="22" max="16384" width="9.140625" style="201"/>
  </cols>
  <sheetData>
    <row r="1" spans="1:21" ht="15.75">
      <c r="A1" s="87" t="s">
        <v>0</v>
      </c>
      <c r="B1" s="87"/>
      <c r="C1" s="87"/>
      <c r="D1" s="87"/>
      <c r="E1" s="87"/>
      <c r="F1" s="87"/>
      <c r="G1" s="87"/>
      <c r="H1" s="87"/>
      <c r="I1" s="87"/>
      <c r="J1" s="87"/>
      <c r="K1" s="87"/>
      <c r="L1" s="87"/>
      <c r="M1" s="87"/>
      <c r="N1" s="87"/>
      <c r="O1" s="223"/>
      <c r="P1" s="87"/>
      <c r="Q1" s="87"/>
      <c r="R1" s="87"/>
      <c r="S1" s="87"/>
      <c r="T1" s="87"/>
      <c r="U1" s="87"/>
    </row>
    <row r="2" spans="1:21" ht="18.75" customHeight="1">
      <c r="A2" s="157" t="s">
        <v>283</v>
      </c>
      <c r="B2" s="158"/>
      <c r="C2" s="158"/>
      <c r="D2" s="158"/>
      <c r="E2" s="158"/>
      <c r="F2" s="158"/>
      <c r="G2" s="158"/>
      <c r="H2" s="158"/>
      <c r="I2" s="158"/>
      <c r="J2" s="158"/>
      <c r="K2" s="158"/>
      <c r="L2" s="158"/>
      <c r="M2" s="158"/>
      <c r="N2" s="158"/>
      <c r="O2" s="275"/>
      <c r="P2" s="158"/>
      <c r="Q2" s="158"/>
      <c r="R2" s="89"/>
      <c r="S2" s="89"/>
      <c r="T2" s="89"/>
      <c r="U2" s="89"/>
    </row>
    <row r="3" spans="1:21" ht="15.75">
      <c r="A3" s="87" t="s">
        <v>286</v>
      </c>
      <c r="B3" s="87"/>
      <c r="C3" s="87"/>
      <c r="D3" s="87"/>
      <c r="E3" s="87"/>
      <c r="F3" s="87"/>
      <c r="G3" s="87"/>
      <c r="H3" s="87"/>
      <c r="I3" s="87"/>
      <c r="J3" s="87"/>
      <c r="K3" s="87"/>
      <c r="L3" s="87"/>
      <c r="M3" s="87"/>
      <c r="N3" s="87"/>
      <c r="O3" s="275"/>
      <c r="P3" s="87"/>
      <c r="Q3" s="88"/>
      <c r="R3" s="88"/>
      <c r="S3" s="88"/>
      <c r="T3" s="88"/>
      <c r="U3" s="88"/>
    </row>
    <row r="4" spans="1:21" ht="14.45" customHeight="1">
      <c r="A4" s="88"/>
      <c r="B4" s="79"/>
      <c r="C4" s="80"/>
      <c r="D4" s="80"/>
      <c r="E4" s="80"/>
      <c r="F4" s="80"/>
      <c r="G4" s="80"/>
      <c r="H4" s="80"/>
      <c r="I4" s="80"/>
      <c r="J4" s="80"/>
      <c r="K4" s="80"/>
      <c r="L4" s="80"/>
      <c r="M4" s="80"/>
      <c r="N4" s="80"/>
      <c r="O4" s="275"/>
      <c r="P4" s="80"/>
      <c r="Q4" s="44"/>
      <c r="R4" s="44"/>
      <c r="S4" s="44"/>
      <c r="T4" s="44"/>
      <c r="U4" s="44"/>
    </row>
    <row r="5" spans="1:21" ht="24" customHeight="1">
      <c r="A5" s="20"/>
      <c r="B5" s="20"/>
      <c r="C5" s="20"/>
      <c r="D5" s="189"/>
      <c r="E5" s="189"/>
      <c r="F5" s="189"/>
      <c r="G5" s="20"/>
      <c r="H5" s="20"/>
      <c r="I5" s="46"/>
      <c r="J5" s="46"/>
      <c r="K5" s="46"/>
      <c r="L5" s="20"/>
      <c r="M5" s="20"/>
      <c r="N5" s="20"/>
      <c r="O5" s="284" t="s">
        <v>287</v>
      </c>
      <c r="P5" s="20"/>
      <c r="Q5" s="44" t="s">
        <v>152</v>
      </c>
      <c r="R5" s="44" t="s">
        <v>153</v>
      </c>
      <c r="S5" s="44" t="s">
        <v>154</v>
      </c>
      <c r="T5" s="44" t="s">
        <v>155</v>
      </c>
      <c r="U5" s="44" t="s">
        <v>180</v>
      </c>
    </row>
    <row r="6" spans="1:21" ht="25.5">
      <c r="A6" s="81" t="s">
        <v>1</v>
      </c>
      <c r="B6" s="82"/>
      <c r="C6" s="78" t="s">
        <v>2</v>
      </c>
      <c r="D6" s="116">
        <v>44562</v>
      </c>
      <c r="E6" s="83">
        <f>EDATE(D6,1)</f>
        <v>44593</v>
      </c>
      <c r="F6" s="83">
        <f t="shared" ref="F6:O6" si="0">EDATE(E6,1)</f>
        <v>44621</v>
      </c>
      <c r="G6" s="83">
        <f t="shared" si="0"/>
        <v>44652</v>
      </c>
      <c r="H6" s="83">
        <f t="shared" si="0"/>
        <v>44682</v>
      </c>
      <c r="I6" s="83">
        <f t="shared" si="0"/>
        <v>44713</v>
      </c>
      <c r="J6" s="83">
        <f t="shared" si="0"/>
        <v>44743</v>
      </c>
      <c r="K6" s="83">
        <f t="shared" si="0"/>
        <v>44774</v>
      </c>
      <c r="L6" s="83">
        <f t="shared" si="0"/>
        <v>44805</v>
      </c>
      <c r="M6" s="83">
        <f t="shared" si="0"/>
        <v>44835</v>
      </c>
      <c r="N6" s="83">
        <f t="shared" si="0"/>
        <v>44866</v>
      </c>
      <c r="O6" s="83">
        <f t="shared" si="0"/>
        <v>44896</v>
      </c>
      <c r="P6" s="83"/>
      <c r="Q6" s="15" t="s">
        <v>3</v>
      </c>
      <c r="R6" s="15" t="s">
        <v>3</v>
      </c>
      <c r="S6" s="15" t="s">
        <v>3</v>
      </c>
      <c r="T6" s="15" t="s">
        <v>3</v>
      </c>
      <c r="U6" s="15" t="s">
        <v>3</v>
      </c>
    </row>
    <row r="7" spans="1:21">
      <c r="A7" s="46"/>
      <c r="B7" s="46" t="s">
        <v>4</v>
      </c>
      <c r="C7" s="46" t="s">
        <v>5</v>
      </c>
      <c r="D7" s="46" t="s">
        <v>6</v>
      </c>
      <c r="E7" s="46" t="s">
        <v>7</v>
      </c>
      <c r="F7" s="46" t="s">
        <v>8</v>
      </c>
      <c r="G7" s="46" t="s">
        <v>9</v>
      </c>
      <c r="H7" s="131" t="s">
        <v>10</v>
      </c>
      <c r="I7" s="46" t="s">
        <v>11</v>
      </c>
      <c r="J7" s="46" t="s">
        <v>12</v>
      </c>
      <c r="K7" s="46" t="s">
        <v>13</v>
      </c>
      <c r="L7" s="46" t="s">
        <v>14</v>
      </c>
      <c r="M7" s="46" t="s">
        <v>15</v>
      </c>
      <c r="N7" s="46" t="s">
        <v>16</v>
      </c>
      <c r="O7" s="224" t="s">
        <v>17</v>
      </c>
      <c r="P7" s="46"/>
      <c r="Q7" s="46"/>
      <c r="R7" s="46"/>
      <c r="S7" s="46"/>
      <c r="T7" s="46"/>
      <c r="U7" s="20"/>
    </row>
    <row r="8" spans="1:21">
      <c r="A8" s="46"/>
      <c r="B8" s="1" t="s">
        <v>19</v>
      </c>
      <c r="C8" s="46"/>
      <c r="D8" s="46"/>
      <c r="E8" s="46"/>
      <c r="F8" s="46"/>
      <c r="G8" s="46"/>
      <c r="H8" s="131"/>
      <c r="I8" s="46"/>
      <c r="J8" s="46"/>
      <c r="K8" s="46"/>
      <c r="L8" s="46"/>
      <c r="M8" s="46"/>
      <c r="N8" s="46"/>
      <c r="O8" s="224"/>
      <c r="P8" s="46"/>
      <c r="Q8" s="47"/>
      <c r="R8" s="47"/>
      <c r="S8" s="47"/>
      <c r="T8" s="47"/>
      <c r="U8" s="20"/>
    </row>
    <row r="9" spans="1:21">
      <c r="A9" s="46">
        <v>1</v>
      </c>
      <c r="B9" s="20" t="s">
        <v>20</v>
      </c>
      <c r="C9" s="46" t="s">
        <v>21</v>
      </c>
      <c r="D9" s="266">
        <v>225340</v>
      </c>
      <c r="E9" s="266">
        <v>225717</v>
      </c>
      <c r="F9" s="266">
        <v>227174</v>
      </c>
      <c r="G9" s="266">
        <v>226203</v>
      </c>
      <c r="H9" s="266">
        <v>226093</v>
      </c>
      <c r="I9" s="266">
        <v>226925</v>
      </c>
      <c r="J9" s="266">
        <v>226281</v>
      </c>
      <c r="K9" s="266">
        <v>227405</v>
      </c>
      <c r="L9" s="266">
        <v>227331</v>
      </c>
      <c r="M9" s="159">
        <v>227745</v>
      </c>
      <c r="N9" s="159">
        <v>228126</v>
      </c>
      <c r="O9" s="159">
        <v>228468</v>
      </c>
      <c r="P9" s="159"/>
      <c r="Q9" s="48">
        <f t="shared" ref="Q9:Q16" si="1">SUM(D9:F9)</f>
        <v>678231</v>
      </c>
      <c r="R9" s="48">
        <f>SUM(G9:I9)</f>
        <v>679221</v>
      </c>
      <c r="S9" s="48">
        <f t="shared" ref="S9:S16" si="2">SUM(J9:L9)</f>
        <v>681017</v>
      </c>
      <c r="T9" s="48">
        <f t="shared" ref="T9:T16" si="3">SUM(M9:O9)</f>
        <v>684339</v>
      </c>
      <c r="U9" s="202">
        <f t="shared" ref="U9:U16" si="4">SUM(D9:O9)</f>
        <v>2722808</v>
      </c>
    </row>
    <row r="10" spans="1:21">
      <c r="A10" s="46">
        <v>2</v>
      </c>
      <c r="B10" s="2" t="s">
        <v>156</v>
      </c>
      <c r="C10" s="46" t="s">
        <v>21</v>
      </c>
      <c r="D10" s="267">
        <v>298119667.22499001</v>
      </c>
      <c r="E10" s="267">
        <v>244172703.83928001</v>
      </c>
      <c r="F10" s="267">
        <v>232185970.01601002</v>
      </c>
      <c r="G10" s="267">
        <v>201122967.58998999</v>
      </c>
      <c r="H10" s="268">
        <v>170060698.62600002</v>
      </c>
      <c r="I10" s="268">
        <v>152339120.14699998</v>
      </c>
      <c r="J10" s="268">
        <v>204164001.06898001</v>
      </c>
      <c r="K10" s="268">
        <v>243398035.01300001</v>
      </c>
      <c r="L10" s="268">
        <v>165011835.56900001</v>
      </c>
      <c r="M10" s="159">
        <v>157554287.55700001</v>
      </c>
      <c r="N10" s="159">
        <v>259935819.27400002</v>
      </c>
      <c r="O10" s="159">
        <v>326483028.91565001</v>
      </c>
      <c r="P10" s="159"/>
      <c r="Q10" s="48">
        <f t="shared" si="1"/>
        <v>774478341.08028007</v>
      </c>
      <c r="R10" s="48">
        <f t="shared" ref="R10:R16" si="5">SUM(G10:I10)</f>
        <v>523522786.36299002</v>
      </c>
      <c r="S10" s="48">
        <f t="shared" si="2"/>
        <v>612573871.65098</v>
      </c>
      <c r="T10" s="48">
        <f t="shared" si="3"/>
        <v>743973135.74664998</v>
      </c>
      <c r="U10" s="202">
        <f t="shared" si="4"/>
        <v>2654548134.8408999</v>
      </c>
    </row>
    <row r="11" spans="1:21">
      <c r="A11" s="46">
        <v>3</v>
      </c>
      <c r="B11" s="20" t="s">
        <v>37</v>
      </c>
      <c r="C11" s="46" t="s">
        <v>21</v>
      </c>
      <c r="D11" s="269">
        <v>31037264.229170002</v>
      </c>
      <c r="E11" s="269">
        <v>24795548.982310001</v>
      </c>
      <c r="F11" s="269">
        <v>23925578.689579997</v>
      </c>
      <c r="G11" s="269">
        <v>20482252.189550001</v>
      </c>
      <c r="H11" s="269">
        <v>17165401.033779997</v>
      </c>
      <c r="I11" s="269">
        <v>15556304.946920002</v>
      </c>
      <c r="J11" s="269">
        <v>20538173.126369998</v>
      </c>
      <c r="K11" s="269">
        <v>24510120.166219998</v>
      </c>
      <c r="L11" s="269">
        <v>16867526.951429997</v>
      </c>
      <c r="M11" s="161">
        <v>16166683.32683</v>
      </c>
      <c r="N11" s="161">
        <v>26202119.328389999</v>
      </c>
      <c r="O11" s="161">
        <v>34651045.973140009</v>
      </c>
      <c r="P11" s="161"/>
      <c r="Q11" s="49">
        <f t="shared" si="1"/>
        <v>79758391.90106</v>
      </c>
      <c r="R11" s="49">
        <f t="shared" si="5"/>
        <v>53203958.170249999</v>
      </c>
      <c r="S11" s="49">
        <f t="shared" si="2"/>
        <v>61915820.244019985</v>
      </c>
      <c r="T11" s="49">
        <f t="shared" si="3"/>
        <v>77019848.628360003</v>
      </c>
      <c r="U11" s="7">
        <f t="shared" si="4"/>
        <v>271898018.94369</v>
      </c>
    </row>
    <row r="12" spans="1:21">
      <c r="A12" s="46">
        <v>4</v>
      </c>
      <c r="B12" s="20" t="s">
        <v>38</v>
      </c>
      <c r="C12" s="46" t="s">
        <v>21</v>
      </c>
      <c r="D12" s="269">
        <v>1937178</v>
      </c>
      <c r="E12" s="269">
        <v>1949427</v>
      </c>
      <c r="F12" s="269">
        <v>2319363</v>
      </c>
      <c r="G12" s="269">
        <v>2070486</v>
      </c>
      <c r="H12" s="269">
        <v>2071053</v>
      </c>
      <c r="I12" s="269">
        <v>2110131</v>
      </c>
      <c r="J12" s="269">
        <v>2082672</v>
      </c>
      <c r="K12" s="269">
        <v>2108088</v>
      </c>
      <c r="L12" s="269">
        <v>2090421</v>
      </c>
      <c r="M12" s="161">
        <v>2091636</v>
      </c>
      <c r="N12" s="161">
        <v>2080899</v>
      </c>
      <c r="O12" s="161">
        <v>2089683</v>
      </c>
      <c r="P12" s="161"/>
      <c r="Q12" s="49">
        <f t="shared" si="1"/>
        <v>6205968</v>
      </c>
      <c r="R12" s="49">
        <f t="shared" si="5"/>
        <v>6251670</v>
      </c>
      <c r="S12" s="49">
        <f t="shared" si="2"/>
        <v>6281181</v>
      </c>
      <c r="T12" s="49">
        <f t="shared" si="3"/>
        <v>6262218</v>
      </c>
      <c r="U12" s="7">
        <f t="shared" si="4"/>
        <v>25001037</v>
      </c>
    </row>
    <row r="13" spans="1:21" ht="27" customHeight="1">
      <c r="A13" s="46">
        <v>5</v>
      </c>
      <c r="B13" s="20" t="s">
        <v>157</v>
      </c>
      <c r="C13" s="46" t="s">
        <v>21</v>
      </c>
      <c r="D13" s="266">
        <v>6092</v>
      </c>
      <c r="E13" s="266">
        <v>5979</v>
      </c>
      <c r="F13" s="266">
        <v>6581</v>
      </c>
      <c r="G13" s="266">
        <v>6766</v>
      </c>
      <c r="H13" s="266">
        <v>6807</v>
      </c>
      <c r="I13" s="266">
        <v>7293</v>
      </c>
      <c r="J13" s="270">
        <v>7741</v>
      </c>
      <c r="K13" s="270">
        <v>7757</v>
      </c>
      <c r="L13" s="270">
        <v>8065</v>
      </c>
      <c r="M13" s="159">
        <v>8610</v>
      </c>
      <c r="N13" s="159">
        <v>8513</v>
      </c>
      <c r="O13" s="159">
        <v>6982</v>
      </c>
      <c r="P13" s="159"/>
      <c r="Q13" s="48">
        <f t="shared" si="1"/>
        <v>18652</v>
      </c>
      <c r="R13" s="48">
        <f t="shared" si="5"/>
        <v>20866</v>
      </c>
      <c r="S13" s="48">
        <f t="shared" si="2"/>
        <v>23563</v>
      </c>
      <c r="T13" s="48">
        <f t="shared" si="3"/>
        <v>24105</v>
      </c>
      <c r="U13" s="202">
        <f t="shared" si="4"/>
        <v>87186</v>
      </c>
    </row>
    <row r="14" spans="1:21">
      <c r="A14" s="46">
        <v>6</v>
      </c>
      <c r="B14" s="2" t="s">
        <v>158</v>
      </c>
      <c r="C14" s="46" t="s">
        <v>21</v>
      </c>
      <c r="D14" s="267">
        <v>6690599.9850000003</v>
      </c>
      <c r="E14" s="267">
        <v>5966653.227</v>
      </c>
      <c r="F14" s="267">
        <v>5382277.3329999996</v>
      </c>
      <c r="G14" s="267">
        <v>4504116.16</v>
      </c>
      <c r="H14" s="267">
        <v>4066390.9069999997</v>
      </c>
      <c r="I14" s="267">
        <v>3357455.7379999999</v>
      </c>
      <c r="J14" s="268">
        <v>3676368.3820000002</v>
      </c>
      <c r="K14" s="268">
        <v>4956756.1220000004</v>
      </c>
      <c r="L14" s="268">
        <v>4566925.0290000001</v>
      </c>
      <c r="M14" s="159">
        <v>3815378.9539999999</v>
      </c>
      <c r="N14" s="159">
        <v>6192117.0650000004</v>
      </c>
      <c r="O14" s="159">
        <v>8787345</v>
      </c>
      <c r="P14" s="159"/>
      <c r="Q14" s="48">
        <f t="shared" si="1"/>
        <v>18039530.545000002</v>
      </c>
      <c r="R14" s="48">
        <f t="shared" si="5"/>
        <v>11927962.805</v>
      </c>
      <c r="S14" s="48">
        <f t="shared" si="2"/>
        <v>13200049.533</v>
      </c>
      <c r="T14" s="48">
        <f t="shared" si="3"/>
        <v>18794841.019000001</v>
      </c>
      <c r="U14" s="202">
        <f t="shared" si="4"/>
        <v>61962383.901999995</v>
      </c>
    </row>
    <row r="15" spans="1:21">
      <c r="A15" s="46">
        <v>7</v>
      </c>
      <c r="B15" s="20" t="s">
        <v>159</v>
      </c>
      <c r="C15" s="46" t="s">
        <v>21</v>
      </c>
      <c r="D15" s="269">
        <v>696383.29999999993</v>
      </c>
      <c r="E15" s="269">
        <v>621044.6</v>
      </c>
      <c r="F15" s="269">
        <v>561826.1100000001</v>
      </c>
      <c r="G15" s="269">
        <v>469930.2</v>
      </c>
      <c r="H15" s="269">
        <v>426599.63</v>
      </c>
      <c r="I15" s="269">
        <v>359723.98</v>
      </c>
      <c r="J15" s="269">
        <v>392623.11</v>
      </c>
      <c r="K15" s="269">
        <v>514009.98</v>
      </c>
      <c r="L15" s="269">
        <v>477865.14999999997</v>
      </c>
      <c r="M15" s="161">
        <v>410645.26</v>
      </c>
      <c r="N15" s="161">
        <v>643597.42999999993</v>
      </c>
      <c r="O15" s="161">
        <v>923716.27419354825</v>
      </c>
      <c r="P15" s="161"/>
      <c r="Q15" s="49">
        <f t="shared" si="1"/>
        <v>1879254.01</v>
      </c>
      <c r="R15" s="49">
        <f t="shared" si="5"/>
        <v>1256253.81</v>
      </c>
      <c r="S15" s="49">
        <f t="shared" si="2"/>
        <v>1384498.24</v>
      </c>
      <c r="T15" s="49">
        <f t="shared" si="3"/>
        <v>1977958.9641935481</v>
      </c>
      <c r="U15" s="7">
        <f t="shared" si="4"/>
        <v>6497965.0241935477</v>
      </c>
    </row>
    <row r="16" spans="1:21">
      <c r="A16" s="46">
        <v>8</v>
      </c>
      <c r="B16" s="20" t="s">
        <v>160</v>
      </c>
      <c r="C16" s="46" t="s">
        <v>21</v>
      </c>
      <c r="D16" s="269">
        <v>55008</v>
      </c>
      <c r="E16" s="269">
        <v>53775</v>
      </c>
      <c r="F16" s="269">
        <v>59247</v>
      </c>
      <c r="G16" s="269">
        <v>61031</v>
      </c>
      <c r="H16" s="269">
        <v>61281</v>
      </c>
      <c r="I16" s="269">
        <v>65457</v>
      </c>
      <c r="J16" s="269">
        <v>69561</v>
      </c>
      <c r="K16" s="269">
        <v>70137</v>
      </c>
      <c r="L16" s="269">
        <v>72702</v>
      </c>
      <c r="M16" s="161">
        <v>77431</v>
      </c>
      <c r="N16" s="161">
        <v>76563</v>
      </c>
      <c r="O16" s="161">
        <v>62874.580645161288</v>
      </c>
      <c r="P16" s="161"/>
      <c r="Q16" s="49">
        <f t="shared" si="1"/>
        <v>168030</v>
      </c>
      <c r="R16" s="49">
        <f t="shared" si="5"/>
        <v>187769</v>
      </c>
      <c r="S16" s="49">
        <f t="shared" si="2"/>
        <v>212400</v>
      </c>
      <c r="T16" s="49">
        <f t="shared" si="3"/>
        <v>216868.58064516127</v>
      </c>
      <c r="U16" s="7">
        <f t="shared" si="4"/>
        <v>785067.58064516133</v>
      </c>
    </row>
    <row r="17" spans="1:21">
      <c r="A17" s="46"/>
      <c r="B17" s="20"/>
      <c r="C17" s="46"/>
      <c r="D17" s="46"/>
      <c r="E17" s="46"/>
      <c r="F17" s="46"/>
      <c r="G17" s="46"/>
      <c r="H17" s="131"/>
      <c r="I17" s="46"/>
      <c r="J17" s="46"/>
      <c r="K17" s="46"/>
      <c r="L17" s="46"/>
      <c r="M17" s="46"/>
      <c r="N17" s="46"/>
      <c r="O17" s="46"/>
      <c r="P17" s="46"/>
      <c r="Q17" s="47"/>
      <c r="R17" s="47"/>
      <c r="S17" s="47"/>
      <c r="T17" s="47"/>
      <c r="U17" s="20"/>
    </row>
    <row r="18" spans="1:21" ht="21" customHeight="1">
      <c r="A18" s="46">
        <v>9</v>
      </c>
      <c r="B18" s="20" t="s">
        <v>181</v>
      </c>
      <c r="C18" s="46" t="str">
        <f>"("&amp;A9&amp;") - ("&amp;A13&amp;")"</f>
        <v>(1) - (5)</v>
      </c>
      <c r="D18" s="163">
        <f>D9-D13</f>
        <v>219248</v>
      </c>
      <c r="E18" s="163">
        <f>E9-E13</f>
        <v>219738</v>
      </c>
      <c r="F18" s="163">
        <f>F9-F13</f>
        <v>220593</v>
      </c>
      <c r="G18" s="163">
        <f>G9-G13</f>
        <v>219437</v>
      </c>
      <c r="H18" s="48">
        <f t="shared" ref="H18:O18" si="6">H9-H13</f>
        <v>219286</v>
      </c>
      <c r="I18" s="48">
        <f t="shared" si="6"/>
        <v>219632</v>
      </c>
      <c r="J18" s="48">
        <f t="shared" si="6"/>
        <v>218540</v>
      </c>
      <c r="K18" s="48">
        <f t="shared" si="6"/>
        <v>219648</v>
      </c>
      <c r="L18" s="48">
        <f t="shared" si="6"/>
        <v>219266</v>
      </c>
      <c r="M18" s="48">
        <f t="shared" si="6"/>
        <v>219135</v>
      </c>
      <c r="N18" s="48">
        <f t="shared" si="6"/>
        <v>219613</v>
      </c>
      <c r="O18" s="48">
        <f t="shared" si="6"/>
        <v>221486</v>
      </c>
      <c r="P18" s="48"/>
      <c r="Q18" s="48">
        <f>SUM(D18:F18)</f>
        <v>659579</v>
      </c>
      <c r="R18" s="48">
        <f>SUM(G18:I18)</f>
        <v>658355</v>
      </c>
      <c r="S18" s="48">
        <f>SUM(J18:L18)</f>
        <v>657454</v>
      </c>
      <c r="T18" s="48">
        <f>SUM(M18:O18)</f>
        <v>660234</v>
      </c>
      <c r="U18" s="202">
        <f>SUM(D18:O18)</f>
        <v>2635622</v>
      </c>
    </row>
    <row r="19" spans="1:21" ht="25.5">
      <c r="A19" s="77">
        <f t="shared" ref="A19:A20" si="7">A18+1</f>
        <v>10</v>
      </c>
      <c r="B19" s="77" t="s">
        <v>22</v>
      </c>
      <c r="C19" s="77" t="s">
        <v>161</v>
      </c>
      <c r="D19" s="279">
        <v>98.181729052547666</v>
      </c>
      <c r="E19" s="279">
        <v>74.145491495773655</v>
      </c>
      <c r="F19" s="279">
        <v>82.102311385357453</v>
      </c>
      <c r="G19" s="279">
        <v>60.703903156358791</v>
      </c>
      <c r="H19" s="280">
        <v>60.393862393160838</v>
      </c>
      <c r="I19" s="279">
        <v>52.672621638177645</v>
      </c>
      <c r="J19" s="279">
        <v>69.516191827877122</v>
      </c>
      <c r="K19" s="279">
        <v>63.91222541113023</v>
      </c>
      <c r="L19" s="279">
        <v>55.142790134150864</v>
      </c>
      <c r="M19" s="279">
        <v>61.822284599020577</v>
      </c>
      <c r="N19" s="279">
        <v>78.339557783321183</v>
      </c>
      <c r="O19" s="279">
        <v>105.54995682471846</v>
      </c>
      <c r="P19" s="277" t="s">
        <v>176</v>
      </c>
      <c r="Q19" s="18">
        <f>Q20/Q18</f>
        <v>84.796400305409122</v>
      </c>
      <c r="R19" s="18">
        <f>R20/R18</f>
        <v>57.921340524952051</v>
      </c>
      <c r="S19" s="18">
        <f>S20/S18</f>
        <v>62.850328799768384</v>
      </c>
      <c r="T19" s="18">
        <f>T20/T18</f>
        <v>81.861358255337478</v>
      </c>
      <c r="U19" s="18">
        <f>U20/U18</f>
        <v>71.873577142482361</v>
      </c>
    </row>
    <row r="20" spans="1:21">
      <c r="A20" s="46">
        <f t="shared" si="7"/>
        <v>11</v>
      </c>
      <c r="B20" s="20" t="s">
        <v>23</v>
      </c>
      <c r="C20" s="46" t="str">
        <f>"("&amp;A18&amp;") x ("&amp;A19&amp;")"</f>
        <v>(9) x (10)</v>
      </c>
      <c r="D20" s="49">
        <f>D18*D19</f>
        <v>21526147.731312972</v>
      </c>
      <c r="E20" s="49">
        <f>E18*E19</f>
        <v>16292582.010298312</v>
      </c>
      <c r="F20" s="49">
        <f t="shared" ref="F20:N20" si="8">F18*F19</f>
        <v>18111195.175430156</v>
      </c>
      <c r="G20" s="49">
        <f t="shared" si="8"/>
        <v>13320682.396921905</v>
      </c>
      <c r="H20" s="50">
        <f t="shared" si="8"/>
        <v>13243528.508746667</v>
      </c>
      <c r="I20" s="49">
        <f t="shared" si="8"/>
        <v>11568593.235636232</v>
      </c>
      <c r="J20" s="49">
        <f t="shared" si="8"/>
        <v>15192068.562064266</v>
      </c>
      <c r="K20" s="49">
        <f t="shared" si="8"/>
        <v>14038192.487103933</v>
      </c>
      <c r="L20" s="49">
        <f t="shared" si="8"/>
        <v>12090939.021554723</v>
      </c>
      <c r="M20" s="49">
        <f t="shared" si="8"/>
        <v>13547426.335606374</v>
      </c>
      <c r="N20" s="49">
        <f t="shared" si="8"/>
        <v>17204385.303468514</v>
      </c>
      <c r="O20" s="49">
        <f>O18*O19-81997.37</f>
        <v>23295840.367279593</v>
      </c>
      <c r="P20" s="278" t="s">
        <v>179</v>
      </c>
      <c r="Q20" s="49">
        <f>SUM(D20:F20)</f>
        <v>55929924.917041443</v>
      </c>
      <c r="R20" s="49">
        <f>SUM(G20:I20)</f>
        <v>38132804.141304806</v>
      </c>
      <c r="S20" s="49">
        <f>SUM(J20:L20)</f>
        <v>41321200.070722923</v>
      </c>
      <c r="T20" s="49">
        <f>SUM(M20:O20)</f>
        <v>54047652.006354481</v>
      </c>
      <c r="U20" s="7">
        <f>SUM(D20:O20)</f>
        <v>189431581.13542366</v>
      </c>
    </row>
    <row r="21" spans="1:21" ht="9" customHeight="1">
      <c r="A21" s="46"/>
      <c r="B21" s="20"/>
      <c r="C21" s="46"/>
      <c r="D21" s="47"/>
      <c r="E21" s="47"/>
      <c r="F21" s="47"/>
      <c r="G21" s="47"/>
      <c r="H21" s="132"/>
      <c r="I21" s="47"/>
      <c r="J21" s="47"/>
      <c r="K21" s="47"/>
      <c r="L21" s="47"/>
      <c r="M21" s="47"/>
      <c r="N21" s="47"/>
      <c r="O21" s="47"/>
      <c r="P21" s="47"/>
      <c r="Q21" s="48"/>
      <c r="R21" s="48"/>
      <c r="S21" s="48"/>
      <c r="T21" s="48"/>
      <c r="U21" s="48"/>
    </row>
    <row r="22" spans="1:21">
      <c r="A22" s="46">
        <v>12</v>
      </c>
      <c r="B22" s="20" t="s">
        <v>182</v>
      </c>
      <c r="C22" s="46" t="str">
        <f>"("&amp;A11&amp;") - ("&amp;A15&amp;")"</f>
        <v>(3) - (7)</v>
      </c>
      <c r="D22" s="50">
        <f t="shared" ref="D22:G23" si="9">D11-D15</f>
        <v>30340880.929170001</v>
      </c>
      <c r="E22" s="50">
        <f t="shared" si="9"/>
        <v>24174504.382309999</v>
      </c>
      <c r="F22" s="50">
        <f t="shared" si="9"/>
        <v>23363752.579579998</v>
      </c>
      <c r="G22" s="50">
        <f t="shared" si="9"/>
        <v>20012321.989550002</v>
      </c>
      <c r="H22" s="49">
        <f t="shared" ref="H22:O23" si="10">H11-H15</f>
        <v>16738801.403779997</v>
      </c>
      <c r="I22" s="49">
        <f t="shared" si="10"/>
        <v>15196580.966920001</v>
      </c>
      <c r="J22" s="49">
        <f t="shared" si="10"/>
        <v>20145550.016369998</v>
      </c>
      <c r="K22" s="49">
        <f t="shared" si="10"/>
        <v>23996110.186219998</v>
      </c>
      <c r="L22" s="49">
        <f t="shared" si="10"/>
        <v>16389661.801429996</v>
      </c>
      <c r="M22" s="49">
        <f t="shared" si="10"/>
        <v>15756038.06683</v>
      </c>
      <c r="N22" s="49">
        <f t="shared" si="10"/>
        <v>25558521.898389999</v>
      </c>
      <c r="O22" s="49">
        <f t="shared" si="10"/>
        <v>33727329.698946461</v>
      </c>
      <c r="P22" s="49"/>
      <c r="Q22" s="49">
        <f>SUM(D22:F22)</f>
        <v>77879137.891059995</v>
      </c>
      <c r="R22" s="49">
        <f>SUM(G22:I22)</f>
        <v>51947704.360250004</v>
      </c>
      <c r="S22" s="49">
        <f>SUM(J22:L22)</f>
        <v>60531322.004019991</v>
      </c>
      <c r="T22" s="49">
        <f>SUM(M22:O22)</f>
        <v>75041889.664166451</v>
      </c>
      <c r="U22" s="7">
        <f>SUM(D22:O22)</f>
        <v>265400053.91949642</v>
      </c>
    </row>
    <row r="23" spans="1:21">
      <c r="A23" s="46">
        <v>13</v>
      </c>
      <c r="B23" s="20" t="s">
        <v>183</v>
      </c>
      <c r="C23" s="46" t="str">
        <f t="shared" ref="C23" si="11">"("&amp;A12&amp;") - ("&amp;A16&amp;")"</f>
        <v>(4) - (8)</v>
      </c>
      <c r="D23" s="50">
        <f t="shared" si="9"/>
        <v>1882170</v>
      </c>
      <c r="E23" s="50">
        <f t="shared" si="9"/>
        <v>1895652</v>
      </c>
      <c r="F23" s="50">
        <f t="shared" si="9"/>
        <v>2260116</v>
      </c>
      <c r="G23" s="50">
        <f t="shared" si="9"/>
        <v>2009455</v>
      </c>
      <c r="H23" s="49">
        <f t="shared" si="10"/>
        <v>2009772</v>
      </c>
      <c r="I23" s="49">
        <f t="shared" si="10"/>
        <v>2044674</v>
      </c>
      <c r="J23" s="49">
        <f t="shared" si="10"/>
        <v>2013111</v>
      </c>
      <c r="K23" s="49">
        <f t="shared" si="10"/>
        <v>2037951</v>
      </c>
      <c r="L23" s="49">
        <f t="shared" si="10"/>
        <v>2017719</v>
      </c>
      <c r="M23" s="49">
        <f t="shared" si="10"/>
        <v>2014205</v>
      </c>
      <c r="N23" s="49">
        <f t="shared" si="10"/>
        <v>2004336</v>
      </c>
      <c r="O23" s="49">
        <f t="shared" si="10"/>
        <v>2026808.4193548388</v>
      </c>
      <c r="P23" s="49"/>
      <c r="Q23" s="49">
        <f>SUM(D23:F23)</f>
        <v>6037938</v>
      </c>
      <c r="R23" s="49">
        <f>SUM(G23:I23)</f>
        <v>6063901</v>
      </c>
      <c r="S23" s="49">
        <f>SUM(J23:L23)</f>
        <v>6068781</v>
      </c>
      <c r="T23" s="49">
        <f>SUM(M23:O23)</f>
        <v>6045349.4193548393</v>
      </c>
      <c r="U23" s="7">
        <f>SUM(D23:O23)</f>
        <v>24215969.419354837</v>
      </c>
    </row>
    <row r="24" spans="1:21">
      <c r="A24" s="46">
        <v>14</v>
      </c>
      <c r="B24" s="2" t="s">
        <v>184</v>
      </c>
      <c r="C24" s="46" t="str">
        <f>"("&amp;A10&amp;") - ("&amp;A14&amp;")"</f>
        <v>(2) - (6)</v>
      </c>
      <c r="D24" s="164">
        <f>D10-D14</f>
        <v>291429067.23999</v>
      </c>
      <c r="E24" s="164">
        <f>E10-E14</f>
        <v>238206050.61228001</v>
      </c>
      <c r="F24" s="164">
        <f>F10-F14</f>
        <v>226803692.68301001</v>
      </c>
      <c r="G24" s="164">
        <f>G10-G14</f>
        <v>196618851.42998999</v>
      </c>
      <c r="H24" s="155">
        <f t="shared" ref="H24:O24" si="12">H10-H14</f>
        <v>165994307.71900001</v>
      </c>
      <c r="I24" s="155">
        <f t="shared" si="12"/>
        <v>148981664.40899998</v>
      </c>
      <c r="J24" s="155">
        <f t="shared" si="12"/>
        <v>200487632.68698001</v>
      </c>
      <c r="K24" s="155">
        <f t="shared" si="12"/>
        <v>238441278.891</v>
      </c>
      <c r="L24" s="155">
        <f t="shared" si="12"/>
        <v>160444910.53999999</v>
      </c>
      <c r="M24" s="155">
        <f t="shared" si="12"/>
        <v>153738908.60300002</v>
      </c>
      <c r="N24" s="155">
        <f t="shared" si="12"/>
        <v>253743702.20900002</v>
      </c>
      <c r="O24" s="155">
        <f t="shared" si="12"/>
        <v>317695683.91565001</v>
      </c>
      <c r="P24" s="155"/>
      <c r="Q24" s="48">
        <f>SUM(D24:F24)</f>
        <v>756438810.53527999</v>
      </c>
      <c r="R24" s="48">
        <f>SUM(G24:I24)</f>
        <v>511594823.55799001</v>
      </c>
      <c r="S24" s="48">
        <f>SUM(J24:L24)</f>
        <v>599373822.11798</v>
      </c>
      <c r="T24" s="48">
        <f>SUM(M24:O24)</f>
        <v>725178294.72765005</v>
      </c>
      <c r="U24" s="202">
        <f>SUM(D24:O24)</f>
        <v>2592585750.9389</v>
      </c>
    </row>
    <row r="25" spans="1:21" ht="26.25">
      <c r="A25" s="46">
        <v>15</v>
      </c>
      <c r="B25" s="20" t="s">
        <v>39</v>
      </c>
      <c r="C25" s="203" t="s">
        <v>162</v>
      </c>
      <c r="D25" s="276">
        <v>1.3599999999999999E-2</v>
      </c>
      <c r="E25" s="271">
        <f>D25</f>
        <v>1.3599999999999999E-2</v>
      </c>
      <c r="F25" s="271">
        <f t="shared" ref="F25:N25" si="13">E25</f>
        <v>1.3599999999999999E-2</v>
      </c>
      <c r="G25" s="271">
        <f t="shared" si="13"/>
        <v>1.3599999999999999E-2</v>
      </c>
      <c r="H25" s="271">
        <f t="shared" si="13"/>
        <v>1.3599999999999999E-2</v>
      </c>
      <c r="I25" s="271">
        <f t="shared" si="13"/>
        <v>1.3599999999999999E-2</v>
      </c>
      <c r="J25" s="271">
        <f t="shared" si="13"/>
        <v>1.3599999999999999E-2</v>
      </c>
      <c r="K25" s="271">
        <f t="shared" si="13"/>
        <v>1.3599999999999999E-2</v>
      </c>
      <c r="L25" s="271">
        <f t="shared" si="13"/>
        <v>1.3599999999999999E-2</v>
      </c>
      <c r="M25" s="271">
        <f t="shared" si="13"/>
        <v>1.3599999999999999E-2</v>
      </c>
      <c r="N25" s="271">
        <f t="shared" si="13"/>
        <v>1.3599999999999999E-2</v>
      </c>
      <c r="O25" s="271">
        <v>1.3426129032258066E-2</v>
      </c>
      <c r="P25" s="277" t="s">
        <v>176</v>
      </c>
      <c r="Q25" s="204"/>
      <c r="R25" s="204"/>
      <c r="S25" s="204"/>
      <c r="T25" s="204"/>
      <c r="U25" s="204"/>
    </row>
    <row r="26" spans="1:21">
      <c r="A26" s="46">
        <v>16</v>
      </c>
      <c r="B26" s="20" t="s">
        <v>40</v>
      </c>
      <c r="C26" s="46" t="str">
        <f>"("&amp;A24&amp;") x ("&amp;A25&amp;")"</f>
        <v>(14) x (15)</v>
      </c>
      <c r="D26" s="49">
        <f t="shared" ref="D26:O26" si="14">D24*D25</f>
        <v>3963435.3144638636</v>
      </c>
      <c r="E26" s="49">
        <f t="shared" si="14"/>
        <v>3239602.288327008</v>
      </c>
      <c r="F26" s="49">
        <f t="shared" si="14"/>
        <v>3084530.2204889362</v>
      </c>
      <c r="G26" s="49">
        <f>G24*G25</f>
        <v>2674016.3794478639</v>
      </c>
      <c r="H26" s="50">
        <f t="shared" si="14"/>
        <v>2257522.5849784003</v>
      </c>
      <c r="I26" s="49">
        <f t="shared" si="14"/>
        <v>2026150.6359623997</v>
      </c>
      <c r="J26" s="49">
        <f t="shared" si="14"/>
        <v>2726631.804542928</v>
      </c>
      <c r="K26" s="49">
        <f t="shared" si="14"/>
        <v>3242801.3929176</v>
      </c>
      <c r="L26" s="49">
        <f t="shared" si="14"/>
        <v>2182050.7833439996</v>
      </c>
      <c r="M26" s="49">
        <f t="shared" si="14"/>
        <v>2090849.1570008001</v>
      </c>
      <c r="N26" s="49">
        <f t="shared" si="14"/>
        <v>3450914.3500424</v>
      </c>
      <c r="O26" s="49">
        <f t="shared" si="14"/>
        <v>4265423.2452429906</v>
      </c>
      <c r="P26" s="49"/>
      <c r="Q26" s="49">
        <f>SUM(D26:F26)</f>
        <v>10287567.823279807</v>
      </c>
      <c r="R26" s="49">
        <f>SUM(G26:I26)</f>
        <v>6957689.6003886638</v>
      </c>
      <c r="S26" s="49">
        <f>SUM(J26:L26)</f>
        <v>8151483.9808045281</v>
      </c>
      <c r="T26" s="49">
        <f>SUM(M26:O26)</f>
        <v>9807186.7522861902</v>
      </c>
      <c r="U26" s="49">
        <f>SUM(D26:O26)</f>
        <v>35203928.156759188</v>
      </c>
    </row>
    <row r="27" spans="1:21">
      <c r="A27" s="46">
        <v>17</v>
      </c>
      <c r="B27" s="20" t="s">
        <v>25</v>
      </c>
      <c r="C27" s="46" t="str">
        <f>"("&amp;A22&amp;") - ("&amp;A23&amp;") -("&amp;A26&amp;")"</f>
        <v>(12) - (13) -(16)</v>
      </c>
      <c r="D27" s="49">
        <f>D22-D23-D26</f>
        <v>24495275.614706136</v>
      </c>
      <c r="E27" s="49">
        <f t="shared" ref="E27:N27" si="15">E22-E23-E26</f>
        <v>19039250.093982991</v>
      </c>
      <c r="F27" s="49">
        <f t="shared" si="15"/>
        <v>18019106.359091062</v>
      </c>
      <c r="G27" s="49">
        <f t="shared" si="15"/>
        <v>15328850.610102138</v>
      </c>
      <c r="H27" s="50">
        <f t="shared" si="15"/>
        <v>12471506.818801597</v>
      </c>
      <c r="I27" s="49">
        <f t="shared" si="15"/>
        <v>11125756.330957603</v>
      </c>
      <c r="J27" s="49">
        <f t="shared" si="15"/>
        <v>15405807.21182707</v>
      </c>
      <c r="K27" s="49">
        <f t="shared" si="15"/>
        <v>18715357.793302398</v>
      </c>
      <c r="L27" s="49">
        <f t="shared" si="15"/>
        <v>12189892.018085998</v>
      </c>
      <c r="M27" s="49">
        <f t="shared" si="15"/>
        <v>11650983.909829199</v>
      </c>
      <c r="N27" s="49">
        <f t="shared" si="15"/>
        <v>20103271.5483476</v>
      </c>
      <c r="O27" s="49">
        <f>O22-O23-O26</f>
        <v>27435098.034348633</v>
      </c>
      <c r="P27" s="49"/>
      <c r="Q27" s="49">
        <f>SUM(D27:F27)</f>
        <v>61553632.067780182</v>
      </c>
      <c r="R27" s="49">
        <f>SUM(G27:I27)</f>
        <v>38926113.759861335</v>
      </c>
      <c r="S27" s="49">
        <f>SUM(J27:L27)</f>
        <v>46311057.023215473</v>
      </c>
      <c r="T27" s="49">
        <f>SUM(M27:O27)</f>
        <v>59189353.492525429</v>
      </c>
      <c r="U27" s="7">
        <f>SUM(D27:O27)</f>
        <v>205980156.34338239</v>
      </c>
    </row>
    <row r="28" spans="1:21">
      <c r="A28" s="46">
        <v>18</v>
      </c>
      <c r="B28" s="84" t="s">
        <v>26</v>
      </c>
      <c r="C28" s="46" t="str">
        <f>"("&amp;A27&amp;") / ("&amp;A18&amp;")"</f>
        <v>(17) / (9)</v>
      </c>
      <c r="D28" s="18">
        <f t="shared" ref="D28:O28" si="16">D27/D18</f>
        <v>111.72405501854583</v>
      </c>
      <c r="E28" s="18">
        <f t="shared" si="16"/>
        <v>86.645232476781402</v>
      </c>
      <c r="F28" s="18">
        <f t="shared" si="16"/>
        <v>81.684851101762348</v>
      </c>
      <c r="G28" s="18">
        <f t="shared" si="16"/>
        <v>69.855359898750606</v>
      </c>
      <c r="H28" s="133">
        <f t="shared" si="16"/>
        <v>56.873246895841945</v>
      </c>
      <c r="I28" s="18">
        <f t="shared" si="16"/>
        <v>50.656353950961623</v>
      </c>
      <c r="J28" s="18">
        <f t="shared" si="16"/>
        <v>70.494221706905236</v>
      </c>
      <c r="K28" s="18">
        <f t="shared" si="16"/>
        <v>85.206137972129952</v>
      </c>
      <c r="L28" s="18">
        <f t="shared" si="16"/>
        <v>55.59408215631241</v>
      </c>
      <c r="M28" s="18">
        <f t="shared" si="16"/>
        <v>53.168064936359777</v>
      </c>
      <c r="N28" s="18">
        <f t="shared" si="16"/>
        <v>91.539533398968189</v>
      </c>
      <c r="O28" s="18">
        <f t="shared" si="16"/>
        <v>123.86831688842018</v>
      </c>
      <c r="P28" s="18"/>
      <c r="Q28" s="204">
        <f>Q27/Q18</f>
        <v>93.322607402267479</v>
      </c>
      <c r="R28" s="204">
        <f>R27/R18</f>
        <v>59.126328135825403</v>
      </c>
      <c r="S28" s="204">
        <f>S27/S18</f>
        <v>70.439995837298838</v>
      </c>
      <c r="T28" s="204">
        <f>T27/T18</f>
        <v>89.649053960452548</v>
      </c>
      <c r="U28" s="204">
        <f>U27/U18</f>
        <v>78.152389205805079</v>
      </c>
    </row>
    <row r="29" spans="1:21">
      <c r="A29" s="46">
        <v>19</v>
      </c>
      <c r="B29" s="20" t="s">
        <v>27</v>
      </c>
      <c r="C29" s="46" t="str">
        <f>"("&amp;A$24&amp;") - ("&amp;A27&amp;")"</f>
        <v>(14) - (17)</v>
      </c>
      <c r="D29" s="49">
        <f t="shared" ref="D29:N29" si="17">D20-D27</f>
        <v>-2969127.8833931647</v>
      </c>
      <c r="E29" s="49">
        <f t="shared" si="17"/>
        <v>-2746668.0836846791</v>
      </c>
      <c r="F29" s="49">
        <f t="shared" si="17"/>
        <v>92088.816339094192</v>
      </c>
      <c r="G29" s="49">
        <f t="shared" si="17"/>
        <v>-2008168.2131802328</v>
      </c>
      <c r="H29" s="50">
        <f t="shared" si="17"/>
        <v>772021.68994507007</v>
      </c>
      <c r="I29" s="49">
        <f t="shared" si="17"/>
        <v>442836.90467862971</v>
      </c>
      <c r="J29" s="49">
        <f t="shared" si="17"/>
        <v>-213738.64976280369</v>
      </c>
      <c r="K29" s="49">
        <f t="shared" si="17"/>
        <v>-4677165.3061984647</v>
      </c>
      <c r="L29" s="49">
        <f t="shared" si="17"/>
        <v>-98952.99653127417</v>
      </c>
      <c r="M29" s="49">
        <f>M20-M27</f>
        <v>1896442.4257771745</v>
      </c>
      <c r="N29" s="49">
        <f t="shared" si="17"/>
        <v>-2898886.2448790856</v>
      </c>
      <c r="O29" s="49">
        <f>O20-O27</f>
        <v>-4139257.6670690402</v>
      </c>
      <c r="P29" s="49"/>
      <c r="Q29" s="49">
        <f>SUM(D29:F29)</f>
        <v>-5623707.1507387497</v>
      </c>
      <c r="R29" s="49">
        <f>SUM(G29:I29)</f>
        <v>-793309.61855653301</v>
      </c>
      <c r="S29" s="49">
        <f>SUM(J29:L29)</f>
        <v>-4989856.9524925426</v>
      </c>
      <c r="T29" s="49">
        <f>SUM(M29:O29)</f>
        <v>-5141701.4861709513</v>
      </c>
      <c r="U29" s="7">
        <f>SUM(D29:O29)</f>
        <v>-16548575.207958777</v>
      </c>
    </row>
    <row r="30" spans="1:21">
      <c r="A30" s="46">
        <v>20</v>
      </c>
      <c r="B30" s="20" t="s">
        <v>28</v>
      </c>
      <c r="C30" s="8" t="s">
        <v>29</v>
      </c>
      <c r="D30" s="166">
        <v>130438.08756390665</v>
      </c>
      <c r="E30" s="166">
        <v>120665.1064147541</v>
      </c>
      <c r="F30" s="166">
        <v>-4045.5950572152233</v>
      </c>
      <c r="G30" s="166">
        <v>88221.737668808753</v>
      </c>
      <c r="H30" s="166">
        <v>-33916.030817509803</v>
      </c>
      <c r="I30" s="166">
        <v>-19454.466502462761</v>
      </c>
      <c r="J30" s="166">
        <v>9389.8484027877093</v>
      </c>
      <c r="K30" s="166">
        <v>205474.6449868546</v>
      </c>
      <c r="L30" s="166">
        <v>4347.1484331980673</v>
      </c>
      <c r="M30" s="166">
        <v>-83313.462036109515</v>
      </c>
      <c r="N30" s="166">
        <v>127352.27066582779</v>
      </c>
      <c r="O30" s="166">
        <v>181843.5835254238</v>
      </c>
      <c r="P30" s="49"/>
      <c r="Q30" s="49">
        <f>SUM(D30:F30)</f>
        <v>247057.59892144552</v>
      </c>
      <c r="R30" s="49">
        <f>SUM(G30:I30)</f>
        <v>34851.240348836189</v>
      </c>
      <c r="S30" s="49">
        <f>SUM(J30:L30)</f>
        <v>219211.64182284038</v>
      </c>
      <c r="T30" s="49">
        <f>SUM(M30:O30)</f>
        <v>225882.39215514209</v>
      </c>
      <c r="U30" s="7">
        <f>SUM(D30:O30)</f>
        <v>727002.87324826408</v>
      </c>
    </row>
    <row r="31" spans="1:21" ht="14.45" customHeight="1">
      <c r="A31" s="46">
        <v>21</v>
      </c>
      <c r="B31" s="20"/>
      <c r="C31" s="46" t="s">
        <v>30</v>
      </c>
      <c r="D31" s="205">
        <v>3.2500000000000001E-2</v>
      </c>
      <c r="E31" s="205">
        <v>3.2500000000000001E-2</v>
      </c>
      <c r="F31" s="205">
        <v>3.2500000000000001E-2</v>
      </c>
      <c r="G31" s="205">
        <v>3.2500000000000001E-2</v>
      </c>
      <c r="H31" s="205">
        <v>3.2500000000000001E-2</v>
      </c>
      <c r="I31" s="205">
        <v>3.2500000000000001E-2</v>
      </c>
      <c r="J31" s="205">
        <v>3.5999999999999997E-2</v>
      </c>
      <c r="K31" s="205">
        <v>3.5999999999999997E-2</v>
      </c>
      <c r="L31" s="205">
        <v>3.5999999999999997E-2</v>
      </c>
      <c r="M31" s="205">
        <v>4.9099999999999998E-2</v>
      </c>
      <c r="N31" s="205">
        <v>4.9099999999999998E-2</v>
      </c>
      <c r="O31" s="205">
        <v>4.9099999999999998E-2</v>
      </c>
      <c r="P31" s="206"/>
      <c r="Q31" s="54"/>
      <c r="R31" s="54"/>
      <c r="S31" s="54"/>
      <c r="T31" s="54"/>
      <c r="U31" s="7"/>
    </row>
    <row r="32" spans="1:21">
      <c r="A32" s="46">
        <v>22</v>
      </c>
      <c r="B32" s="20" t="s">
        <v>31</v>
      </c>
      <c r="C32" s="46" t="s">
        <v>35</v>
      </c>
      <c r="D32" s="3">
        <f>(D29+D30)/2*D31/12</f>
        <v>-3844.0590985187869</v>
      </c>
      <c r="E32" s="3">
        <f>(D34+(E29+E30)/2)*E31/12</f>
        <v>-11254.574888815754</v>
      </c>
      <c r="F32" s="3">
        <f t="shared" ref="F32:O32" si="18">(E34+(F29+F30)/2)*F31/12</f>
        <v>-14721.876532040109</v>
      </c>
      <c r="G32" s="3">
        <f t="shared" si="18"/>
        <v>-17242.450604416896</v>
      </c>
      <c r="H32" s="134">
        <f t="shared" si="18"/>
        <v>-18889.558346990339</v>
      </c>
      <c r="I32" s="3">
        <f t="shared" si="18"/>
        <v>-17367.869102414643</v>
      </c>
      <c r="J32" s="3">
        <f>(I34+(J29+J30)/2)*J31/12</f>
        <v>-18961.808157834617</v>
      </c>
      <c r="K32" s="3">
        <f t="shared" si="18"/>
        <v>-26032.752776165555</v>
      </c>
      <c r="L32" s="3">
        <f t="shared" si="18"/>
        <v>-32960.295798458588</v>
      </c>
      <c r="M32" s="3">
        <f t="shared" si="18"/>
        <v>-41573.231883564542</v>
      </c>
      <c r="N32" s="3">
        <f t="shared" si="18"/>
        <v>-43704.072607945818</v>
      </c>
      <c r="O32" s="3">
        <f t="shared" si="18"/>
        <v>-57649.201339860934</v>
      </c>
      <c r="P32" s="3"/>
      <c r="Q32" s="49">
        <f>SUM(D32:F32)</f>
        <v>-29820.510519374649</v>
      </c>
      <c r="R32" s="49">
        <f>SUM(G32:I32)</f>
        <v>-53499.878053821871</v>
      </c>
      <c r="S32" s="49">
        <f>SUM(J32:L32)</f>
        <v>-77954.856732458749</v>
      </c>
      <c r="T32" s="49">
        <f>SUM(M32:O32)</f>
        <v>-142926.50583137129</v>
      </c>
      <c r="U32" s="7">
        <f>SUM(D32:O32)</f>
        <v>-304201.75113702659</v>
      </c>
    </row>
    <row r="33" spans="1:23" ht="14.45" customHeight="1" thickBot="1">
      <c r="A33" s="46">
        <v>23</v>
      </c>
      <c r="B33" s="4" t="s">
        <v>32</v>
      </c>
      <c r="C33" s="46"/>
      <c r="D33" s="6">
        <f>D29+D30+D32</f>
        <v>-2842533.8549277768</v>
      </c>
      <c r="E33" s="6">
        <f t="shared" ref="E33:O33" si="19">E29+E30+E32</f>
        <v>-2637257.5521587408</v>
      </c>
      <c r="F33" s="6">
        <f t="shared" si="19"/>
        <v>73321.344749838856</v>
      </c>
      <c r="G33" s="6">
        <f t="shared" si="19"/>
        <v>-1937188.9261158409</v>
      </c>
      <c r="H33" s="6">
        <f t="shared" si="19"/>
        <v>719216.10078056983</v>
      </c>
      <c r="I33" s="6">
        <f t="shared" si="19"/>
        <v>406014.56907375233</v>
      </c>
      <c r="J33" s="6">
        <f>J29+J30+J32</f>
        <v>-223310.60951785062</v>
      </c>
      <c r="K33" s="6">
        <f t="shared" si="19"/>
        <v>-4497723.4139877753</v>
      </c>
      <c r="L33" s="6">
        <f t="shared" si="19"/>
        <v>-127566.14389653469</v>
      </c>
      <c r="M33" s="6">
        <f t="shared" si="19"/>
        <v>1771555.7318575005</v>
      </c>
      <c r="N33" s="6">
        <f t="shared" si="19"/>
        <v>-2815238.0468212035</v>
      </c>
      <c r="O33" s="6">
        <f t="shared" si="19"/>
        <v>-4015063.2848834773</v>
      </c>
      <c r="P33" s="6"/>
      <c r="Q33" s="51">
        <f>Q29+Q30+Q32</f>
        <v>-5406470.0623366795</v>
      </c>
      <c r="R33" s="51">
        <f>R29+R30+R32</f>
        <v>-811958.25626151869</v>
      </c>
      <c r="S33" s="51">
        <f>S29+S30+S32</f>
        <v>-4848600.1674021613</v>
      </c>
      <c r="T33" s="51">
        <f>T29+T30+T32</f>
        <v>-5058745.5998471798</v>
      </c>
      <c r="U33" s="51">
        <f>U29+U30+U32</f>
        <v>-16125774.085847538</v>
      </c>
      <c r="W33" s="207"/>
    </row>
    <row r="34" spans="1:23" ht="27" thickBot="1">
      <c r="A34" s="46">
        <v>24</v>
      </c>
      <c r="B34" s="156" t="s">
        <v>163</v>
      </c>
      <c r="C34" s="46" t="str">
        <f>"Σ(("&amp;A29&amp;") ,("&amp;A30&amp;") , ("&amp;A32&amp;"))"</f>
        <v>Σ((19) ,(20) , (22))</v>
      </c>
      <c r="D34" s="49">
        <f>D29+D30+D32</f>
        <v>-2842533.8549277768</v>
      </c>
      <c r="E34" s="49">
        <f>D34+E29+E30+E32</f>
        <v>-5479791.4070865177</v>
      </c>
      <c r="F34" s="49">
        <f t="shared" ref="F34:O34" si="20">E34+F29+F30+F32</f>
        <v>-5406470.0623366795</v>
      </c>
      <c r="G34" s="49">
        <f t="shared" si="20"/>
        <v>-7343658.9884525202</v>
      </c>
      <c r="H34" s="50">
        <f t="shared" si="20"/>
        <v>-6624442.8876719503</v>
      </c>
      <c r="I34" s="49">
        <f t="shared" si="20"/>
        <v>-6218428.3185981978</v>
      </c>
      <c r="J34" s="49">
        <f t="shared" si="20"/>
        <v>-6441738.9281160478</v>
      </c>
      <c r="K34" s="49">
        <f t="shared" si="20"/>
        <v>-10939462.342103824</v>
      </c>
      <c r="L34" s="49">
        <f t="shared" si="20"/>
        <v>-11067028.486000359</v>
      </c>
      <c r="M34" s="49">
        <f t="shared" si="20"/>
        <v>-9295472.7541428581</v>
      </c>
      <c r="N34" s="49">
        <f t="shared" si="20"/>
        <v>-12110710.800964061</v>
      </c>
      <c r="O34" s="85">
        <f t="shared" si="20"/>
        <v>-16125774.08584754</v>
      </c>
      <c r="P34" s="16"/>
      <c r="Q34" s="49"/>
      <c r="R34" s="49"/>
      <c r="S34" s="49"/>
      <c r="T34" s="49"/>
      <c r="U34" s="7"/>
    </row>
    <row r="35" spans="1:23" ht="36" customHeight="1">
      <c r="A35" s="295" t="s">
        <v>289</v>
      </c>
      <c r="B35" s="295"/>
      <c r="C35" s="295"/>
      <c r="D35" s="295"/>
      <c r="E35" s="295"/>
      <c r="F35" s="295"/>
      <c r="G35" s="295"/>
      <c r="H35" s="295"/>
      <c r="I35" s="295"/>
      <c r="J35" s="295"/>
      <c r="K35" s="295"/>
      <c r="L35" s="295"/>
      <c r="M35" s="295"/>
      <c r="N35" s="295"/>
      <c r="O35" s="295"/>
      <c r="P35" s="295"/>
      <c r="Q35" s="295"/>
      <c r="R35" s="295"/>
      <c r="S35" s="295"/>
      <c r="T35" s="295"/>
      <c r="U35" s="295"/>
    </row>
    <row r="36" spans="1:23">
      <c r="A36" s="46"/>
      <c r="B36" s="1" t="s">
        <v>33</v>
      </c>
      <c r="C36" s="46"/>
      <c r="D36" s="49"/>
      <c r="E36" s="49"/>
      <c r="F36" s="49"/>
      <c r="G36" s="49"/>
      <c r="H36" s="50"/>
      <c r="I36" s="49"/>
      <c r="J36" s="49"/>
      <c r="K36" s="49"/>
      <c r="L36" s="49"/>
      <c r="M36" s="49"/>
      <c r="N36" s="49"/>
      <c r="O36" s="49"/>
      <c r="P36" s="49"/>
      <c r="Q36" s="49"/>
      <c r="R36" s="49"/>
      <c r="S36" s="49"/>
      <c r="T36" s="49"/>
      <c r="U36" s="7"/>
    </row>
    <row r="37" spans="1:23">
      <c r="A37" s="46">
        <v>25</v>
      </c>
      <c r="B37" s="20" t="s">
        <v>20</v>
      </c>
      <c r="C37" s="46" t="s">
        <v>21</v>
      </c>
      <c r="D37" s="165">
        <v>38010</v>
      </c>
      <c r="E37" s="165">
        <v>38075</v>
      </c>
      <c r="F37" s="165">
        <v>39207</v>
      </c>
      <c r="G37" s="165">
        <v>38504</v>
      </c>
      <c r="H37" s="167">
        <v>38259</v>
      </c>
      <c r="I37" s="165">
        <v>39067</v>
      </c>
      <c r="J37" s="165">
        <v>38514</v>
      </c>
      <c r="K37" s="165">
        <v>38529</v>
      </c>
      <c r="L37" s="165">
        <v>38653</v>
      </c>
      <c r="M37" s="165">
        <v>38878</v>
      </c>
      <c r="N37" s="165">
        <v>38679</v>
      </c>
      <c r="O37" s="165">
        <v>38428</v>
      </c>
      <c r="P37" s="165"/>
      <c r="Q37" s="48">
        <f t="shared" ref="Q37:Q44" si="21">SUM(D37:F37)</f>
        <v>115292</v>
      </c>
      <c r="R37" s="48">
        <f t="shared" ref="R37:R44" si="22">SUM(G37:I37)</f>
        <v>115830</v>
      </c>
      <c r="S37" s="48">
        <f t="shared" ref="S37:S44" si="23">SUM(J37:L37)</f>
        <v>115696</v>
      </c>
      <c r="T37" s="48">
        <f t="shared" ref="T37:T44" si="24">SUM(M37:O37)</f>
        <v>115985</v>
      </c>
      <c r="U37" s="202">
        <f t="shared" ref="U37:U44" si="25">SUM(D37:O37)</f>
        <v>462803</v>
      </c>
    </row>
    <row r="38" spans="1:23">
      <c r="A38" s="46">
        <v>26</v>
      </c>
      <c r="B38" s="2" t="s">
        <v>156</v>
      </c>
      <c r="C38" s="46" t="s">
        <v>21</v>
      </c>
      <c r="D38" s="165">
        <v>175691548.33098</v>
      </c>
      <c r="E38" s="165">
        <v>164561731.08000001</v>
      </c>
      <c r="F38" s="165">
        <v>175406919.12400001</v>
      </c>
      <c r="G38" s="165">
        <v>170901383.97299999</v>
      </c>
      <c r="H38" s="167">
        <v>155518259.10000002</v>
      </c>
      <c r="I38" s="165">
        <v>172150215.82100001</v>
      </c>
      <c r="J38" s="165">
        <v>200818470.63599995</v>
      </c>
      <c r="K38" s="165">
        <v>205401549.125</v>
      </c>
      <c r="L38" s="165">
        <v>172924993.604</v>
      </c>
      <c r="M38" s="165">
        <v>187334259.98899999</v>
      </c>
      <c r="N38" s="165">
        <v>182018076.22400004</v>
      </c>
      <c r="O38" s="165">
        <v>189904324.08634001</v>
      </c>
      <c r="P38" s="165"/>
      <c r="Q38" s="48">
        <f t="shared" si="21"/>
        <v>515660198.53498</v>
      </c>
      <c r="R38" s="48">
        <f t="shared" si="22"/>
        <v>498569858.89400005</v>
      </c>
      <c r="S38" s="48">
        <f t="shared" si="23"/>
        <v>579145013.36499989</v>
      </c>
      <c r="T38" s="48">
        <f t="shared" si="24"/>
        <v>559256660.29934001</v>
      </c>
      <c r="U38" s="202">
        <f t="shared" si="25"/>
        <v>2152631731.0933204</v>
      </c>
    </row>
    <row r="39" spans="1:23">
      <c r="A39" s="46">
        <v>27</v>
      </c>
      <c r="B39" s="20" t="s">
        <v>37</v>
      </c>
      <c r="C39" s="46" t="s">
        <v>21</v>
      </c>
      <c r="D39" s="166">
        <v>19617944.057890002</v>
      </c>
      <c r="E39" s="166">
        <v>17655935.685240004</v>
      </c>
      <c r="F39" s="166">
        <v>19148228.383530002</v>
      </c>
      <c r="G39" s="166">
        <v>18770512.797969997</v>
      </c>
      <c r="H39" s="168">
        <v>16893514.008789998</v>
      </c>
      <c r="I39" s="166">
        <v>18511594.353249997</v>
      </c>
      <c r="J39" s="166">
        <v>21264456.67396</v>
      </c>
      <c r="K39" s="166">
        <v>20829651.195060004</v>
      </c>
      <c r="L39" s="166">
        <v>18508859.535399999</v>
      </c>
      <c r="M39" s="166">
        <v>19759671.476660002</v>
      </c>
      <c r="N39" s="166">
        <v>19526881.488760002</v>
      </c>
      <c r="O39" s="166">
        <v>20374499.537430003</v>
      </c>
      <c r="P39" s="166"/>
      <c r="Q39" s="49">
        <f t="shared" si="21"/>
        <v>56422108.126660004</v>
      </c>
      <c r="R39" s="49">
        <f t="shared" si="22"/>
        <v>54175621.160009995</v>
      </c>
      <c r="S39" s="49">
        <f t="shared" si="23"/>
        <v>60602967.404420003</v>
      </c>
      <c r="T39" s="49">
        <f t="shared" si="24"/>
        <v>59661052.502850011</v>
      </c>
      <c r="U39" s="7">
        <f t="shared" si="25"/>
        <v>230861749.19394004</v>
      </c>
    </row>
    <row r="40" spans="1:23">
      <c r="A40" s="46">
        <v>28</v>
      </c>
      <c r="B40" s="20" t="s">
        <v>38</v>
      </c>
      <c r="C40" s="46" t="s">
        <v>21</v>
      </c>
      <c r="D40" s="166">
        <v>1606877.09</v>
      </c>
      <c r="E40" s="166">
        <v>1593727.1800000002</v>
      </c>
      <c r="F40" s="166">
        <v>1899297.2399999998</v>
      </c>
      <c r="G40" s="166">
        <v>1696030.42</v>
      </c>
      <c r="H40" s="168">
        <v>1687528.9699999997</v>
      </c>
      <c r="I40" s="166">
        <v>1711619.23</v>
      </c>
      <c r="J40" s="166">
        <v>1681984.8199999998</v>
      </c>
      <c r="K40" s="166">
        <v>1680573.54</v>
      </c>
      <c r="L40" s="166">
        <v>1691520.3699999999</v>
      </c>
      <c r="M40" s="166">
        <v>1694725.01</v>
      </c>
      <c r="N40" s="166">
        <v>1620156.6500000001</v>
      </c>
      <c r="O40" s="166">
        <v>1719490.07</v>
      </c>
      <c r="P40" s="166"/>
      <c r="Q40" s="49">
        <f t="shared" si="21"/>
        <v>5099901.51</v>
      </c>
      <c r="R40" s="49">
        <f t="shared" si="22"/>
        <v>5095178.6199999992</v>
      </c>
      <c r="S40" s="49">
        <f t="shared" si="23"/>
        <v>5054078.7299999995</v>
      </c>
      <c r="T40" s="49">
        <f t="shared" si="24"/>
        <v>5034371.7300000004</v>
      </c>
      <c r="U40" s="7">
        <f t="shared" si="25"/>
        <v>20283530.589999996</v>
      </c>
    </row>
    <row r="41" spans="1:23" ht="27.75" customHeight="1">
      <c r="A41" s="46">
        <v>29</v>
      </c>
      <c r="B41" s="20" t="s">
        <v>157</v>
      </c>
      <c r="C41" s="46" t="s">
        <v>21</v>
      </c>
      <c r="D41" s="165">
        <v>1937</v>
      </c>
      <c r="E41" s="165">
        <v>1887</v>
      </c>
      <c r="F41" s="165">
        <v>2022</v>
      </c>
      <c r="G41" s="165">
        <v>2082</v>
      </c>
      <c r="H41" s="167">
        <v>2158</v>
      </c>
      <c r="I41" s="165">
        <v>2246</v>
      </c>
      <c r="J41" s="165">
        <v>2344</v>
      </c>
      <c r="K41" s="165">
        <v>2326</v>
      </c>
      <c r="L41" s="165">
        <v>2470</v>
      </c>
      <c r="M41" s="165">
        <v>2596</v>
      </c>
      <c r="N41" s="165">
        <v>2611</v>
      </c>
      <c r="O41" s="165">
        <v>2129</v>
      </c>
      <c r="P41" s="277"/>
      <c r="Q41" s="48">
        <f t="shared" si="21"/>
        <v>5846</v>
      </c>
      <c r="R41" s="48">
        <f t="shared" si="22"/>
        <v>6486</v>
      </c>
      <c r="S41" s="48">
        <f t="shared" si="23"/>
        <v>7140</v>
      </c>
      <c r="T41" s="48">
        <f t="shared" si="24"/>
        <v>7336</v>
      </c>
      <c r="U41" s="202">
        <f t="shared" si="25"/>
        <v>26808</v>
      </c>
    </row>
    <row r="42" spans="1:23">
      <c r="A42" s="46">
        <v>30</v>
      </c>
      <c r="B42" s="2" t="s">
        <v>158</v>
      </c>
      <c r="C42" s="46" t="s">
        <v>21</v>
      </c>
      <c r="D42" s="165">
        <v>8873829.3640000019</v>
      </c>
      <c r="E42" s="165">
        <v>6284484.1509999996</v>
      </c>
      <c r="F42" s="165">
        <v>5640903.7770000007</v>
      </c>
      <c r="G42" s="165">
        <v>5606647.3969999999</v>
      </c>
      <c r="H42" s="167">
        <v>6138318.4510000004</v>
      </c>
      <c r="I42" s="165">
        <v>5626401.2499999991</v>
      </c>
      <c r="J42" s="165">
        <v>5938704.1190000009</v>
      </c>
      <c r="K42" s="165">
        <v>7662893.3140000002</v>
      </c>
      <c r="L42" s="165">
        <v>7458600.4960000012</v>
      </c>
      <c r="M42" s="165">
        <v>7426669.1900000004</v>
      </c>
      <c r="N42" s="165">
        <v>7484846.7660000008</v>
      </c>
      <c r="O42" s="165">
        <v>7087127</v>
      </c>
      <c r="P42" s="165"/>
      <c r="Q42" s="48">
        <f t="shared" si="21"/>
        <v>20799217.292000003</v>
      </c>
      <c r="R42" s="48">
        <f t="shared" si="22"/>
        <v>17371367.098000001</v>
      </c>
      <c r="S42" s="48">
        <f t="shared" si="23"/>
        <v>21060197.929000005</v>
      </c>
      <c r="T42" s="48">
        <f t="shared" si="24"/>
        <v>21998642.956</v>
      </c>
      <c r="U42" s="202">
        <f t="shared" si="25"/>
        <v>81229425.275000006</v>
      </c>
    </row>
    <row r="43" spans="1:23">
      <c r="A43" s="46">
        <v>31</v>
      </c>
      <c r="B43" s="20" t="s">
        <v>159</v>
      </c>
      <c r="C43" s="46" t="s">
        <v>21</v>
      </c>
      <c r="D43" s="166">
        <v>981335.77999999991</v>
      </c>
      <c r="E43" s="166">
        <v>710415.92999999993</v>
      </c>
      <c r="F43" s="166">
        <v>662659.22</v>
      </c>
      <c r="G43" s="166">
        <v>673347.92</v>
      </c>
      <c r="H43" s="168">
        <v>722235.12000000011</v>
      </c>
      <c r="I43" s="166">
        <v>675099.61</v>
      </c>
      <c r="J43" s="166">
        <v>712237.15</v>
      </c>
      <c r="K43" s="166">
        <v>867549.07000000007</v>
      </c>
      <c r="L43" s="166">
        <v>856429.06999999983</v>
      </c>
      <c r="M43" s="166">
        <v>862763.18</v>
      </c>
      <c r="N43" s="166">
        <v>871139.43</v>
      </c>
      <c r="O43" s="166">
        <v>810774.49645161291</v>
      </c>
      <c r="P43" s="166"/>
      <c r="Q43" s="49">
        <f t="shared" si="21"/>
        <v>2354410.9299999997</v>
      </c>
      <c r="R43" s="49">
        <f t="shared" si="22"/>
        <v>2070682.65</v>
      </c>
      <c r="S43" s="49">
        <f t="shared" si="23"/>
        <v>2436215.29</v>
      </c>
      <c r="T43" s="49">
        <f t="shared" si="24"/>
        <v>2544677.1064516129</v>
      </c>
      <c r="U43" s="7">
        <f t="shared" si="25"/>
        <v>9405985.976451613</v>
      </c>
    </row>
    <row r="44" spans="1:23">
      <c r="A44" s="46">
        <v>32</v>
      </c>
      <c r="B44" s="20" t="s">
        <v>160</v>
      </c>
      <c r="C44" s="46" t="s">
        <v>21</v>
      </c>
      <c r="D44" s="166">
        <v>62764.44</v>
      </c>
      <c r="E44" s="166">
        <v>58297.46</v>
      </c>
      <c r="F44" s="166">
        <v>64238.189999999995</v>
      </c>
      <c r="G44" s="166">
        <v>66333.149999999994</v>
      </c>
      <c r="H44" s="168">
        <v>70696.679999999993</v>
      </c>
      <c r="I44" s="166">
        <v>69765.23000000001</v>
      </c>
      <c r="J44" s="166">
        <v>72621.81</v>
      </c>
      <c r="K44" s="166">
        <v>71793.209999999992</v>
      </c>
      <c r="L44" s="166">
        <v>75255.37</v>
      </c>
      <c r="M44" s="166">
        <v>79240.989999999991</v>
      </c>
      <c r="N44" s="166">
        <v>78059.600000000006</v>
      </c>
      <c r="O44" s="166">
        <v>63790.424193548381</v>
      </c>
      <c r="P44" s="166"/>
      <c r="Q44" s="49">
        <f t="shared" si="21"/>
        <v>185300.09</v>
      </c>
      <c r="R44" s="49">
        <f t="shared" si="22"/>
        <v>206795.06</v>
      </c>
      <c r="S44" s="49">
        <f t="shared" si="23"/>
        <v>219670.38999999998</v>
      </c>
      <c r="T44" s="49">
        <f t="shared" si="24"/>
        <v>221091.01419354838</v>
      </c>
      <c r="U44" s="7">
        <f t="shared" si="25"/>
        <v>832856.55419354839</v>
      </c>
    </row>
    <row r="45" spans="1:23">
      <c r="A45" s="46"/>
      <c r="B45" s="1"/>
      <c r="C45" s="46"/>
      <c r="D45" s="49"/>
      <c r="E45" s="49"/>
      <c r="F45" s="49"/>
      <c r="G45" s="49"/>
      <c r="H45" s="50"/>
      <c r="I45" s="49"/>
      <c r="J45" s="49"/>
      <c r="K45" s="49"/>
      <c r="L45" s="49"/>
      <c r="M45" s="49"/>
      <c r="N45" s="49"/>
      <c r="O45" s="49"/>
      <c r="P45" s="49"/>
      <c r="Q45" s="49"/>
      <c r="R45" s="49"/>
      <c r="S45" s="49"/>
      <c r="T45" s="49"/>
      <c r="U45" s="7"/>
    </row>
    <row r="46" spans="1:23">
      <c r="A46" s="46">
        <v>33</v>
      </c>
      <c r="B46" s="20" t="s">
        <v>181</v>
      </c>
      <c r="C46" s="46" t="str">
        <f>"("&amp;A37&amp;") - ("&amp;A41&amp;")"</f>
        <v>(25) - (29)</v>
      </c>
      <c r="D46" s="163">
        <f>D37-D41</f>
        <v>36073</v>
      </c>
      <c r="E46" s="163">
        <f>E37-E41</f>
        <v>36188</v>
      </c>
      <c r="F46" s="163">
        <f>F37-F41</f>
        <v>37185</v>
      </c>
      <c r="G46" s="163">
        <f>G37-G41</f>
        <v>36422</v>
      </c>
      <c r="H46" s="48">
        <f t="shared" ref="H46:O46" si="26">H37-H41</f>
        <v>36101</v>
      </c>
      <c r="I46" s="48">
        <f t="shared" si="26"/>
        <v>36821</v>
      </c>
      <c r="J46" s="48">
        <f t="shared" si="26"/>
        <v>36170</v>
      </c>
      <c r="K46" s="48">
        <f t="shared" si="26"/>
        <v>36203</v>
      </c>
      <c r="L46" s="48">
        <f t="shared" si="26"/>
        <v>36183</v>
      </c>
      <c r="M46" s="48">
        <f t="shared" si="26"/>
        <v>36282</v>
      </c>
      <c r="N46" s="48">
        <f t="shared" si="26"/>
        <v>36068</v>
      </c>
      <c r="O46" s="48">
        <f t="shared" si="26"/>
        <v>36299</v>
      </c>
      <c r="P46" s="48"/>
      <c r="Q46" s="48">
        <f>SUM(D46:F46)</f>
        <v>109446</v>
      </c>
      <c r="R46" s="48">
        <f>SUM(G46:I46)</f>
        <v>109344</v>
      </c>
      <c r="S46" s="48">
        <f>SUM(J46:L46)</f>
        <v>108556</v>
      </c>
      <c r="T46" s="48">
        <f>SUM(M46:O46)</f>
        <v>108649</v>
      </c>
      <c r="U46" s="202">
        <f>SUM(D46:O46)</f>
        <v>435995</v>
      </c>
    </row>
    <row r="47" spans="1:23" ht="29.45" customHeight="1">
      <c r="A47" s="77">
        <f t="shared" ref="A47:A55" si="27">A46+1</f>
        <v>34</v>
      </c>
      <c r="B47" s="77" t="s">
        <v>22</v>
      </c>
      <c r="C47" s="77" t="s">
        <v>164</v>
      </c>
      <c r="D47" s="281">
        <v>404.61724702120091</v>
      </c>
      <c r="E47" s="281">
        <v>380.45952837159109</v>
      </c>
      <c r="F47" s="281">
        <v>371.9985254369463</v>
      </c>
      <c r="G47" s="281">
        <v>363.72061693206393</v>
      </c>
      <c r="H47" s="282">
        <v>392.96150747741837</v>
      </c>
      <c r="I47" s="281">
        <v>408.58431826419911</v>
      </c>
      <c r="J47" s="281">
        <v>456.79262774995544</v>
      </c>
      <c r="K47" s="281">
        <v>436.77833767660366</v>
      </c>
      <c r="L47" s="281">
        <v>389.50018381003991</v>
      </c>
      <c r="M47" s="281">
        <v>420.51734102764959</v>
      </c>
      <c r="N47" s="281">
        <v>365.85614956249276</v>
      </c>
      <c r="O47" s="281">
        <v>403.59663550663186</v>
      </c>
      <c r="P47" s="277" t="s">
        <v>176</v>
      </c>
      <c r="Q47" s="18">
        <f>Q48/Q46</f>
        <v>385.54714226997578</v>
      </c>
      <c r="R47" s="18">
        <f>R48/R46</f>
        <v>388.48239385926973</v>
      </c>
      <c r="S47" s="18">
        <f>S48/S46</f>
        <v>427.68857230757072</v>
      </c>
      <c r="T47" s="18">
        <f>T48/T46</f>
        <v>396.9413390076337</v>
      </c>
      <c r="U47" s="18">
        <f>U48/U46</f>
        <v>399.61525156088675</v>
      </c>
    </row>
    <row r="48" spans="1:23">
      <c r="A48" s="46">
        <f t="shared" si="27"/>
        <v>35</v>
      </c>
      <c r="B48" s="20" t="s">
        <v>23</v>
      </c>
      <c r="C48" s="46" t="str">
        <f>"("&amp;A46&amp;") x ("&amp;A47&amp;")"</f>
        <v>(33) x (34)</v>
      </c>
      <c r="D48" s="49">
        <f t="shared" ref="D48:N48" si="28">D46*D47</f>
        <v>14595757.951795781</v>
      </c>
      <c r="E48" s="49">
        <f t="shared" si="28"/>
        <v>13768069.412711138</v>
      </c>
      <c r="F48" s="49">
        <f t="shared" si="28"/>
        <v>13832765.168372847</v>
      </c>
      <c r="G48" s="49">
        <f t="shared" si="28"/>
        <v>13247432.309899632</v>
      </c>
      <c r="H48" s="50">
        <f t="shared" si="28"/>
        <v>14186303.38144228</v>
      </c>
      <c r="I48" s="49">
        <f t="shared" si="28"/>
        <v>15044483.182806075</v>
      </c>
      <c r="J48" s="49">
        <f t="shared" si="28"/>
        <v>16522189.345715888</v>
      </c>
      <c r="K48" s="49">
        <f t="shared" si="28"/>
        <v>15812686.158906082</v>
      </c>
      <c r="L48" s="49">
        <f t="shared" si="28"/>
        <v>14093285.150798675</v>
      </c>
      <c r="M48" s="49">
        <f t="shared" si="28"/>
        <v>15257210.167165183</v>
      </c>
      <c r="N48" s="49">
        <f t="shared" si="28"/>
        <v>13195699.602419989</v>
      </c>
      <c r="O48" s="49">
        <f>(O46*O47)+24215.5</f>
        <v>14674369.772255229</v>
      </c>
      <c r="P48" s="278" t="s">
        <v>191</v>
      </c>
      <c r="Q48" s="49">
        <f>SUM(D48:F48)</f>
        <v>42196592.53287977</v>
      </c>
      <c r="R48" s="49">
        <f>SUM(G48:I48)</f>
        <v>42478218.874147989</v>
      </c>
      <c r="S48" s="49">
        <f>SUM(J48:L48)</f>
        <v>46428160.655420646</v>
      </c>
      <c r="T48" s="49">
        <f>SUM(M48:O48)</f>
        <v>43127279.541840397</v>
      </c>
      <c r="U48" s="7">
        <f>SUM(D48:O48)</f>
        <v>174230251.60428882</v>
      </c>
    </row>
    <row r="49" spans="1:21" ht="9" customHeight="1">
      <c r="A49" s="46"/>
      <c r="B49" s="20"/>
      <c r="C49" s="46"/>
      <c r="D49" s="47"/>
      <c r="E49" s="47"/>
      <c r="F49" s="47"/>
      <c r="G49" s="47"/>
      <c r="H49" s="132"/>
      <c r="I49" s="49"/>
      <c r="J49" s="47"/>
      <c r="K49" s="47"/>
      <c r="L49" s="47"/>
      <c r="M49" s="47"/>
      <c r="N49" s="47"/>
      <c r="O49" s="47"/>
      <c r="P49" s="47"/>
      <c r="Q49" s="47"/>
      <c r="R49" s="47"/>
      <c r="S49" s="47"/>
      <c r="T49" s="47"/>
      <c r="U49" s="20"/>
    </row>
    <row r="50" spans="1:21">
      <c r="A50" s="46">
        <v>36</v>
      </c>
      <c r="B50" s="20" t="s">
        <v>182</v>
      </c>
      <c r="C50" s="46" t="str">
        <f>"("&amp;A39&amp;") - ("&amp;A43&amp;")"</f>
        <v>(27) - (31)</v>
      </c>
      <c r="D50" s="50">
        <f t="shared" ref="D50:G51" si="29">D39-D43</f>
        <v>18636608.27789</v>
      </c>
      <c r="E50" s="50">
        <f t="shared" si="29"/>
        <v>16945519.755240005</v>
      </c>
      <c r="F50" s="50">
        <f t="shared" si="29"/>
        <v>18485569.163530003</v>
      </c>
      <c r="G50" s="50">
        <f t="shared" si="29"/>
        <v>18097164.877969995</v>
      </c>
      <c r="H50" s="49">
        <f t="shared" ref="H50:O51" si="30">H39-H43</f>
        <v>16171278.888789997</v>
      </c>
      <c r="I50" s="49">
        <f t="shared" si="30"/>
        <v>17836494.743249997</v>
      </c>
      <c r="J50" s="49">
        <f t="shared" si="30"/>
        <v>20552219.523960002</v>
      </c>
      <c r="K50" s="49">
        <f t="shared" si="30"/>
        <v>19962102.125060003</v>
      </c>
      <c r="L50" s="49">
        <f t="shared" si="30"/>
        <v>17652430.465399999</v>
      </c>
      <c r="M50" s="49">
        <f t="shared" si="30"/>
        <v>18896908.296660002</v>
      </c>
      <c r="N50" s="49">
        <f t="shared" si="30"/>
        <v>18655742.058760002</v>
      </c>
      <c r="O50" s="49">
        <f t="shared" si="30"/>
        <v>19563725.040978391</v>
      </c>
      <c r="P50" s="49"/>
      <c r="Q50" s="49">
        <f>SUM(D50:F50)</f>
        <v>54067697.196660012</v>
      </c>
      <c r="R50" s="49">
        <f>SUM(G50:I50)</f>
        <v>52104938.510009989</v>
      </c>
      <c r="S50" s="49">
        <f>SUM(J50:L50)</f>
        <v>58166752.114419997</v>
      </c>
      <c r="T50" s="49">
        <f>SUM(M50:O50)</f>
        <v>57116375.396398395</v>
      </c>
      <c r="U50" s="7">
        <f>SUM(D50:O50)</f>
        <v>221455763.21748844</v>
      </c>
    </row>
    <row r="51" spans="1:21">
      <c r="A51" s="46">
        <f t="shared" si="27"/>
        <v>37</v>
      </c>
      <c r="B51" s="20" t="s">
        <v>183</v>
      </c>
      <c r="C51" s="46" t="str">
        <f t="shared" ref="C51" si="31">"("&amp;A40&amp;") - ("&amp;A44&amp;")"</f>
        <v>(28) - (32)</v>
      </c>
      <c r="D51" s="50">
        <f t="shared" si="29"/>
        <v>1544112.6500000001</v>
      </c>
      <c r="E51" s="50">
        <f t="shared" si="29"/>
        <v>1535429.7200000002</v>
      </c>
      <c r="F51" s="50">
        <f t="shared" si="29"/>
        <v>1835059.0499999998</v>
      </c>
      <c r="G51" s="50">
        <f t="shared" si="29"/>
        <v>1629697.27</v>
      </c>
      <c r="H51" s="49">
        <f t="shared" si="30"/>
        <v>1616832.2899999998</v>
      </c>
      <c r="I51" s="49">
        <f t="shared" si="30"/>
        <v>1641854</v>
      </c>
      <c r="J51" s="49">
        <f t="shared" si="30"/>
        <v>1609363.0099999998</v>
      </c>
      <c r="K51" s="49">
        <f t="shared" si="30"/>
        <v>1608780.33</v>
      </c>
      <c r="L51" s="49">
        <f t="shared" si="30"/>
        <v>1616265</v>
      </c>
      <c r="M51" s="49">
        <f t="shared" si="30"/>
        <v>1615484.02</v>
      </c>
      <c r="N51" s="49">
        <f t="shared" si="30"/>
        <v>1542097.05</v>
      </c>
      <c r="O51" s="49">
        <f t="shared" si="30"/>
        <v>1655699.6458064518</v>
      </c>
      <c r="P51" s="49"/>
      <c r="Q51" s="49">
        <f>SUM(D51:F51)</f>
        <v>4914601.42</v>
      </c>
      <c r="R51" s="49">
        <f>SUM(G51:I51)</f>
        <v>4888383.5599999996</v>
      </c>
      <c r="S51" s="49">
        <f>SUM(J51:L51)</f>
        <v>4834408.34</v>
      </c>
      <c r="T51" s="49">
        <f>SUM(M51:O51)</f>
        <v>4813280.7158064526</v>
      </c>
      <c r="U51" s="7">
        <f>SUM(D51:O51)</f>
        <v>19450674.035806451</v>
      </c>
    </row>
    <row r="52" spans="1:21">
      <c r="A52" s="46">
        <f t="shared" si="27"/>
        <v>38</v>
      </c>
      <c r="B52" s="2" t="s">
        <v>184</v>
      </c>
      <c r="C52" s="46" t="str">
        <f>"("&amp;A38&amp;") - ("&amp;A42&amp;")"</f>
        <v>(26) - (30)</v>
      </c>
      <c r="D52" s="164">
        <f>D38-D42</f>
        <v>166817718.96698001</v>
      </c>
      <c r="E52" s="164">
        <f>E38-E42</f>
        <v>158277246.92900002</v>
      </c>
      <c r="F52" s="164">
        <f>F38-F42</f>
        <v>169766015.347</v>
      </c>
      <c r="G52" s="164">
        <f>G38-G42</f>
        <v>165294736.57599998</v>
      </c>
      <c r="H52" s="155">
        <f t="shared" ref="H52:O52" si="32">H38-H42</f>
        <v>149379940.64900002</v>
      </c>
      <c r="I52" s="155">
        <f t="shared" si="32"/>
        <v>166523814.57100001</v>
      </c>
      <c r="J52" s="155">
        <f t="shared" si="32"/>
        <v>194879766.51699996</v>
      </c>
      <c r="K52" s="155">
        <f t="shared" si="32"/>
        <v>197738655.81099999</v>
      </c>
      <c r="L52" s="155">
        <f t="shared" si="32"/>
        <v>165466393.10800001</v>
      </c>
      <c r="M52" s="155">
        <f t="shared" si="32"/>
        <v>179907590.79899999</v>
      </c>
      <c r="N52" s="155">
        <f t="shared" si="32"/>
        <v>174533229.45800003</v>
      </c>
      <c r="O52" s="155">
        <f t="shared" si="32"/>
        <v>182817197.08634001</v>
      </c>
      <c r="P52" s="155"/>
      <c r="Q52" s="48">
        <f>SUM(D52:F52)</f>
        <v>494860981.24298</v>
      </c>
      <c r="R52" s="48">
        <f>SUM(G52:I52)</f>
        <v>481198491.796</v>
      </c>
      <c r="S52" s="48">
        <f>SUM(J52:L52)</f>
        <v>558084815.43599999</v>
      </c>
      <c r="T52" s="48">
        <f>SUM(M52:O52)</f>
        <v>537258017.34334004</v>
      </c>
      <c r="U52" s="202">
        <f>SUM(D52:O52)</f>
        <v>2071402305.81832</v>
      </c>
    </row>
    <row r="53" spans="1:21" ht="26.25">
      <c r="A53" s="46">
        <f t="shared" si="27"/>
        <v>39</v>
      </c>
      <c r="B53" s="20" t="s">
        <v>39</v>
      </c>
      <c r="C53" s="203" t="s">
        <v>162</v>
      </c>
      <c r="D53" s="271">
        <f>D25</f>
        <v>1.3599999999999999E-2</v>
      </c>
      <c r="E53" s="271">
        <f t="shared" ref="E53:O53" si="33">E25</f>
        <v>1.3599999999999999E-2</v>
      </c>
      <c r="F53" s="271">
        <f t="shared" si="33"/>
        <v>1.3599999999999999E-2</v>
      </c>
      <c r="G53" s="271">
        <f t="shared" si="33"/>
        <v>1.3599999999999999E-2</v>
      </c>
      <c r="H53" s="271">
        <f t="shared" si="33"/>
        <v>1.3599999999999999E-2</v>
      </c>
      <c r="I53" s="271">
        <f t="shared" si="33"/>
        <v>1.3599999999999999E-2</v>
      </c>
      <c r="J53" s="271">
        <f t="shared" si="33"/>
        <v>1.3599999999999999E-2</v>
      </c>
      <c r="K53" s="271">
        <f t="shared" si="33"/>
        <v>1.3599999999999999E-2</v>
      </c>
      <c r="L53" s="271">
        <f t="shared" si="33"/>
        <v>1.3599999999999999E-2</v>
      </c>
      <c r="M53" s="271">
        <f t="shared" si="33"/>
        <v>1.3599999999999999E-2</v>
      </c>
      <c r="N53" s="271">
        <f t="shared" si="33"/>
        <v>1.3599999999999999E-2</v>
      </c>
      <c r="O53" s="271">
        <f t="shared" si="33"/>
        <v>1.3426129032258066E-2</v>
      </c>
      <c r="P53" s="277" t="s">
        <v>176</v>
      </c>
      <c r="Q53" s="204"/>
      <c r="R53" s="208"/>
      <c r="S53" s="208"/>
      <c r="T53" s="208"/>
      <c r="U53" s="209"/>
    </row>
    <row r="54" spans="1:21">
      <c r="A54" s="46">
        <f t="shared" si="27"/>
        <v>40</v>
      </c>
      <c r="B54" s="20" t="s">
        <v>40</v>
      </c>
      <c r="C54" s="46" t="str">
        <f>"("&amp;A52&amp;") x ("&amp;A53&amp;")"</f>
        <v>(38) x (39)</v>
      </c>
      <c r="D54" s="49">
        <f t="shared" ref="D54:O54" si="34">D52*D53</f>
        <v>2268720.9779509278</v>
      </c>
      <c r="E54" s="49">
        <f t="shared" si="34"/>
        <v>2152570.5582344001</v>
      </c>
      <c r="F54" s="49">
        <f t="shared" si="34"/>
        <v>2308817.8087192001</v>
      </c>
      <c r="G54" s="49">
        <f t="shared" si="34"/>
        <v>2248008.4174335995</v>
      </c>
      <c r="H54" s="50">
        <f t="shared" si="34"/>
        <v>2031567.1928264</v>
      </c>
      <c r="I54" s="49">
        <f t="shared" si="34"/>
        <v>2264723.8781655999</v>
      </c>
      <c r="J54" s="49">
        <f t="shared" si="34"/>
        <v>2650364.8246311992</v>
      </c>
      <c r="K54" s="49">
        <f t="shared" si="34"/>
        <v>2689245.7190295998</v>
      </c>
      <c r="L54" s="49">
        <f t="shared" si="34"/>
        <v>2250342.9462688002</v>
      </c>
      <c r="M54" s="49">
        <f t="shared" si="34"/>
        <v>2446743.2348663998</v>
      </c>
      <c r="N54" s="49">
        <f t="shared" si="34"/>
        <v>2373651.9206288005</v>
      </c>
      <c r="O54" s="49">
        <f t="shared" si="34"/>
        <v>2454527.2773969541</v>
      </c>
      <c r="P54" s="49"/>
      <c r="Q54" s="49">
        <f>SUM(D54:F54)</f>
        <v>6730109.344904528</v>
      </c>
      <c r="R54" s="49">
        <f>SUM(G54:I54)</f>
        <v>6544299.4884255994</v>
      </c>
      <c r="S54" s="49">
        <f>SUM(J54:L54)</f>
        <v>7589953.4899295997</v>
      </c>
      <c r="T54" s="49">
        <f>SUM(M54:O54)</f>
        <v>7274922.4328921549</v>
      </c>
      <c r="U54" s="7">
        <f>SUM(D54:O54)</f>
        <v>28139284.756151885</v>
      </c>
    </row>
    <row r="55" spans="1:21">
      <c r="A55" s="46">
        <f t="shared" si="27"/>
        <v>41</v>
      </c>
      <c r="B55" s="20" t="s">
        <v>25</v>
      </c>
      <c r="C55" s="46" t="str">
        <f>"("&amp;A50&amp;") - ("&amp;A51&amp;") -("&amp;A54&amp;")"</f>
        <v>(36) - (37) -(40)</v>
      </c>
      <c r="D55" s="49">
        <f>D50-D51-D54</f>
        <v>14823774.649939075</v>
      </c>
      <c r="E55" s="49">
        <f t="shared" ref="E55:O55" si="35">E50-E51-E54</f>
        <v>13257519.477005605</v>
      </c>
      <c r="F55" s="49">
        <f t="shared" si="35"/>
        <v>14341692.304810803</v>
      </c>
      <c r="G55" s="49">
        <f t="shared" si="35"/>
        <v>14219459.190536397</v>
      </c>
      <c r="H55" s="50">
        <f t="shared" si="35"/>
        <v>12522879.405963598</v>
      </c>
      <c r="I55" s="49">
        <f t="shared" si="35"/>
        <v>13929916.865084399</v>
      </c>
      <c r="J55" s="49">
        <f t="shared" si="35"/>
        <v>16292491.689328805</v>
      </c>
      <c r="K55" s="49">
        <f t="shared" si="35"/>
        <v>15664076.076030402</v>
      </c>
      <c r="L55" s="49">
        <f t="shared" si="35"/>
        <v>13785822.519131199</v>
      </c>
      <c r="M55" s="49">
        <f t="shared" si="35"/>
        <v>14834681.041793603</v>
      </c>
      <c r="N55" s="49">
        <f t="shared" si="35"/>
        <v>14739993.088131201</v>
      </c>
      <c r="O55" s="49">
        <f t="shared" si="35"/>
        <v>15453498.117774986</v>
      </c>
      <c r="P55" s="49"/>
      <c r="Q55" s="49">
        <f>SUM(D55:F55)</f>
        <v>42422986.431755483</v>
      </c>
      <c r="R55" s="49">
        <f>SUM(G55:I55)</f>
        <v>40672255.461584389</v>
      </c>
      <c r="S55" s="49">
        <f>SUM(J55:L55)</f>
        <v>45742390.284490407</v>
      </c>
      <c r="T55" s="49">
        <f>SUM(M55:O55)</f>
        <v>45028172.24769979</v>
      </c>
      <c r="U55" s="7">
        <f>SUM(D55:O55)</f>
        <v>173865804.42553008</v>
      </c>
    </row>
    <row r="56" spans="1:21">
      <c r="A56" s="46">
        <v>42</v>
      </c>
      <c r="B56" s="46" t="s">
        <v>34</v>
      </c>
      <c r="C56" s="46" t="str">
        <f>"("&amp;A55&amp;") / ("&amp;A46&amp;")"</f>
        <v>(41) / (33)</v>
      </c>
      <c r="D56" s="18">
        <f>D55/D46</f>
        <v>410.93822664982326</v>
      </c>
      <c r="E56" s="18">
        <f t="shared" ref="E56:O56" si="36">E55/E46</f>
        <v>366.35126221414845</v>
      </c>
      <c r="F56" s="18">
        <f t="shared" si="36"/>
        <v>385.6848811297782</v>
      </c>
      <c r="G56" s="18">
        <f t="shared" si="36"/>
        <v>390.40852206184167</v>
      </c>
      <c r="H56" s="133">
        <f t="shared" si="36"/>
        <v>346.88455737967365</v>
      </c>
      <c r="I56" s="18">
        <f t="shared" si="36"/>
        <v>378.3144636235952</v>
      </c>
      <c r="J56" s="18">
        <f t="shared" si="36"/>
        <v>450.44212577630094</v>
      </c>
      <c r="K56" s="18">
        <f t="shared" si="36"/>
        <v>432.67342695440715</v>
      </c>
      <c r="L56" s="18">
        <f t="shared" si="36"/>
        <v>381.00275043891327</v>
      </c>
      <c r="M56" s="18">
        <f t="shared" si="36"/>
        <v>408.87164549345692</v>
      </c>
      <c r="N56" s="18">
        <f t="shared" si="36"/>
        <v>408.67231585148056</v>
      </c>
      <c r="O56" s="18">
        <f t="shared" si="36"/>
        <v>425.7279296337361</v>
      </c>
      <c r="P56" s="18"/>
      <c r="Q56" s="204">
        <f>Q55/Q46</f>
        <v>387.61568656465732</v>
      </c>
      <c r="R56" s="204">
        <f>R55/R46</f>
        <v>371.96604716842614</v>
      </c>
      <c r="S56" s="204">
        <f>S55/S46</f>
        <v>421.37136855162686</v>
      </c>
      <c r="T56" s="204">
        <f>T55/T46</f>
        <v>414.43706106544738</v>
      </c>
      <c r="U56" s="204">
        <f>U55/U46</f>
        <v>398.77935395022894</v>
      </c>
    </row>
    <row r="57" spans="1:21">
      <c r="A57" s="46">
        <v>43</v>
      </c>
      <c r="B57" s="20" t="s">
        <v>27</v>
      </c>
      <c r="C57" s="46" t="str">
        <f>"("&amp;A$55&amp;") - ("&amp;A55&amp;")"</f>
        <v>(41) - (41)</v>
      </c>
      <c r="D57" s="49">
        <f t="shared" ref="D57:O57" si="37">D48-D55</f>
        <v>-228016.69814329408</v>
      </c>
      <c r="E57" s="49">
        <f t="shared" si="37"/>
        <v>510549.93570553325</v>
      </c>
      <c r="F57" s="49">
        <f t="shared" si="37"/>
        <v>-508927.13643795624</v>
      </c>
      <c r="G57" s="49">
        <f t="shared" si="37"/>
        <v>-972026.88063676469</v>
      </c>
      <c r="H57" s="50">
        <f t="shared" si="37"/>
        <v>1663423.9754786827</v>
      </c>
      <c r="I57" s="49">
        <f t="shared" si="37"/>
        <v>1114566.3177216761</v>
      </c>
      <c r="J57" s="49">
        <f t="shared" si="37"/>
        <v>229697.65638708323</v>
      </c>
      <c r="K57" s="49">
        <f t="shared" si="37"/>
        <v>148610.08287568018</v>
      </c>
      <c r="L57" s="49">
        <f t="shared" si="37"/>
        <v>307462.63166747615</v>
      </c>
      <c r="M57" s="49">
        <f t="shared" si="37"/>
        <v>422529.12537157908</v>
      </c>
      <c r="N57" s="49">
        <f t="shared" si="37"/>
        <v>-1544293.4857112113</v>
      </c>
      <c r="O57" s="49">
        <f t="shared" si="37"/>
        <v>-779128.3455197569</v>
      </c>
      <c r="P57" s="49"/>
      <c r="Q57" s="49">
        <f>SUM(D57:F57)</f>
        <v>-226393.89887571707</v>
      </c>
      <c r="R57" s="49">
        <f>SUM(G57:I57)</f>
        <v>1805963.4125635941</v>
      </c>
      <c r="S57" s="49">
        <f>SUM(J57:L57)</f>
        <v>685770.37093023956</v>
      </c>
      <c r="T57" s="49">
        <f>SUM(M57:O57)</f>
        <v>-1900892.7058593892</v>
      </c>
      <c r="U57" s="7">
        <f>SUM(D57:O57)</f>
        <v>364447.17875872739</v>
      </c>
    </row>
    <row r="58" spans="1:21">
      <c r="A58" s="46">
        <v>44</v>
      </c>
      <c r="B58" s="20" t="s">
        <v>28</v>
      </c>
      <c r="C58" s="8" t="s">
        <v>29</v>
      </c>
      <c r="D58" s="166">
        <v>10017.103744436288</v>
      </c>
      <c r="E58" s="166">
        <v>-22429.198011908902</v>
      </c>
      <c r="F58" s="166">
        <v>22357.906090080007</v>
      </c>
      <c r="G58" s="166">
        <v>42702.548475639443</v>
      </c>
      <c r="H58" s="166">
        <v>-73076.624076369888</v>
      </c>
      <c r="I58" s="166">
        <v>-48964.512360651948</v>
      </c>
      <c r="J58" s="166">
        <v>-10090.950674311222</v>
      </c>
      <c r="K58" s="166">
        <v>-6528.6561456102017</v>
      </c>
      <c r="L58" s="166">
        <v>-13507.278651210876</v>
      </c>
      <c r="M58" s="166">
        <v>-18562.31634945071</v>
      </c>
      <c r="N58" s="166">
        <v>67843.049145921919</v>
      </c>
      <c r="O58" s="166">
        <v>34228.236318742012</v>
      </c>
      <c r="P58" s="49"/>
      <c r="Q58" s="49">
        <f>SUM(D58:F58)</f>
        <v>9945.811822607393</v>
      </c>
      <c r="R58" s="49">
        <f>SUM(G58:I58)</f>
        <v>-79338.587961382393</v>
      </c>
      <c r="S58" s="49">
        <f>SUM(J58:L58)</f>
        <v>-30126.8854711323</v>
      </c>
      <c r="T58" s="49">
        <f>SUM(M58:O58)</f>
        <v>83508.969115213229</v>
      </c>
      <c r="U58" s="7">
        <f>SUM(D58:O58)</f>
        <v>-16010.692494694085</v>
      </c>
    </row>
    <row r="59" spans="1:21">
      <c r="A59" s="46">
        <v>45</v>
      </c>
      <c r="B59" s="20"/>
      <c r="C59" s="46" t="s">
        <v>30</v>
      </c>
      <c r="D59" s="54">
        <f t="shared" ref="D59:O59" si="38">D31</f>
        <v>3.2500000000000001E-2</v>
      </c>
      <c r="E59" s="54">
        <f t="shared" si="38"/>
        <v>3.2500000000000001E-2</v>
      </c>
      <c r="F59" s="54">
        <f t="shared" si="38"/>
        <v>3.2500000000000001E-2</v>
      </c>
      <c r="G59" s="54">
        <f t="shared" si="38"/>
        <v>3.2500000000000001E-2</v>
      </c>
      <c r="H59" s="210">
        <f t="shared" si="38"/>
        <v>3.2500000000000001E-2</v>
      </c>
      <c r="I59" s="54">
        <f t="shared" si="38"/>
        <v>3.2500000000000001E-2</v>
      </c>
      <c r="J59" s="54">
        <f t="shared" si="38"/>
        <v>3.5999999999999997E-2</v>
      </c>
      <c r="K59" s="54">
        <f t="shared" si="38"/>
        <v>3.5999999999999997E-2</v>
      </c>
      <c r="L59" s="54">
        <f t="shared" si="38"/>
        <v>3.5999999999999997E-2</v>
      </c>
      <c r="M59" s="54">
        <f t="shared" si="38"/>
        <v>4.9099999999999998E-2</v>
      </c>
      <c r="N59" s="54">
        <f t="shared" si="38"/>
        <v>4.9099999999999998E-2</v>
      </c>
      <c r="O59" s="54">
        <f t="shared" si="38"/>
        <v>4.9099999999999998E-2</v>
      </c>
      <c r="P59" s="54"/>
      <c r="Q59" s="54"/>
      <c r="R59" s="54"/>
      <c r="S59" s="54"/>
      <c r="T59" s="54"/>
      <c r="U59" s="7"/>
    </row>
    <row r="60" spans="1:21" ht="14.45" customHeight="1">
      <c r="A60" s="46">
        <v>46</v>
      </c>
      <c r="B60" s="20" t="s">
        <v>31</v>
      </c>
      <c r="C60" s="46" t="s">
        <v>35</v>
      </c>
      <c r="D60" s="3">
        <f>(D57+D58)/2*D59/12</f>
        <v>-295.2077840817866</v>
      </c>
      <c r="E60" s="3">
        <f t="shared" ref="E60:N60" si="39">(D62+(E57+E58)/2)*E59/12</f>
        <v>69.781743047988286</v>
      </c>
      <c r="F60" s="3">
        <f t="shared" si="39"/>
        <v>72.071734799443703</v>
      </c>
      <c r="G60" s="3">
        <f t="shared" si="39"/>
        <v>-1845.0889368164142</v>
      </c>
      <c r="H60" s="134">
        <f t="shared" si="39"/>
        <v>-954.95071413118342</v>
      </c>
      <c r="I60" s="3">
        <f t="shared" si="39"/>
        <v>2639.0607774683967</v>
      </c>
      <c r="J60" s="3">
        <f t="shared" si="39"/>
        <v>4858.9972716773227</v>
      </c>
      <c r="K60" s="3">
        <f t="shared" si="39"/>
        <v>5416.1064621566175</v>
      </c>
      <c r="L60" s="3">
        <f t="shared" si="39"/>
        <v>6086.40995116259</v>
      </c>
      <c r="M60" s="3">
        <f t="shared" si="39"/>
        <v>9753.9228895004762</v>
      </c>
      <c r="N60" s="3">
        <f t="shared" si="39"/>
        <v>7599.7099359746326</v>
      </c>
      <c r="O60" s="3">
        <f>(N62+(O57+O58)/2)*O59/12</f>
        <v>3086.2924242490967</v>
      </c>
      <c r="P60" s="3"/>
      <c r="Q60" s="49">
        <f>SUM(D60:F60)</f>
        <v>-153.3543062343546</v>
      </c>
      <c r="R60" s="49">
        <f>SUM(G60:I60)</f>
        <v>-160.97887347920096</v>
      </c>
      <c r="S60" s="49">
        <f>SUM(J60:L60)</f>
        <v>16361.513684996531</v>
      </c>
      <c r="T60" s="49">
        <f>SUM(M60:O60)</f>
        <v>20439.925249724205</v>
      </c>
      <c r="U60" s="7">
        <f>SUM(D60:O60)</f>
        <v>36487.105755007186</v>
      </c>
    </row>
    <row r="61" spans="1:21" ht="15.75" thickBot="1">
      <c r="A61" s="46">
        <v>47</v>
      </c>
      <c r="B61" s="4" t="s">
        <v>36</v>
      </c>
      <c r="C61" s="46"/>
      <c r="D61" s="6">
        <f>D57+D58+D60</f>
        <v>-218294.80218293957</v>
      </c>
      <c r="E61" s="6">
        <f t="shared" ref="E61:U61" si="40">E57+E58+E60</f>
        <v>488190.51943667233</v>
      </c>
      <c r="F61" s="6">
        <f t="shared" si="40"/>
        <v>-486497.15861307684</v>
      </c>
      <c r="G61" s="6">
        <f t="shared" si="40"/>
        <v>-931169.4210979417</v>
      </c>
      <c r="H61" s="6">
        <f t="shared" si="40"/>
        <v>1589392.4006881816</v>
      </c>
      <c r="I61" s="6">
        <f t="shared" si="40"/>
        <v>1068240.8661384925</v>
      </c>
      <c r="J61" s="6">
        <f t="shared" si="40"/>
        <v>224465.70298444934</v>
      </c>
      <c r="K61" s="6">
        <f t="shared" si="40"/>
        <v>147497.53319222658</v>
      </c>
      <c r="L61" s="6">
        <f t="shared" si="40"/>
        <v>300041.76296742784</v>
      </c>
      <c r="M61" s="6">
        <f t="shared" si="40"/>
        <v>413720.7319116288</v>
      </c>
      <c r="N61" s="6">
        <f t="shared" si="40"/>
        <v>-1468850.7266293149</v>
      </c>
      <c r="O61" s="6">
        <f t="shared" si="40"/>
        <v>-741813.81677676574</v>
      </c>
      <c r="P61" s="6"/>
      <c r="Q61" s="51">
        <f t="shared" si="40"/>
        <v>-216601.44135934405</v>
      </c>
      <c r="R61" s="51">
        <f t="shared" si="40"/>
        <v>1726463.8457287324</v>
      </c>
      <c r="S61" s="51">
        <f t="shared" si="40"/>
        <v>672004.99914410373</v>
      </c>
      <c r="T61" s="51">
        <f t="shared" si="40"/>
        <v>-1796943.8114944517</v>
      </c>
      <c r="U61" s="51">
        <f t="shared" si="40"/>
        <v>384923.59201904049</v>
      </c>
    </row>
    <row r="62" spans="1:21" ht="26.25">
      <c r="A62" s="46">
        <v>48</v>
      </c>
      <c r="B62" s="156" t="s">
        <v>163</v>
      </c>
      <c r="C62" s="46" t="str">
        <f>"Σ(("&amp;A57&amp;") ,("&amp;A58&amp;") , ("&amp;A60&amp;"))"</f>
        <v>Σ((43) ,(44) , (46))</v>
      </c>
      <c r="D62" s="49">
        <f>D57+D58+D60</f>
        <v>-218294.80218293957</v>
      </c>
      <c r="E62" s="49">
        <f t="shared" ref="E62:O62" si="41">D62+E57+E58+E60</f>
        <v>269895.71725373273</v>
      </c>
      <c r="F62" s="49">
        <f t="shared" si="41"/>
        <v>-216601.44135934405</v>
      </c>
      <c r="G62" s="49">
        <f t="shared" si="41"/>
        <v>-1147770.8624572856</v>
      </c>
      <c r="H62" s="50">
        <f t="shared" si="41"/>
        <v>441621.53823089594</v>
      </c>
      <c r="I62" s="49">
        <f t="shared" si="41"/>
        <v>1509862.4043693885</v>
      </c>
      <c r="J62" s="49">
        <f t="shared" si="41"/>
        <v>1734328.1073538377</v>
      </c>
      <c r="K62" s="49">
        <f t="shared" si="41"/>
        <v>1881825.6405460644</v>
      </c>
      <c r="L62" s="49">
        <f t="shared" si="41"/>
        <v>2181867.4035134921</v>
      </c>
      <c r="M62" s="49">
        <f t="shared" si="41"/>
        <v>2595588.1354251211</v>
      </c>
      <c r="N62" s="49">
        <f t="shared" si="41"/>
        <v>1126737.4087958061</v>
      </c>
      <c r="O62" s="130">
        <f t="shared" si="41"/>
        <v>384923.59201904037</v>
      </c>
      <c r="P62" s="16"/>
      <c r="Q62" s="49"/>
      <c r="R62" s="49"/>
      <c r="S62" s="49"/>
      <c r="T62" s="49"/>
      <c r="U62" s="7"/>
    </row>
    <row r="63" spans="1:21" hidden="1">
      <c r="A63" s="46"/>
      <c r="B63" s="20"/>
      <c r="C63" s="46"/>
      <c r="D63" s="49"/>
      <c r="E63" s="49"/>
      <c r="F63" s="49"/>
      <c r="G63" s="49"/>
      <c r="H63" s="50"/>
      <c r="I63" s="49"/>
      <c r="J63" s="49"/>
      <c r="K63" s="49"/>
      <c r="L63" s="49"/>
      <c r="M63" s="49"/>
      <c r="N63" s="49"/>
      <c r="O63" s="16"/>
      <c r="P63" s="16"/>
      <c r="Q63" s="51">
        <f>Q59+Q60+Q62</f>
        <v>-153.3543062343546</v>
      </c>
      <c r="R63" s="51">
        <f>R59+R60+R62</f>
        <v>-160.97887347920096</v>
      </c>
      <c r="S63" s="51">
        <f>S59+S60+S62</f>
        <v>16361.513684996531</v>
      </c>
      <c r="T63" s="51">
        <f>T59+T60+T62</f>
        <v>20439.925249724205</v>
      </c>
      <c r="U63" s="51">
        <f>U59+U60+U62</f>
        <v>36487.105755007186</v>
      </c>
    </row>
    <row r="64" spans="1:21" ht="33" customHeight="1" thickBot="1">
      <c r="A64" s="1">
        <v>49</v>
      </c>
      <c r="B64" s="86" t="s">
        <v>165</v>
      </c>
      <c r="C64" s="1" t="str">
        <f>"("&amp;A$38&amp;") + ("&amp;A62&amp;")"</f>
        <v>(26) + (48)</v>
      </c>
      <c r="D64" s="7">
        <f t="shared" ref="D64:N64" si="42">D34+D62</f>
        <v>-3060828.6571107162</v>
      </c>
      <c r="E64" s="7">
        <f t="shared" si="42"/>
        <v>-5209895.6898327852</v>
      </c>
      <c r="F64" s="7">
        <f t="shared" si="42"/>
        <v>-5623071.5036960235</v>
      </c>
      <c r="G64" s="7">
        <f t="shared" si="42"/>
        <v>-8491429.8509098068</v>
      </c>
      <c r="H64" s="135">
        <f t="shared" si="42"/>
        <v>-6182821.3494410543</v>
      </c>
      <c r="I64" s="7">
        <f t="shared" si="42"/>
        <v>-4708565.9142288091</v>
      </c>
      <c r="J64" s="7">
        <f t="shared" si="42"/>
        <v>-4707410.8207622096</v>
      </c>
      <c r="K64" s="7">
        <f t="shared" si="42"/>
        <v>-9057636.7015577592</v>
      </c>
      <c r="L64" s="7">
        <f t="shared" si="42"/>
        <v>-8885161.0824868679</v>
      </c>
      <c r="M64" s="7">
        <f t="shared" si="42"/>
        <v>-6699884.6187177375</v>
      </c>
      <c r="N64" s="7">
        <f t="shared" si="42"/>
        <v>-10983973.392168256</v>
      </c>
      <c r="O64" s="129">
        <f>O34+O62</f>
        <v>-15740850.4938285</v>
      </c>
      <c r="P64" s="175"/>
      <c r="Q64" s="135"/>
      <c r="R64" s="135"/>
      <c r="S64" s="135"/>
      <c r="T64" s="135"/>
      <c r="U64" s="20"/>
    </row>
    <row r="65" spans="1:21" ht="33" customHeight="1">
      <c r="A65" s="295" t="s">
        <v>288</v>
      </c>
      <c r="B65" s="295"/>
      <c r="C65" s="295"/>
      <c r="D65" s="295"/>
      <c r="E65" s="295"/>
      <c r="F65" s="295"/>
      <c r="G65" s="295"/>
      <c r="H65" s="295"/>
      <c r="I65" s="295"/>
      <c r="J65" s="295"/>
      <c r="K65" s="295"/>
      <c r="L65" s="295"/>
      <c r="M65" s="295"/>
      <c r="N65" s="295"/>
      <c r="O65" s="295"/>
      <c r="P65" s="295"/>
      <c r="Q65" s="295"/>
      <c r="R65" s="295"/>
      <c r="S65" s="295"/>
      <c r="T65" s="295"/>
      <c r="U65" s="295"/>
    </row>
  </sheetData>
  <mergeCells count="2">
    <mergeCell ref="A35:U35"/>
    <mergeCell ref="A65:U65"/>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95"/>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topLeftCell="A31" workbookViewId="0">
      <selection activeCell="S29" sqref="S29"/>
    </sheetView>
  </sheetViews>
  <sheetFormatPr defaultRowHeight="15"/>
  <cols>
    <col min="1" max="1" width="7.28515625" style="201" customWidth="1"/>
    <col min="2" max="2" width="38.42578125" style="201" customWidth="1"/>
    <col min="3" max="3" width="18.7109375" style="201" customWidth="1"/>
    <col min="4" max="4" width="13.28515625" style="201" hidden="1" customWidth="1"/>
    <col min="5" max="5" width="12.140625" style="201" hidden="1" customWidth="1"/>
    <col min="6" max="6" width="12.42578125" style="201" hidden="1" customWidth="1"/>
    <col min="7" max="7" width="12.140625" style="201" hidden="1" customWidth="1"/>
    <col min="8" max="8" width="11.7109375" style="201" hidden="1" customWidth="1"/>
    <col min="9" max="9" width="12" style="201" hidden="1" customWidth="1"/>
    <col min="10" max="10" width="11.28515625" style="201" hidden="1" customWidth="1"/>
    <col min="11" max="11" width="11.85546875" style="201" hidden="1" customWidth="1"/>
    <col min="12" max="12" width="11.28515625" style="201" hidden="1" customWidth="1"/>
    <col min="13" max="13" width="12.28515625" style="201" customWidth="1"/>
    <col min="14" max="14" width="13.28515625" style="201" bestFit="1" customWidth="1"/>
    <col min="15" max="15" width="12.28515625" style="201" customWidth="1"/>
    <col min="16" max="16" width="4.28515625" style="201" customWidth="1"/>
    <col min="17" max="17" width="12.5703125" style="201" customWidth="1"/>
    <col min="18" max="18" width="11.28515625" style="201" customWidth="1"/>
    <col min="19" max="19" width="11" style="201" bestFit="1" customWidth="1"/>
    <col min="20" max="21" width="11.28515625" style="201" customWidth="1"/>
    <col min="22" max="16384" width="9.140625" style="201"/>
  </cols>
  <sheetData>
    <row r="1" spans="1:21" ht="15.75">
      <c r="A1" s="87" t="s">
        <v>0</v>
      </c>
      <c r="B1" s="87"/>
      <c r="C1" s="87"/>
      <c r="D1" s="87"/>
      <c r="E1" s="87"/>
      <c r="F1" s="87"/>
      <c r="G1" s="87"/>
      <c r="H1" s="87"/>
      <c r="I1" s="87"/>
      <c r="J1" s="87"/>
      <c r="K1" s="87"/>
      <c r="L1" s="87"/>
      <c r="M1" s="87"/>
      <c r="N1" s="87"/>
      <c r="O1" s="87"/>
      <c r="P1" s="87"/>
      <c r="Q1" s="87"/>
      <c r="R1" s="87"/>
      <c r="S1" s="87"/>
      <c r="T1" s="87"/>
      <c r="U1" s="87"/>
    </row>
    <row r="2" spans="1:21" ht="18.75" customHeight="1">
      <c r="A2" s="157" t="s">
        <v>284</v>
      </c>
      <c r="B2" s="157"/>
      <c r="C2" s="157"/>
      <c r="D2" s="157"/>
      <c r="E2" s="157"/>
      <c r="F2" s="157"/>
      <c r="G2" s="157"/>
      <c r="H2" s="157"/>
      <c r="I2" s="157"/>
      <c r="J2" s="157"/>
      <c r="K2" s="157"/>
      <c r="L2" s="157"/>
      <c r="M2" s="157"/>
      <c r="N2" s="157"/>
      <c r="O2" s="275"/>
      <c r="P2" s="157"/>
      <c r="Q2" s="89"/>
      <c r="R2" s="89"/>
      <c r="S2" s="89"/>
      <c r="T2" s="89"/>
      <c r="U2" s="89"/>
    </row>
    <row r="3" spans="1:21" ht="21.75" customHeight="1">
      <c r="A3" s="87" t="s">
        <v>285</v>
      </c>
      <c r="B3" s="87"/>
      <c r="C3" s="87"/>
      <c r="D3" s="87"/>
      <c r="E3" s="87"/>
      <c r="F3" s="87"/>
      <c r="G3" s="87"/>
      <c r="H3" s="87"/>
      <c r="I3" s="87"/>
      <c r="J3" s="87"/>
      <c r="K3" s="87"/>
      <c r="L3" s="87"/>
      <c r="M3" s="87"/>
      <c r="N3" s="87"/>
      <c r="O3" s="285"/>
      <c r="P3" s="87"/>
      <c r="Q3" s="88"/>
      <c r="R3" s="88"/>
      <c r="S3" s="88"/>
      <c r="T3" s="88"/>
      <c r="U3" s="88"/>
    </row>
    <row r="4" spans="1:21" ht="15" customHeight="1">
      <c r="A4" s="88"/>
      <c r="B4" s="58"/>
      <c r="C4" s="58"/>
      <c r="D4" s="58"/>
      <c r="E4" s="58"/>
      <c r="F4" s="58"/>
      <c r="G4" s="58"/>
      <c r="H4" s="58"/>
      <c r="I4" s="58"/>
      <c r="J4" s="58"/>
      <c r="K4" s="58"/>
      <c r="L4" s="58"/>
      <c r="M4" s="58"/>
      <c r="N4" s="58"/>
      <c r="O4" s="285"/>
      <c r="P4" s="58"/>
      <c r="Q4" s="58"/>
      <c r="R4" s="45"/>
      <c r="S4" s="58"/>
      <c r="T4" s="58"/>
      <c r="U4" s="211"/>
    </row>
    <row r="5" spans="1:21" ht="30" customHeight="1">
      <c r="A5" s="20"/>
      <c r="B5" s="20"/>
      <c r="C5" s="20"/>
      <c r="D5" s="189"/>
      <c r="E5" s="189"/>
      <c r="F5" s="189"/>
      <c r="G5" s="4"/>
      <c r="H5" s="4"/>
      <c r="I5" s="4"/>
      <c r="J5" s="4"/>
      <c r="K5" s="4"/>
      <c r="L5" s="4"/>
      <c r="M5" s="4"/>
      <c r="N5" s="4"/>
      <c r="O5" s="284" t="s">
        <v>287</v>
      </c>
      <c r="P5" s="4"/>
      <c r="Q5" s="212" t="s">
        <v>152</v>
      </c>
      <c r="R5" s="212" t="s">
        <v>153</v>
      </c>
      <c r="S5" s="212" t="s">
        <v>154</v>
      </c>
      <c r="T5" s="212" t="s">
        <v>155</v>
      </c>
      <c r="U5" s="44" t="s">
        <v>185</v>
      </c>
    </row>
    <row r="6" spans="1:21" ht="25.5">
      <c r="A6" s="81" t="s">
        <v>1</v>
      </c>
      <c r="B6" s="82"/>
      <c r="C6" s="78" t="s">
        <v>2</v>
      </c>
      <c r="D6" s="90">
        <v>44562</v>
      </c>
      <c r="E6" s="83">
        <f t="shared" ref="E6:O6" si="0">EDATE(D6,1)</f>
        <v>44593</v>
      </c>
      <c r="F6" s="83">
        <f t="shared" si="0"/>
        <v>44621</v>
      </c>
      <c r="G6" s="83">
        <f t="shared" si="0"/>
        <v>44652</v>
      </c>
      <c r="H6" s="83">
        <f t="shared" si="0"/>
        <v>44682</v>
      </c>
      <c r="I6" s="83">
        <f t="shared" si="0"/>
        <v>44713</v>
      </c>
      <c r="J6" s="83">
        <f t="shared" si="0"/>
        <v>44743</v>
      </c>
      <c r="K6" s="83">
        <f t="shared" si="0"/>
        <v>44774</v>
      </c>
      <c r="L6" s="83">
        <f t="shared" si="0"/>
        <v>44805</v>
      </c>
      <c r="M6" s="83">
        <f t="shared" si="0"/>
        <v>44835</v>
      </c>
      <c r="N6" s="83">
        <f t="shared" si="0"/>
        <v>44866</v>
      </c>
      <c r="O6" s="83">
        <f t="shared" si="0"/>
        <v>44896</v>
      </c>
      <c r="P6" s="83"/>
      <c r="Q6" s="83" t="s">
        <v>3</v>
      </c>
      <c r="R6" s="15" t="s">
        <v>3</v>
      </c>
      <c r="S6" s="15" t="s">
        <v>3</v>
      </c>
      <c r="T6" s="15" t="s">
        <v>3</v>
      </c>
      <c r="U6" s="15" t="s">
        <v>3</v>
      </c>
    </row>
    <row r="7" spans="1:21">
      <c r="A7" s="46"/>
      <c r="B7" s="46" t="s">
        <v>4</v>
      </c>
      <c r="C7" s="46" t="s">
        <v>5</v>
      </c>
      <c r="D7" s="46" t="s">
        <v>6</v>
      </c>
      <c r="E7" s="46" t="s">
        <v>7</v>
      </c>
      <c r="F7" s="46" t="s">
        <v>8</v>
      </c>
      <c r="G7" s="46" t="s">
        <v>9</v>
      </c>
      <c r="H7" s="131" t="s">
        <v>10</v>
      </c>
      <c r="I7" s="46" t="s">
        <v>11</v>
      </c>
      <c r="J7" s="46" t="s">
        <v>12</v>
      </c>
      <c r="K7" s="46" t="s">
        <v>13</v>
      </c>
      <c r="L7" s="46" t="s">
        <v>14</v>
      </c>
      <c r="M7" s="46" t="s">
        <v>15</v>
      </c>
      <c r="N7" s="46" t="s">
        <v>16</v>
      </c>
      <c r="O7" s="46" t="s">
        <v>17</v>
      </c>
      <c r="P7" s="46"/>
      <c r="Q7" s="46" t="s">
        <v>18</v>
      </c>
      <c r="R7" s="46"/>
      <c r="S7" s="46"/>
      <c r="T7" s="46"/>
      <c r="U7" s="46" t="s">
        <v>18</v>
      </c>
    </row>
    <row r="8" spans="1:21">
      <c r="A8" s="46"/>
      <c r="B8" s="1" t="s">
        <v>19</v>
      </c>
      <c r="C8" s="46"/>
      <c r="D8" s="46"/>
      <c r="E8" s="46"/>
      <c r="F8" s="46"/>
      <c r="G8" s="46"/>
      <c r="H8" s="131"/>
      <c r="I8" s="46"/>
      <c r="J8" s="46"/>
      <c r="K8" s="46"/>
      <c r="L8" s="46"/>
      <c r="M8" s="46"/>
      <c r="N8" s="46"/>
      <c r="O8" s="46"/>
      <c r="P8" s="46"/>
      <c r="Q8" s="49"/>
      <c r="R8" s="49"/>
      <c r="S8" s="49"/>
      <c r="T8" s="49"/>
      <c r="U8" s="49"/>
    </row>
    <row r="9" spans="1:21">
      <c r="A9" s="46">
        <v>1</v>
      </c>
      <c r="B9" s="20" t="s">
        <v>20</v>
      </c>
      <c r="C9" s="46" t="s">
        <v>21</v>
      </c>
      <c r="D9" s="159">
        <v>171222</v>
      </c>
      <c r="E9" s="159">
        <v>172123</v>
      </c>
      <c r="F9" s="159">
        <v>172311</v>
      </c>
      <c r="G9" s="159">
        <v>171878</v>
      </c>
      <c r="H9" s="160">
        <v>171972</v>
      </c>
      <c r="I9" s="159">
        <v>172276</v>
      </c>
      <c r="J9" s="159">
        <v>171944</v>
      </c>
      <c r="K9" s="159">
        <v>172697</v>
      </c>
      <c r="L9" s="159">
        <v>172525</v>
      </c>
      <c r="M9" s="159">
        <v>173078</v>
      </c>
      <c r="N9" s="159">
        <v>173064</v>
      </c>
      <c r="O9" s="159">
        <v>173277</v>
      </c>
      <c r="P9" s="159"/>
      <c r="Q9" s="48">
        <f t="shared" ref="Q9:Q16" si="1">SUM(D9:F9)</f>
        <v>515656</v>
      </c>
      <c r="R9" s="48">
        <f t="shared" ref="R9:R16" si="2">SUM(G9:I9)</f>
        <v>516126</v>
      </c>
      <c r="S9" s="48">
        <f t="shared" ref="S9:S16" si="3">SUM(J9:L9)</f>
        <v>517166</v>
      </c>
      <c r="T9" s="48">
        <f t="shared" ref="T9:T16" si="4">SUM(M9:O9)</f>
        <v>519419</v>
      </c>
      <c r="U9" s="48">
        <f t="shared" ref="U9:U16" si="5">SUM(D9:O9)</f>
        <v>2068367</v>
      </c>
    </row>
    <row r="10" spans="1:21">
      <c r="A10" s="46">
        <v>2</v>
      </c>
      <c r="B10" s="2" t="s">
        <v>166</v>
      </c>
      <c r="C10" s="46" t="s">
        <v>21</v>
      </c>
      <c r="D10" s="159">
        <v>24141719.285850003</v>
      </c>
      <c r="E10" s="159">
        <v>19934381.032260001</v>
      </c>
      <c r="F10" s="159">
        <v>14505565.643169999</v>
      </c>
      <c r="G10" s="159">
        <v>12164375.608140001</v>
      </c>
      <c r="H10" s="160">
        <v>7551452.9439199995</v>
      </c>
      <c r="I10" s="159">
        <v>3523739.1823399998</v>
      </c>
      <c r="J10" s="159">
        <v>2229893.8391499999</v>
      </c>
      <c r="K10" s="159">
        <v>1990697.8205299999</v>
      </c>
      <c r="L10" s="159">
        <v>2613036.3139500003</v>
      </c>
      <c r="M10" s="159">
        <v>5706305.2553700004</v>
      </c>
      <c r="N10" s="159">
        <v>21188426.636220001</v>
      </c>
      <c r="O10" s="159">
        <v>26644710.494570002</v>
      </c>
      <c r="P10" s="159"/>
      <c r="Q10" s="48">
        <f t="shared" si="1"/>
        <v>58581665.961280003</v>
      </c>
      <c r="R10" s="48">
        <f t="shared" si="2"/>
        <v>23239567.7344</v>
      </c>
      <c r="S10" s="48">
        <f t="shared" si="3"/>
        <v>6833627.9736299999</v>
      </c>
      <c r="T10" s="48">
        <f t="shared" si="4"/>
        <v>53539442.386160001</v>
      </c>
      <c r="U10" s="48">
        <f t="shared" si="5"/>
        <v>142194304.05546999</v>
      </c>
    </row>
    <row r="11" spans="1:21">
      <c r="A11" s="46">
        <v>3</v>
      </c>
      <c r="B11" s="20" t="s">
        <v>37</v>
      </c>
      <c r="C11" s="46" t="s">
        <v>21</v>
      </c>
      <c r="D11" s="161">
        <v>16278379.722099971</v>
      </c>
      <c r="E11" s="161">
        <v>12143142.059290001</v>
      </c>
      <c r="F11" s="161">
        <v>9194876.0842800364</v>
      </c>
      <c r="G11" s="161">
        <v>7613021.0769199962</v>
      </c>
      <c r="H11" s="162">
        <v>5236420.0311400043</v>
      </c>
      <c r="I11" s="161">
        <v>3052464.4529400049</v>
      </c>
      <c r="J11" s="161">
        <v>2735719.1698700013</v>
      </c>
      <c r="K11" s="161">
        <v>2495087.2214599978</v>
      </c>
      <c r="L11" s="161">
        <v>2973592.8915200005</v>
      </c>
      <c r="M11" s="161">
        <v>4046730.7687799982</v>
      </c>
      <c r="N11" s="161">
        <v>9960872.5780300014</v>
      </c>
      <c r="O11" s="161">
        <v>16063880.036999954</v>
      </c>
      <c r="P11" s="161"/>
      <c r="Q11" s="49">
        <f t="shared" si="1"/>
        <v>37616397.86567001</v>
      </c>
      <c r="R11" s="49">
        <f t="shared" si="2"/>
        <v>15901905.561000004</v>
      </c>
      <c r="S11" s="49">
        <f t="shared" si="3"/>
        <v>8204399.2828499991</v>
      </c>
      <c r="T11" s="49">
        <f t="shared" si="4"/>
        <v>30071483.383809954</v>
      </c>
      <c r="U11" s="49">
        <f t="shared" si="5"/>
        <v>91794186.093329981</v>
      </c>
    </row>
    <row r="12" spans="1:21">
      <c r="A12" s="46">
        <v>4</v>
      </c>
      <c r="B12" s="20" t="s">
        <v>24</v>
      </c>
      <c r="C12" s="46" t="s">
        <v>21</v>
      </c>
      <c r="D12" s="161">
        <v>1582909</v>
      </c>
      <c r="E12" s="161">
        <v>1580809.5</v>
      </c>
      <c r="F12" s="161">
        <v>1785306.5</v>
      </c>
      <c r="G12" s="161">
        <v>1651166.5</v>
      </c>
      <c r="H12" s="162">
        <v>1647338</v>
      </c>
      <c r="I12" s="161">
        <v>1675181.5</v>
      </c>
      <c r="J12" s="161">
        <v>1656961.5</v>
      </c>
      <c r="K12" s="161">
        <v>1668095.5</v>
      </c>
      <c r="L12" s="161">
        <v>1661350.5</v>
      </c>
      <c r="M12" s="161">
        <v>1664609</v>
      </c>
      <c r="N12" s="161">
        <v>1657075.5</v>
      </c>
      <c r="O12" s="161">
        <v>1664875</v>
      </c>
      <c r="P12" s="161"/>
      <c r="Q12" s="49">
        <f t="shared" si="1"/>
        <v>4949025</v>
      </c>
      <c r="R12" s="49">
        <f t="shared" si="2"/>
        <v>4973686</v>
      </c>
      <c r="S12" s="49">
        <f t="shared" si="3"/>
        <v>4986407.5</v>
      </c>
      <c r="T12" s="49">
        <f t="shared" si="4"/>
        <v>4986559.5</v>
      </c>
      <c r="U12" s="49">
        <f t="shared" si="5"/>
        <v>19895678</v>
      </c>
    </row>
    <row r="13" spans="1:21" ht="30" customHeight="1">
      <c r="A13" s="46">
        <v>5</v>
      </c>
      <c r="B13" s="20" t="s">
        <v>157</v>
      </c>
      <c r="C13" s="46" t="s">
        <v>21</v>
      </c>
      <c r="D13" s="159">
        <v>5027</v>
      </c>
      <c r="E13" s="159">
        <v>4919</v>
      </c>
      <c r="F13" s="159">
        <v>5319</v>
      </c>
      <c r="G13" s="159">
        <v>5486</v>
      </c>
      <c r="H13" s="160">
        <v>5626</v>
      </c>
      <c r="I13" s="159">
        <v>5909</v>
      </c>
      <c r="J13" s="159">
        <v>6020</v>
      </c>
      <c r="K13" s="159">
        <v>6131</v>
      </c>
      <c r="L13" s="159">
        <v>6263</v>
      </c>
      <c r="M13" s="159">
        <v>6507</v>
      </c>
      <c r="N13" s="159">
        <v>6548</v>
      </c>
      <c r="O13" s="159">
        <v>5495</v>
      </c>
      <c r="P13" s="283"/>
      <c r="Q13" s="48">
        <f t="shared" si="1"/>
        <v>15265</v>
      </c>
      <c r="R13" s="48">
        <f t="shared" si="2"/>
        <v>17021</v>
      </c>
      <c r="S13" s="48">
        <f t="shared" si="3"/>
        <v>18414</v>
      </c>
      <c r="T13" s="48">
        <f t="shared" si="4"/>
        <v>18550</v>
      </c>
      <c r="U13" s="48">
        <f t="shared" si="5"/>
        <v>69250</v>
      </c>
    </row>
    <row r="14" spans="1:21">
      <c r="A14" s="46">
        <v>6</v>
      </c>
      <c r="B14" s="2" t="s">
        <v>167</v>
      </c>
      <c r="C14" s="46" t="s">
        <v>21</v>
      </c>
      <c r="D14" s="159">
        <v>733867.36242000002</v>
      </c>
      <c r="E14" s="159">
        <v>586309.63888999994</v>
      </c>
      <c r="F14" s="159">
        <v>484748.65026999998</v>
      </c>
      <c r="G14" s="159">
        <v>359958.57377000002</v>
      </c>
      <c r="H14" s="160">
        <v>276700.79408999998</v>
      </c>
      <c r="I14" s="159">
        <v>147883</v>
      </c>
      <c r="J14" s="159">
        <v>68159.382221000007</v>
      </c>
      <c r="K14" s="159">
        <v>46312.418279999998</v>
      </c>
      <c r="L14" s="159">
        <v>52211.891150000003</v>
      </c>
      <c r="M14" s="159">
        <v>97213.685409999991</v>
      </c>
      <c r="N14" s="159">
        <v>418653.3149</v>
      </c>
      <c r="O14" s="159">
        <v>704118.00869451603</v>
      </c>
      <c r="P14" s="159"/>
      <c r="Q14" s="48">
        <f t="shared" si="1"/>
        <v>1804925.6515799998</v>
      </c>
      <c r="R14" s="48">
        <f t="shared" si="2"/>
        <v>784542.36786</v>
      </c>
      <c r="S14" s="48">
        <f t="shared" si="3"/>
        <v>166683.691651</v>
      </c>
      <c r="T14" s="48">
        <f t="shared" si="4"/>
        <v>1219985.0090045161</v>
      </c>
      <c r="U14" s="48">
        <f t="shared" si="5"/>
        <v>3976136.7200955157</v>
      </c>
    </row>
    <row r="15" spans="1:21">
      <c r="A15" s="46">
        <v>7</v>
      </c>
      <c r="B15" s="20" t="s">
        <v>159</v>
      </c>
      <c r="C15" s="46" t="s">
        <v>21</v>
      </c>
      <c r="D15" s="161">
        <v>445830.37</v>
      </c>
      <c r="E15" s="161">
        <v>358009.51</v>
      </c>
      <c r="F15" s="161">
        <v>300612.57</v>
      </c>
      <c r="G15" s="161">
        <v>232206.01</v>
      </c>
      <c r="H15" s="162">
        <v>189753.3</v>
      </c>
      <c r="I15" s="161">
        <v>127267.78</v>
      </c>
      <c r="J15" s="161">
        <v>90170.53</v>
      </c>
      <c r="K15" s="161">
        <v>80566.33</v>
      </c>
      <c r="L15" s="161">
        <v>84774.29</v>
      </c>
      <c r="M15" s="161">
        <v>110000.44</v>
      </c>
      <c r="N15" s="161">
        <v>274521.15999999997</v>
      </c>
      <c r="O15" s="161">
        <v>433567.24516129028</v>
      </c>
      <c r="P15" s="161"/>
      <c r="Q15" s="49">
        <f t="shared" si="1"/>
        <v>1104452.45</v>
      </c>
      <c r="R15" s="49">
        <f t="shared" si="2"/>
        <v>549227.09</v>
      </c>
      <c r="S15" s="49">
        <f t="shared" si="3"/>
        <v>255511.14999999997</v>
      </c>
      <c r="T15" s="49">
        <f t="shared" si="4"/>
        <v>818088.84516129026</v>
      </c>
      <c r="U15" s="49">
        <f t="shared" si="5"/>
        <v>2727279.5351612903</v>
      </c>
    </row>
    <row r="16" spans="1:21">
      <c r="A16" s="46">
        <v>8</v>
      </c>
      <c r="B16" s="20" t="s">
        <v>168</v>
      </c>
      <c r="C16" s="46" t="s">
        <v>21</v>
      </c>
      <c r="D16" s="161">
        <v>47889.5</v>
      </c>
      <c r="E16" s="161">
        <v>46673.5</v>
      </c>
      <c r="F16" s="161">
        <v>50530.5</v>
      </c>
      <c r="G16" s="161">
        <v>51984</v>
      </c>
      <c r="H16" s="162">
        <v>53447</v>
      </c>
      <c r="I16" s="161">
        <v>56040.5</v>
      </c>
      <c r="J16" s="161">
        <v>57256.5</v>
      </c>
      <c r="K16" s="161">
        <v>58373.440000000002</v>
      </c>
      <c r="L16" s="161">
        <v>59655.94</v>
      </c>
      <c r="M16" s="161">
        <v>62339</v>
      </c>
      <c r="N16" s="161">
        <v>62481.5</v>
      </c>
      <c r="O16" s="161">
        <v>52033.338709677424</v>
      </c>
      <c r="P16" s="161"/>
      <c r="Q16" s="49">
        <f t="shared" si="1"/>
        <v>145093.5</v>
      </c>
      <c r="R16" s="49">
        <f t="shared" si="2"/>
        <v>161471.5</v>
      </c>
      <c r="S16" s="49">
        <f t="shared" si="3"/>
        <v>175285.88</v>
      </c>
      <c r="T16" s="49">
        <f t="shared" si="4"/>
        <v>176853.83870967742</v>
      </c>
      <c r="U16" s="49">
        <f t="shared" si="5"/>
        <v>658704.71870967746</v>
      </c>
    </row>
    <row r="17" spans="1:21">
      <c r="A17" s="46"/>
      <c r="B17" s="1"/>
      <c r="C17" s="46"/>
      <c r="D17" s="46"/>
      <c r="E17" s="46"/>
      <c r="F17" s="46"/>
      <c r="G17" s="46"/>
      <c r="H17" s="131"/>
      <c r="I17" s="46"/>
      <c r="J17" s="46"/>
      <c r="K17" s="46"/>
      <c r="L17" s="46"/>
      <c r="M17" s="46"/>
      <c r="N17" s="46"/>
      <c r="O17" s="46"/>
      <c r="P17" s="46"/>
      <c r="Q17" s="49"/>
      <c r="R17" s="49"/>
      <c r="S17" s="49"/>
      <c r="T17" s="49"/>
      <c r="U17" s="49"/>
    </row>
    <row r="18" spans="1:21">
      <c r="A18" s="46">
        <v>9</v>
      </c>
      <c r="B18" s="20" t="s">
        <v>169</v>
      </c>
      <c r="C18" s="46" t="str">
        <f>"("&amp;A9&amp;") - ("&amp;A13&amp;")"</f>
        <v>(1) - (5)</v>
      </c>
      <c r="D18" s="163">
        <f>D9-D13</f>
        <v>166195</v>
      </c>
      <c r="E18" s="163">
        <f>E9-E13</f>
        <v>167204</v>
      </c>
      <c r="F18" s="163">
        <f>F9-F13</f>
        <v>166992</v>
      </c>
      <c r="G18" s="163">
        <f>G9-G13</f>
        <v>166392</v>
      </c>
      <c r="H18" s="48">
        <f t="shared" ref="H18:O18" si="6">H9-H13</f>
        <v>166346</v>
      </c>
      <c r="I18" s="48">
        <f>I9-I13</f>
        <v>166367</v>
      </c>
      <c r="J18" s="48">
        <f t="shared" si="6"/>
        <v>165924</v>
      </c>
      <c r="K18" s="48">
        <f t="shared" si="6"/>
        <v>166566</v>
      </c>
      <c r="L18" s="48">
        <f t="shared" si="6"/>
        <v>166262</v>
      </c>
      <c r="M18" s="48">
        <f t="shared" si="6"/>
        <v>166571</v>
      </c>
      <c r="N18" s="48">
        <f t="shared" si="6"/>
        <v>166516</v>
      </c>
      <c r="O18" s="48">
        <f t="shared" si="6"/>
        <v>167782</v>
      </c>
      <c r="P18" s="48"/>
      <c r="Q18" s="48">
        <f>SUM(D18:F18)</f>
        <v>500391</v>
      </c>
      <c r="R18" s="48">
        <f>SUM(G18:I18)</f>
        <v>499105</v>
      </c>
      <c r="S18" s="48">
        <f>SUM(J18:L18)</f>
        <v>498752</v>
      </c>
      <c r="T18" s="48">
        <f>SUM(M18:O18)</f>
        <v>500869</v>
      </c>
      <c r="U18" s="48">
        <f>SUM(D18:O18)</f>
        <v>1999117</v>
      </c>
    </row>
    <row r="19" spans="1:21">
      <c r="A19" s="213">
        <f t="shared" ref="A19:A20" si="7">A18+1</f>
        <v>10</v>
      </c>
      <c r="B19" s="77" t="s">
        <v>22</v>
      </c>
      <c r="C19" s="203" t="s">
        <v>86</v>
      </c>
      <c r="D19" s="272">
        <v>68.61506047911233</v>
      </c>
      <c r="E19" s="272">
        <v>55.501459135783328</v>
      </c>
      <c r="F19" s="272">
        <v>47.890271191029953</v>
      </c>
      <c r="G19" s="272">
        <v>29.045402159241025</v>
      </c>
      <c r="H19" s="273">
        <v>19.216007768708845</v>
      </c>
      <c r="I19" s="272">
        <v>9.7609108191444633</v>
      </c>
      <c r="J19" s="272">
        <v>8.4599427669534624</v>
      </c>
      <c r="K19" s="272">
        <v>8.419549181977569</v>
      </c>
      <c r="L19" s="272">
        <v>8.6230940489402279</v>
      </c>
      <c r="M19" s="272">
        <v>31.595218326471958</v>
      </c>
      <c r="N19" s="272">
        <v>53.329025330411902</v>
      </c>
      <c r="O19" s="272">
        <v>72.832996082023513</v>
      </c>
      <c r="P19" s="277" t="s">
        <v>176</v>
      </c>
      <c r="Q19" s="91">
        <f>Q20/Q18</f>
        <v>57.316854452614187</v>
      </c>
      <c r="R19" s="91">
        <f>R20/R18</f>
        <v>19.341264933476282</v>
      </c>
      <c r="S19" s="91">
        <f>S20/S18</f>
        <v>8.5008401680076719</v>
      </c>
      <c r="T19" s="91">
        <f>T20/T18</f>
        <v>52.363122457991402</v>
      </c>
      <c r="U19" s="91">
        <f>U20/U18</f>
        <v>34.41571252153156</v>
      </c>
    </row>
    <row r="20" spans="1:21">
      <c r="A20" s="46">
        <f t="shared" si="7"/>
        <v>11</v>
      </c>
      <c r="B20" s="20" t="s">
        <v>23</v>
      </c>
      <c r="C20" s="46" t="str">
        <f>"("&amp;A18&amp;") x ("&amp;A19&amp;")"</f>
        <v>(9) x (10)</v>
      </c>
      <c r="D20" s="49">
        <f t="shared" ref="D20:N20" si="8">D18*D19</f>
        <v>11403479.976326074</v>
      </c>
      <c r="E20" s="49">
        <f t="shared" si="8"/>
        <v>9280065.9733395148</v>
      </c>
      <c r="F20" s="49">
        <f t="shared" si="8"/>
        <v>7997292.1667324742</v>
      </c>
      <c r="G20" s="49">
        <f t="shared" si="8"/>
        <v>4832922.5560804326</v>
      </c>
      <c r="H20" s="50">
        <f t="shared" si="8"/>
        <v>3196506.0282936417</v>
      </c>
      <c r="I20" s="49">
        <f t="shared" si="8"/>
        <v>1623893.450248607</v>
      </c>
      <c r="J20" s="49">
        <f t="shared" si="8"/>
        <v>1403707.5436639863</v>
      </c>
      <c r="K20" s="49">
        <f t="shared" si="8"/>
        <v>1402410.6290452757</v>
      </c>
      <c r="L20" s="49">
        <f t="shared" si="8"/>
        <v>1433692.8627649001</v>
      </c>
      <c r="M20" s="49">
        <f t="shared" si="8"/>
        <v>5262847.1118587609</v>
      </c>
      <c r="N20" s="49">
        <f t="shared" si="8"/>
        <v>8880135.9819188677</v>
      </c>
      <c r="O20" s="166">
        <f>O18*O19-135984.06</f>
        <v>12084081.688634068</v>
      </c>
      <c r="P20" s="278" t="s">
        <v>179</v>
      </c>
      <c r="Q20" s="49">
        <f>SUM(D20:F20)</f>
        <v>28680838.116398066</v>
      </c>
      <c r="R20" s="49">
        <f>SUM(G20:I20)</f>
        <v>9653322.0346226804</v>
      </c>
      <c r="S20" s="49">
        <f>SUM(J20:L20)</f>
        <v>4239811.0354741625</v>
      </c>
      <c r="T20" s="49">
        <f>SUM(M20:O20)</f>
        <v>26227064.782411695</v>
      </c>
      <c r="U20" s="49">
        <f>SUM(D20:O20)</f>
        <v>68801035.968906611</v>
      </c>
    </row>
    <row r="21" spans="1:21">
      <c r="A21" s="46"/>
      <c r="B21" s="20"/>
      <c r="C21" s="46"/>
      <c r="D21" s="49"/>
      <c r="E21" s="49"/>
      <c r="F21" s="49"/>
      <c r="G21" s="49"/>
      <c r="H21" s="50"/>
      <c r="I21" s="49"/>
      <c r="J21" s="49"/>
      <c r="K21" s="49"/>
      <c r="L21" s="49"/>
      <c r="M21" s="49"/>
      <c r="N21" s="49"/>
      <c r="O21" s="49"/>
      <c r="P21" s="49"/>
      <c r="Q21" s="47"/>
      <c r="R21" s="47"/>
      <c r="S21" s="47"/>
      <c r="T21" s="47"/>
      <c r="U21" s="47"/>
    </row>
    <row r="22" spans="1:21">
      <c r="A22" s="46">
        <v>12</v>
      </c>
      <c r="B22" s="20" t="s">
        <v>186</v>
      </c>
      <c r="C22" s="46" t="str">
        <f>"("&amp;A10&amp;") - ("&amp;A14&amp;")"</f>
        <v>(2) - (6)</v>
      </c>
      <c r="D22" s="163">
        <f>D10-D14</f>
        <v>23407851.923430003</v>
      </c>
      <c r="E22" s="163">
        <f>E10-E14</f>
        <v>19348071.393370003</v>
      </c>
      <c r="F22" s="163">
        <f>F10-F14</f>
        <v>14020816.992899999</v>
      </c>
      <c r="G22" s="163">
        <f>G10-G14</f>
        <v>11804417.034370001</v>
      </c>
      <c r="H22" s="48">
        <f>H10-H14</f>
        <v>7274752.1498299995</v>
      </c>
      <c r="I22" s="48">
        <f t="shared" ref="I22:O22" si="9">I10-I14</f>
        <v>3375856.1823399998</v>
      </c>
      <c r="J22" s="48">
        <f t="shared" si="9"/>
        <v>2161734.4569290001</v>
      </c>
      <c r="K22" s="48">
        <f t="shared" si="9"/>
        <v>1944385.4022499998</v>
      </c>
      <c r="L22" s="48">
        <f t="shared" si="9"/>
        <v>2560824.4228000003</v>
      </c>
      <c r="M22" s="48">
        <f t="shared" si="9"/>
        <v>5609091.56996</v>
      </c>
      <c r="N22" s="48">
        <f t="shared" si="9"/>
        <v>20769773.321320001</v>
      </c>
      <c r="O22" s="48">
        <f t="shared" si="9"/>
        <v>25940592.485875487</v>
      </c>
      <c r="P22" s="48"/>
      <c r="Q22" s="48">
        <f>SUM(D22:F22)</f>
        <v>56776740.309700005</v>
      </c>
      <c r="R22" s="48">
        <f>SUM(G22:I22)</f>
        <v>22455025.36654</v>
      </c>
      <c r="S22" s="48">
        <f>SUM(J22:L22)</f>
        <v>6666944.2819790002</v>
      </c>
      <c r="T22" s="48">
        <f>SUM(M22:O22)</f>
        <v>52319457.37715549</v>
      </c>
      <c r="U22" s="48">
        <f>SUM(D22:O22)</f>
        <v>138218167.33537447</v>
      </c>
    </row>
    <row r="23" spans="1:21">
      <c r="A23" s="46">
        <v>13</v>
      </c>
      <c r="B23" s="200" t="s">
        <v>187</v>
      </c>
      <c r="C23" s="46" t="str">
        <f>"("&amp;A11&amp;") - ("&amp;A15&amp;")"</f>
        <v>(3) - (7)</v>
      </c>
      <c r="D23" s="169">
        <f t="shared" ref="D23:G24" si="10">D11-D15</f>
        <v>15832549.352099972</v>
      </c>
      <c r="E23" s="169">
        <f t="shared" si="10"/>
        <v>11785132.549290001</v>
      </c>
      <c r="F23" s="169">
        <f t="shared" si="10"/>
        <v>8894263.5142800361</v>
      </c>
      <c r="G23" s="169">
        <f t="shared" si="10"/>
        <v>7380815.0669199964</v>
      </c>
      <c r="H23" s="21">
        <f t="shared" ref="H23:O24" si="11">H11-H15</f>
        <v>5046666.7311400045</v>
      </c>
      <c r="I23" s="21">
        <f t="shared" si="11"/>
        <v>2925196.6729400051</v>
      </c>
      <c r="J23" s="21">
        <f t="shared" si="11"/>
        <v>2645548.6398700015</v>
      </c>
      <c r="K23" s="21">
        <f t="shared" si="11"/>
        <v>2414520.8914599977</v>
      </c>
      <c r="L23" s="21">
        <f t="shared" si="11"/>
        <v>2888818.6015200005</v>
      </c>
      <c r="M23" s="21">
        <f t="shared" si="11"/>
        <v>3936730.3287799982</v>
      </c>
      <c r="N23" s="21">
        <f t="shared" si="11"/>
        <v>9686351.4180300012</v>
      </c>
      <c r="O23" s="21">
        <f t="shared" si="11"/>
        <v>15630312.791838665</v>
      </c>
      <c r="P23" s="21"/>
      <c r="Q23" s="49">
        <f>SUM(D23:F23)</f>
        <v>36511945.415670007</v>
      </c>
      <c r="R23" s="49">
        <f>SUM(G23:I23)</f>
        <v>15352678.471000005</v>
      </c>
      <c r="S23" s="49">
        <f>SUM(J23:L23)</f>
        <v>7948888.1328499988</v>
      </c>
      <c r="T23" s="49">
        <f>SUM(M23:O23)</f>
        <v>29253394.538648665</v>
      </c>
      <c r="U23" s="49">
        <f>SUM(D23:O23)</f>
        <v>89066906.558168665</v>
      </c>
    </row>
    <row r="24" spans="1:21">
      <c r="A24" s="46">
        <v>14</v>
      </c>
      <c r="B24" s="20" t="s">
        <v>188</v>
      </c>
      <c r="C24" s="46" t="str">
        <f>"("&amp;A12&amp;") - ("&amp;A16&amp;")"</f>
        <v>(4) - (8)</v>
      </c>
      <c r="D24" s="169">
        <f t="shared" si="10"/>
        <v>1535019.5</v>
      </c>
      <c r="E24" s="169">
        <f t="shared" si="10"/>
        <v>1534136</v>
      </c>
      <c r="F24" s="169">
        <f t="shared" si="10"/>
        <v>1734776</v>
      </c>
      <c r="G24" s="169">
        <f t="shared" si="10"/>
        <v>1599182.5</v>
      </c>
      <c r="H24" s="21">
        <f t="shared" si="11"/>
        <v>1593891</v>
      </c>
      <c r="I24" s="21">
        <f t="shared" si="11"/>
        <v>1619141</v>
      </c>
      <c r="J24" s="21">
        <f t="shared" si="11"/>
        <v>1599705</v>
      </c>
      <c r="K24" s="21">
        <f t="shared" si="11"/>
        <v>1609722.06</v>
      </c>
      <c r="L24" s="21">
        <f t="shared" si="11"/>
        <v>1601694.56</v>
      </c>
      <c r="M24" s="21">
        <f t="shared" si="11"/>
        <v>1602270</v>
      </c>
      <c r="N24" s="21">
        <f t="shared" si="11"/>
        <v>1594594</v>
      </c>
      <c r="O24" s="21">
        <f t="shared" si="11"/>
        <v>1612841.6612903227</v>
      </c>
      <c r="P24" s="21"/>
      <c r="Q24" s="49">
        <f>SUM(D24:F24)</f>
        <v>4803931.5</v>
      </c>
      <c r="R24" s="49">
        <f>SUM(G24:I24)</f>
        <v>4812214.5</v>
      </c>
      <c r="S24" s="49">
        <f>SUM(J24:L24)</f>
        <v>4811121.62</v>
      </c>
      <c r="T24" s="49">
        <f>SUM(M24:O24)</f>
        <v>4809705.6612903224</v>
      </c>
      <c r="U24" s="49">
        <f>SUM(D24:O24)</f>
        <v>19236973.281290323</v>
      </c>
    </row>
    <row r="25" spans="1:21">
      <c r="A25" s="46">
        <v>15</v>
      </c>
      <c r="B25" s="20" t="s">
        <v>25</v>
      </c>
      <c r="C25" s="46" t="str">
        <f>"("&amp;A23&amp;") - ("&amp;A24&amp;")"</f>
        <v>(13) - (14)</v>
      </c>
      <c r="D25" s="49">
        <f>D23-D24</f>
        <v>14297529.852099972</v>
      </c>
      <c r="E25" s="49">
        <f t="shared" ref="E25:O25" si="12">E23-E24</f>
        <v>10250996.549290001</v>
      </c>
      <c r="F25" s="49">
        <f t="shared" si="12"/>
        <v>7159487.5142800361</v>
      </c>
      <c r="G25" s="49">
        <f t="shared" si="12"/>
        <v>5781632.5669199964</v>
      </c>
      <c r="H25" s="50">
        <f t="shared" si="12"/>
        <v>3452775.7311400045</v>
      </c>
      <c r="I25" s="49">
        <f t="shared" si="12"/>
        <v>1306055.6729400051</v>
      </c>
      <c r="J25" s="49">
        <f t="shared" si="12"/>
        <v>1045843.6398700015</v>
      </c>
      <c r="K25" s="49">
        <f t="shared" si="12"/>
        <v>804798.83145999769</v>
      </c>
      <c r="L25" s="49">
        <f t="shared" si="12"/>
        <v>1287124.0415200004</v>
      </c>
      <c r="M25" s="49">
        <f t="shared" si="12"/>
        <v>2334460.3287799982</v>
      </c>
      <c r="N25" s="49">
        <f t="shared" si="12"/>
        <v>8091757.4180300012</v>
      </c>
      <c r="O25" s="49">
        <f t="shared" si="12"/>
        <v>14017471.130548341</v>
      </c>
      <c r="P25" s="49"/>
      <c r="Q25" s="49">
        <f>SUM(D25:F25)</f>
        <v>31708013.915670007</v>
      </c>
      <c r="R25" s="49">
        <f>SUM(G25:I25)</f>
        <v>10540463.971000005</v>
      </c>
      <c r="S25" s="49">
        <f>SUM(J25:L25)</f>
        <v>3137766.5128499996</v>
      </c>
      <c r="T25" s="49">
        <f>SUM(M25:O25)</f>
        <v>24443688.87735834</v>
      </c>
      <c r="U25" s="49">
        <f>SUM(D25:O25)</f>
        <v>69829933.276878357</v>
      </c>
    </row>
    <row r="26" spans="1:21">
      <c r="A26" s="46">
        <v>16</v>
      </c>
      <c r="B26" s="2" t="s">
        <v>26</v>
      </c>
      <c r="C26" s="46" t="str">
        <f>"("&amp;A25&amp;") / ("&amp;A18&amp;")"</f>
        <v>(15) / (9)</v>
      </c>
      <c r="D26" s="5">
        <f>D25/D18</f>
        <v>86.028640164264701</v>
      </c>
      <c r="E26" s="5">
        <f t="shared" ref="E26:O26" si="13">E25/E18</f>
        <v>61.308321267972069</v>
      </c>
      <c r="F26" s="5">
        <f t="shared" si="13"/>
        <v>42.873236527977603</v>
      </c>
      <c r="G26" s="5">
        <f t="shared" si="13"/>
        <v>34.747058554016995</v>
      </c>
      <c r="H26" s="136">
        <f t="shared" si="13"/>
        <v>20.756590066127256</v>
      </c>
      <c r="I26" s="5">
        <f t="shared" si="13"/>
        <v>7.8504491452031058</v>
      </c>
      <c r="J26" s="5">
        <f t="shared" si="13"/>
        <v>6.303148669692157</v>
      </c>
      <c r="K26" s="5">
        <f t="shared" si="13"/>
        <v>4.8317113424108022</v>
      </c>
      <c r="L26" s="5">
        <f t="shared" si="13"/>
        <v>7.741540709963795</v>
      </c>
      <c r="M26" s="5">
        <f t="shared" si="13"/>
        <v>14.014806471594685</v>
      </c>
      <c r="N26" s="5">
        <f t="shared" si="13"/>
        <v>48.594473912596996</v>
      </c>
      <c r="O26" s="5">
        <f t="shared" si="13"/>
        <v>83.545738699910245</v>
      </c>
      <c r="P26" s="5"/>
      <c r="Q26" s="91">
        <f>Q25/Q18</f>
        <v>63.366475247696314</v>
      </c>
      <c r="R26" s="91">
        <f>R25/R18</f>
        <v>21.118730469540488</v>
      </c>
      <c r="S26" s="91">
        <f>S25/S18</f>
        <v>6.2912359506327782</v>
      </c>
      <c r="T26" s="91">
        <f>T25/T18</f>
        <v>48.80255890733573</v>
      </c>
      <c r="U26" s="91">
        <f>U25/U18</f>
        <v>34.930388404919952</v>
      </c>
    </row>
    <row r="27" spans="1:21">
      <c r="A27" s="46">
        <v>17</v>
      </c>
      <c r="B27" s="20" t="s">
        <v>27</v>
      </c>
      <c r="C27" s="46" t="str">
        <f>"("&amp;A$23&amp;") - ("&amp;A25&amp;")"</f>
        <v>(13) - (15)</v>
      </c>
      <c r="D27" s="21">
        <f t="shared" ref="D27:O27" si="14">D20-D25</f>
        <v>-2894049.8757738974</v>
      </c>
      <c r="E27" s="21">
        <f t="shared" si="14"/>
        <v>-970930.57595048659</v>
      </c>
      <c r="F27" s="21">
        <f t="shared" si="14"/>
        <v>837804.65245243814</v>
      </c>
      <c r="G27" s="21">
        <f t="shared" si="14"/>
        <v>-948710.01083956379</v>
      </c>
      <c r="H27" s="21">
        <f t="shared" si="14"/>
        <v>-256269.70284636272</v>
      </c>
      <c r="I27" s="21">
        <f t="shared" si="14"/>
        <v>317837.77730860189</v>
      </c>
      <c r="J27" s="21">
        <f t="shared" si="14"/>
        <v>357863.90379398479</v>
      </c>
      <c r="K27" s="21">
        <f t="shared" si="14"/>
        <v>597611.79758527805</v>
      </c>
      <c r="L27" s="21">
        <f t="shared" si="14"/>
        <v>146568.82124489965</v>
      </c>
      <c r="M27" s="21">
        <f t="shared" si="14"/>
        <v>2928386.7830787627</v>
      </c>
      <c r="N27" s="21">
        <f t="shared" si="14"/>
        <v>788378.56388886645</v>
      </c>
      <c r="O27" s="21">
        <f t="shared" si="14"/>
        <v>-1933389.4419142734</v>
      </c>
      <c r="P27" s="21"/>
      <c r="Q27" s="49">
        <f>SUM(D27:F27)</f>
        <v>-3027175.7992719458</v>
      </c>
      <c r="R27" s="49">
        <f>SUM(G27:I27)</f>
        <v>-887141.93637732463</v>
      </c>
      <c r="S27" s="49">
        <f>SUM(J27:L27)</f>
        <v>1102044.5226241625</v>
      </c>
      <c r="T27" s="49">
        <f>SUM(M27:O27)</f>
        <v>1783375.9050533557</v>
      </c>
      <c r="U27" s="49">
        <f>SUM(D27:O27)</f>
        <v>-1028897.3079717527</v>
      </c>
    </row>
    <row r="28" spans="1:21">
      <c r="A28" s="46">
        <v>18</v>
      </c>
      <c r="B28" s="20" t="s">
        <v>28</v>
      </c>
      <c r="C28" s="46" t="s">
        <v>29</v>
      </c>
      <c r="D28" s="166">
        <v>126522.07246908324</v>
      </c>
      <c r="E28" s="166">
        <v>42447.14291940337</v>
      </c>
      <c r="F28" s="166">
        <v>-36627.14379591569</v>
      </c>
      <c r="G28" s="166">
        <v>41475.704253884047</v>
      </c>
      <c r="H28" s="166">
        <v>11203.598869037285</v>
      </c>
      <c r="I28" s="166">
        <v>-13895.231948377457</v>
      </c>
      <c r="J28" s="166">
        <v>-15645.094146065427</v>
      </c>
      <c r="K28" s="166">
        <v>-26126.392566833187</v>
      </c>
      <c r="L28" s="166">
        <v>-6407.6957271845231</v>
      </c>
      <c r="M28" s="166">
        <v>-128023.21338263735</v>
      </c>
      <c r="N28" s="166">
        <v>-34466.334056093467</v>
      </c>
      <c r="O28" s="166">
        <v>84523.919639062471</v>
      </c>
      <c r="P28" s="49"/>
      <c r="Q28" s="49">
        <f>SUM(D28:F28)</f>
        <v>132342.07159257092</v>
      </c>
      <c r="R28" s="49">
        <f>SUM(G28:I28)</f>
        <v>38784.071174543875</v>
      </c>
      <c r="S28" s="49">
        <f>SUM(J28:L28)</f>
        <v>-48179.182440083139</v>
      </c>
      <c r="T28" s="49">
        <f>SUM(M28:O28)</f>
        <v>-77965.627799668335</v>
      </c>
      <c r="U28" s="49">
        <f>SUM(D28:O28)</f>
        <v>44981.332527363345</v>
      </c>
    </row>
    <row r="29" spans="1:21" ht="14.45" customHeight="1">
      <c r="A29" s="46">
        <v>19</v>
      </c>
      <c r="B29" s="20"/>
      <c r="C29" s="46" t="s">
        <v>30</v>
      </c>
      <c r="D29" s="206">
        <v>3.2500000000000001E-2</v>
      </c>
      <c r="E29" s="206">
        <v>3.2500000000000001E-2</v>
      </c>
      <c r="F29" s="206">
        <v>3.2500000000000001E-2</v>
      </c>
      <c r="G29" s="206">
        <v>3.2500000000000001E-2</v>
      </c>
      <c r="H29" s="206">
        <v>3.2500000000000001E-2</v>
      </c>
      <c r="I29" s="206">
        <v>3.2500000000000001E-2</v>
      </c>
      <c r="J29" s="206">
        <v>3.5999999999999997E-2</v>
      </c>
      <c r="K29" s="206">
        <v>3.5999999999999997E-2</v>
      </c>
      <c r="L29" s="206">
        <v>3.5999999999999997E-2</v>
      </c>
      <c r="M29" s="206">
        <v>4.9099999999999998E-2</v>
      </c>
      <c r="N29" s="206">
        <v>4.9099999999999998E-2</v>
      </c>
      <c r="O29" s="206">
        <v>4.9099999999999998E-2</v>
      </c>
      <c r="P29" s="206"/>
      <c r="Q29" s="54"/>
      <c r="R29" s="54"/>
      <c r="S29" s="54"/>
      <c r="T29" s="54"/>
      <c r="U29" s="54"/>
    </row>
    <row r="30" spans="1:21">
      <c r="A30" s="46">
        <v>20</v>
      </c>
      <c r="B30" s="20" t="s">
        <v>31</v>
      </c>
      <c r="C30" s="46" t="s">
        <v>35</v>
      </c>
      <c r="D30" s="3">
        <f>(D27+D28)/2*D29/12</f>
        <v>-3747.6939003086027</v>
      </c>
      <c r="E30" s="3">
        <f>(D32+(E27+E28)/2)*E29/12</f>
        <v>-8762.8591204934655</v>
      </c>
      <c r="F30" s="3">
        <f t="shared" ref="F30:O30" si="15">(E32+(F27+F28)/2)*F29/12</f>
        <v>-8958.9853032020201</v>
      </c>
      <c r="G30" s="3">
        <f t="shared" si="15"/>
        <v>-9126.8678022605945</v>
      </c>
      <c r="H30" s="134">
        <f t="shared" si="15"/>
        <v>-10711.993208529118</v>
      </c>
      <c r="I30" s="3">
        <f t="shared" si="15"/>
        <v>-10661.276342429543</v>
      </c>
      <c r="J30" s="3">
        <f t="shared" si="15"/>
        <v>-10872.155591206256</v>
      </c>
      <c r="K30" s="3">
        <f>(J32+(K27+K28)/2)*K29/12</f>
        <v>-9534.2157359803296</v>
      </c>
      <c r="L30" s="3">
        <f t="shared" si="15"/>
        <v>-8495.3485873840309</v>
      </c>
      <c r="M30" s="3">
        <f t="shared" si="15"/>
        <v>-5605.6482412493942</v>
      </c>
      <c r="N30" s="3">
        <f t="shared" si="15"/>
        <v>1642.8712212330308</v>
      </c>
      <c r="O30" s="3">
        <f t="shared" si="15"/>
        <v>-590.49864147524522</v>
      </c>
      <c r="P30" s="3"/>
      <c r="Q30" s="49">
        <f>SUM(D30:F30)</f>
        <v>-21469.53832400409</v>
      </c>
      <c r="R30" s="49">
        <f>SUM(G30:I30)</f>
        <v>-30500.137353219252</v>
      </c>
      <c r="S30" s="49">
        <f>SUM(J30:L30)</f>
        <v>-28901.719914570618</v>
      </c>
      <c r="T30" s="49">
        <f>SUM(M30:O30)</f>
        <v>-4553.2756614916088</v>
      </c>
      <c r="U30" s="3">
        <f>SUM(D30:O30)</f>
        <v>-85424.671253285574</v>
      </c>
    </row>
    <row r="31" spans="1:21" ht="15.75" thickBot="1">
      <c r="A31" s="46">
        <v>21</v>
      </c>
      <c r="B31" s="4" t="s">
        <v>32</v>
      </c>
      <c r="C31" s="46"/>
      <c r="D31" s="6">
        <f>D27+D28+D30</f>
        <v>-2771275.4972051228</v>
      </c>
      <c r="E31" s="6">
        <f t="shared" ref="E31:O31" si="16">E27+E28+E30</f>
        <v>-937246.29215157672</v>
      </c>
      <c r="F31" s="6">
        <f t="shared" si="16"/>
        <v>792218.52335332043</v>
      </c>
      <c r="G31" s="6">
        <f t="shared" si="16"/>
        <v>-916361.17438794032</v>
      </c>
      <c r="H31" s="6">
        <f t="shared" si="16"/>
        <v>-255778.09718585454</v>
      </c>
      <c r="I31" s="6">
        <f t="shared" si="16"/>
        <v>293281.26901779487</v>
      </c>
      <c r="J31" s="6">
        <f t="shared" si="16"/>
        <v>331346.6540567131</v>
      </c>
      <c r="K31" s="6">
        <f t="shared" si="16"/>
        <v>561951.18928246456</v>
      </c>
      <c r="L31" s="6">
        <f t="shared" si="16"/>
        <v>131665.77693033108</v>
      </c>
      <c r="M31" s="6">
        <f t="shared" si="16"/>
        <v>2794757.9214548762</v>
      </c>
      <c r="N31" s="6">
        <f t="shared" si="16"/>
        <v>755555.10105400602</v>
      </c>
      <c r="O31" s="6">
        <f t="shared" si="16"/>
        <v>-1849456.0209166864</v>
      </c>
      <c r="P31" s="6"/>
      <c r="Q31" s="51">
        <f>Q27+Q28+Q30</f>
        <v>-2916303.2660033791</v>
      </c>
      <c r="R31" s="51">
        <f>R27+R28+R30</f>
        <v>-878858.00255600002</v>
      </c>
      <c r="S31" s="51">
        <f>S27+S28+S30</f>
        <v>1024963.6202695087</v>
      </c>
      <c r="T31" s="51">
        <f>T27+T28+T30</f>
        <v>1700857.0015921958</v>
      </c>
      <c r="U31" s="51">
        <f>U27+U28+U30</f>
        <v>-1069340.6466976749</v>
      </c>
    </row>
    <row r="32" spans="1:21" ht="15.75" thickBot="1">
      <c r="A32" s="46">
        <v>22</v>
      </c>
      <c r="B32" s="20" t="s">
        <v>170</v>
      </c>
      <c r="C32" s="46" t="str">
        <f>"Σ(("&amp;A27&amp;") ,("&amp;A28&amp;") , ("&amp;A30&amp;"))"</f>
        <v>Σ((17) ,(18) , (20))</v>
      </c>
      <c r="D32" s="49">
        <f>D27+D28+D30</f>
        <v>-2771275.4972051228</v>
      </c>
      <c r="E32" s="49">
        <f>D32+E27+E28+E30</f>
        <v>-3708521.7893566992</v>
      </c>
      <c r="F32" s="49">
        <f t="shared" ref="F32:N32" si="17">E32+F27+F28+F30</f>
        <v>-2916303.2660033791</v>
      </c>
      <c r="G32" s="49">
        <f t="shared" si="17"/>
        <v>-3832664.4403913193</v>
      </c>
      <c r="H32" s="50">
        <f t="shared" si="17"/>
        <v>-4088442.5375771737</v>
      </c>
      <c r="I32" s="49">
        <f t="shared" si="17"/>
        <v>-3795161.268559379</v>
      </c>
      <c r="J32" s="49">
        <f t="shared" si="17"/>
        <v>-3463814.6145026661</v>
      </c>
      <c r="K32" s="49">
        <f t="shared" si="17"/>
        <v>-2901863.4252202013</v>
      </c>
      <c r="L32" s="49">
        <f t="shared" si="17"/>
        <v>-2770197.64828987</v>
      </c>
      <c r="M32" s="49">
        <f t="shared" si="17"/>
        <v>24560.273165005958</v>
      </c>
      <c r="N32" s="49">
        <f t="shared" si="17"/>
        <v>780115.37421901198</v>
      </c>
      <c r="O32" s="85">
        <f>N32+O27+O28+O30</f>
        <v>-1069340.6466976744</v>
      </c>
      <c r="P32" s="16"/>
      <c r="Q32" s="49"/>
      <c r="R32" s="49"/>
      <c r="S32" s="49"/>
      <c r="T32" s="49"/>
      <c r="U32" s="211"/>
    </row>
    <row r="33" spans="1:21" ht="36.75" customHeight="1">
      <c r="A33" s="295" t="s">
        <v>290</v>
      </c>
      <c r="B33" s="295"/>
      <c r="C33" s="295"/>
      <c r="D33" s="295"/>
      <c r="E33" s="295"/>
      <c r="F33" s="295"/>
      <c r="G33" s="295"/>
      <c r="H33" s="295"/>
      <c r="I33" s="295"/>
      <c r="J33" s="295"/>
      <c r="K33" s="295"/>
      <c r="L33" s="295"/>
      <c r="M33" s="295"/>
      <c r="N33" s="295"/>
      <c r="O33" s="295"/>
      <c r="P33" s="295"/>
      <c r="Q33" s="295"/>
      <c r="R33" s="295"/>
      <c r="S33" s="295"/>
      <c r="T33" s="295"/>
      <c r="U33" s="295"/>
    </row>
    <row r="34" spans="1:21">
      <c r="A34" s="46"/>
      <c r="B34" s="1" t="s">
        <v>33</v>
      </c>
      <c r="C34" s="46"/>
      <c r="D34" s="46"/>
      <c r="E34" s="46"/>
      <c r="F34" s="46"/>
      <c r="G34" s="46"/>
      <c r="H34" s="131"/>
      <c r="I34" s="46"/>
      <c r="J34" s="46"/>
      <c r="K34" s="46"/>
      <c r="L34" s="46"/>
      <c r="M34" s="46"/>
      <c r="N34" s="46"/>
      <c r="O34" s="46"/>
      <c r="P34" s="46"/>
      <c r="Q34" s="49"/>
      <c r="R34" s="49"/>
      <c r="S34" s="49"/>
      <c r="T34" s="49"/>
      <c r="U34" s="49"/>
    </row>
    <row r="35" spans="1:21">
      <c r="A35" s="46">
        <v>23</v>
      </c>
      <c r="B35" s="20" t="s">
        <v>20</v>
      </c>
      <c r="C35" s="46" t="s">
        <v>21</v>
      </c>
      <c r="D35" s="159">
        <v>3651</v>
      </c>
      <c r="E35" s="159">
        <v>2900</v>
      </c>
      <c r="F35" s="159">
        <v>3366</v>
      </c>
      <c r="G35" s="159">
        <v>3304</v>
      </c>
      <c r="H35" s="160">
        <v>3302</v>
      </c>
      <c r="I35" s="159">
        <v>3381</v>
      </c>
      <c r="J35" s="159">
        <v>3314</v>
      </c>
      <c r="K35" s="159">
        <v>3361</v>
      </c>
      <c r="L35" s="159">
        <v>3354</v>
      </c>
      <c r="M35" s="159">
        <v>3356</v>
      </c>
      <c r="N35" s="159">
        <v>3385</v>
      </c>
      <c r="O35" s="159">
        <v>3490</v>
      </c>
      <c r="P35" s="159"/>
      <c r="Q35" s="48">
        <f t="shared" ref="Q35:Q42" si="18">SUM(D35:F35)</f>
        <v>9917</v>
      </c>
      <c r="R35" s="48">
        <f t="shared" ref="R35:R42" si="19">SUM(G35:I35)</f>
        <v>9987</v>
      </c>
      <c r="S35" s="48">
        <f t="shared" ref="S35:S42" si="20">SUM(J35:L35)</f>
        <v>10029</v>
      </c>
      <c r="T35" s="48">
        <f t="shared" ref="T35:T42" si="21">SUM(M35:O35)</f>
        <v>10231</v>
      </c>
      <c r="U35" s="48">
        <f t="shared" ref="U35:U42" si="22">SUM(D35:O35)</f>
        <v>40164</v>
      </c>
    </row>
    <row r="36" spans="1:21">
      <c r="A36" s="46">
        <v>24</v>
      </c>
      <c r="B36" s="2" t="s">
        <v>166</v>
      </c>
      <c r="C36" s="46" t="s">
        <v>21</v>
      </c>
      <c r="D36" s="159">
        <v>8911889.5763499998</v>
      </c>
      <c r="E36" s="159">
        <v>7967454.2231099997</v>
      </c>
      <c r="F36" s="159">
        <v>6530840.2042800002</v>
      </c>
      <c r="G36" s="159">
        <v>5534897.4978499999</v>
      </c>
      <c r="H36" s="160">
        <v>3861542.6321400004</v>
      </c>
      <c r="I36" s="159">
        <v>2400538.0797799998</v>
      </c>
      <c r="J36" s="159">
        <v>1968103.4567399998</v>
      </c>
      <c r="K36" s="159">
        <v>1813652.1224499999</v>
      </c>
      <c r="L36" s="159">
        <v>2235428.1286800001</v>
      </c>
      <c r="M36" s="159">
        <v>4267107.2574199997</v>
      </c>
      <c r="N36" s="159">
        <v>8418166.3806600012</v>
      </c>
      <c r="O36" s="159">
        <v>10113846.77258</v>
      </c>
      <c r="P36" s="159"/>
      <c r="Q36" s="48">
        <f t="shared" si="18"/>
        <v>23410184.003740001</v>
      </c>
      <c r="R36" s="48">
        <f t="shared" si="19"/>
        <v>11796978.20977</v>
      </c>
      <c r="S36" s="48">
        <f t="shared" si="20"/>
        <v>6017183.70787</v>
      </c>
      <c r="T36" s="48">
        <f t="shared" si="21"/>
        <v>22799120.410659999</v>
      </c>
      <c r="U36" s="48">
        <f t="shared" si="22"/>
        <v>64023466.332039997</v>
      </c>
    </row>
    <row r="37" spans="1:21">
      <c r="A37" s="46">
        <v>25</v>
      </c>
      <c r="B37" s="20" t="s">
        <v>37</v>
      </c>
      <c r="C37" s="46" t="s">
        <v>21</v>
      </c>
      <c r="D37" s="161">
        <v>3409446.0614799997</v>
      </c>
      <c r="E37" s="161">
        <v>2558345.6760800001</v>
      </c>
      <c r="F37" s="161">
        <v>2383717.5850799996</v>
      </c>
      <c r="G37" s="161">
        <v>1876699.2114400002</v>
      </c>
      <c r="H37" s="162">
        <v>1487454.0846000002</v>
      </c>
      <c r="I37" s="161">
        <v>1061047.20756</v>
      </c>
      <c r="J37" s="161">
        <v>795555.84471999994</v>
      </c>
      <c r="K37" s="161">
        <v>821184.84880000004</v>
      </c>
      <c r="L37" s="161">
        <v>868725.25548000017</v>
      </c>
      <c r="M37" s="161">
        <v>998302.12465999986</v>
      </c>
      <c r="N37" s="161">
        <v>1364899.50599</v>
      </c>
      <c r="O37" s="161">
        <v>3234920.8714299998</v>
      </c>
      <c r="P37" s="161"/>
      <c r="Q37" s="49">
        <f t="shared" si="18"/>
        <v>8351509.3226399999</v>
      </c>
      <c r="R37" s="49">
        <f t="shared" si="19"/>
        <v>4425200.5036000004</v>
      </c>
      <c r="S37" s="49">
        <f t="shared" si="20"/>
        <v>2485465.949</v>
      </c>
      <c r="T37" s="49">
        <f t="shared" si="21"/>
        <v>5598122.5020799991</v>
      </c>
      <c r="U37" s="49">
        <f t="shared" si="22"/>
        <v>20860298.277319998</v>
      </c>
    </row>
    <row r="38" spans="1:21">
      <c r="A38" s="46">
        <v>26</v>
      </c>
      <c r="B38" s="20" t="s">
        <v>24</v>
      </c>
      <c r="C38" s="46" t="s">
        <v>21</v>
      </c>
      <c r="D38" s="161">
        <v>373897.3</v>
      </c>
      <c r="E38" s="161">
        <v>369717.74</v>
      </c>
      <c r="F38" s="161">
        <v>444113.03</v>
      </c>
      <c r="G38" s="161">
        <v>395127.24</v>
      </c>
      <c r="H38" s="162">
        <v>394594.95</v>
      </c>
      <c r="I38" s="161">
        <v>404746.87</v>
      </c>
      <c r="J38" s="161">
        <v>395899.67</v>
      </c>
      <c r="K38" s="161">
        <v>401157.68</v>
      </c>
      <c r="L38" s="161">
        <v>401540.18</v>
      </c>
      <c r="M38" s="161">
        <v>400340.26</v>
      </c>
      <c r="N38" s="161">
        <v>403849.3</v>
      </c>
      <c r="O38" s="161">
        <v>419146.78</v>
      </c>
      <c r="P38" s="161"/>
      <c r="Q38" s="49">
        <f t="shared" si="18"/>
        <v>1187728.07</v>
      </c>
      <c r="R38" s="49">
        <f t="shared" si="19"/>
        <v>1194469.06</v>
      </c>
      <c r="S38" s="49">
        <f t="shared" si="20"/>
        <v>1198597.53</v>
      </c>
      <c r="T38" s="49">
        <f t="shared" si="21"/>
        <v>1223336.3400000001</v>
      </c>
      <c r="U38" s="49">
        <f t="shared" si="22"/>
        <v>4804131</v>
      </c>
    </row>
    <row r="39" spans="1:21" ht="30" customHeight="1">
      <c r="A39" s="46">
        <v>27</v>
      </c>
      <c r="B39" s="20" t="s">
        <v>157</v>
      </c>
      <c r="C39" s="46" t="s">
        <v>21</v>
      </c>
      <c r="D39" s="159">
        <v>56</v>
      </c>
      <c r="E39" s="159">
        <v>55</v>
      </c>
      <c r="F39" s="159">
        <v>65</v>
      </c>
      <c r="G39" s="159">
        <v>65</v>
      </c>
      <c r="H39" s="160">
        <v>70</v>
      </c>
      <c r="I39" s="159">
        <v>72</v>
      </c>
      <c r="J39" s="159">
        <v>73</v>
      </c>
      <c r="K39" s="159">
        <v>74</v>
      </c>
      <c r="L39" s="159">
        <v>79</v>
      </c>
      <c r="M39" s="159">
        <v>90</v>
      </c>
      <c r="N39" s="159">
        <v>87</v>
      </c>
      <c r="O39" s="159">
        <v>87</v>
      </c>
      <c r="P39" s="159"/>
      <c r="Q39" s="48">
        <f t="shared" si="18"/>
        <v>176</v>
      </c>
      <c r="R39" s="48">
        <f t="shared" si="19"/>
        <v>207</v>
      </c>
      <c r="S39" s="48">
        <f t="shared" si="20"/>
        <v>226</v>
      </c>
      <c r="T39" s="48">
        <f t="shared" si="21"/>
        <v>264</v>
      </c>
      <c r="U39" s="48">
        <f t="shared" si="22"/>
        <v>873</v>
      </c>
    </row>
    <row r="40" spans="1:21">
      <c r="A40" s="46">
        <v>28</v>
      </c>
      <c r="B40" s="2" t="s">
        <v>167</v>
      </c>
      <c r="C40" s="46" t="s">
        <v>21</v>
      </c>
      <c r="D40" s="159">
        <v>214126.55089000001</v>
      </c>
      <c r="E40" s="159">
        <v>170857.27407000001</v>
      </c>
      <c r="F40" s="159">
        <v>116645.80035</v>
      </c>
      <c r="G40" s="159">
        <v>137699.56843000001</v>
      </c>
      <c r="H40" s="160">
        <v>119795.61397999999</v>
      </c>
      <c r="I40" s="159">
        <v>95403</v>
      </c>
      <c r="J40" s="159">
        <v>91552.888749999998</v>
      </c>
      <c r="K40" s="159">
        <v>105932.84945000001</v>
      </c>
      <c r="L40" s="159">
        <v>105226.79553999999</v>
      </c>
      <c r="M40" s="159">
        <v>168684.48330999998</v>
      </c>
      <c r="N40" s="159">
        <v>225347.04377999998</v>
      </c>
      <c r="O40" s="159">
        <v>268831.04081354837</v>
      </c>
      <c r="P40" s="159"/>
      <c r="Q40" s="48">
        <f t="shared" si="18"/>
        <v>501629.62531000003</v>
      </c>
      <c r="R40" s="48">
        <f t="shared" si="19"/>
        <v>352898.18241000001</v>
      </c>
      <c r="S40" s="48">
        <f t="shared" si="20"/>
        <v>302712.53373999998</v>
      </c>
      <c r="T40" s="48">
        <f t="shared" si="21"/>
        <v>662862.56790354836</v>
      </c>
      <c r="U40" s="48">
        <f t="shared" si="22"/>
        <v>1820102.9093635487</v>
      </c>
    </row>
    <row r="41" spans="1:21">
      <c r="A41" s="46">
        <v>29</v>
      </c>
      <c r="B41" s="20" t="s">
        <v>159</v>
      </c>
      <c r="C41" s="46" t="s">
        <v>21</v>
      </c>
      <c r="D41" s="161">
        <v>63655.34</v>
      </c>
      <c r="E41" s="161">
        <v>51362.59</v>
      </c>
      <c r="F41" s="161">
        <v>39817.46</v>
      </c>
      <c r="G41" s="161">
        <v>41739.97</v>
      </c>
      <c r="H41" s="162">
        <v>40063.94</v>
      </c>
      <c r="I41" s="161">
        <v>31493.58</v>
      </c>
      <c r="J41" s="161">
        <v>29303.54</v>
      </c>
      <c r="K41" s="161">
        <v>31144.36</v>
      </c>
      <c r="L41" s="161">
        <v>31486.489999999998</v>
      </c>
      <c r="M41" s="161">
        <v>47995.159999999996</v>
      </c>
      <c r="N41" s="161">
        <v>63360.1</v>
      </c>
      <c r="O41" s="161">
        <v>81295.222903225804</v>
      </c>
      <c r="P41" s="161"/>
      <c r="Q41" s="49">
        <f t="shared" si="18"/>
        <v>154835.38999999998</v>
      </c>
      <c r="R41" s="49">
        <f t="shared" si="19"/>
        <v>113297.49</v>
      </c>
      <c r="S41" s="49">
        <f t="shared" si="20"/>
        <v>91934.39</v>
      </c>
      <c r="T41" s="49">
        <f t="shared" si="21"/>
        <v>192650.48290322581</v>
      </c>
      <c r="U41" s="49">
        <f t="shared" si="22"/>
        <v>552717.75290322572</v>
      </c>
    </row>
    <row r="42" spans="1:21">
      <c r="A42" s="46">
        <v>30</v>
      </c>
      <c r="B42" s="20" t="s">
        <v>168</v>
      </c>
      <c r="C42" s="46" t="s">
        <v>21</v>
      </c>
      <c r="D42" s="161">
        <v>7517.51</v>
      </c>
      <c r="E42" s="161">
        <v>6453.52</v>
      </c>
      <c r="F42" s="161">
        <v>7582.46</v>
      </c>
      <c r="G42" s="161">
        <v>7683.89</v>
      </c>
      <c r="H42" s="162">
        <v>8115.86</v>
      </c>
      <c r="I42" s="161">
        <v>8448.4500000000007</v>
      </c>
      <c r="J42" s="161">
        <v>8563.89</v>
      </c>
      <c r="K42" s="161">
        <v>8681.2100000000009</v>
      </c>
      <c r="L42" s="161">
        <v>9097.52</v>
      </c>
      <c r="M42" s="161">
        <v>10440.39</v>
      </c>
      <c r="N42" s="161">
        <v>10032.76</v>
      </c>
      <c r="O42" s="161">
        <v>9424.5822580645163</v>
      </c>
      <c r="P42" s="161"/>
      <c r="Q42" s="49">
        <f t="shared" si="18"/>
        <v>21553.49</v>
      </c>
      <c r="R42" s="49">
        <f t="shared" si="19"/>
        <v>24248.2</v>
      </c>
      <c r="S42" s="49">
        <f t="shared" si="20"/>
        <v>26342.62</v>
      </c>
      <c r="T42" s="49">
        <f t="shared" si="21"/>
        <v>29897.73225806452</v>
      </c>
      <c r="U42" s="49">
        <f t="shared" si="22"/>
        <v>102042.04225806451</v>
      </c>
    </row>
    <row r="43" spans="1:21">
      <c r="A43" s="46"/>
      <c r="B43" s="1"/>
      <c r="C43" s="46"/>
      <c r="D43" s="46"/>
      <c r="E43" s="46"/>
      <c r="F43" s="46"/>
      <c r="G43" s="46"/>
      <c r="H43" s="131"/>
      <c r="I43" s="46"/>
      <c r="J43" s="46"/>
      <c r="K43" s="46"/>
      <c r="L43" s="46"/>
      <c r="M43" s="46"/>
      <c r="N43" s="46"/>
      <c r="O43" s="46"/>
      <c r="P43" s="46"/>
      <c r="Q43" s="49"/>
      <c r="R43" s="49"/>
      <c r="S43" s="49"/>
      <c r="T43" s="49"/>
      <c r="U43" s="49"/>
    </row>
    <row r="44" spans="1:21">
      <c r="A44" s="46">
        <v>31</v>
      </c>
      <c r="B44" s="20" t="s">
        <v>171</v>
      </c>
      <c r="C44" s="46" t="str">
        <f>"("&amp;A35&amp;") - ("&amp;A39&amp;")"</f>
        <v>(23) - (27)</v>
      </c>
      <c r="D44" s="163">
        <f>D35-D39</f>
        <v>3595</v>
      </c>
      <c r="E44" s="163">
        <f>E35-E39</f>
        <v>2845</v>
      </c>
      <c r="F44" s="163">
        <f>F35-F39</f>
        <v>3301</v>
      </c>
      <c r="G44" s="163">
        <f>G35-G39</f>
        <v>3239</v>
      </c>
      <c r="H44" s="48">
        <f t="shared" ref="H44:O44" si="23">H35-H39</f>
        <v>3232</v>
      </c>
      <c r="I44" s="48">
        <f t="shared" si="23"/>
        <v>3309</v>
      </c>
      <c r="J44" s="48">
        <f t="shared" si="23"/>
        <v>3241</v>
      </c>
      <c r="K44" s="48">
        <f t="shared" si="23"/>
        <v>3287</v>
      </c>
      <c r="L44" s="48">
        <f t="shared" si="23"/>
        <v>3275</v>
      </c>
      <c r="M44" s="48">
        <f t="shared" si="23"/>
        <v>3266</v>
      </c>
      <c r="N44" s="48">
        <f t="shared" si="23"/>
        <v>3298</v>
      </c>
      <c r="O44" s="48">
        <f t="shared" si="23"/>
        <v>3403</v>
      </c>
      <c r="P44" s="48"/>
      <c r="Q44" s="48">
        <f>SUM(D44:F44)</f>
        <v>9741</v>
      </c>
      <c r="R44" s="48">
        <f>SUM(G44:I44)</f>
        <v>9780</v>
      </c>
      <c r="S44" s="48">
        <f>SUM(J44:L44)</f>
        <v>9803</v>
      </c>
      <c r="T44" s="48">
        <f>SUM(M44:O44)</f>
        <v>9967</v>
      </c>
      <c r="U44" s="48">
        <f>SUM(D44:O44)</f>
        <v>39291</v>
      </c>
    </row>
    <row r="45" spans="1:21">
      <c r="A45" s="213">
        <v>32</v>
      </c>
      <c r="B45" s="77" t="s">
        <v>22</v>
      </c>
      <c r="C45" s="203" t="s">
        <v>87</v>
      </c>
      <c r="D45" s="272">
        <v>736.83431345548695</v>
      </c>
      <c r="E45" s="272">
        <v>650.60517507088309</v>
      </c>
      <c r="F45" s="272">
        <v>526.62584983709473</v>
      </c>
      <c r="G45" s="272">
        <v>428.95493475908029</v>
      </c>
      <c r="H45" s="273">
        <v>276.98076314119891</v>
      </c>
      <c r="I45" s="272">
        <v>223.18671659831008</v>
      </c>
      <c r="J45" s="272">
        <v>181.77337340569431</v>
      </c>
      <c r="K45" s="272">
        <v>187.11229370023054</v>
      </c>
      <c r="L45" s="272">
        <v>231.70111436842316</v>
      </c>
      <c r="M45" s="272">
        <v>399.47845245534381</v>
      </c>
      <c r="N45" s="272">
        <v>594.98082649889591</v>
      </c>
      <c r="O45" s="272">
        <v>745.35603467303804</v>
      </c>
      <c r="P45" s="277" t="s">
        <v>176</v>
      </c>
      <c r="Q45" s="91">
        <f>Q46/Q44</f>
        <v>640.41505084297171</v>
      </c>
      <c r="R45" s="91">
        <f>R46/R44</f>
        <v>309.11162631705764</v>
      </c>
      <c r="S45" s="91">
        <f>S46/S44</f>
        <v>200.24347262645097</v>
      </c>
      <c r="T45" s="91">
        <f>T46/T44</f>
        <v>576.70187393446975</v>
      </c>
      <c r="U45" s="91">
        <f>U46/U44</f>
        <v>431.96582055188645</v>
      </c>
    </row>
    <row r="46" spans="1:21">
      <c r="A46" s="46">
        <v>33</v>
      </c>
      <c r="B46" s="20" t="s">
        <v>23</v>
      </c>
      <c r="C46" s="46" t="str">
        <f>"("&amp;A44&amp;") x ("&amp;A45&amp;")"</f>
        <v>(31) x (32)</v>
      </c>
      <c r="D46" s="49">
        <f t="shared" ref="D46:N46" si="24">D44*D45</f>
        <v>2648919.3568724757</v>
      </c>
      <c r="E46" s="49">
        <f t="shared" si="24"/>
        <v>1850971.7230766623</v>
      </c>
      <c r="F46" s="49">
        <f t="shared" si="24"/>
        <v>1738391.9303122498</v>
      </c>
      <c r="G46" s="49">
        <f t="shared" si="24"/>
        <v>1389385.0336846611</v>
      </c>
      <c r="H46" s="50">
        <f t="shared" si="24"/>
        <v>895201.82647235482</v>
      </c>
      <c r="I46" s="49">
        <f t="shared" si="24"/>
        <v>738524.84522380808</v>
      </c>
      <c r="J46" s="49">
        <f t="shared" si="24"/>
        <v>589127.50320785528</v>
      </c>
      <c r="K46" s="49">
        <f t="shared" si="24"/>
        <v>615038.10939265776</v>
      </c>
      <c r="L46" s="49">
        <f t="shared" si="24"/>
        <v>758821.14955658582</v>
      </c>
      <c r="M46" s="49">
        <f t="shared" si="24"/>
        <v>1304696.6257191529</v>
      </c>
      <c r="N46" s="49">
        <f t="shared" si="24"/>
        <v>1962246.7657933587</v>
      </c>
      <c r="O46" s="166">
        <f>O44*O45-55402.4</f>
        <v>2481044.1859923485</v>
      </c>
      <c r="P46" s="278" t="s">
        <v>191</v>
      </c>
      <c r="Q46" s="49">
        <f>SUM(D46:F46)</f>
        <v>6238283.0102613876</v>
      </c>
      <c r="R46" s="49">
        <f>SUM(G46:I46)</f>
        <v>3023111.7053808239</v>
      </c>
      <c r="S46" s="49">
        <f>SUM(J46:L46)</f>
        <v>1962986.7621570989</v>
      </c>
      <c r="T46" s="49">
        <f>SUM(M46:O46)</f>
        <v>5747987.5775048602</v>
      </c>
      <c r="U46" s="49">
        <f>SUM(D46:O46)</f>
        <v>16972369.05530417</v>
      </c>
    </row>
    <row r="47" spans="1:21">
      <c r="A47" s="46"/>
      <c r="B47" s="20"/>
      <c r="C47" s="46"/>
      <c r="D47" s="49"/>
      <c r="E47" s="49"/>
      <c r="F47" s="49"/>
      <c r="G47" s="49"/>
      <c r="H47" s="50"/>
      <c r="I47" s="49"/>
      <c r="J47" s="49"/>
      <c r="K47" s="49"/>
      <c r="L47" s="49"/>
      <c r="M47" s="49"/>
      <c r="N47" s="49"/>
      <c r="O47" s="49"/>
      <c r="P47" s="49"/>
      <c r="Q47" s="47"/>
      <c r="R47" s="47"/>
      <c r="S47" s="47"/>
      <c r="T47" s="47"/>
      <c r="U47" s="47"/>
    </row>
    <row r="48" spans="1:21">
      <c r="A48" s="46">
        <v>34</v>
      </c>
      <c r="B48" s="20" t="s">
        <v>189</v>
      </c>
      <c r="C48" s="46" t="str">
        <f>"("&amp;A36&amp;") - ("&amp;A40&amp;")"</f>
        <v>(24) - (28)</v>
      </c>
      <c r="D48" s="163">
        <f t="shared" ref="D48:G50" si="25">D36-D40</f>
        <v>8697763.0254599992</v>
      </c>
      <c r="E48" s="163">
        <f t="shared" si="25"/>
        <v>7796596.9490399994</v>
      </c>
      <c r="F48" s="163">
        <f t="shared" si="25"/>
        <v>6414194.40393</v>
      </c>
      <c r="G48" s="163">
        <f t="shared" si="25"/>
        <v>5397197.9294199999</v>
      </c>
      <c r="H48" s="48">
        <f t="shared" ref="H48:O50" si="26">H36-H40</f>
        <v>3741747.0181600004</v>
      </c>
      <c r="I48" s="48">
        <f t="shared" si="26"/>
        <v>2305135.0797799998</v>
      </c>
      <c r="J48" s="48">
        <f t="shared" si="26"/>
        <v>1876550.5679899999</v>
      </c>
      <c r="K48" s="48">
        <f t="shared" si="26"/>
        <v>1707719.2729999998</v>
      </c>
      <c r="L48" s="48">
        <f t="shared" si="26"/>
        <v>2130201.3331400002</v>
      </c>
      <c r="M48" s="48">
        <f t="shared" si="26"/>
        <v>4098422.7741099996</v>
      </c>
      <c r="N48" s="48">
        <f t="shared" si="26"/>
        <v>8192819.3368800012</v>
      </c>
      <c r="O48" s="48">
        <f t="shared" si="26"/>
        <v>9845015.7317664512</v>
      </c>
      <c r="P48" s="48"/>
      <c r="Q48" s="48">
        <f>SUM(D48:F48)</f>
        <v>22908554.378429998</v>
      </c>
      <c r="R48" s="48">
        <f>SUM(G48:I48)</f>
        <v>11444080.02736</v>
      </c>
      <c r="S48" s="48">
        <f>SUM(J48:L48)</f>
        <v>5714471.1741300002</v>
      </c>
      <c r="T48" s="48">
        <f>SUM(M48:O48)</f>
        <v>22136257.84275645</v>
      </c>
      <c r="U48" s="48">
        <f>SUM(D48:O48)</f>
        <v>62203363.422676444</v>
      </c>
    </row>
    <row r="49" spans="1:21" ht="15" customHeight="1">
      <c r="A49" s="46">
        <v>35</v>
      </c>
      <c r="B49" s="200" t="s">
        <v>187</v>
      </c>
      <c r="C49" s="46" t="str">
        <f>"("&amp;A37&amp;") - ("&amp;A41&amp;")"</f>
        <v>(25) - (29)</v>
      </c>
      <c r="D49" s="169">
        <f t="shared" si="25"/>
        <v>3345790.7214799998</v>
      </c>
      <c r="E49" s="169">
        <f t="shared" si="25"/>
        <v>2506983.0860800003</v>
      </c>
      <c r="F49" s="169">
        <f t="shared" si="25"/>
        <v>2343900.1250799997</v>
      </c>
      <c r="G49" s="169">
        <f t="shared" si="25"/>
        <v>1834959.2414400002</v>
      </c>
      <c r="H49" s="21">
        <f t="shared" si="26"/>
        <v>1447390.1446000002</v>
      </c>
      <c r="I49" s="21">
        <f t="shared" si="26"/>
        <v>1029553.6275600001</v>
      </c>
      <c r="J49" s="21">
        <f t="shared" si="26"/>
        <v>766252.3047199999</v>
      </c>
      <c r="K49" s="21">
        <f t="shared" si="26"/>
        <v>790040.48880000005</v>
      </c>
      <c r="L49" s="21">
        <f t="shared" si="26"/>
        <v>837238.76548000018</v>
      </c>
      <c r="M49" s="21">
        <f t="shared" si="26"/>
        <v>950306.96465999982</v>
      </c>
      <c r="N49" s="21">
        <f t="shared" si="26"/>
        <v>1301539.4059899999</v>
      </c>
      <c r="O49" s="21">
        <f t="shared" si="26"/>
        <v>3153625.6485267738</v>
      </c>
      <c r="P49" s="21"/>
      <c r="Q49" s="49">
        <f>SUM(D49:F49)</f>
        <v>8196673.9326400002</v>
      </c>
      <c r="R49" s="49">
        <f>SUM(G49:I49)</f>
        <v>4311903.0136000002</v>
      </c>
      <c r="S49" s="49">
        <f>SUM(J49:L49)</f>
        <v>2393531.5589999999</v>
      </c>
      <c r="T49" s="49">
        <f>SUM(M49:O49)</f>
        <v>5405472.0191767737</v>
      </c>
      <c r="U49" s="49">
        <f>SUM(D49:O49)</f>
        <v>20307580.524416775</v>
      </c>
    </row>
    <row r="50" spans="1:21">
      <c r="A50" s="46">
        <v>36</v>
      </c>
      <c r="B50" s="20" t="s">
        <v>188</v>
      </c>
      <c r="C50" s="46" t="str">
        <f>"("&amp;A38&amp;") - ("&amp;A42&amp;")"</f>
        <v>(26) - (30)</v>
      </c>
      <c r="D50" s="169">
        <f t="shared" si="25"/>
        <v>366379.79</v>
      </c>
      <c r="E50" s="169">
        <f t="shared" si="25"/>
        <v>363264.22</v>
      </c>
      <c r="F50" s="169">
        <f t="shared" si="25"/>
        <v>436530.57</v>
      </c>
      <c r="G50" s="169">
        <f t="shared" si="25"/>
        <v>387443.35</v>
      </c>
      <c r="H50" s="21">
        <f t="shared" si="26"/>
        <v>386479.09</v>
      </c>
      <c r="I50" s="21">
        <f t="shared" si="26"/>
        <v>396298.42</v>
      </c>
      <c r="J50" s="21">
        <f t="shared" si="26"/>
        <v>387335.77999999997</v>
      </c>
      <c r="K50" s="21">
        <f t="shared" si="26"/>
        <v>392476.47</v>
      </c>
      <c r="L50" s="21">
        <f t="shared" si="26"/>
        <v>392442.66</v>
      </c>
      <c r="M50" s="21">
        <f t="shared" si="26"/>
        <v>389899.87</v>
      </c>
      <c r="N50" s="21">
        <f t="shared" si="26"/>
        <v>393816.54</v>
      </c>
      <c r="O50" s="21">
        <f t="shared" si="26"/>
        <v>409722.1977419355</v>
      </c>
      <c r="P50" s="21"/>
      <c r="Q50" s="49">
        <f>SUM(D50:F50)</f>
        <v>1166174.58</v>
      </c>
      <c r="R50" s="49">
        <f>SUM(G50:I50)</f>
        <v>1170220.8599999999</v>
      </c>
      <c r="S50" s="49">
        <f>SUM(J50:L50)</f>
        <v>1172254.9099999999</v>
      </c>
      <c r="T50" s="49">
        <f>SUM(M50:O50)</f>
        <v>1193438.6077419354</v>
      </c>
      <c r="U50" s="49">
        <f>SUM(D50:O50)</f>
        <v>4702088.9577419367</v>
      </c>
    </row>
    <row r="51" spans="1:21">
      <c r="A51" s="46">
        <v>37</v>
      </c>
      <c r="B51" s="20" t="s">
        <v>25</v>
      </c>
      <c r="C51" s="46" t="str">
        <f>"("&amp;A49&amp;") - ("&amp;A50&amp;")"</f>
        <v>(35) - (36)</v>
      </c>
      <c r="D51" s="49">
        <f t="shared" ref="D51:O51" si="27">D49-D50</f>
        <v>2979410.9314799998</v>
      </c>
      <c r="E51" s="49">
        <f t="shared" si="27"/>
        <v>2143718.8660800001</v>
      </c>
      <c r="F51" s="49">
        <f t="shared" si="27"/>
        <v>1907369.5550799996</v>
      </c>
      <c r="G51" s="49">
        <f t="shared" si="27"/>
        <v>1447515.8914400004</v>
      </c>
      <c r="H51" s="50">
        <f t="shared" si="27"/>
        <v>1060911.0546000001</v>
      </c>
      <c r="I51" s="49">
        <f t="shared" si="27"/>
        <v>633255.20756000001</v>
      </c>
      <c r="J51" s="49">
        <f t="shared" si="27"/>
        <v>378916.52471999993</v>
      </c>
      <c r="K51" s="49">
        <f t="shared" si="27"/>
        <v>397564.01880000008</v>
      </c>
      <c r="L51" s="49">
        <f t="shared" si="27"/>
        <v>444796.1054800002</v>
      </c>
      <c r="M51" s="49">
        <f t="shared" si="27"/>
        <v>560407.09465999983</v>
      </c>
      <c r="N51" s="49">
        <f t="shared" si="27"/>
        <v>907722.86598999985</v>
      </c>
      <c r="O51" s="49">
        <f t="shared" si="27"/>
        <v>2743903.4507848383</v>
      </c>
      <c r="P51" s="49"/>
      <c r="Q51" s="49">
        <f>SUM(D51:F51)</f>
        <v>7030499.3526399992</v>
      </c>
      <c r="R51" s="49">
        <f>SUM(G51:I51)</f>
        <v>3141682.1536000008</v>
      </c>
      <c r="S51" s="49">
        <f>SUM(J51:L51)</f>
        <v>1221276.6490000002</v>
      </c>
      <c r="T51" s="49">
        <f>SUM(M51:O51)</f>
        <v>4212033.4114348385</v>
      </c>
      <c r="U51" s="49">
        <f>SUM(D51:O51)</f>
        <v>15605491.566674836</v>
      </c>
    </row>
    <row r="52" spans="1:21">
      <c r="A52" s="46">
        <v>38</v>
      </c>
      <c r="B52" s="2" t="s">
        <v>34</v>
      </c>
      <c r="C52" s="46" t="str">
        <f>"("&amp;A51&amp;") / ("&amp;A44&amp;")"</f>
        <v>(37) / (31)</v>
      </c>
      <c r="D52" s="52">
        <f>D51/D44</f>
        <v>828.76521042559102</v>
      </c>
      <c r="E52" s="52">
        <f t="shared" ref="E52:O52" si="28">E51/E44</f>
        <v>753.5039951072057</v>
      </c>
      <c r="F52" s="52">
        <f t="shared" si="28"/>
        <v>577.81567860648272</v>
      </c>
      <c r="G52" s="52">
        <f t="shared" si="28"/>
        <v>446.90209677060835</v>
      </c>
      <c r="H52" s="137">
        <f t="shared" si="28"/>
        <v>328.25218273514855</v>
      </c>
      <c r="I52" s="52">
        <f t="shared" si="28"/>
        <v>191.37358947113933</v>
      </c>
      <c r="J52" s="52">
        <f t="shared" si="28"/>
        <v>116.91346026535018</v>
      </c>
      <c r="K52" s="52">
        <f t="shared" si="28"/>
        <v>120.95041642835415</v>
      </c>
      <c r="L52" s="52">
        <f t="shared" si="28"/>
        <v>135.81560472671762</v>
      </c>
      <c r="M52" s="52">
        <f t="shared" si="28"/>
        <v>171.5882102449479</v>
      </c>
      <c r="N52" s="52">
        <f t="shared" si="28"/>
        <v>275.23434384172219</v>
      </c>
      <c r="O52" s="52">
        <f t="shared" si="28"/>
        <v>806.31896878778673</v>
      </c>
      <c r="P52" s="52"/>
      <c r="Q52" s="91">
        <f>Q51/Q44</f>
        <v>721.74308106354579</v>
      </c>
      <c r="R52" s="91">
        <f>R51/R44</f>
        <v>321.23539402862991</v>
      </c>
      <c r="S52" s="91">
        <f>S51/S44</f>
        <v>124.58192889931655</v>
      </c>
      <c r="T52" s="91">
        <f>T51/T44</f>
        <v>422.59791426054363</v>
      </c>
      <c r="U52" s="91">
        <f>U51/U44</f>
        <v>397.1772560300027</v>
      </c>
    </row>
    <row r="53" spans="1:21">
      <c r="A53" s="46">
        <v>39</v>
      </c>
      <c r="B53" s="20" t="s">
        <v>27</v>
      </c>
      <c r="C53" s="46" t="str">
        <f>"("&amp;A46&amp;") - ("&amp;A51&amp;")"</f>
        <v>(33) - (37)</v>
      </c>
      <c r="D53" s="49">
        <f>D46-D51</f>
        <v>-330491.57460752409</v>
      </c>
      <c r="E53" s="49">
        <f t="shared" ref="E53:O53" si="29">E46-E51</f>
        <v>-292747.14300333778</v>
      </c>
      <c r="F53" s="49">
        <f t="shared" si="29"/>
        <v>-168977.6247677498</v>
      </c>
      <c r="G53" s="49">
        <f t="shared" si="29"/>
        <v>-58130.857755339239</v>
      </c>
      <c r="H53" s="50">
        <f t="shared" si="29"/>
        <v>-165709.22812764533</v>
      </c>
      <c r="I53" s="49">
        <f t="shared" si="29"/>
        <v>105269.63766380807</v>
      </c>
      <c r="J53" s="49">
        <f t="shared" si="29"/>
        <v>210210.97848785535</v>
      </c>
      <c r="K53" s="49">
        <f t="shared" si="29"/>
        <v>217474.09059265768</v>
      </c>
      <c r="L53" s="49">
        <f t="shared" si="29"/>
        <v>314025.04407658562</v>
      </c>
      <c r="M53" s="49">
        <f t="shared" si="29"/>
        <v>744289.53105915303</v>
      </c>
      <c r="N53" s="49">
        <f t="shared" si="29"/>
        <v>1054523.8998033588</v>
      </c>
      <c r="O53" s="49">
        <f t="shared" si="29"/>
        <v>-262859.26479248982</v>
      </c>
      <c r="P53" s="49"/>
      <c r="Q53" s="49">
        <f>SUM(D53:F53)</f>
        <v>-792216.34237861168</v>
      </c>
      <c r="R53" s="49">
        <f>SUM(G53:I53)</f>
        <v>-118570.4482191765</v>
      </c>
      <c r="S53" s="49">
        <f>SUM(J53:L53)</f>
        <v>741710.11315709865</v>
      </c>
      <c r="T53" s="49">
        <f>SUM(M53:O53)</f>
        <v>1535954.1660700222</v>
      </c>
      <c r="U53" s="49">
        <f>SUM(D53:O53)</f>
        <v>1366877.4886293325</v>
      </c>
    </row>
    <row r="54" spans="1:21">
      <c r="A54" s="46">
        <v>40</v>
      </c>
      <c r="B54" s="20" t="s">
        <v>28</v>
      </c>
      <c r="C54" s="46" t="s">
        <v>29</v>
      </c>
      <c r="D54" s="166">
        <v>14448.430658691737</v>
      </c>
      <c r="E54" s="166">
        <v>12798.319597819922</v>
      </c>
      <c r="F54" s="166">
        <v>7387.3637995964855</v>
      </c>
      <c r="G54" s="166">
        <v>2541.3648393479207</v>
      </c>
      <c r="H54" s="166">
        <v>7244.4760352843987</v>
      </c>
      <c r="I54" s="166">
        <v>-4602.1780193863615</v>
      </c>
      <c r="J54" s="166">
        <v>-9190.0035575320599</v>
      </c>
      <c r="K54" s="166">
        <v>-9507.5322925298078</v>
      </c>
      <c r="L54" s="166">
        <v>-13728.54687694017</v>
      </c>
      <c r="M54" s="166">
        <v>-32538.849718844052</v>
      </c>
      <c r="N54" s="166">
        <v>-46101.675851603242</v>
      </c>
      <c r="O54" s="166">
        <v>11491.681146236317</v>
      </c>
      <c r="P54" s="49"/>
      <c r="Q54" s="49">
        <f>SUM(D54:F54)</f>
        <v>34634.114056108141</v>
      </c>
      <c r="R54" s="49">
        <f>SUM(G54:I54)</f>
        <v>5183.662855245957</v>
      </c>
      <c r="S54" s="49">
        <f>SUM(J54:L54)</f>
        <v>-32426.082727002038</v>
      </c>
      <c r="T54" s="49">
        <f>SUM(M54:O54)</f>
        <v>-67148.844424210984</v>
      </c>
      <c r="U54" s="49">
        <f>SUM(D54:O54)</f>
        <v>-59757.150239858915</v>
      </c>
    </row>
    <row r="55" spans="1:21" ht="14.45" customHeight="1">
      <c r="A55" s="46">
        <v>41</v>
      </c>
      <c r="B55" s="20"/>
      <c r="C55" s="46" t="s">
        <v>30</v>
      </c>
      <c r="D55" s="206">
        <v>3.2500000000000001E-2</v>
      </c>
      <c r="E55" s="206">
        <v>3.2500000000000001E-2</v>
      </c>
      <c r="F55" s="206">
        <v>3.2500000000000001E-2</v>
      </c>
      <c r="G55" s="206">
        <v>3.2500000000000001E-2</v>
      </c>
      <c r="H55" s="274">
        <v>3.2500000000000001E-2</v>
      </c>
      <c r="I55" s="206">
        <v>3.2500000000000001E-2</v>
      </c>
      <c r="J55" s="206">
        <v>3.5999999999999997E-2</v>
      </c>
      <c r="K55" s="206">
        <v>3.5999999999999997E-2</v>
      </c>
      <c r="L55" s="206">
        <v>3.5999999999999997E-2</v>
      </c>
      <c r="M55" s="206">
        <v>4.9099999999999998E-2</v>
      </c>
      <c r="N55" s="206">
        <v>4.9099999999999998E-2</v>
      </c>
      <c r="O55" s="206">
        <v>4.9099999999999998E-2</v>
      </c>
      <c r="P55" s="54"/>
      <c r="Q55" s="54"/>
      <c r="R55" s="54"/>
      <c r="S55" s="54"/>
      <c r="T55" s="54"/>
      <c r="U55" s="54"/>
    </row>
    <row r="56" spans="1:21">
      <c r="A56" s="46">
        <v>42</v>
      </c>
      <c r="B56" s="20" t="s">
        <v>31</v>
      </c>
      <c r="C56" s="46" t="s">
        <v>35</v>
      </c>
      <c r="D56" s="3">
        <f>(D53+D54)/2*D55/12</f>
        <v>-427.97509076404384</v>
      </c>
      <c r="E56" s="3">
        <f>(D58+(E53+E54)/2)*E55/12</f>
        <v>-1236.2066457605458</v>
      </c>
      <c r="F56" s="3">
        <f t="shared" ref="F56:O56" si="30">(E58+(F53+F54)/2)*F55/12</f>
        <v>-1837.4722155154939</v>
      </c>
      <c r="G56" s="3">
        <f t="shared" si="30"/>
        <v>-2136.5462861506271</v>
      </c>
      <c r="H56" s="134">
        <f t="shared" si="30"/>
        <v>-2432.1978891244289</v>
      </c>
      <c r="I56" s="3">
        <f t="shared" si="30"/>
        <v>-2517.0522585973918</v>
      </c>
      <c r="J56" s="3">
        <f t="shared" si="30"/>
        <v>-2343.1379298215547</v>
      </c>
      <c r="K56" s="3">
        <f t="shared" si="30"/>
        <v>-1736.6860437653422</v>
      </c>
      <c r="L56" s="3">
        <f t="shared" si="30"/>
        <v>-979.50151864697864</v>
      </c>
      <c r="M56" s="3">
        <f t="shared" si="30"/>
        <v>730.54082111678599</v>
      </c>
      <c r="N56" s="3">
        <f t="shared" si="30"/>
        <v>4252.7170193865377</v>
      </c>
      <c r="O56" s="3">
        <f t="shared" si="30"/>
        <v>5818.9253381492008</v>
      </c>
      <c r="P56" s="3"/>
      <c r="Q56" s="49">
        <f>SUM(D56:F56)</f>
        <v>-3501.6539520400838</v>
      </c>
      <c r="R56" s="49">
        <f>SUM(G56:I56)</f>
        <v>-7085.7964338724487</v>
      </c>
      <c r="S56" s="49">
        <f>SUM(J56:L56)</f>
        <v>-5059.3254922338756</v>
      </c>
      <c r="T56" s="49">
        <f>SUM(M56:O56)</f>
        <v>10802.183178652525</v>
      </c>
      <c r="U56" s="3">
        <f>SUM(D56:O56)</f>
        <v>-4844.5926994938827</v>
      </c>
    </row>
    <row r="57" spans="1:21" ht="15.75" thickBot="1">
      <c r="A57" s="46">
        <v>43</v>
      </c>
      <c r="B57" s="4" t="s">
        <v>36</v>
      </c>
      <c r="C57" s="46"/>
      <c r="D57" s="6">
        <f>D53+D54+D56</f>
        <v>-316471.11903959641</v>
      </c>
      <c r="E57" s="6">
        <f t="shared" ref="E57:O57" si="31">E53+E54+E56</f>
        <v>-281185.03005127842</v>
      </c>
      <c r="F57" s="6">
        <f t="shared" si="31"/>
        <v>-163427.73318366881</v>
      </c>
      <c r="G57" s="6">
        <f t="shared" si="31"/>
        <v>-57726.039202141939</v>
      </c>
      <c r="H57" s="6">
        <f t="shared" si="31"/>
        <v>-160896.94998148535</v>
      </c>
      <c r="I57" s="6">
        <f t="shared" si="31"/>
        <v>98150.407385824306</v>
      </c>
      <c r="J57" s="6">
        <f t="shared" si="31"/>
        <v>198677.83700050172</v>
      </c>
      <c r="K57" s="6">
        <f t="shared" si="31"/>
        <v>206229.87225636255</v>
      </c>
      <c r="L57" s="6">
        <f t="shared" si="31"/>
        <v>299316.99568099849</v>
      </c>
      <c r="M57" s="6">
        <f t="shared" si="31"/>
        <v>712481.22216142574</v>
      </c>
      <c r="N57" s="6">
        <f t="shared" si="31"/>
        <v>1012674.9409711421</v>
      </c>
      <c r="O57" s="6">
        <f t="shared" si="31"/>
        <v>-245548.65830810432</v>
      </c>
      <c r="P57" s="6"/>
      <c r="Q57" s="51">
        <f>Q53+Q54+Q56</f>
        <v>-761083.88227454363</v>
      </c>
      <c r="R57" s="51">
        <f>R53+R54+R56</f>
        <v>-120472.581797803</v>
      </c>
      <c r="S57" s="51">
        <f>S53+S54+S56</f>
        <v>704224.70493786281</v>
      </c>
      <c r="T57" s="51">
        <f>T53+T54+T56</f>
        <v>1479607.5048244637</v>
      </c>
      <c r="U57" s="51">
        <f>U53+U54+U56</f>
        <v>1302275.7456899795</v>
      </c>
    </row>
    <row r="58" spans="1:21" ht="15.75" thickBot="1">
      <c r="A58" s="46">
        <v>44</v>
      </c>
      <c r="B58" s="20" t="s">
        <v>170</v>
      </c>
      <c r="C58" s="46" t="str">
        <f>"Σ(("&amp;A53&amp;") ,("&amp;A54&amp;") , ("&amp;A56&amp;"))"</f>
        <v>Σ((39) ,(40) , (42))</v>
      </c>
      <c r="D58" s="49">
        <f>D53+D54+D56</f>
        <v>-316471.11903959641</v>
      </c>
      <c r="E58" s="49">
        <f>D58+E53+E54+E56</f>
        <v>-597656.14909087482</v>
      </c>
      <c r="F58" s="49">
        <f t="shared" ref="F58:O58" si="32">E58+F53+F54+F56</f>
        <v>-761083.88227454363</v>
      </c>
      <c r="G58" s="49">
        <f t="shared" si="32"/>
        <v>-818809.92147668556</v>
      </c>
      <c r="H58" s="50">
        <f t="shared" si="32"/>
        <v>-979706.87145817094</v>
      </c>
      <c r="I58" s="49">
        <f t="shared" si="32"/>
        <v>-881556.46407234657</v>
      </c>
      <c r="J58" s="49">
        <f t="shared" si="32"/>
        <v>-682878.62707184476</v>
      </c>
      <c r="K58" s="49">
        <f t="shared" si="32"/>
        <v>-476648.75481548224</v>
      </c>
      <c r="L58" s="49">
        <f t="shared" si="32"/>
        <v>-177331.75913448379</v>
      </c>
      <c r="M58" s="49">
        <f t="shared" si="32"/>
        <v>535149.46302694199</v>
      </c>
      <c r="N58" s="49">
        <f t="shared" si="32"/>
        <v>1547824.4039980841</v>
      </c>
      <c r="O58" s="85">
        <f t="shared" si="32"/>
        <v>1302275.74568998</v>
      </c>
      <c r="P58" s="16"/>
      <c r="Q58" s="50"/>
      <c r="R58" s="50"/>
      <c r="S58" s="50"/>
      <c r="T58" s="50"/>
    </row>
    <row r="59" spans="1:21" ht="15.75" thickBot="1">
      <c r="A59" s="46"/>
      <c r="B59" s="20"/>
      <c r="C59" s="20"/>
      <c r="D59" s="20"/>
      <c r="E59" s="20"/>
      <c r="F59" s="20"/>
      <c r="G59" s="20"/>
      <c r="H59" s="138"/>
      <c r="I59" s="20"/>
      <c r="J59" s="20"/>
      <c r="K59" s="20"/>
      <c r="L59" s="20"/>
      <c r="M59" s="20"/>
      <c r="N59" s="20"/>
      <c r="O59" s="20"/>
      <c r="P59" s="20"/>
      <c r="Q59" s="20"/>
      <c r="R59" s="20"/>
      <c r="S59" s="20"/>
      <c r="T59" s="20"/>
      <c r="U59" s="211"/>
    </row>
    <row r="60" spans="1:21" ht="15.75" thickBot="1">
      <c r="A60" s="1">
        <v>45</v>
      </c>
      <c r="B60" s="4" t="s">
        <v>172</v>
      </c>
      <c r="C60" s="1" t="str">
        <f>"("&amp;A31&amp;") + ("&amp;A58&amp;")"</f>
        <v>(21) + (44)</v>
      </c>
      <c r="D60" s="49">
        <f t="shared" ref="D60:O60" si="33">D32+D58</f>
        <v>-3087746.6162447194</v>
      </c>
      <c r="E60" s="49">
        <f t="shared" si="33"/>
        <v>-4306177.9384475742</v>
      </c>
      <c r="F60" s="49">
        <f t="shared" si="33"/>
        <v>-3677387.1482779225</v>
      </c>
      <c r="G60" s="49">
        <f t="shared" si="33"/>
        <v>-4651474.3618680052</v>
      </c>
      <c r="H60" s="50">
        <f t="shared" si="33"/>
        <v>-5068149.4090353446</v>
      </c>
      <c r="I60" s="49">
        <f t="shared" si="33"/>
        <v>-4676717.7326317253</v>
      </c>
      <c r="J60" s="49">
        <f t="shared" si="33"/>
        <v>-4146693.2415745109</v>
      </c>
      <c r="K60" s="49">
        <f t="shared" si="33"/>
        <v>-3378512.1800356833</v>
      </c>
      <c r="L60" s="49">
        <f t="shared" si="33"/>
        <v>-2947529.407424354</v>
      </c>
      <c r="M60" s="49">
        <f t="shared" si="33"/>
        <v>559709.73619194794</v>
      </c>
      <c r="N60" s="49">
        <f t="shared" si="33"/>
        <v>2327939.7782170959</v>
      </c>
      <c r="O60" s="85">
        <f t="shared" si="33"/>
        <v>232935.09899230557</v>
      </c>
      <c r="P60" s="16"/>
    </row>
    <row r="61" spans="1:21" ht="37.5" customHeight="1">
      <c r="A61" s="295" t="s">
        <v>291</v>
      </c>
      <c r="B61" s="295"/>
      <c r="C61" s="295"/>
      <c r="D61" s="295"/>
      <c r="E61" s="295"/>
      <c r="F61" s="295"/>
      <c r="G61" s="295"/>
      <c r="H61" s="295"/>
      <c r="I61" s="295"/>
      <c r="J61" s="295"/>
      <c r="K61" s="295"/>
      <c r="L61" s="295"/>
      <c r="M61" s="295"/>
      <c r="N61" s="295"/>
      <c r="O61" s="295"/>
      <c r="P61" s="295"/>
      <c r="Q61" s="295"/>
      <c r="R61" s="295"/>
      <c r="S61" s="295"/>
      <c r="T61" s="295"/>
      <c r="U61" s="295"/>
    </row>
    <row r="64" spans="1:21">
      <c r="D64" s="262"/>
      <c r="E64" s="262"/>
      <c r="F64" s="262"/>
      <c r="G64" s="262"/>
      <c r="H64" s="262"/>
      <c r="I64" s="262"/>
      <c r="J64" s="262"/>
      <c r="K64" s="262"/>
      <c r="L64" s="262"/>
      <c r="M64" s="262"/>
      <c r="N64" s="262"/>
      <c r="O64" s="262"/>
    </row>
    <row r="65" spans="4:15">
      <c r="D65" s="225"/>
      <c r="E65" s="225"/>
      <c r="F65" s="225"/>
      <c r="G65" s="225"/>
      <c r="H65" s="225"/>
      <c r="I65" s="225"/>
      <c r="J65" s="225"/>
      <c r="K65" s="225"/>
      <c r="L65" s="225"/>
      <c r="M65" s="225"/>
      <c r="N65" s="225"/>
      <c r="O65" s="225"/>
    </row>
    <row r="66" spans="4:15">
      <c r="D66" s="262"/>
      <c r="E66" s="262"/>
      <c r="F66" s="262"/>
      <c r="G66" s="262"/>
      <c r="H66" s="262"/>
      <c r="I66" s="262"/>
      <c r="J66" s="262"/>
      <c r="K66" s="262"/>
      <c r="L66" s="262"/>
      <c r="M66" s="262"/>
      <c r="N66" s="262"/>
      <c r="O66" s="262"/>
    </row>
    <row r="68" spans="4:15">
      <c r="D68" s="263"/>
      <c r="E68" s="263"/>
      <c r="F68" s="263"/>
      <c r="G68" s="263"/>
      <c r="H68" s="263"/>
      <c r="I68" s="263"/>
      <c r="J68" s="263"/>
      <c r="K68" s="263"/>
      <c r="L68" s="263"/>
      <c r="M68" s="263"/>
      <c r="N68" s="263"/>
      <c r="O68" s="263"/>
    </row>
    <row r="69" spans="4:15">
      <c r="D69" s="263"/>
      <c r="E69" s="263"/>
      <c r="F69" s="263"/>
      <c r="G69" s="263"/>
      <c r="H69" s="263"/>
      <c r="I69" s="263"/>
      <c r="J69" s="263"/>
      <c r="K69" s="263"/>
      <c r="L69" s="263"/>
      <c r="M69" s="263"/>
      <c r="N69" s="263"/>
      <c r="O69" s="263"/>
    </row>
    <row r="70" spans="4:15">
      <c r="D70" s="264"/>
      <c r="E70" s="264"/>
      <c r="F70" s="264"/>
      <c r="G70" s="264"/>
      <c r="H70" s="264"/>
      <c r="I70" s="264"/>
      <c r="J70" s="264"/>
      <c r="K70" s="264"/>
      <c r="L70" s="264"/>
      <c r="M70" s="264"/>
      <c r="N70" s="264"/>
      <c r="O70" s="264"/>
    </row>
    <row r="72" spans="4:15">
      <c r="D72" s="262"/>
      <c r="E72" s="262"/>
      <c r="F72" s="262"/>
      <c r="G72" s="262"/>
      <c r="H72" s="262"/>
      <c r="I72" s="262"/>
      <c r="J72" s="262"/>
      <c r="K72" s="262"/>
      <c r="L72" s="262"/>
      <c r="M72" s="262"/>
      <c r="N72" s="262"/>
      <c r="O72" s="262"/>
    </row>
    <row r="75" spans="4:15">
      <c r="N75" s="263"/>
    </row>
    <row r="77" spans="4:15">
      <c r="E77" s="265"/>
      <c r="F77" s="265"/>
      <c r="G77" s="265"/>
      <c r="H77" s="265"/>
      <c r="I77" s="265"/>
      <c r="J77" s="265"/>
      <c r="K77" s="265"/>
      <c r="L77" s="265"/>
      <c r="M77" s="265"/>
      <c r="N77" s="265"/>
      <c r="O77" s="265"/>
    </row>
    <row r="78" spans="4:15">
      <c r="E78" s="265"/>
      <c r="F78" s="265"/>
      <c r="G78" s="265"/>
      <c r="H78" s="265"/>
      <c r="I78" s="265"/>
      <c r="J78" s="265"/>
      <c r="K78" s="265"/>
      <c r="L78" s="265"/>
      <c r="M78" s="265"/>
      <c r="N78" s="265"/>
      <c r="O78" s="265"/>
    </row>
  </sheetData>
  <mergeCells count="2">
    <mergeCell ref="A33:U33"/>
    <mergeCell ref="A61:U61"/>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9"/>
  <sheetViews>
    <sheetView workbookViewId="0">
      <selection activeCell="I6" sqref="I6"/>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0" width="14" customWidth="1"/>
    <col min="11" max="11" width="15" bestFit="1" customWidth="1"/>
    <col min="12" max="12" width="18.85546875" bestFit="1" customWidth="1"/>
    <col min="13" max="14" width="11.42578125" customWidth="1"/>
    <col min="15" max="15" width="13.28515625" bestFit="1" customWidth="1"/>
  </cols>
  <sheetData>
    <row r="1" spans="1:12" ht="31.15" customHeight="1">
      <c r="A1" s="296" t="s">
        <v>41</v>
      </c>
      <c r="B1" s="296"/>
      <c r="C1" s="296"/>
      <c r="D1" s="296"/>
      <c r="E1" s="296"/>
      <c r="F1" s="296"/>
      <c r="G1" s="296"/>
      <c r="H1" s="296"/>
      <c r="I1" s="53"/>
      <c r="J1" s="53"/>
      <c r="K1" s="53"/>
    </row>
    <row r="2" spans="1:12" ht="19.149999999999999" customHeight="1">
      <c r="A2" s="53"/>
      <c r="B2" s="53"/>
      <c r="C2" s="53"/>
      <c r="D2" s="53"/>
      <c r="E2" s="53"/>
      <c r="F2" s="53"/>
      <c r="G2" s="53"/>
      <c r="H2" s="53"/>
      <c r="I2" s="53"/>
      <c r="J2" s="53"/>
      <c r="K2" s="53"/>
    </row>
    <row r="3" spans="1:12">
      <c r="A3" s="23" t="s">
        <v>42</v>
      </c>
      <c r="B3" s="53"/>
      <c r="C3" s="9" t="s">
        <v>111</v>
      </c>
      <c r="D3" s="53"/>
      <c r="E3" s="53"/>
      <c r="F3" s="53"/>
      <c r="G3" s="53"/>
      <c r="H3" s="53"/>
      <c r="I3" s="53"/>
      <c r="J3" s="53"/>
      <c r="K3" s="53"/>
    </row>
    <row r="4" spans="1:12">
      <c r="A4" s="299"/>
      <c r="B4" s="299"/>
      <c r="C4" s="299"/>
      <c r="D4" s="299"/>
      <c r="E4" s="299"/>
      <c r="F4" s="299"/>
      <c r="G4" s="299"/>
      <c r="H4" s="53"/>
      <c r="I4" s="53"/>
      <c r="J4" s="53"/>
      <c r="K4" s="53"/>
    </row>
    <row r="5" spans="1:12" ht="26.25">
      <c r="A5" s="69" t="s">
        <v>43</v>
      </c>
      <c r="B5" s="70" t="s">
        <v>44</v>
      </c>
      <c r="C5" s="71" t="s">
        <v>45</v>
      </c>
      <c r="D5" s="69" t="s">
        <v>46</v>
      </c>
      <c r="E5" s="69" t="s">
        <v>47</v>
      </c>
      <c r="F5" s="69" t="s">
        <v>48</v>
      </c>
      <c r="G5" s="69" t="s">
        <v>49</v>
      </c>
      <c r="H5" s="53"/>
      <c r="I5" s="298" t="s">
        <v>174</v>
      </c>
      <c r="J5" s="298"/>
      <c r="K5" s="22"/>
      <c r="L5" s="140"/>
    </row>
    <row r="6" spans="1:12" s="53" customFormat="1">
      <c r="A6" s="25" t="s">
        <v>50</v>
      </c>
      <c r="B6" s="24" t="s">
        <v>51</v>
      </c>
      <c r="C6" s="26" t="s">
        <v>52</v>
      </c>
      <c r="D6" s="27" t="s">
        <v>293</v>
      </c>
      <c r="E6" s="28">
        <v>-11067028.5</v>
      </c>
      <c r="F6" s="29">
        <v>1771555.73</v>
      </c>
      <c r="G6" s="28">
        <v>-9295472.7699999996</v>
      </c>
      <c r="I6" s="17">
        <f>F6-'Interest Reconciliation'!C35-'Interest Reconciliation'!D35</f>
        <v>0</v>
      </c>
      <c r="J6" s="17">
        <f>G6-'Interest Reconciliation'!F35</f>
        <v>0</v>
      </c>
    </row>
    <row r="7" spans="1:12" s="53" customFormat="1">
      <c r="A7" s="30"/>
      <c r="B7" s="24" t="s">
        <v>51</v>
      </c>
      <c r="C7" s="31"/>
      <c r="D7" s="27" t="s">
        <v>294</v>
      </c>
      <c r="E7" s="28">
        <v>-9295472.7699999996</v>
      </c>
      <c r="F7" s="29">
        <v>-2815238.04</v>
      </c>
      <c r="G7" s="28">
        <v>-12110710.810000001</v>
      </c>
      <c r="I7" s="17">
        <f>F7-'Interest Reconciliation'!C36-'Interest Reconciliation'!D36</f>
        <v>1.673470251262188E-10</v>
      </c>
      <c r="J7" s="17">
        <f>G7-'Interest Reconciliation'!F36</f>
        <v>0</v>
      </c>
    </row>
    <row r="8" spans="1:12" s="53" customFormat="1">
      <c r="A8" s="30"/>
      <c r="B8" s="24" t="s">
        <v>51</v>
      </c>
      <c r="C8" s="32"/>
      <c r="D8" s="27" t="s">
        <v>295</v>
      </c>
      <c r="E8" s="28">
        <v>-12110710.810000001</v>
      </c>
      <c r="F8" s="29">
        <v>-4015063.29</v>
      </c>
      <c r="G8" s="28">
        <v>-16125774.1</v>
      </c>
      <c r="I8" s="17">
        <f>F8-'Interest Reconciliation'!C37-'Interest Reconciliation'!D37</f>
        <v>-1.8917489796876907E-10</v>
      </c>
      <c r="J8" s="17">
        <f>G8-'Interest Reconciliation'!F37</f>
        <v>0</v>
      </c>
    </row>
    <row r="9" spans="1:12">
      <c r="A9" s="30"/>
      <c r="B9" s="61"/>
      <c r="C9" s="62"/>
      <c r="D9" s="61"/>
      <c r="E9" s="63"/>
      <c r="F9" s="64">
        <f>SUM(F6:F8)</f>
        <v>-5058745.5999999996</v>
      </c>
      <c r="G9" s="63"/>
      <c r="H9" s="53"/>
      <c r="I9" s="17"/>
      <c r="J9" s="17"/>
      <c r="K9" s="53"/>
    </row>
    <row r="10" spans="1:12" s="53" customFormat="1">
      <c r="A10" s="30"/>
      <c r="B10" s="24" t="s">
        <v>51</v>
      </c>
      <c r="C10" s="26" t="s">
        <v>53</v>
      </c>
      <c r="D10" s="27" t="s">
        <v>293</v>
      </c>
      <c r="E10" s="28">
        <v>-2770197.64</v>
      </c>
      <c r="F10" s="29">
        <v>2794757.92</v>
      </c>
      <c r="G10" s="28">
        <v>24560.28</v>
      </c>
      <c r="I10" s="17">
        <f>F10-'Interest Reconciliation'!L35-'Interest Reconciliation'!M35</f>
        <v>9.276845958083868E-11</v>
      </c>
      <c r="J10" s="17">
        <f>G10-'Interest Reconciliation'!O35</f>
        <v>3.5208167537348345E-4</v>
      </c>
      <c r="L10" s="17"/>
    </row>
    <row r="11" spans="1:12" s="53" customFormat="1">
      <c r="A11" s="30"/>
      <c r="B11" s="24" t="s">
        <v>51</v>
      </c>
      <c r="C11" s="31"/>
      <c r="D11" s="27" t="s">
        <v>294</v>
      </c>
      <c r="E11" s="28">
        <v>24560.28</v>
      </c>
      <c r="F11" s="29">
        <v>755555.1</v>
      </c>
      <c r="G11" s="28">
        <v>780115.38</v>
      </c>
      <c r="I11" s="17">
        <f>F11-'Interest Reconciliation'!L36-'Interest Reconciliation'!M36</f>
        <v>-4.5474735088646412E-12</v>
      </c>
      <c r="J11" s="17">
        <f>G11-'Interest Reconciliation'!O36</f>
        <v>3.5208172630518675E-4</v>
      </c>
      <c r="L11" s="17"/>
    </row>
    <row r="12" spans="1:12" s="53" customFormat="1">
      <c r="A12" s="30"/>
      <c r="B12" s="24" t="s">
        <v>51</v>
      </c>
      <c r="C12" s="32"/>
      <c r="D12" s="27" t="s">
        <v>295</v>
      </c>
      <c r="E12" s="28">
        <v>780115.38</v>
      </c>
      <c r="F12" s="29">
        <v>-1849456.02</v>
      </c>
      <c r="G12" s="28">
        <v>-1069340.6399999999</v>
      </c>
      <c r="I12" s="17">
        <f>F12-'Interest Reconciliation'!L37-'Interest Reconciliation'!M37</f>
        <v>0</v>
      </c>
      <c r="J12" s="17">
        <f>G12-'Interest Reconciliation'!O37</f>
        <v>3.5208184272050858E-4</v>
      </c>
      <c r="L12" s="17"/>
    </row>
    <row r="13" spans="1:12">
      <c r="A13" s="33"/>
      <c r="B13" s="61"/>
      <c r="C13" s="62"/>
      <c r="D13" s="61"/>
      <c r="E13" s="63"/>
      <c r="F13" s="64">
        <f>SUM(F10:F12)</f>
        <v>1700857</v>
      </c>
      <c r="G13" s="63"/>
      <c r="H13" s="53"/>
      <c r="I13" s="17"/>
      <c r="J13" s="17"/>
      <c r="K13" s="17"/>
      <c r="L13" s="13"/>
    </row>
    <row r="14" spans="1:12" ht="14.45" customHeight="1">
      <c r="A14" s="65"/>
      <c r="B14" s="66"/>
      <c r="C14" s="65"/>
      <c r="D14" s="65"/>
      <c r="E14" s="67"/>
      <c r="F14" s="68">
        <f>F9+F13</f>
        <v>-3357888.5999999996</v>
      </c>
      <c r="G14" s="67"/>
      <c r="H14" s="53"/>
      <c r="I14" s="17"/>
      <c r="J14" s="17"/>
      <c r="K14" s="17"/>
      <c r="L14" s="13"/>
    </row>
    <row r="15" spans="1:12" s="53" customFormat="1">
      <c r="A15" s="25" t="s">
        <v>54</v>
      </c>
      <c r="B15" s="24" t="s">
        <v>55</v>
      </c>
      <c r="C15" s="26" t="s">
        <v>52</v>
      </c>
      <c r="D15" s="27" t="s">
        <v>293</v>
      </c>
      <c r="E15" s="28">
        <v>2181867.42</v>
      </c>
      <c r="F15" s="29">
        <v>413720.73</v>
      </c>
      <c r="G15" s="28">
        <v>2595588.15</v>
      </c>
      <c r="H15" s="194"/>
      <c r="I15" s="17">
        <f>F15-'Interest Reconciliation'!C51-'Interest Reconciliation'!D51</f>
        <v>-1.6370904631912708E-11</v>
      </c>
      <c r="J15" s="17">
        <f>G15-'Interest Reconciliation'!F51</f>
        <v>0</v>
      </c>
      <c r="K15" s="17"/>
      <c r="L15" s="13"/>
    </row>
    <row r="16" spans="1:12" s="53" customFormat="1">
      <c r="A16" s="30"/>
      <c r="B16" s="24" t="s">
        <v>55</v>
      </c>
      <c r="C16" s="31"/>
      <c r="D16" s="27" t="s">
        <v>294</v>
      </c>
      <c r="E16" s="28">
        <v>2595588.15</v>
      </c>
      <c r="F16" s="29">
        <v>-1468850.73</v>
      </c>
      <c r="G16" s="28">
        <v>1126737.42</v>
      </c>
      <c r="H16" s="115"/>
      <c r="I16" s="17">
        <f>F16-'Interest Reconciliation'!C52-'Interest Reconciliation'!D52</f>
        <v>-3.7289282772690058E-11</v>
      </c>
      <c r="J16" s="17">
        <f>G16-'Interest Reconciliation'!F52</f>
        <v>0</v>
      </c>
      <c r="K16" s="17"/>
      <c r="L16" s="13"/>
    </row>
    <row r="17" spans="1:12" s="53" customFormat="1">
      <c r="A17" s="30"/>
      <c r="B17" s="24" t="s">
        <v>55</v>
      </c>
      <c r="C17" s="32"/>
      <c r="D17" s="27" t="s">
        <v>295</v>
      </c>
      <c r="E17" s="28">
        <v>1126737.42</v>
      </c>
      <c r="F17" s="29">
        <v>-741813.82</v>
      </c>
      <c r="G17" s="28">
        <v>384923.6</v>
      </c>
      <c r="H17" s="115"/>
      <c r="I17" s="17">
        <f>F17-'Interest Reconciliation'!C53-'Interest Reconciliation'!D53</f>
        <v>3.7289282772690058E-11</v>
      </c>
      <c r="J17" s="17">
        <f>G17-'Interest Reconciliation'!F53</f>
        <v>0</v>
      </c>
      <c r="K17" s="17"/>
      <c r="L17" s="13"/>
    </row>
    <row r="18" spans="1:12">
      <c r="A18" s="30"/>
      <c r="B18" s="61"/>
      <c r="C18" s="62"/>
      <c r="D18" s="61"/>
      <c r="E18" s="63"/>
      <c r="F18" s="64">
        <f>SUM(F15:F17)</f>
        <v>-1796943.8199999998</v>
      </c>
      <c r="G18" s="63"/>
      <c r="H18" s="53"/>
      <c r="I18" s="17"/>
      <c r="J18" s="17"/>
      <c r="K18" s="53"/>
    </row>
    <row r="19" spans="1:12" s="53" customFormat="1">
      <c r="A19" s="30"/>
      <c r="B19" s="24" t="s">
        <v>55</v>
      </c>
      <c r="C19" s="26" t="s">
        <v>53</v>
      </c>
      <c r="D19" s="27" t="s">
        <v>293</v>
      </c>
      <c r="E19" s="28">
        <v>-177331.76</v>
      </c>
      <c r="F19" s="29">
        <v>712481.22</v>
      </c>
      <c r="G19" s="28">
        <v>535149.46</v>
      </c>
      <c r="I19" s="17">
        <f>F19-'Interest Reconciliation'!L51-'Interest Reconciliation'!M51</f>
        <v>-7.9126039054244757E-11</v>
      </c>
      <c r="J19" s="17">
        <f>G19-'Interest Reconciliation'!O51</f>
        <v>-4.9303234554827213E-3</v>
      </c>
      <c r="L19" s="17"/>
    </row>
    <row r="20" spans="1:12" s="53" customFormat="1">
      <c r="A20" s="30"/>
      <c r="B20" s="24" t="s">
        <v>55</v>
      </c>
      <c r="C20" s="31"/>
      <c r="D20" s="27" t="s">
        <v>294</v>
      </c>
      <c r="E20" s="28">
        <v>535149.46</v>
      </c>
      <c r="F20" s="29">
        <v>1012674.94</v>
      </c>
      <c r="G20" s="28">
        <v>1547824.4</v>
      </c>
      <c r="I20" s="17">
        <f>F20-'Interest Reconciliation'!L52-'Interest Reconciliation'!M52</f>
        <v>-2.8194335754960775E-11</v>
      </c>
      <c r="J20" s="17">
        <f>G20-'Interest Reconciliation'!O52</f>
        <v>-4.9303234554827213E-3</v>
      </c>
      <c r="L20" s="17"/>
    </row>
    <row r="21" spans="1:12" s="53" customFormat="1">
      <c r="A21" s="30"/>
      <c r="B21" s="24" t="s">
        <v>55</v>
      </c>
      <c r="C21" s="32"/>
      <c r="D21" s="27" t="s">
        <v>295</v>
      </c>
      <c r="E21" s="28">
        <v>1547824.4</v>
      </c>
      <c r="F21" s="29">
        <f>-321227.22+75678.57</f>
        <v>-245548.64999999997</v>
      </c>
      <c r="G21" s="28">
        <f>1226597.18+75678.57</f>
        <v>1302275.75</v>
      </c>
      <c r="H21" s="53" t="s">
        <v>176</v>
      </c>
      <c r="I21" s="17">
        <f>F21-'Interest Reconciliation'!L53-'Interest Reconciliation'!M53</f>
        <v>2.1827872842550278E-11</v>
      </c>
      <c r="J21" s="17">
        <f>G21-'Interest Reconciliation'!O53</f>
        <v>-4.9303232226520777E-3</v>
      </c>
      <c r="L21" s="17"/>
    </row>
    <row r="22" spans="1:12">
      <c r="A22" s="33"/>
      <c r="B22" s="61"/>
      <c r="C22" s="62"/>
      <c r="D22" s="61"/>
      <c r="E22" s="63"/>
      <c r="F22" s="64">
        <f>SUM(F19:F21)</f>
        <v>1479607.51</v>
      </c>
      <c r="G22" s="63"/>
      <c r="H22" s="53"/>
      <c r="I22" s="17"/>
      <c r="J22" s="17"/>
      <c r="K22" s="53"/>
    </row>
    <row r="23" spans="1:12">
      <c r="A23" s="65"/>
      <c r="B23" s="66"/>
      <c r="C23" s="65"/>
      <c r="D23" s="65"/>
      <c r="E23" s="67"/>
      <c r="F23" s="68">
        <f>F18+F22</f>
        <v>-317336.30999999982</v>
      </c>
      <c r="G23" s="67"/>
      <c r="H23" s="53"/>
      <c r="I23" s="17"/>
      <c r="J23" s="17"/>
      <c r="K23" s="53"/>
    </row>
    <row r="24" spans="1:12">
      <c r="A24" s="287" t="s">
        <v>296</v>
      </c>
      <c r="B24" s="10"/>
      <c r="C24" s="10"/>
      <c r="D24" s="10"/>
      <c r="E24" s="11"/>
      <c r="F24" s="12"/>
      <c r="G24" s="11"/>
      <c r="H24" s="53"/>
      <c r="I24" s="17"/>
      <c r="J24" s="17"/>
      <c r="K24" s="53"/>
    </row>
    <row r="25" spans="1:12">
      <c r="A25" s="23" t="s">
        <v>42</v>
      </c>
      <c r="B25" s="53"/>
      <c r="C25" s="107" t="s">
        <v>190</v>
      </c>
      <c r="D25" s="53"/>
      <c r="E25" s="53"/>
      <c r="F25" s="53"/>
      <c r="G25" s="53"/>
      <c r="H25" s="53"/>
      <c r="I25" s="17"/>
      <c r="J25" s="17"/>
      <c r="K25" s="53"/>
    </row>
    <row r="26" spans="1:12">
      <c r="A26" s="53"/>
      <c r="B26" s="53"/>
      <c r="C26" s="53"/>
      <c r="D26" s="53"/>
      <c r="E26" s="53"/>
      <c r="F26" s="53"/>
      <c r="G26" s="53"/>
      <c r="H26" s="53"/>
      <c r="I26" s="17"/>
      <c r="J26" s="17"/>
      <c r="K26" s="53"/>
    </row>
    <row r="27" spans="1:12" ht="26.25">
      <c r="A27" s="69" t="s">
        <v>43</v>
      </c>
      <c r="B27" s="70" t="s">
        <v>44</v>
      </c>
      <c r="C27" s="71" t="s">
        <v>45</v>
      </c>
      <c r="D27" s="69" t="s">
        <v>46</v>
      </c>
      <c r="E27" s="69" t="s">
        <v>47</v>
      </c>
      <c r="F27" s="69" t="s">
        <v>48</v>
      </c>
      <c r="G27" s="69" t="s">
        <v>49</v>
      </c>
      <c r="H27" s="53"/>
      <c r="I27" s="17"/>
      <c r="J27" s="17"/>
      <c r="K27" s="53"/>
    </row>
    <row r="28" spans="1:12" s="53" customFormat="1">
      <c r="A28" s="25" t="s">
        <v>88</v>
      </c>
      <c r="B28" s="24" t="s">
        <v>89</v>
      </c>
      <c r="C28" s="26" t="s">
        <v>52</v>
      </c>
      <c r="D28" s="27" t="s">
        <v>293</v>
      </c>
      <c r="E28" s="28">
        <v>-5254334.07</v>
      </c>
      <c r="F28" s="29">
        <v>5254334.07</v>
      </c>
      <c r="G28" s="28">
        <v>0</v>
      </c>
      <c r="I28" s="17">
        <f>F28-'Interest Reconciliation'!C68-'Interest Reconciliation'!D68</f>
        <v>9.3132257461547852E-10</v>
      </c>
      <c r="J28" s="17">
        <f>G28-'Interest Reconciliation'!F68</f>
        <v>0</v>
      </c>
    </row>
    <row r="29" spans="1:12" s="53" customFormat="1">
      <c r="A29" s="30"/>
      <c r="B29" s="24" t="s">
        <v>89</v>
      </c>
      <c r="C29" s="31"/>
      <c r="D29" s="27" t="s">
        <v>294</v>
      </c>
      <c r="E29" s="28">
        <v>0</v>
      </c>
      <c r="F29" s="29">
        <v>0</v>
      </c>
      <c r="G29" s="28">
        <v>0</v>
      </c>
      <c r="I29" s="17">
        <f>F29-'Interest Reconciliation'!C69-'Interest Reconciliation'!D69</f>
        <v>0</v>
      </c>
      <c r="J29" s="17">
        <f>G29-'Interest Reconciliation'!F69</f>
        <v>0</v>
      </c>
    </row>
    <row r="30" spans="1:12" s="53" customFormat="1">
      <c r="A30" s="30"/>
      <c r="B30" s="24" t="s">
        <v>89</v>
      </c>
      <c r="C30" s="32"/>
      <c r="D30" s="27" t="s">
        <v>295</v>
      </c>
      <c r="E30" s="28">
        <v>0</v>
      </c>
      <c r="F30" s="29">
        <v>0</v>
      </c>
      <c r="G30" s="28">
        <v>0</v>
      </c>
      <c r="I30" s="17">
        <f>F30-'Interest Reconciliation'!C70-'Interest Reconciliation'!D70</f>
        <v>0</v>
      </c>
      <c r="J30" s="17">
        <f>G30-'Interest Reconciliation'!F70</f>
        <v>0</v>
      </c>
    </row>
    <row r="31" spans="1:12">
      <c r="A31" s="30"/>
      <c r="B31" s="61"/>
      <c r="C31" s="62"/>
      <c r="D31" s="61"/>
      <c r="E31" s="63"/>
      <c r="F31" s="64">
        <f>SUM(F28:F30)</f>
        <v>5254334.07</v>
      </c>
      <c r="G31" s="63"/>
      <c r="H31" s="53"/>
      <c r="I31" s="17"/>
      <c r="J31" s="17"/>
      <c r="K31" s="53"/>
    </row>
    <row r="32" spans="1:12" s="53" customFormat="1">
      <c r="A32" s="30"/>
      <c r="B32" s="24" t="s">
        <v>89</v>
      </c>
      <c r="C32" s="26" t="s">
        <v>53</v>
      </c>
      <c r="D32" s="27" t="s">
        <v>293</v>
      </c>
      <c r="E32" s="28">
        <v>6726954.4900000002</v>
      </c>
      <c r="F32" s="29">
        <v>-6726954.4900000002</v>
      </c>
      <c r="G32" s="28">
        <v>0</v>
      </c>
      <c r="I32" s="17">
        <f>F32-'Interest Reconciliation'!L68-'Interest Reconciliation'!M68</f>
        <v>0</v>
      </c>
      <c r="J32" s="17">
        <f>G32-'Interest Reconciliation'!O68</f>
        <v>0</v>
      </c>
      <c r="L32" s="17"/>
    </row>
    <row r="33" spans="1:12" s="53" customFormat="1">
      <c r="A33" s="30"/>
      <c r="B33" s="24" t="s">
        <v>89</v>
      </c>
      <c r="C33" s="31"/>
      <c r="D33" s="27" t="s">
        <v>294</v>
      </c>
      <c r="E33" s="28">
        <v>0</v>
      </c>
      <c r="F33" s="29">
        <v>0</v>
      </c>
      <c r="G33" s="28">
        <v>0</v>
      </c>
      <c r="I33" s="17">
        <f>F33-'Interest Reconciliation'!L69-'Interest Reconciliation'!M69</f>
        <v>0</v>
      </c>
      <c r="J33" s="17">
        <f>G33-'Interest Reconciliation'!O69</f>
        <v>0</v>
      </c>
      <c r="L33" s="17"/>
    </row>
    <row r="34" spans="1:12" s="53" customFormat="1">
      <c r="A34" s="30"/>
      <c r="B34" s="24" t="s">
        <v>89</v>
      </c>
      <c r="C34" s="32"/>
      <c r="D34" s="27" t="s">
        <v>295</v>
      </c>
      <c r="E34" s="28">
        <v>0</v>
      </c>
      <c r="F34" s="29">
        <v>0</v>
      </c>
      <c r="G34" s="28">
        <v>0</v>
      </c>
      <c r="I34" s="17">
        <f>F34-'Interest Reconciliation'!L70-'Interest Reconciliation'!M70</f>
        <v>0</v>
      </c>
      <c r="J34" s="17">
        <f>G34-'Interest Reconciliation'!O70</f>
        <v>0</v>
      </c>
      <c r="L34" s="17"/>
    </row>
    <row r="35" spans="1:12" s="53" customFormat="1">
      <c r="A35" s="33"/>
      <c r="B35" s="61"/>
      <c r="C35" s="62"/>
      <c r="D35" s="61"/>
      <c r="E35" s="63"/>
      <c r="F35" s="64">
        <f>SUM(F32:F34)</f>
        <v>-6726954.4900000002</v>
      </c>
      <c r="G35" s="63"/>
      <c r="I35" s="17"/>
      <c r="J35" s="17"/>
    </row>
    <row r="36" spans="1:12" s="53" customFormat="1">
      <c r="A36" s="65"/>
      <c r="B36" s="66"/>
      <c r="C36" s="65"/>
      <c r="D36" s="65"/>
      <c r="E36" s="67"/>
      <c r="F36" s="68">
        <f>F31+F35</f>
        <v>-1472620.42</v>
      </c>
      <c r="G36" s="67"/>
      <c r="I36" s="17"/>
      <c r="J36" s="17"/>
    </row>
    <row r="37" spans="1:12" s="53" customFormat="1">
      <c r="A37" s="25" t="s">
        <v>90</v>
      </c>
      <c r="B37" s="24" t="s">
        <v>91</v>
      </c>
      <c r="C37" s="26" t="s">
        <v>52</v>
      </c>
      <c r="D37" s="27" t="s">
        <v>293</v>
      </c>
      <c r="E37" s="28">
        <v>2450117.79</v>
      </c>
      <c r="F37" s="29">
        <v>-2450117.79</v>
      </c>
      <c r="G37" s="28">
        <v>0</v>
      </c>
      <c r="I37" s="17">
        <f>F37-'Interest Reconciliation'!C86-'Interest Reconciliation'!D86</f>
        <v>9.3132257461547852E-10</v>
      </c>
      <c r="J37" s="17">
        <f>G37-'Interest Reconciliation'!F86</f>
        <v>0</v>
      </c>
    </row>
    <row r="38" spans="1:12" s="53" customFormat="1">
      <c r="A38" s="30"/>
      <c r="B38" s="24" t="s">
        <v>91</v>
      </c>
      <c r="C38" s="31"/>
      <c r="D38" s="27" t="s">
        <v>294</v>
      </c>
      <c r="E38" s="28">
        <v>0</v>
      </c>
      <c r="F38" s="29">
        <v>0</v>
      </c>
      <c r="G38" s="28">
        <v>0</v>
      </c>
      <c r="I38" s="17">
        <f>F38-'Interest Reconciliation'!C87-'Interest Reconciliation'!D87</f>
        <v>0</v>
      </c>
      <c r="J38" s="17">
        <f>G38-'Interest Reconciliation'!F87</f>
        <v>0</v>
      </c>
    </row>
    <row r="39" spans="1:12" s="53" customFormat="1">
      <c r="A39" s="30"/>
      <c r="B39" s="24" t="s">
        <v>91</v>
      </c>
      <c r="C39" s="32"/>
      <c r="D39" s="27" t="s">
        <v>295</v>
      </c>
      <c r="E39" s="28">
        <v>0</v>
      </c>
      <c r="F39" s="29">
        <v>0</v>
      </c>
      <c r="G39" s="28">
        <v>0</v>
      </c>
      <c r="I39" s="17">
        <f>F39-'Interest Reconciliation'!C88-'Interest Reconciliation'!D88</f>
        <v>0</v>
      </c>
      <c r="J39" s="17">
        <f>G39-'Interest Reconciliation'!F88</f>
        <v>0</v>
      </c>
    </row>
    <row r="40" spans="1:12" s="53" customFormat="1">
      <c r="A40" s="30"/>
      <c r="B40" s="61"/>
      <c r="C40" s="62"/>
      <c r="D40" s="61"/>
      <c r="E40" s="63"/>
      <c r="F40" s="64">
        <f>SUM(F37:F39)</f>
        <v>-2450117.79</v>
      </c>
      <c r="G40" s="63"/>
      <c r="I40" s="17"/>
      <c r="J40" s="17"/>
    </row>
    <row r="41" spans="1:12" s="53" customFormat="1" ht="18" customHeight="1">
      <c r="A41" s="30"/>
      <c r="B41" s="24" t="s">
        <v>91</v>
      </c>
      <c r="C41" s="26" t="s">
        <v>53</v>
      </c>
      <c r="D41" s="27" t="s">
        <v>293</v>
      </c>
      <c r="E41" s="28">
        <v>2462036.7200000002</v>
      </c>
      <c r="F41" s="29">
        <v>-2462036.7200000002</v>
      </c>
      <c r="G41" s="28">
        <v>0</v>
      </c>
      <c r="I41" s="17">
        <f>F41-'Interest Reconciliation'!L86-'Interest Reconciliation'!M86</f>
        <v>-4.6566128730773926E-10</v>
      </c>
      <c r="J41" s="17">
        <f>G41-'Interest Reconciliation'!O86</f>
        <v>0</v>
      </c>
      <c r="L41" s="17"/>
    </row>
    <row r="42" spans="1:12" s="53" customFormat="1" ht="18" customHeight="1">
      <c r="A42" s="30"/>
      <c r="B42" s="24" t="s">
        <v>91</v>
      </c>
      <c r="C42" s="31"/>
      <c r="D42" s="27" t="s">
        <v>294</v>
      </c>
      <c r="E42" s="28">
        <v>0</v>
      </c>
      <c r="F42" s="29">
        <v>0</v>
      </c>
      <c r="G42" s="28">
        <v>0</v>
      </c>
      <c r="I42" s="17">
        <f>F42-'Interest Reconciliation'!L87-'Interest Reconciliation'!M87</f>
        <v>0</v>
      </c>
      <c r="J42" s="17">
        <f>G42-'Interest Reconciliation'!O87</f>
        <v>0</v>
      </c>
      <c r="L42" s="17"/>
    </row>
    <row r="43" spans="1:12" s="53" customFormat="1" ht="18" customHeight="1">
      <c r="A43" s="30"/>
      <c r="B43" s="24" t="s">
        <v>91</v>
      </c>
      <c r="C43" s="32"/>
      <c r="D43" s="27" t="s">
        <v>295</v>
      </c>
      <c r="E43" s="28">
        <v>0</v>
      </c>
      <c r="F43" s="29">
        <v>0</v>
      </c>
      <c r="G43" s="28">
        <v>0</v>
      </c>
      <c r="I43" s="17">
        <f>F43-'Interest Reconciliation'!L88-'Interest Reconciliation'!M88</f>
        <v>0</v>
      </c>
      <c r="J43" s="17">
        <f>G43-'Interest Reconciliation'!O88</f>
        <v>0</v>
      </c>
      <c r="L43" s="17"/>
    </row>
    <row r="44" spans="1:12" s="53" customFormat="1" ht="18" customHeight="1">
      <c r="A44" s="33"/>
      <c r="B44" s="61"/>
      <c r="C44" s="62"/>
      <c r="D44" s="61"/>
      <c r="E44" s="63"/>
      <c r="F44" s="64">
        <f>SUM(F41:F43)</f>
        <v>-2462036.7200000002</v>
      </c>
      <c r="G44" s="63"/>
    </row>
    <row r="45" spans="1:12" s="53" customFormat="1" ht="18" customHeight="1">
      <c r="A45" s="65"/>
      <c r="B45" s="66"/>
      <c r="C45" s="65"/>
      <c r="D45" s="65"/>
      <c r="E45" s="67"/>
      <c r="F45" s="68">
        <f>F40+F44</f>
        <v>-4912154.51</v>
      </c>
      <c r="G45" s="67"/>
    </row>
    <row r="46" spans="1:12" s="53" customFormat="1" ht="14.45" customHeight="1"/>
    <row r="47" spans="1:12" s="53" customFormat="1">
      <c r="A47" s="23" t="s">
        <v>42</v>
      </c>
      <c r="C47" s="107" t="s">
        <v>116</v>
      </c>
    </row>
    <row r="48" spans="1:12" s="53" customFormat="1">
      <c r="C48" s="108" t="s">
        <v>117</v>
      </c>
    </row>
    <row r="49" spans="1:12" s="53" customFormat="1">
      <c r="A49" s="196"/>
      <c r="B49" s="196"/>
      <c r="C49" s="196"/>
      <c r="D49" s="196"/>
      <c r="E49" s="196"/>
      <c r="F49" s="196"/>
      <c r="G49" s="196"/>
    </row>
    <row r="50" spans="1:12" s="53" customFormat="1" ht="25.5">
      <c r="A50" s="119" t="s">
        <v>43</v>
      </c>
      <c r="B50" s="102" t="s">
        <v>44</v>
      </c>
      <c r="C50" s="103" t="s">
        <v>45</v>
      </c>
      <c r="D50" s="104" t="s">
        <v>46</v>
      </c>
      <c r="E50" s="105" t="s">
        <v>47</v>
      </c>
      <c r="F50" s="104" t="s">
        <v>48</v>
      </c>
      <c r="G50" s="104" t="s">
        <v>49</v>
      </c>
    </row>
    <row r="51" spans="1:12" s="53" customFormat="1">
      <c r="A51" s="121" t="s">
        <v>56</v>
      </c>
      <c r="B51" s="24" t="s">
        <v>57</v>
      </c>
      <c r="C51" s="26" t="s">
        <v>52</v>
      </c>
      <c r="D51" s="27" t="s">
        <v>293</v>
      </c>
      <c r="E51" s="28">
        <v>0</v>
      </c>
      <c r="F51" s="29">
        <v>0</v>
      </c>
      <c r="G51" s="28">
        <v>0</v>
      </c>
      <c r="I51" s="17">
        <f>F51-'Interest Reconciliation'!C103-'Interest Reconciliation'!D103-'Interest Reconciliation'!E103</f>
        <v>0</v>
      </c>
      <c r="J51" s="17">
        <f>G51-'Interest Reconciliation'!F103</f>
        <v>0</v>
      </c>
    </row>
    <row r="52" spans="1:12" s="53" customFormat="1">
      <c r="A52" s="122"/>
      <c r="B52" s="24" t="s">
        <v>57</v>
      </c>
      <c r="C52" s="31"/>
      <c r="D52" s="27" t="s">
        <v>294</v>
      </c>
      <c r="E52" s="28">
        <v>0</v>
      </c>
      <c r="F52" s="29">
        <v>0</v>
      </c>
      <c r="G52" s="28">
        <v>0</v>
      </c>
      <c r="I52" s="17">
        <f>F52-'Interest Reconciliation'!C104-'Interest Reconciliation'!D104-'Interest Reconciliation'!E104</f>
        <v>0</v>
      </c>
      <c r="J52" s="17">
        <f>G52-'Interest Reconciliation'!F104</f>
        <v>0</v>
      </c>
    </row>
    <row r="53" spans="1:12" s="53" customFormat="1">
      <c r="A53" s="122"/>
      <c r="B53" s="24" t="s">
        <v>57</v>
      </c>
      <c r="C53" s="32"/>
      <c r="D53" s="27" t="s">
        <v>295</v>
      </c>
      <c r="E53" s="28">
        <v>0</v>
      </c>
      <c r="F53" s="29">
        <v>0</v>
      </c>
      <c r="G53" s="28">
        <v>0</v>
      </c>
      <c r="I53" s="17">
        <f>F53-'Interest Reconciliation'!C105-'Interest Reconciliation'!D105-'Interest Reconciliation'!E105</f>
        <v>0</v>
      </c>
      <c r="J53" s="17">
        <f>G53-'Interest Reconciliation'!F105</f>
        <v>0</v>
      </c>
    </row>
    <row r="54" spans="1:12">
      <c r="A54" s="122"/>
      <c r="B54" s="61"/>
      <c r="C54" s="61"/>
      <c r="D54" s="61"/>
      <c r="E54" s="63"/>
      <c r="F54" s="64">
        <f>SUM(F51:F53)</f>
        <v>0</v>
      </c>
      <c r="G54" s="63"/>
      <c r="H54" s="53"/>
      <c r="I54" s="53"/>
      <c r="J54" s="53"/>
      <c r="K54" s="53"/>
    </row>
    <row r="55" spans="1:12" s="53" customFormat="1">
      <c r="A55" s="122"/>
      <c r="B55" s="24" t="s">
        <v>57</v>
      </c>
      <c r="C55" s="26" t="s">
        <v>53</v>
      </c>
      <c r="D55" s="27" t="s">
        <v>293</v>
      </c>
      <c r="E55" s="28">
        <v>-45124.23</v>
      </c>
      <c r="F55" s="29">
        <v>6545935.4299999997</v>
      </c>
      <c r="G55" s="28">
        <v>6500811.2000000002</v>
      </c>
      <c r="I55" s="17">
        <f>F55-'Interest Reconciliation'!L103-'Interest Reconciliation'!M103-'Interest Reconciliation'!N103-'Interest Reconciliation'!L102</f>
        <v>0</v>
      </c>
      <c r="J55" s="17">
        <f>G55-'Interest Reconciliation'!O103</f>
        <v>0</v>
      </c>
      <c r="L55" s="17"/>
    </row>
    <row r="56" spans="1:12" s="53" customFormat="1">
      <c r="A56" s="122"/>
      <c r="B56" s="24" t="s">
        <v>57</v>
      </c>
      <c r="C56" s="31"/>
      <c r="D56" s="27" t="s">
        <v>294</v>
      </c>
      <c r="E56" s="28">
        <v>6500811.2000000002</v>
      </c>
      <c r="F56" s="29">
        <v>-767178.29</v>
      </c>
      <c r="G56" s="28">
        <v>5733632.9100000001</v>
      </c>
      <c r="I56" s="17">
        <f>F56-'Interest Reconciliation'!L104-'Interest Reconciliation'!M104-'Interest Reconciliation'!N104</f>
        <v>0</v>
      </c>
      <c r="J56" s="17">
        <f>G56-'Interest Reconciliation'!O104</f>
        <v>0</v>
      </c>
      <c r="L56" s="17"/>
    </row>
    <row r="57" spans="1:12" s="53" customFormat="1">
      <c r="A57" s="122"/>
      <c r="B57" s="24" t="s">
        <v>57</v>
      </c>
      <c r="C57" s="32"/>
      <c r="D57" s="27" t="s">
        <v>295</v>
      </c>
      <c r="E57" s="28">
        <v>5733632.9100000001</v>
      </c>
      <c r="F57" s="29">
        <v>-975967.74</v>
      </c>
      <c r="G57" s="28">
        <v>4757665.17</v>
      </c>
      <c r="I57" s="17">
        <f>F57-'Interest Reconciliation'!L105-'Interest Reconciliation'!M105-'Interest Reconciliation'!N105</f>
        <v>0</v>
      </c>
      <c r="J57" s="17">
        <f>G57-'Interest Reconciliation'!O105</f>
        <v>0</v>
      </c>
      <c r="L57" s="17"/>
    </row>
    <row r="58" spans="1:12">
      <c r="A58" s="123"/>
      <c r="B58" s="61"/>
      <c r="C58" s="61"/>
      <c r="D58" s="61"/>
      <c r="E58" s="63"/>
      <c r="F58" s="64">
        <f>SUM(F55:F57)</f>
        <v>4802789.3999999994</v>
      </c>
      <c r="G58" s="63"/>
      <c r="H58" s="53"/>
      <c r="I58" s="17"/>
      <c r="J58" s="17"/>
      <c r="K58" s="53"/>
    </row>
    <row r="59" spans="1:12">
      <c r="A59" s="120"/>
      <c r="B59" s="65"/>
      <c r="C59" s="114"/>
      <c r="D59" s="65"/>
      <c r="E59" s="67"/>
      <c r="F59" s="68">
        <f>F54+F58</f>
        <v>4802789.3999999994</v>
      </c>
      <c r="G59" s="67"/>
      <c r="H59" s="53"/>
      <c r="I59" s="17"/>
      <c r="J59" s="17"/>
      <c r="K59" s="53"/>
    </row>
    <row r="60" spans="1:12" s="53" customFormat="1">
      <c r="A60" s="122" t="s">
        <v>109</v>
      </c>
      <c r="B60" s="24" t="s">
        <v>57</v>
      </c>
      <c r="C60" s="125" t="s">
        <v>52</v>
      </c>
      <c r="D60" s="27" t="s">
        <v>293</v>
      </c>
      <c r="E60" s="28">
        <v>-2135351.79</v>
      </c>
      <c r="F60" s="29">
        <v>2092447.29</v>
      </c>
      <c r="G60" s="28">
        <v>-42904.5</v>
      </c>
      <c r="I60" s="17">
        <f>F60-'Interest Reconciliation'!C119-'Interest Reconciliation'!D119-'Interest Reconciliation'!E119-'Interest Reconciliation'!C118</f>
        <v>0</v>
      </c>
      <c r="J60" s="17">
        <f>G60-'Interest Reconciliation'!F119</f>
        <v>0</v>
      </c>
    </row>
    <row r="61" spans="1:12" s="53" customFormat="1">
      <c r="A61" s="126"/>
      <c r="B61" s="24" t="s">
        <v>57</v>
      </c>
      <c r="C61" s="126"/>
      <c r="D61" s="27" t="s">
        <v>294</v>
      </c>
      <c r="E61" s="28">
        <v>-42904.5</v>
      </c>
      <c r="F61" s="29">
        <v>-242819.49</v>
      </c>
      <c r="G61" s="28">
        <v>-285723.99</v>
      </c>
      <c r="I61" s="17">
        <f>F61-'Interest Reconciliation'!C120-'Interest Reconciliation'!D120-'Interest Reconciliation'!E120</f>
        <v>0</v>
      </c>
      <c r="J61" s="17">
        <f>G61-'Interest Reconciliation'!F120</f>
        <v>0</v>
      </c>
    </row>
    <row r="62" spans="1:12" s="53" customFormat="1">
      <c r="A62" s="126"/>
      <c r="B62" s="24" t="s">
        <v>57</v>
      </c>
      <c r="C62" s="127"/>
      <c r="D62" s="27" t="s">
        <v>295</v>
      </c>
      <c r="E62" s="28">
        <v>-285723.99</v>
      </c>
      <c r="F62" s="29">
        <v>-241680.68</v>
      </c>
      <c r="G62" s="28">
        <v>-527404.67000000004</v>
      </c>
      <c r="I62" s="17">
        <f>F62-'Interest Reconciliation'!C121-'Interest Reconciliation'!D121-'Interest Reconciliation'!E121</f>
        <v>0</v>
      </c>
      <c r="J62" s="17">
        <f>G62-'Interest Reconciliation'!F121</f>
        <v>0</v>
      </c>
    </row>
    <row r="63" spans="1:12" s="53" customFormat="1">
      <c r="A63" s="126"/>
      <c r="B63" s="61"/>
      <c r="C63" s="124"/>
      <c r="D63" s="61"/>
      <c r="E63" s="63"/>
      <c r="F63" s="64">
        <f>SUM(F60:F62)</f>
        <v>1607947.12</v>
      </c>
      <c r="G63" s="63"/>
      <c r="I63" s="17"/>
      <c r="J63" s="17"/>
    </row>
    <row r="64" spans="1:12" s="53" customFormat="1">
      <c r="A64" s="122"/>
      <c r="B64" s="24" t="s">
        <v>91</v>
      </c>
      <c r="C64" s="26" t="s">
        <v>53</v>
      </c>
      <c r="D64" s="27" t="s">
        <v>293</v>
      </c>
      <c r="E64" s="28">
        <v>-28709.23</v>
      </c>
      <c r="F64" s="29">
        <v>2357117</v>
      </c>
      <c r="G64" s="28">
        <v>2328407.77</v>
      </c>
      <c r="I64" s="17">
        <f>F64-'Interest Reconciliation'!L119-'Interest Reconciliation'!M119-'Interest Reconciliation'!N119-'Interest Reconciliation'!L118</f>
        <v>0</v>
      </c>
      <c r="J64" s="17">
        <f>G64-'Interest Reconciliation'!O119</f>
        <v>0</v>
      </c>
      <c r="L64" s="17"/>
    </row>
    <row r="65" spans="1:13" s="53" customFormat="1">
      <c r="A65" s="122"/>
      <c r="B65" s="24" t="s">
        <v>91</v>
      </c>
      <c r="C65" s="31"/>
      <c r="D65" s="27" t="s">
        <v>294</v>
      </c>
      <c r="E65" s="28">
        <v>2328407.77</v>
      </c>
      <c r="F65" s="29">
        <v>-220598.16</v>
      </c>
      <c r="G65" s="28">
        <v>2107809.61</v>
      </c>
      <c r="I65" s="17">
        <f>F65-'Interest Reconciliation'!L120-'Interest Reconciliation'!M120-'Interest Reconciliation'!N120</f>
        <v>0</v>
      </c>
      <c r="J65" s="17">
        <f>G65-'Interest Reconciliation'!O120</f>
        <v>0</v>
      </c>
      <c r="L65" s="17"/>
    </row>
    <row r="66" spans="1:13" s="53" customFormat="1">
      <c r="A66" s="122"/>
      <c r="B66" s="24" t="s">
        <v>91</v>
      </c>
      <c r="C66" s="32"/>
      <c r="D66" s="27" t="s">
        <v>295</v>
      </c>
      <c r="E66" s="28">
        <v>2107809.61</v>
      </c>
      <c r="F66" s="29">
        <v>-267536.2</v>
      </c>
      <c r="G66" s="28">
        <v>1840273.41</v>
      </c>
      <c r="I66" s="17">
        <f>F66-'Interest Reconciliation'!L121-'Interest Reconciliation'!M121-'Interest Reconciliation'!N121</f>
        <v>0</v>
      </c>
      <c r="J66" s="17">
        <f>G66-'Interest Reconciliation'!O121</f>
        <v>0</v>
      </c>
      <c r="L66" s="17"/>
    </row>
    <row r="67" spans="1:13">
      <c r="A67" s="123"/>
      <c r="B67" s="61"/>
      <c r="C67" s="61"/>
      <c r="D67" s="61"/>
      <c r="E67" s="63"/>
      <c r="F67" s="64">
        <f>SUM(F64:F66)</f>
        <v>1868982.64</v>
      </c>
      <c r="G67" s="63"/>
      <c r="H67" s="53"/>
      <c r="I67" s="53"/>
      <c r="J67" s="53"/>
      <c r="K67" s="53"/>
      <c r="L67" s="13"/>
      <c r="M67" s="13"/>
    </row>
    <row r="68" spans="1:13">
      <c r="A68" s="141"/>
      <c r="B68" s="65"/>
      <c r="C68" s="65"/>
      <c r="D68" s="65"/>
      <c r="E68" s="67"/>
      <c r="F68" s="68">
        <f>F63+F67</f>
        <v>3476929.76</v>
      </c>
      <c r="G68" s="67"/>
      <c r="H68" s="53"/>
      <c r="I68" s="53"/>
      <c r="J68" s="53"/>
      <c r="K68" s="53"/>
      <c r="L68" s="13"/>
      <c r="M68" s="13"/>
    </row>
    <row r="69" spans="1:13">
      <c r="A69" s="23" t="s">
        <v>42</v>
      </c>
      <c r="B69" s="22"/>
      <c r="C69" s="34" t="s">
        <v>118</v>
      </c>
      <c r="D69" s="22"/>
      <c r="E69" s="22"/>
      <c r="F69" s="22"/>
      <c r="G69" s="22"/>
      <c r="H69" s="53"/>
      <c r="I69" s="53"/>
      <c r="J69" s="53"/>
      <c r="K69" s="53"/>
      <c r="L69" s="13"/>
      <c r="M69" s="13"/>
    </row>
    <row r="70" spans="1:13" s="53" customFormat="1">
      <c r="A70" s="196"/>
      <c r="B70" s="196"/>
      <c r="C70" s="196"/>
      <c r="D70" s="196"/>
      <c r="E70" s="196"/>
      <c r="F70" s="196"/>
      <c r="G70" s="196"/>
      <c r="L70" s="13"/>
      <c r="M70" s="13"/>
    </row>
    <row r="71" spans="1:13" ht="25.5">
      <c r="A71" s="101" t="s">
        <v>43</v>
      </c>
      <c r="B71" s="102" t="s">
        <v>44</v>
      </c>
      <c r="C71" s="103" t="s">
        <v>45</v>
      </c>
      <c r="D71" s="104" t="s">
        <v>46</v>
      </c>
      <c r="E71" s="105" t="s">
        <v>47</v>
      </c>
      <c r="F71" s="104" t="s">
        <v>48</v>
      </c>
      <c r="G71" s="104" t="s">
        <v>49</v>
      </c>
      <c r="H71" s="53"/>
      <c r="I71" s="53"/>
      <c r="J71" s="53"/>
      <c r="K71" s="53"/>
    </row>
    <row r="72" spans="1:13" s="53" customFormat="1">
      <c r="A72" s="25">
        <v>254328</v>
      </c>
      <c r="B72" s="24" t="s">
        <v>136</v>
      </c>
      <c r="C72" s="26" t="s">
        <v>52</v>
      </c>
      <c r="D72" s="27" t="s">
        <v>293</v>
      </c>
      <c r="E72" s="28">
        <v>-31280.22</v>
      </c>
      <c r="F72" s="29">
        <v>-4942974.67</v>
      </c>
      <c r="G72" s="28">
        <v>-4974254.8899999997</v>
      </c>
      <c r="I72" s="17">
        <f>F72-'Interest Reconciliation'!C135-'Interest Reconciliation'!D135-'Interest Reconciliation'!E135-'Interest Reconciliation'!C134</f>
        <v>0</v>
      </c>
      <c r="J72" s="17">
        <f>G72-'Interest Reconciliation'!F135</f>
        <v>0</v>
      </c>
    </row>
    <row r="73" spans="1:13" s="53" customFormat="1">
      <c r="A73" s="122"/>
      <c r="B73" s="24" t="s">
        <v>136</v>
      </c>
      <c r="C73" s="31"/>
      <c r="D73" s="27" t="s">
        <v>294</v>
      </c>
      <c r="E73" s="28">
        <v>-4974254.8899999997</v>
      </c>
      <c r="F73" s="29">
        <v>562924.13</v>
      </c>
      <c r="G73" s="28">
        <v>-4411330.76</v>
      </c>
      <c r="I73" s="17">
        <f>F73-'Interest Reconciliation'!C136-'Interest Reconciliation'!D136-'Interest Reconciliation'!E136</f>
        <v>0</v>
      </c>
      <c r="J73" s="17">
        <f>G73-'Interest Reconciliation'!F136</f>
        <v>0</v>
      </c>
    </row>
    <row r="74" spans="1:13" s="53" customFormat="1">
      <c r="A74" s="122"/>
      <c r="B74" s="24" t="s">
        <v>136</v>
      </c>
      <c r="C74" s="32"/>
      <c r="D74" s="27" t="s">
        <v>295</v>
      </c>
      <c r="E74" s="28">
        <v>-4411330.76</v>
      </c>
      <c r="F74" s="29">
        <v>714707.06</v>
      </c>
      <c r="G74" s="28">
        <v>-3696623.7</v>
      </c>
      <c r="I74" s="17">
        <f>F74-'Interest Reconciliation'!C137-'Interest Reconciliation'!D137-'Interest Reconciliation'!E137</f>
        <v>0</v>
      </c>
      <c r="J74" s="17">
        <f>G74-'Interest Reconciliation'!F137</f>
        <v>0</v>
      </c>
    </row>
    <row r="75" spans="1:13" s="53" customFormat="1">
      <c r="A75" s="122"/>
      <c r="B75" s="61"/>
      <c r="C75" s="61"/>
      <c r="D75" s="61"/>
      <c r="E75" s="63"/>
      <c r="F75" s="64">
        <f>SUM(F72:F74)</f>
        <v>-3665343.48</v>
      </c>
      <c r="G75" s="63"/>
      <c r="I75" s="139"/>
    </row>
    <row r="76" spans="1:13" s="53" customFormat="1">
      <c r="A76" s="122"/>
      <c r="B76" s="24" t="s">
        <v>136</v>
      </c>
      <c r="C76" s="26" t="s">
        <v>53</v>
      </c>
      <c r="D76" s="27" t="s">
        <v>293</v>
      </c>
      <c r="E76" s="28">
        <v>0</v>
      </c>
      <c r="F76" s="29">
        <v>0</v>
      </c>
      <c r="G76" s="28">
        <v>0</v>
      </c>
      <c r="I76" s="17">
        <f>F76-'Interest Reconciliation'!L135-'Interest Reconciliation'!M135-'Interest Reconciliation'!N135</f>
        <v>0</v>
      </c>
      <c r="J76" s="17">
        <f>G76-'Interest Reconciliation'!O135</f>
        <v>0</v>
      </c>
      <c r="L76" s="17"/>
    </row>
    <row r="77" spans="1:13" s="53" customFormat="1">
      <c r="A77" s="122"/>
      <c r="B77" s="24" t="s">
        <v>136</v>
      </c>
      <c r="C77" s="31"/>
      <c r="D77" s="27" t="s">
        <v>294</v>
      </c>
      <c r="E77" s="28">
        <v>0</v>
      </c>
      <c r="F77" s="29">
        <v>0</v>
      </c>
      <c r="G77" s="28">
        <v>0</v>
      </c>
      <c r="I77" s="17">
        <f>F77-'Interest Reconciliation'!L136-'Interest Reconciliation'!M136-'Interest Reconciliation'!N136</f>
        <v>0</v>
      </c>
      <c r="J77" s="17">
        <f>G77-'Interest Reconciliation'!O136</f>
        <v>0</v>
      </c>
      <c r="L77" s="17"/>
    </row>
    <row r="78" spans="1:13" s="53" customFormat="1">
      <c r="A78" s="122"/>
      <c r="B78" s="24" t="s">
        <v>136</v>
      </c>
      <c r="C78" s="32"/>
      <c r="D78" s="27" t="s">
        <v>295</v>
      </c>
      <c r="E78" s="28">
        <v>0</v>
      </c>
      <c r="F78" s="29">
        <v>0</v>
      </c>
      <c r="G78" s="28">
        <v>0</v>
      </c>
      <c r="I78" s="17">
        <f>F78-'Interest Reconciliation'!L137-'Interest Reconciliation'!M137-'Interest Reconciliation'!N137</f>
        <v>0</v>
      </c>
      <c r="J78" s="17">
        <f>G78-'Interest Reconciliation'!O137</f>
        <v>0</v>
      </c>
      <c r="L78" s="17"/>
    </row>
    <row r="79" spans="1:13" s="53" customFormat="1">
      <c r="A79" s="123"/>
      <c r="B79" s="61"/>
      <c r="C79" s="61"/>
      <c r="D79" s="61"/>
      <c r="E79" s="63"/>
      <c r="F79" s="64">
        <f>SUM(F76:F78)</f>
        <v>0</v>
      </c>
      <c r="G79" s="63"/>
      <c r="I79" s="17"/>
      <c r="J79" s="17"/>
    </row>
    <row r="80" spans="1:13" s="53" customFormat="1">
      <c r="A80" s="120"/>
      <c r="B80" s="65"/>
      <c r="C80" s="114"/>
      <c r="D80" s="65"/>
      <c r="E80" s="67"/>
      <c r="F80" s="68">
        <f>F75+F79</f>
        <v>-3665343.48</v>
      </c>
      <c r="G80" s="67"/>
      <c r="I80" s="17"/>
      <c r="J80" s="17"/>
    </row>
    <row r="81" spans="1:12" s="53" customFormat="1" ht="15.75">
      <c r="A81" s="121" t="s">
        <v>114</v>
      </c>
      <c r="B81" s="24" t="s">
        <v>115</v>
      </c>
      <c r="C81" s="26" t="s">
        <v>52</v>
      </c>
      <c r="D81" s="27" t="s">
        <v>293</v>
      </c>
      <c r="E81" s="28">
        <v>0</v>
      </c>
      <c r="F81" s="29">
        <v>0</v>
      </c>
      <c r="G81" s="28">
        <v>0</v>
      </c>
      <c r="H81" s="220"/>
      <c r="I81" s="17">
        <f>F81-'Interest Reconciliation'!C151-'Interest Reconciliation'!D151-'Interest Reconciliation'!E151</f>
        <v>0</v>
      </c>
      <c r="J81" s="17">
        <f>G81-'Interest Reconciliation'!F151</f>
        <v>0</v>
      </c>
    </row>
    <row r="82" spans="1:12" s="53" customFormat="1" ht="15.75">
      <c r="A82" s="122"/>
      <c r="B82" s="24" t="s">
        <v>115</v>
      </c>
      <c r="C82" s="31"/>
      <c r="D82" s="27" t="s">
        <v>294</v>
      </c>
      <c r="E82" s="28">
        <v>0</v>
      </c>
      <c r="F82" s="29">
        <v>0</v>
      </c>
      <c r="G82" s="28">
        <v>0</v>
      </c>
      <c r="H82" s="220"/>
      <c r="I82" s="17">
        <f>F82-'Interest Reconciliation'!C152-'Interest Reconciliation'!D152-'Interest Reconciliation'!E152</f>
        <v>0</v>
      </c>
      <c r="J82" s="17">
        <f>G82-'Interest Reconciliation'!F152</f>
        <v>0</v>
      </c>
    </row>
    <row r="83" spans="1:12" s="53" customFormat="1" ht="15.75">
      <c r="A83" s="122"/>
      <c r="B83" s="24" t="s">
        <v>115</v>
      </c>
      <c r="C83" s="32"/>
      <c r="D83" s="27" t="s">
        <v>295</v>
      </c>
      <c r="E83" s="28">
        <v>0</v>
      </c>
      <c r="F83" s="29">
        <v>0</v>
      </c>
      <c r="G83" s="28">
        <v>0</v>
      </c>
      <c r="H83" s="220"/>
      <c r="I83" s="17"/>
      <c r="J83" s="17"/>
    </row>
    <row r="84" spans="1:12">
      <c r="A84" s="122"/>
      <c r="B84" s="61"/>
      <c r="C84" s="61"/>
      <c r="D84" s="61"/>
      <c r="E84" s="63"/>
      <c r="F84" s="64">
        <f>SUM(F81:F83)</f>
        <v>0</v>
      </c>
      <c r="G84" s="63"/>
      <c r="H84" s="53"/>
      <c r="I84" s="17"/>
      <c r="J84" s="17"/>
      <c r="K84" s="53"/>
    </row>
    <row r="85" spans="1:12" s="53" customFormat="1">
      <c r="A85" s="122"/>
      <c r="B85" s="24" t="s">
        <v>115</v>
      </c>
      <c r="C85" s="26" t="s">
        <v>53</v>
      </c>
      <c r="D85" s="27" t="s">
        <v>293</v>
      </c>
      <c r="E85" s="28">
        <v>0</v>
      </c>
      <c r="F85" s="29">
        <v>0</v>
      </c>
      <c r="G85" s="28">
        <v>0</v>
      </c>
      <c r="I85" s="17">
        <f>F85-'Interest Reconciliation'!L151-'Interest Reconciliation'!M151-'Interest Reconciliation'!N151</f>
        <v>0</v>
      </c>
      <c r="J85" s="17">
        <f>G85-'Interest Reconciliation'!O151</f>
        <v>0</v>
      </c>
      <c r="L85" s="17"/>
    </row>
    <row r="86" spans="1:12" s="53" customFormat="1">
      <c r="A86" s="122"/>
      <c r="B86" s="24" t="s">
        <v>115</v>
      </c>
      <c r="C86" s="31"/>
      <c r="D86" s="27" t="s">
        <v>294</v>
      </c>
      <c r="E86" s="28">
        <v>0</v>
      </c>
      <c r="F86" s="29">
        <v>0</v>
      </c>
      <c r="G86" s="28">
        <v>0</v>
      </c>
      <c r="I86" s="17">
        <f>F86-'Interest Reconciliation'!L152-'Interest Reconciliation'!M152-'Interest Reconciliation'!N152</f>
        <v>0</v>
      </c>
      <c r="J86" s="17">
        <f>G86-'Interest Reconciliation'!O152</f>
        <v>0</v>
      </c>
      <c r="L86" s="17"/>
    </row>
    <row r="87" spans="1:12" s="53" customFormat="1">
      <c r="A87" s="122"/>
      <c r="B87" s="24" t="s">
        <v>115</v>
      </c>
      <c r="C87" s="32"/>
      <c r="D87" s="27" t="s">
        <v>295</v>
      </c>
      <c r="E87" s="28">
        <v>0</v>
      </c>
      <c r="F87" s="29">
        <v>0</v>
      </c>
      <c r="G87" s="28">
        <v>0</v>
      </c>
      <c r="I87" s="17">
        <f>F87-'Interest Reconciliation'!L153-'Interest Reconciliation'!M153-'Interest Reconciliation'!N153</f>
        <v>0</v>
      </c>
      <c r="J87" s="17">
        <f>G87-'Interest Reconciliation'!O153</f>
        <v>0</v>
      </c>
      <c r="L87" s="17"/>
    </row>
    <row r="88" spans="1:12" s="53" customFormat="1">
      <c r="A88" s="123"/>
      <c r="B88" s="61"/>
      <c r="C88" s="61"/>
      <c r="D88" s="61"/>
      <c r="E88" s="63"/>
      <c r="F88" s="64">
        <f>SUM(F85:F87)</f>
        <v>0</v>
      </c>
      <c r="G88" s="63"/>
    </row>
    <row r="89" spans="1:12" s="53" customFormat="1">
      <c r="A89" s="120"/>
      <c r="B89" s="65"/>
      <c r="C89" s="114"/>
      <c r="D89" s="65"/>
      <c r="E89" s="67"/>
      <c r="F89" s="68">
        <f>F84+F88</f>
        <v>0</v>
      </c>
      <c r="G89" s="67"/>
    </row>
    <row r="90" spans="1:12">
      <c r="A90" s="53"/>
      <c r="B90" s="53"/>
      <c r="C90" s="53"/>
      <c r="D90" s="53"/>
      <c r="E90" s="53"/>
      <c r="F90" s="53"/>
      <c r="G90" s="53"/>
      <c r="H90" s="53"/>
      <c r="I90" s="53"/>
      <c r="J90" s="53"/>
      <c r="K90" s="53"/>
    </row>
    <row r="91" spans="1:12">
      <c r="A91" s="23" t="s">
        <v>42</v>
      </c>
      <c r="B91" s="22"/>
      <c r="C91" s="107" t="s">
        <v>112</v>
      </c>
      <c r="D91" s="22"/>
      <c r="E91" s="22"/>
      <c r="F91" s="22"/>
      <c r="G91" s="22"/>
      <c r="H91" s="53"/>
      <c r="I91" s="53"/>
      <c r="J91" s="53"/>
      <c r="K91" s="53"/>
    </row>
    <row r="92" spans="1:12">
      <c r="A92" s="22"/>
      <c r="B92" s="22"/>
      <c r="C92" s="22"/>
      <c r="D92" s="22"/>
      <c r="E92" s="22"/>
      <c r="F92" s="22"/>
      <c r="G92" s="22"/>
      <c r="H92" s="53"/>
      <c r="I92" s="53"/>
      <c r="J92" s="53"/>
      <c r="K92" s="53"/>
    </row>
    <row r="93" spans="1:12" s="53" customFormat="1" ht="31.15" customHeight="1">
      <c r="A93" s="69" t="s">
        <v>43</v>
      </c>
      <c r="B93" s="70" t="s">
        <v>44</v>
      </c>
      <c r="C93" s="71" t="s">
        <v>45</v>
      </c>
      <c r="D93" s="69" t="s">
        <v>46</v>
      </c>
      <c r="E93" s="69" t="s">
        <v>47</v>
      </c>
      <c r="F93" s="69" t="s">
        <v>48</v>
      </c>
      <c r="G93" s="69" t="s">
        <v>49</v>
      </c>
      <c r="J93" s="297" t="s">
        <v>135</v>
      </c>
      <c r="K93" s="297"/>
    </row>
    <row r="94" spans="1:12" s="53" customFormat="1">
      <c r="A94" s="25" t="s">
        <v>58</v>
      </c>
      <c r="B94" s="24" t="s">
        <v>59</v>
      </c>
      <c r="C94" s="26" t="s">
        <v>52</v>
      </c>
      <c r="D94" s="27" t="s">
        <v>293</v>
      </c>
      <c r="E94" s="28">
        <v>2909761.99</v>
      </c>
      <c r="F94" s="29">
        <v>-449182.73</v>
      </c>
      <c r="G94" s="28">
        <v>2460579.2599999998</v>
      </c>
      <c r="H94" s="115"/>
      <c r="I94" s="13"/>
      <c r="J94" s="118">
        <f>(G6+G15+G28+G37+G51+G60+G72+G81+G174+G183)*-0.21</f>
        <v>2460579.2420999995</v>
      </c>
      <c r="K94" s="118">
        <f>J94-G94</f>
        <v>-1.790000032633543E-2</v>
      </c>
    </row>
    <row r="95" spans="1:12" s="53" customFormat="1">
      <c r="A95" s="30"/>
      <c r="B95" s="24" t="s">
        <v>59</v>
      </c>
      <c r="C95" s="31"/>
      <c r="D95" s="27" t="s">
        <v>294</v>
      </c>
      <c r="E95" s="28">
        <v>2460579.2599999998</v>
      </c>
      <c r="F95" s="29">
        <v>832436.66</v>
      </c>
      <c r="G95" s="28">
        <v>3293015.92</v>
      </c>
      <c r="H95" s="115"/>
      <c r="I95" s="13"/>
      <c r="J95" s="118">
        <f>(G7+G16+G29+G38+G52+G61+G73+G82+G175+G184)*-0.21</f>
        <v>3293015.9093999998</v>
      </c>
      <c r="K95" s="118">
        <f>J95-G95</f>
        <v>-1.0600000154227018E-2</v>
      </c>
    </row>
    <row r="96" spans="1:12" s="53" customFormat="1">
      <c r="A96" s="30"/>
      <c r="B96" s="24" t="s">
        <v>59</v>
      </c>
      <c r="C96" s="32"/>
      <c r="D96" s="27" t="s">
        <v>295</v>
      </c>
      <c r="E96" s="28">
        <v>3293015.92</v>
      </c>
      <c r="F96" s="29">
        <v>899608.66</v>
      </c>
      <c r="G96" s="28">
        <v>4192624.58</v>
      </c>
      <c r="H96" s="115"/>
      <c r="I96" s="13"/>
      <c r="J96" s="118">
        <f>(G8+G17+G30+G39+G53+G62+G74+G83+G176+G185)*-0.21</f>
        <v>4192624.5627000001</v>
      </c>
      <c r="K96" s="118">
        <f>J96-G96</f>
        <v>-1.7299999948590994E-2</v>
      </c>
    </row>
    <row r="97" spans="1:12" s="53" customFormat="1">
      <c r="A97" s="30"/>
      <c r="B97" s="61"/>
      <c r="C97" s="62"/>
      <c r="D97" s="61"/>
      <c r="E97" s="63"/>
      <c r="F97" s="64">
        <f>SUM(F94:F96)</f>
        <v>1282862.5900000001</v>
      </c>
      <c r="G97" s="63"/>
    </row>
    <row r="98" spans="1:12" s="53" customFormat="1">
      <c r="A98" s="30"/>
      <c r="B98" s="24" t="s">
        <v>59</v>
      </c>
      <c r="C98" s="26" t="s">
        <v>53</v>
      </c>
      <c r="D98" s="27" t="s">
        <v>293</v>
      </c>
      <c r="E98" s="28">
        <v>-1295202.1000000001</v>
      </c>
      <c r="F98" s="29">
        <v>-676473.08</v>
      </c>
      <c r="G98" s="28">
        <v>-1971675.18</v>
      </c>
      <c r="H98" s="115"/>
      <c r="J98" s="118">
        <f>(G10+G19+G32+G41+G55+G64+G76+G85+G178+G187)*-0.21</f>
        <v>-1971675.0291000002</v>
      </c>
      <c r="K98" s="118">
        <f>J98-G98</f>
        <v>0.15089999977499247</v>
      </c>
    </row>
    <row r="99" spans="1:12" s="53" customFormat="1">
      <c r="A99" s="30"/>
      <c r="B99" s="24" t="s">
        <v>59</v>
      </c>
      <c r="C99" s="31"/>
      <c r="D99" s="27" t="s">
        <v>294</v>
      </c>
      <c r="E99" s="28">
        <v>-1971675.18</v>
      </c>
      <c r="F99" s="29">
        <v>-163895.25</v>
      </c>
      <c r="G99" s="28">
        <v>-2135570.4300000002</v>
      </c>
      <c r="H99" s="115"/>
      <c r="J99" s="118">
        <f>(G11+G20+G33+G42+G56+G65+G77+G86+G179+G188)*-0.21</f>
        <v>-2135570.2829999998</v>
      </c>
      <c r="K99" s="118">
        <f>J99-G99</f>
        <v>0.147000000346452</v>
      </c>
    </row>
    <row r="100" spans="1:12" s="53" customFormat="1">
      <c r="A100" s="30"/>
      <c r="B100" s="24" t="s">
        <v>59</v>
      </c>
      <c r="C100" s="32"/>
      <c r="D100" s="27" t="s">
        <v>295</v>
      </c>
      <c r="E100" s="28">
        <v>-2135570.4300000002</v>
      </c>
      <c r="F100" s="29">
        <v>716979.31</v>
      </c>
      <c r="G100" s="28">
        <v>-1418591.12</v>
      </c>
      <c r="H100" s="115"/>
      <c r="J100" s="118">
        <f>(G12+G21+G34+G43+G57+G66+G78+G87+G180+G189)*-0.21</f>
        <v>-1434483.4749</v>
      </c>
      <c r="K100" s="118">
        <f>J100-G100</f>
        <v>-15892.354899999918</v>
      </c>
      <c r="L100" s="53" t="s">
        <v>297</v>
      </c>
    </row>
    <row r="101" spans="1:12" s="53" customFormat="1">
      <c r="A101" s="33"/>
      <c r="B101" s="61"/>
      <c r="C101" s="62"/>
      <c r="D101" s="61"/>
      <c r="E101" s="63"/>
      <c r="F101" s="64">
        <f>SUM(F98:F100)</f>
        <v>-123389.0199999999</v>
      </c>
      <c r="G101" s="63"/>
    </row>
    <row r="102" spans="1:12">
      <c r="A102" s="65"/>
      <c r="B102" s="66"/>
      <c r="C102" s="65"/>
      <c r="D102" s="65"/>
      <c r="E102" s="67"/>
      <c r="F102" s="68">
        <f>F97+F101</f>
        <v>1159473.5700000003</v>
      </c>
      <c r="G102" s="67"/>
      <c r="H102" s="53"/>
      <c r="I102" s="53"/>
      <c r="J102" s="53"/>
      <c r="K102" s="53"/>
    </row>
    <row r="103" spans="1:12" s="53" customFormat="1">
      <c r="A103" s="97"/>
      <c r="B103" s="100"/>
      <c r="C103" s="97"/>
      <c r="D103" s="97"/>
      <c r="E103" s="98"/>
      <c r="F103" s="99"/>
      <c r="G103" s="98"/>
    </row>
    <row r="104" spans="1:12" s="53" customFormat="1" ht="15.75">
      <c r="A104" s="296" t="s">
        <v>60</v>
      </c>
      <c r="B104" s="296"/>
      <c r="C104" s="296"/>
      <c r="D104" s="296"/>
      <c r="E104" s="296"/>
      <c r="F104" s="296"/>
      <c r="G104" s="296"/>
    </row>
    <row r="105" spans="1:12" s="53" customFormat="1" ht="15.75">
      <c r="A105" s="106"/>
      <c r="B105" s="106"/>
      <c r="C105" s="106"/>
      <c r="D105" s="106"/>
      <c r="E105" s="106"/>
      <c r="F105" s="106"/>
      <c r="G105" s="106"/>
    </row>
    <row r="106" spans="1:12" s="53" customFormat="1">
      <c r="A106" s="23" t="s">
        <v>42</v>
      </c>
      <c r="B106" s="22"/>
      <c r="C106" s="9" t="s">
        <v>111</v>
      </c>
      <c r="D106" s="22"/>
      <c r="E106" s="22"/>
      <c r="F106" s="22"/>
      <c r="G106" s="22"/>
    </row>
    <row r="107" spans="1:12" s="53" customFormat="1">
      <c r="A107" s="299"/>
      <c r="B107" s="299"/>
      <c r="C107" s="299"/>
      <c r="D107" s="299"/>
      <c r="E107" s="299"/>
      <c r="F107" s="299"/>
      <c r="G107" s="299"/>
    </row>
    <row r="108" spans="1:12" s="53" customFormat="1" ht="26.25">
      <c r="A108" s="69" t="s">
        <v>43</v>
      </c>
      <c r="B108" s="70" t="s">
        <v>44</v>
      </c>
      <c r="C108" s="71" t="s">
        <v>45</v>
      </c>
      <c r="D108" s="69" t="s">
        <v>46</v>
      </c>
      <c r="E108" s="69" t="s">
        <v>47</v>
      </c>
      <c r="F108" s="69" t="s">
        <v>48</v>
      </c>
      <c r="G108" s="69" t="s">
        <v>49</v>
      </c>
      <c r="I108" s="288" t="s">
        <v>305</v>
      </c>
      <c r="J108" s="288" t="s">
        <v>303</v>
      </c>
      <c r="K108" s="288" t="s">
        <v>302</v>
      </c>
      <c r="L108" s="288" t="s">
        <v>303</v>
      </c>
    </row>
    <row r="109" spans="1:12" s="53" customFormat="1">
      <c r="A109" s="25" t="s">
        <v>62</v>
      </c>
      <c r="B109" s="24" t="s">
        <v>63</v>
      </c>
      <c r="C109" s="26" t="s">
        <v>52</v>
      </c>
      <c r="D109" s="27" t="s">
        <v>293</v>
      </c>
      <c r="E109" s="28">
        <v>10905753.25</v>
      </c>
      <c r="F109" s="29">
        <v>-1813128.96</v>
      </c>
      <c r="G109" s="28">
        <v>9092624.2899999991</v>
      </c>
      <c r="I109" s="17">
        <f>'Electric Deferral'!M29+'Electric Deferral'!M30</f>
        <v>1813128.963741065</v>
      </c>
      <c r="J109" s="17">
        <f>F109+I109</f>
        <v>3.741065040230751E-3</v>
      </c>
    </row>
    <row r="110" spans="1:12" s="53" customFormat="1">
      <c r="A110" s="30"/>
      <c r="B110" s="24" t="s">
        <v>63</v>
      </c>
      <c r="C110" s="31"/>
      <c r="D110" s="27" t="s">
        <v>294</v>
      </c>
      <c r="E110" s="28">
        <v>9092624.2899999991</v>
      </c>
      <c r="F110" s="29">
        <v>2771533.97</v>
      </c>
      <c r="G110" s="28">
        <v>11864158.26</v>
      </c>
      <c r="I110" s="17">
        <f>'Electric Deferral'!N29+'Electric Deferral'!N30</f>
        <v>-2771533.9742132579</v>
      </c>
      <c r="J110" s="17">
        <f t="shared" ref="J110:J111" si="0">F110+I110</f>
        <v>-4.2132576927542686E-3</v>
      </c>
    </row>
    <row r="111" spans="1:12" s="53" customFormat="1">
      <c r="A111" s="30"/>
      <c r="B111" s="24" t="s">
        <v>63</v>
      </c>
      <c r="C111" s="32"/>
      <c r="D111" s="27" t="s">
        <v>295</v>
      </c>
      <c r="E111" s="28">
        <v>11864158.26</v>
      </c>
      <c r="F111" s="29">
        <v>3957414.09</v>
      </c>
      <c r="G111" s="28">
        <v>15821572.35</v>
      </c>
      <c r="I111" s="17">
        <f>'Electric Deferral'!O29+'Electric Deferral'!O30</f>
        <v>-3957414.0835436163</v>
      </c>
      <c r="J111" s="17">
        <f t="shared" si="0"/>
        <v>6.456383503973484E-3</v>
      </c>
      <c r="K111" s="17">
        <f>'Electric Deferral'!U29+'Electric Deferral'!U30</f>
        <v>-15821572.334710512</v>
      </c>
      <c r="L111" s="17">
        <f>G111+K111</f>
        <v>1.5289487317204475E-2</v>
      </c>
    </row>
    <row r="112" spans="1:12" s="53" customFormat="1">
      <c r="A112" s="33"/>
      <c r="B112" s="65"/>
      <c r="C112" s="72"/>
      <c r="D112" s="65"/>
      <c r="E112" s="67"/>
      <c r="F112" s="68">
        <f>SUM(F109:F111)</f>
        <v>4915819.0999999996</v>
      </c>
      <c r="G112" s="67"/>
    </row>
    <row r="113" spans="1:12" s="53" customFormat="1">
      <c r="A113" s="25" t="s">
        <v>64</v>
      </c>
      <c r="B113" s="24" t="s">
        <v>65</v>
      </c>
      <c r="C113" s="26" t="s">
        <v>52</v>
      </c>
      <c r="D113" s="27" t="s">
        <v>293</v>
      </c>
      <c r="E113" s="28">
        <v>-2165820.2400000002</v>
      </c>
      <c r="F113" s="29">
        <v>-403966.81</v>
      </c>
      <c r="G113" s="28">
        <v>-2569787.0499999998</v>
      </c>
      <c r="I113" s="17">
        <f>'Electric Deferral'!M57+'Electric Deferral'!M58</f>
        <v>403966.80902212835</v>
      </c>
      <c r="J113" s="17">
        <f>F113+I113</f>
        <v>-9.778716485016048E-4</v>
      </c>
    </row>
    <row r="114" spans="1:12" s="53" customFormat="1">
      <c r="A114" s="30"/>
      <c r="B114" s="24" t="s">
        <v>65</v>
      </c>
      <c r="C114" s="31"/>
      <c r="D114" s="27" t="s">
        <v>294</v>
      </c>
      <c r="E114" s="28">
        <v>-2569787.0499999998</v>
      </c>
      <c r="F114" s="29">
        <v>1476450.44</v>
      </c>
      <c r="G114" s="28">
        <v>-1093336.6100000001</v>
      </c>
      <c r="I114" s="17">
        <f>'Electric Deferral'!N57+'Electric Deferral'!N58</f>
        <v>-1476450.4365652895</v>
      </c>
      <c r="J114" s="17">
        <f t="shared" ref="J114:J115" si="1">F114+I114</f>
        <v>3.4347104374319315E-3</v>
      </c>
    </row>
    <row r="115" spans="1:12" s="53" customFormat="1">
      <c r="A115" s="30"/>
      <c r="B115" s="24" t="s">
        <v>65</v>
      </c>
      <c r="C115" s="32"/>
      <c r="D115" s="27" t="s">
        <v>295</v>
      </c>
      <c r="E115" s="28">
        <v>-1093336.6100000001</v>
      </c>
      <c r="F115" s="29">
        <v>744900.11</v>
      </c>
      <c r="G115" s="28">
        <v>-348436.5</v>
      </c>
      <c r="I115" s="17">
        <f>'Electric Deferral'!O57+'Electric Deferral'!O58</f>
        <v>-744900.10920101486</v>
      </c>
      <c r="J115" s="17">
        <f t="shared" si="1"/>
        <v>7.9898512922227383E-4</v>
      </c>
      <c r="K115" s="17">
        <f>'Electric Deferral'!U57+'Electric Deferral'!U58</f>
        <v>348436.4862640333</v>
      </c>
      <c r="L115" s="17">
        <f>G115+K115</f>
        <v>-1.3735966698732227E-2</v>
      </c>
    </row>
    <row r="116" spans="1:12">
      <c r="A116" s="33"/>
      <c r="B116" s="65"/>
      <c r="C116" s="72"/>
      <c r="D116" s="65"/>
      <c r="E116" s="67"/>
      <c r="F116" s="68">
        <f>SUM(F113:F115)</f>
        <v>1817383.7399999998</v>
      </c>
      <c r="G116" s="67"/>
      <c r="H116" s="53"/>
      <c r="I116" s="53"/>
      <c r="J116" s="53"/>
      <c r="K116" s="53"/>
    </row>
    <row r="117" spans="1:12" s="53" customFormat="1">
      <c r="A117" s="25" t="s">
        <v>66</v>
      </c>
      <c r="B117" s="24" t="s">
        <v>63</v>
      </c>
      <c r="C117" s="26" t="s">
        <v>53</v>
      </c>
      <c r="D117" s="27" t="s">
        <v>293</v>
      </c>
      <c r="E117" s="28">
        <v>2689326.23</v>
      </c>
      <c r="F117" s="29">
        <v>-2800363.57</v>
      </c>
      <c r="G117" s="28">
        <v>-111037.34</v>
      </c>
      <c r="I117" s="17">
        <f>'Nat Gas Deferral'!M27+'Nat Gas Deferral'!M28</f>
        <v>2800363.5696961256</v>
      </c>
      <c r="J117" s="17">
        <f>F117+I117</f>
        <v>-3.0387425795197487E-4</v>
      </c>
    </row>
    <row r="118" spans="1:12" s="53" customFormat="1">
      <c r="A118" s="30"/>
      <c r="B118" s="24" t="s">
        <v>63</v>
      </c>
      <c r="C118" s="31"/>
      <c r="D118" s="27" t="s">
        <v>294</v>
      </c>
      <c r="E118" s="28">
        <v>-111037.34</v>
      </c>
      <c r="F118" s="29">
        <v>-753912.23</v>
      </c>
      <c r="G118" s="28">
        <v>-864949.57</v>
      </c>
      <c r="I118" s="17">
        <f>'Nat Gas Deferral'!N27+'Nat Gas Deferral'!N28</f>
        <v>753912.22983277298</v>
      </c>
      <c r="J118" s="17">
        <f t="shared" ref="J118:J119" si="2">F118+I118</f>
        <v>-1.6722700092941523E-4</v>
      </c>
    </row>
    <row r="119" spans="1:12" s="53" customFormat="1">
      <c r="A119" s="30"/>
      <c r="B119" s="24" t="s">
        <v>63</v>
      </c>
      <c r="C119" s="32"/>
      <c r="D119" s="27" t="s">
        <v>295</v>
      </c>
      <c r="E119" s="28">
        <v>-864949.57</v>
      </c>
      <c r="F119" s="29">
        <v>1848865.52</v>
      </c>
      <c r="G119" s="28">
        <v>983915.95</v>
      </c>
      <c r="I119" s="17">
        <f>'Nat Gas Deferral'!O27+'Nat Gas Deferral'!O28</f>
        <v>-1848865.5222752111</v>
      </c>
      <c r="J119" s="17">
        <f t="shared" si="2"/>
        <v>-2.2752110380679369E-3</v>
      </c>
      <c r="K119" s="17">
        <f>'Nat Gas Deferral'!U27+'Nat Gas Deferral'!U28</f>
        <v>-983915.97544438939</v>
      </c>
      <c r="L119" s="17">
        <f>G119+K119</f>
        <v>-2.5444389437325299E-2</v>
      </c>
    </row>
    <row r="120" spans="1:12">
      <c r="A120" s="33"/>
      <c r="B120" s="65"/>
      <c r="C120" s="72"/>
      <c r="D120" s="65"/>
      <c r="E120" s="67"/>
      <c r="F120" s="68">
        <f>SUM(F117:F119)</f>
        <v>-1705410.2799999998</v>
      </c>
      <c r="G120" s="67"/>
      <c r="H120" s="53"/>
      <c r="I120" s="53"/>
      <c r="J120" s="53"/>
      <c r="K120" s="53"/>
    </row>
    <row r="121" spans="1:12" s="53" customFormat="1">
      <c r="A121" s="25" t="s">
        <v>67</v>
      </c>
      <c r="B121" s="24" t="s">
        <v>65</v>
      </c>
      <c r="C121" s="26" t="s">
        <v>53</v>
      </c>
      <c r="D121" s="27" t="s">
        <v>293</v>
      </c>
      <c r="E121" s="28">
        <v>161684.97</v>
      </c>
      <c r="F121" s="29">
        <v>-711750.68</v>
      </c>
      <c r="G121" s="28">
        <f>E121+F121</f>
        <v>-550065.71000000008</v>
      </c>
      <c r="I121" s="17">
        <f>'Nat Gas Deferral'!M53+'Nat Gas Deferral'!M54</f>
        <v>711750.68134030898</v>
      </c>
      <c r="J121" s="17">
        <f>F121+I121</f>
        <v>1.3403089251369238E-3</v>
      </c>
    </row>
    <row r="122" spans="1:12" s="53" customFormat="1">
      <c r="A122" s="30"/>
      <c r="B122" s="24" t="s">
        <v>65</v>
      </c>
      <c r="C122" s="31"/>
      <c r="D122" s="27" t="s">
        <v>294</v>
      </c>
      <c r="E122" s="28">
        <f>G121</f>
        <v>-550065.71000000008</v>
      </c>
      <c r="F122" s="29">
        <v>-1008422.22</v>
      </c>
      <c r="G122" s="28">
        <f>E122+F122</f>
        <v>-1558487.9300000002</v>
      </c>
      <c r="I122" s="17">
        <f>'Nat Gas Deferral'!N53+'Nat Gas Deferral'!N54</f>
        <v>1008422.2239517556</v>
      </c>
      <c r="J122" s="17">
        <f t="shared" ref="J122:J123" si="3">F122+I122</f>
        <v>3.9517555851489305E-3</v>
      </c>
    </row>
    <row r="123" spans="1:12" s="53" customFormat="1">
      <c r="A123" s="30"/>
      <c r="B123" s="24" t="s">
        <v>65</v>
      </c>
      <c r="C123" s="32"/>
      <c r="D123" s="27" t="s">
        <v>295</v>
      </c>
      <c r="E123" s="28">
        <f>G122</f>
        <v>-1558487.9300000002</v>
      </c>
      <c r="F123" s="29">
        <v>251367.58</v>
      </c>
      <c r="G123" s="28">
        <f>E123+F123</f>
        <v>-1307120.3500000001</v>
      </c>
      <c r="H123" s="53" t="s">
        <v>176</v>
      </c>
      <c r="I123" s="17">
        <f>'Nat Gas Deferral'!O53+'Nat Gas Deferral'!O54</f>
        <v>-251367.58364625351</v>
      </c>
      <c r="J123" s="17">
        <f t="shared" si="3"/>
        <v>-3.6462535208556801E-3</v>
      </c>
      <c r="K123" s="17">
        <f>'Nat Gas Deferral'!U53+'Nat Gas Deferral'!U54</f>
        <v>1307120.3383894735</v>
      </c>
      <c r="L123" s="17">
        <f>G123+K123</f>
        <v>-1.1610526591539383E-2</v>
      </c>
    </row>
    <row r="124" spans="1:12">
      <c r="A124" s="33"/>
      <c r="B124" s="65"/>
      <c r="C124" s="72"/>
      <c r="D124" s="65"/>
      <c r="E124" s="67"/>
      <c r="F124" s="68">
        <f>SUM(F121:F123)</f>
        <v>-1468805.3199999998</v>
      </c>
      <c r="G124" s="67"/>
      <c r="H124" s="53"/>
      <c r="I124" s="53"/>
      <c r="J124" s="53"/>
      <c r="K124" s="53"/>
    </row>
    <row r="125" spans="1:12">
      <c r="A125" s="287" t="s">
        <v>296</v>
      </c>
      <c r="B125" s="53"/>
      <c r="C125" s="53"/>
      <c r="D125" s="53"/>
      <c r="E125" s="53"/>
      <c r="F125" s="53"/>
      <c r="G125" s="53"/>
      <c r="H125" s="53"/>
      <c r="I125" s="53"/>
      <c r="J125" s="53"/>
      <c r="K125" s="53"/>
    </row>
    <row r="126" spans="1:12">
      <c r="A126" s="23" t="s">
        <v>42</v>
      </c>
      <c r="B126" s="53"/>
      <c r="C126" s="109" t="s">
        <v>119</v>
      </c>
      <c r="D126" s="53"/>
      <c r="E126" s="53"/>
      <c r="F126" s="53"/>
      <c r="G126" s="53"/>
      <c r="H126" s="53"/>
      <c r="I126" s="53"/>
      <c r="J126" s="53"/>
      <c r="K126" s="53"/>
    </row>
    <row r="127" spans="1:12">
      <c r="A127" s="53"/>
      <c r="B127" s="53"/>
      <c r="C127" s="53"/>
      <c r="D127" s="53"/>
      <c r="E127" s="53"/>
      <c r="F127" s="53"/>
      <c r="G127" s="53"/>
      <c r="H127" s="53"/>
      <c r="I127" s="53"/>
      <c r="J127" s="53"/>
      <c r="K127" s="53"/>
    </row>
    <row r="128" spans="1:12" ht="26.25">
      <c r="A128" s="128" t="s">
        <v>43</v>
      </c>
      <c r="B128" s="70" t="s">
        <v>44</v>
      </c>
      <c r="C128" s="71" t="s">
        <v>45</v>
      </c>
      <c r="D128" s="69" t="s">
        <v>46</v>
      </c>
      <c r="E128" s="69" t="s">
        <v>47</v>
      </c>
      <c r="F128" s="69" t="s">
        <v>48</v>
      </c>
      <c r="G128" s="69" t="s">
        <v>49</v>
      </c>
      <c r="H128" s="53"/>
      <c r="I128" s="288" t="s">
        <v>304</v>
      </c>
      <c r="J128" s="288" t="s">
        <v>303</v>
      </c>
      <c r="K128" s="53"/>
    </row>
    <row r="129" spans="1:11" s="53" customFormat="1">
      <c r="A129" s="121" t="s">
        <v>120</v>
      </c>
      <c r="B129" s="111" t="s">
        <v>121</v>
      </c>
      <c r="C129" s="26" t="s">
        <v>52</v>
      </c>
      <c r="D129" s="27" t="s">
        <v>293</v>
      </c>
      <c r="E129" s="28">
        <v>-822748.35</v>
      </c>
      <c r="F129" s="29">
        <v>-332306.53000000003</v>
      </c>
      <c r="G129" s="28">
        <v>-1155054.8799999999</v>
      </c>
      <c r="I129" s="289">
        <f>'Interest Reconciliation'!E135</f>
        <v>332306.53000000003</v>
      </c>
      <c r="J129" s="146">
        <f>F129+I129</f>
        <v>0</v>
      </c>
    </row>
    <row r="130" spans="1:11" s="53" customFormat="1">
      <c r="A130" s="122"/>
      <c r="B130" s="111" t="s">
        <v>121</v>
      </c>
      <c r="C130" s="31"/>
      <c r="D130" s="27" t="s">
        <v>294</v>
      </c>
      <c r="E130" s="28">
        <v>-1155054.8799999999</v>
      </c>
      <c r="F130" s="29">
        <v>-582086.27</v>
      </c>
      <c r="G130" s="28">
        <v>-1737141.15</v>
      </c>
      <c r="I130" s="289">
        <f>'Interest Reconciliation'!E136</f>
        <v>582086.27</v>
      </c>
      <c r="J130" s="146">
        <f t="shared" ref="J130:J131" si="4">F130+I130</f>
        <v>0</v>
      </c>
    </row>
    <row r="131" spans="1:11" s="53" customFormat="1">
      <c r="A131" s="122"/>
      <c r="B131" s="111" t="s">
        <v>121</v>
      </c>
      <c r="C131" s="32"/>
      <c r="D131" s="27" t="s">
        <v>295</v>
      </c>
      <c r="E131" s="28">
        <v>-1737141.15</v>
      </c>
      <c r="F131" s="29">
        <v>-731260.72</v>
      </c>
      <c r="G131" s="28">
        <v>-2468401.87</v>
      </c>
      <c r="I131" s="289">
        <f>'Interest Reconciliation'!E137</f>
        <v>731260.72</v>
      </c>
      <c r="J131" s="146">
        <f t="shared" si="4"/>
        <v>0</v>
      </c>
    </row>
    <row r="132" spans="1:11">
      <c r="A132" s="122"/>
      <c r="B132" s="65"/>
      <c r="C132" s="72"/>
      <c r="D132" s="65"/>
      <c r="E132" s="67"/>
      <c r="F132" s="68">
        <f>SUM(F129:F131)</f>
        <v>-1645653.52</v>
      </c>
      <c r="G132" s="67"/>
      <c r="H132" s="53"/>
      <c r="I132" s="53"/>
      <c r="J132" s="53"/>
      <c r="K132" s="53"/>
    </row>
    <row r="133" spans="1:11" s="53" customFormat="1">
      <c r="A133" s="121" t="s">
        <v>122</v>
      </c>
      <c r="B133" s="111" t="s">
        <v>123</v>
      </c>
      <c r="C133" s="26" t="s">
        <v>52</v>
      </c>
      <c r="D133" s="27" t="s">
        <v>293</v>
      </c>
      <c r="E133" s="28">
        <v>10348094.92</v>
      </c>
      <c r="F133" s="29">
        <v>358225.55</v>
      </c>
      <c r="G133" s="28">
        <v>10706320.470000001</v>
      </c>
      <c r="I133" s="146">
        <f>'Interest Reconciliation'!E119</f>
        <v>-358225.55</v>
      </c>
      <c r="J133" s="146">
        <f>F133+I133</f>
        <v>0</v>
      </c>
    </row>
    <row r="134" spans="1:11" s="53" customFormat="1">
      <c r="A134" s="122"/>
      <c r="B134" s="111" t="s">
        <v>123</v>
      </c>
      <c r="C134" s="31"/>
      <c r="D134" s="27" t="s">
        <v>294</v>
      </c>
      <c r="E134" s="28">
        <v>10706320.470000001</v>
      </c>
      <c r="F134" s="29">
        <v>242148.54</v>
      </c>
      <c r="G134" s="28">
        <v>10948469.01</v>
      </c>
      <c r="I134" s="146">
        <f>'Interest Reconciliation'!E120</f>
        <v>-242148.54</v>
      </c>
      <c r="J134" s="146">
        <f t="shared" ref="J134:J135" si="5">F134+I134</f>
        <v>0</v>
      </c>
    </row>
    <row r="135" spans="1:11" s="53" customFormat="1">
      <c r="A135" s="122"/>
      <c r="B135" s="111" t="s">
        <v>123</v>
      </c>
      <c r="C135" s="32"/>
      <c r="D135" s="27" t="s">
        <v>295</v>
      </c>
      <c r="E135" s="28">
        <v>10948469.01</v>
      </c>
      <c r="F135" s="29">
        <v>240020.55</v>
      </c>
      <c r="G135" s="28">
        <v>11188489.560000001</v>
      </c>
      <c r="I135" s="146">
        <f>'Interest Reconciliation'!E121</f>
        <v>-240020.55</v>
      </c>
      <c r="J135" s="146">
        <f t="shared" si="5"/>
        <v>0</v>
      </c>
    </row>
    <row r="136" spans="1:11">
      <c r="A136" s="122"/>
      <c r="B136" s="65"/>
      <c r="C136" s="72"/>
      <c r="D136" s="65"/>
      <c r="E136" s="67"/>
      <c r="F136" s="68">
        <f>SUM(F133:F135)</f>
        <v>840394.6399999999</v>
      </c>
      <c r="G136" s="67"/>
      <c r="H136" s="53"/>
      <c r="I136" s="53"/>
      <c r="J136" s="53"/>
      <c r="K136" s="53"/>
    </row>
    <row r="137" spans="1:11" s="53" customFormat="1">
      <c r="A137" s="121" t="s">
        <v>124</v>
      </c>
      <c r="B137" s="111" t="s">
        <v>121</v>
      </c>
      <c r="C137" s="26" t="s">
        <v>53</v>
      </c>
      <c r="D137" s="27" t="s">
        <v>293</v>
      </c>
      <c r="E137" s="28">
        <v>785053.25</v>
      </c>
      <c r="F137" s="29">
        <v>207933.48</v>
      </c>
      <c r="G137" s="28">
        <v>992986.73</v>
      </c>
      <c r="I137" s="146">
        <f>'Interest Reconciliation'!N103</f>
        <v>-207933.48</v>
      </c>
      <c r="J137" s="146">
        <f>F137+I137</f>
        <v>0</v>
      </c>
    </row>
    <row r="138" spans="1:11" s="53" customFormat="1">
      <c r="A138" s="122"/>
      <c r="B138" s="111" t="s">
        <v>121</v>
      </c>
      <c r="C138" s="31"/>
      <c r="D138" s="27" t="s">
        <v>294</v>
      </c>
      <c r="E138" s="28">
        <v>992986.73</v>
      </c>
      <c r="F138" s="29">
        <v>792156.82</v>
      </c>
      <c r="G138" s="28">
        <v>1785143.55</v>
      </c>
      <c r="I138" s="146">
        <f>'Interest Reconciliation'!N104</f>
        <v>-792156.82</v>
      </c>
      <c r="J138" s="146">
        <f t="shared" ref="J138:J139" si="6">F138+I138</f>
        <v>0</v>
      </c>
    </row>
    <row r="139" spans="1:11" s="53" customFormat="1">
      <c r="A139" s="122"/>
      <c r="B139" s="111" t="s">
        <v>121</v>
      </c>
      <c r="C139" s="32"/>
      <c r="D139" s="27" t="s">
        <v>295</v>
      </c>
      <c r="E139" s="28">
        <v>1785143.55</v>
      </c>
      <c r="F139" s="29">
        <v>997387.37</v>
      </c>
      <c r="G139" s="28">
        <v>2782530.92</v>
      </c>
      <c r="I139" s="146">
        <f>'Interest Reconciliation'!N105</f>
        <v>-997387.37</v>
      </c>
      <c r="J139" s="146">
        <f t="shared" si="6"/>
        <v>0</v>
      </c>
    </row>
    <row r="140" spans="1:11">
      <c r="A140" s="123"/>
      <c r="B140" s="65"/>
      <c r="C140" s="72"/>
      <c r="D140" s="65"/>
      <c r="E140" s="67"/>
      <c r="F140" s="68">
        <f>SUM(F137:F139)</f>
        <v>1997477.67</v>
      </c>
      <c r="G140" s="67"/>
      <c r="H140" s="53"/>
      <c r="I140" s="53"/>
      <c r="J140" s="53"/>
      <c r="K140" s="53"/>
    </row>
    <row r="141" spans="1:11">
      <c r="A141" s="121" t="s">
        <v>125</v>
      </c>
      <c r="B141" s="111" t="s">
        <v>123</v>
      </c>
      <c r="C141" s="26" t="s">
        <v>53</v>
      </c>
      <c r="D141" s="27" t="s">
        <v>293</v>
      </c>
      <c r="E141" s="28">
        <v>320810.46999999997</v>
      </c>
      <c r="F141" s="29">
        <v>114641.55</v>
      </c>
      <c r="G141" s="28">
        <v>435452.02</v>
      </c>
      <c r="H141" s="53"/>
      <c r="I141" s="146">
        <f>'Interest Reconciliation'!N119</f>
        <v>-114641.55</v>
      </c>
      <c r="J141" s="146">
        <f>F141+I141</f>
        <v>0</v>
      </c>
      <c r="K141" s="53"/>
    </row>
    <row r="142" spans="1:11">
      <c r="A142" s="122"/>
      <c r="B142" s="111" t="s">
        <v>123</v>
      </c>
      <c r="C142" s="31"/>
      <c r="D142" s="27" t="s">
        <v>294</v>
      </c>
      <c r="E142" s="28">
        <v>435452.02</v>
      </c>
      <c r="F142" s="29">
        <v>229655.39</v>
      </c>
      <c r="G142" s="28">
        <v>665107.41</v>
      </c>
      <c r="H142" s="53"/>
      <c r="I142" s="146">
        <f>'Interest Reconciliation'!N120</f>
        <v>-229655.39</v>
      </c>
      <c r="J142" s="146">
        <f t="shared" ref="J142:J143" si="7">F142+I142</f>
        <v>0</v>
      </c>
      <c r="K142" s="53"/>
    </row>
    <row r="143" spans="1:11" s="53" customFormat="1">
      <c r="A143" s="122"/>
      <c r="B143" s="111" t="s">
        <v>123</v>
      </c>
      <c r="C143" s="32"/>
      <c r="D143" s="27" t="s">
        <v>295</v>
      </c>
      <c r="E143" s="28">
        <v>665107.41</v>
      </c>
      <c r="F143" s="29">
        <v>275596.83</v>
      </c>
      <c r="G143" s="28">
        <v>940704.24</v>
      </c>
      <c r="I143" s="146">
        <f>'Interest Reconciliation'!N121</f>
        <v>-275596.83</v>
      </c>
      <c r="J143" s="146">
        <f t="shared" si="7"/>
        <v>0</v>
      </c>
    </row>
    <row r="144" spans="1:11">
      <c r="A144" s="123"/>
      <c r="B144" s="65"/>
      <c r="C144" s="72"/>
      <c r="D144" s="65"/>
      <c r="E144" s="67"/>
      <c r="F144" s="68">
        <f>SUM(F141:F143)</f>
        <v>619893.77</v>
      </c>
      <c r="G144" s="67"/>
      <c r="H144" s="53"/>
      <c r="I144" s="53"/>
      <c r="J144" s="53"/>
      <c r="K144" s="53"/>
    </row>
    <row r="145" spans="1:11">
      <c r="H145" s="53"/>
      <c r="I145" s="53"/>
      <c r="J145" s="53"/>
      <c r="K145" s="53"/>
    </row>
    <row r="146" spans="1:11">
      <c r="A146" s="53"/>
      <c r="B146" s="53"/>
      <c r="C146" s="53"/>
      <c r="D146" s="53"/>
      <c r="E146" s="53"/>
      <c r="F146" s="53"/>
      <c r="G146" s="53"/>
      <c r="H146" s="53"/>
      <c r="I146" s="53"/>
      <c r="J146" s="53"/>
      <c r="K146" s="53"/>
    </row>
    <row r="147" spans="1:11" s="53" customFormat="1">
      <c r="A147" s="23" t="s">
        <v>42</v>
      </c>
      <c r="B147" s="22"/>
      <c r="C147" s="110" t="s">
        <v>113</v>
      </c>
      <c r="D147" s="22"/>
      <c r="E147" s="22"/>
      <c r="F147" s="22"/>
      <c r="G147" s="22"/>
    </row>
    <row r="148" spans="1:11" s="53" customFormat="1">
      <c r="A148" s="299"/>
      <c r="B148" s="299"/>
      <c r="C148" s="299"/>
      <c r="D148" s="299"/>
      <c r="E148" s="299"/>
      <c r="F148" s="299"/>
      <c r="G148" s="299"/>
    </row>
    <row r="149" spans="1:11" s="53" customFormat="1" ht="26.25">
      <c r="A149" s="69" t="s">
        <v>43</v>
      </c>
      <c r="B149" s="70" t="s">
        <v>44</v>
      </c>
      <c r="C149" s="71" t="s">
        <v>45</v>
      </c>
      <c r="D149" s="69" t="s">
        <v>46</v>
      </c>
      <c r="E149" s="69" t="s">
        <v>47</v>
      </c>
      <c r="F149" s="69" t="s">
        <v>48</v>
      </c>
      <c r="G149" s="69" t="s">
        <v>49</v>
      </c>
      <c r="I149" s="288" t="s">
        <v>304</v>
      </c>
      <c r="J149" s="288" t="s">
        <v>303</v>
      </c>
    </row>
    <row r="150" spans="1:11" s="53" customFormat="1" ht="15.75">
      <c r="A150" s="25">
        <v>419328</v>
      </c>
      <c r="B150" s="24" t="s">
        <v>133</v>
      </c>
      <c r="C150" s="26" t="s">
        <v>52</v>
      </c>
      <c r="D150" s="27" t="s">
        <v>293</v>
      </c>
      <c r="E150" s="28">
        <v>-162048.79999999999</v>
      </c>
      <c r="F150" s="29">
        <v>-10308.969999999999</v>
      </c>
      <c r="G150" s="28">
        <v>-172357.77</v>
      </c>
      <c r="H150" s="106"/>
      <c r="I150" s="146">
        <f>'Interest Reconciliation'!D14</f>
        <v>-10308.969999999999</v>
      </c>
      <c r="J150" s="146">
        <f>I150-F150</f>
        <v>0</v>
      </c>
    </row>
    <row r="151" spans="1:11">
      <c r="A151" s="30"/>
      <c r="B151" s="24" t="s">
        <v>133</v>
      </c>
      <c r="C151" s="31"/>
      <c r="D151" s="27" t="s">
        <v>294</v>
      </c>
      <c r="E151" s="28">
        <v>-172357.77</v>
      </c>
      <c r="F151" s="29">
        <v>-7599.71</v>
      </c>
      <c r="G151" s="28">
        <v>-179957.48</v>
      </c>
      <c r="H151" s="53"/>
      <c r="I151" s="146">
        <f>'Interest Reconciliation'!D15</f>
        <v>-7599.71</v>
      </c>
      <c r="J151" s="146">
        <f>I151-F151</f>
        <v>0</v>
      </c>
      <c r="K151" s="53"/>
    </row>
    <row r="152" spans="1:11">
      <c r="A152" s="30"/>
      <c r="B152" s="24" t="s">
        <v>133</v>
      </c>
      <c r="C152" s="32"/>
      <c r="D152" s="27" t="s">
        <v>295</v>
      </c>
      <c r="E152" s="28">
        <v>-179957.48</v>
      </c>
      <c r="F152" s="29">
        <v>-3086.29</v>
      </c>
      <c r="G152" s="28">
        <v>-183043.77</v>
      </c>
      <c r="H152" s="53"/>
      <c r="I152" s="146">
        <f>'Interest Reconciliation'!D16</f>
        <v>-3086.29</v>
      </c>
      <c r="J152" s="146">
        <f>I152-F152</f>
        <v>0</v>
      </c>
      <c r="K152" s="53"/>
    </row>
    <row r="153" spans="1:11">
      <c r="A153" s="30"/>
      <c r="B153" s="61"/>
      <c r="C153" s="62"/>
      <c r="D153" s="61"/>
      <c r="E153" s="63"/>
      <c r="F153" s="64">
        <f>SUM(F150:F152)</f>
        <v>-20994.97</v>
      </c>
      <c r="G153" s="63"/>
      <c r="H153" s="53"/>
      <c r="I153" s="53"/>
      <c r="J153" s="53"/>
      <c r="K153" s="53"/>
    </row>
    <row r="154" spans="1:11">
      <c r="A154" s="30"/>
      <c r="B154" s="24" t="s">
        <v>133</v>
      </c>
      <c r="C154" s="26" t="s">
        <v>53</v>
      </c>
      <c r="D154" s="27" t="s">
        <v>293</v>
      </c>
      <c r="E154" s="28">
        <v>-235275.33</v>
      </c>
      <c r="F154" s="29">
        <v>-37366.79</v>
      </c>
      <c r="G154" s="28">
        <v>-272642.12</v>
      </c>
      <c r="H154" s="53"/>
      <c r="I154" s="146">
        <f>'Interest Reconciliation'!M14</f>
        <v>-37366.79</v>
      </c>
      <c r="J154" s="146">
        <f>I154-F154</f>
        <v>0</v>
      </c>
      <c r="K154" s="53"/>
    </row>
    <row r="155" spans="1:11">
      <c r="A155" s="30"/>
      <c r="B155" s="24" t="s">
        <v>133</v>
      </c>
      <c r="C155" s="31"/>
      <c r="D155" s="27" t="s">
        <v>294</v>
      </c>
      <c r="E155" s="28">
        <v>-272642.12</v>
      </c>
      <c r="F155" s="29">
        <v>-39931.35</v>
      </c>
      <c r="G155" s="28">
        <v>-312573.46999999997</v>
      </c>
      <c r="H155" s="53"/>
      <c r="I155" s="146">
        <f>'Interest Reconciliation'!M15</f>
        <v>-39931.35</v>
      </c>
      <c r="J155" s="146">
        <f>I155-F155</f>
        <v>0</v>
      </c>
      <c r="K155" s="53"/>
    </row>
    <row r="156" spans="1:11" s="53" customFormat="1">
      <c r="A156" s="30"/>
      <c r="B156" s="24" t="s">
        <v>133</v>
      </c>
      <c r="C156" s="32"/>
      <c r="D156" s="27" t="s">
        <v>295</v>
      </c>
      <c r="E156" s="28">
        <v>-312573.46999999997</v>
      </c>
      <c r="F156" s="29">
        <v>-35144.68</v>
      </c>
      <c r="G156" s="28">
        <v>-347718.15</v>
      </c>
      <c r="I156" s="146">
        <f>'Interest Reconciliation'!M16</f>
        <v>-35144.68</v>
      </c>
      <c r="J156" s="146">
        <f>I156-F156</f>
        <v>0</v>
      </c>
    </row>
    <row r="157" spans="1:11" s="53" customFormat="1">
      <c r="A157" s="33"/>
      <c r="B157" s="61"/>
      <c r="C157" s="62"/>
      <c r="D157" s="61"/>
      <c r="E157" s="63"/>
      <c r="F157" s="64">
        <f>SUM(F154:F156)</f>
        <v>-112442.82</v>
      </c>
      <c r="G157" s="63"/>
    </row>
    <row r="158" spans="1:11">
      <c r="A158" s="65"/>
      <c r="B158" s="72"/>
      <c r="C158" s="65"/>
      <c r="D158" s="65"/>
      <c r="E158" s="67"/>
      <c r="F158" s="68">
        <f>F153+F157</f>
        <v>-133437.79</v>
      </c>
      <c r="G158" s="67"/>
      <c r="H158" s="53"/>
      <c r="I158" s="53"/>
      <c r="J158" s="53"/>
      <c r="K158" s="53"/>
    </row>
    <row r="159" spans="1:11" ht="16.5" customHeight="1">
      <c r="A159" s="25">
        <v>431328</v>
      </c>
      <c r="B159" s="24" t="s">
        <v>134</v>
      </c>
      <c r="C159" s="26" t="s">
        <v>52</v>
      </c>
      <c r="D159" s="27" t="s">
        <v>293</v>
      </c>
      <c r="E159" s="28">
        <v>311002.53000000003</v>
      </c>
      <c r="F159" s="29">
        <v>62520.36</v>
      </c>
      <c r="G159" s="28">
        <v>373522.89</v>
      </c>
      <c r="H159" s="53"/>
      <c r="I159" s="146">
        <f>'Interest Reconciliation'!E14</f>
        <v>62520.36</v>
      </c>
      <c r="J159" s="146">
        <f>I159-F159</f>
        <v>0</v>
      </c>
      <c r="K159" s="53"/>
    </row>
    <row r="160" spans="1:11" ht="16.5" customHeight="1">
      <c r="A160" s="30"/>
      <c r="B160" s="24" t="s">
        <v>134</v>
      </c>
      <c r="C160" s="31"/>
      <c r="D160" s="27" t="s">
        <v>294</v>
      </c>
      <c r="E160" s="28">
        <v>373522.89</v>
      </c>
      <c r="F160" s="29">
        <v>63537.16</v>
      </c>
      <c r="G160" s="28">
        <v>437060.05</v>
      </c>
      <c r="H160" s="53"/>
      <c r="I160" s="146">
        <f>'Interest Reconciliation'!E15</f>
        <v>63537.16</v>
      </c>
      <c r="J160" s="146">
        <f>I160-F160</f>
        <v>0</v>
      </c>
      <c r="K160" s="53"/>
    </row>
    <row r="161" spans="1:11" s="53" customFormat="1" ht="16.5" customHeight="1">
      <c r="A161" s="30"/>
      <c r="B161" s="24" t="s">
        <v>134</v>
      </c>
      <c r="C161" s="32"/>
      <c r="D161" s="27" t="s">
        <v>295</v>
      </c>
      <c r="E161" s="28">
        <v>437060.05</v>
      </c>
      <c r="F161" s="29">
        <v>75862.990000000005</v>
      </c>
      <c r="G161" s="28">
        <v>512923.04</v>
      </c>
      <c r="I161" s="146">
        <f>'Interest Reconciliation'!E16</f>
        <v>75862.990000000005</v>
      </c>
      <c r="J161" s="146">
        <f>I161-F161</f>
        <v>0</v>
      </c>
    </row>
    <row r="162" spans="1:11" s="53" customFormat="1" ht="16.5" customHeight="1">
      <c r="A162" s="30"/>
      <c r="B162" s="61"/>
      <c r="C162" s="62"/>
      <c r="D162" s="61"/>
      <c r="E162" s="63"/>
      <c r="F162" s="64">
        <f>SUM(F159:F161)</f>
        <v>201920.51</v>
      </c>
      <c r="G162" s="63"/>
    </row>
    <row r="163" spans="1:11" s="53" customFormat="1" ht="16.5" customHeight="1">
      <c r="A163" s="30"/>
      <c r="B163" s="24" t="s">
        <v>134</v>
      </c>
      <c r="C163" s="26" t="s">
        <v>53</v>
      </c>
      <c r="D163" s="27" t="s">
        <v>293</v>
      </c>
      <c r="E163" s="28">
        <v>96730.09</v>
      </c>
      <c r="F163" s="29">
        <v>5605.65</v>
      </c>
      <c r="G163" s="28">
        <v>102335.74</v>
      </c>
      <c r="I163" s="146">
        <f>'Interest Reconciliation'!N14</f>
        <v>5605.65</v>
      </c>
      <c r="J163" s="146">
        <f>I163-F163</f>
        <v>0</v>
      </c>
    </row>
    <row r="164" spans="1:11" s="53" customFormat="1" ht="16.5" customHeight="1">
      <c r="A164" s="30"/>
      <c r="B164" s="24" t="s">
        <v>134</v>
      </c>
      <c r="C164" s="31"/>
      <c r="D164" s="27" t="s">
        <v>294</v>
      </c>
      <c r="E164" s="28">
        <v>102335.74</v>
      </c>
      <c r="F164" s="29">
        <v>0</v>
      </c>
      <c r="G164" s="28">
        <v>102335.74</v>
      </c>
      <c r="I164" s="146">
        <f>'Interest Reconciliation'!N15</f>
        <v>0</v>
      </c>
      <c r="J164" s="146">
        <f>I164-F164</f>
        <v>0</v>
      </c>
    </row>
    <row r="165" spans="1:11" s="53" customFormat="1" ht="16.5" customHeight="1">
      <c r="A165" s="30"/>
      <c r="B165" s="24" t="s">
        <v>134</v>
      </c>
      <c r="C165" s="32"/>
      <c r="D165" s="27" t="s">
        <v>295</v>
      </c>
      <c r="E165" s="28">
        <v>102335.74</v>
      </c>
      <c r="F165" s="29">
        <v>590.5</v>
      </c>
      <c r="G165" s="28">
        <v>102926.24</v>
      </c>
      <c r="I165" s="146">
        <f>'Interest Reconciliation'!N16</f>
        <v>590.5</v>
      </c>
      <c r="J165" s="146">
        <f>I165-F165</f>
        <v>0</v>
      </c>
    </row>
    <row r="166" spans="1:11" s="53" customFormat="1" ht="16.5" customHeight="1">
      <c r="A166" s="33"/>
      <c r="B166" s="61"/>
      <c r="C166" s="62"/>
      <c r="D166" s="61"/>
      <c r="E166" s="63"/>
      <c r="F166" s="64">
        <f>SUM(F163:F165)</f>
        <v>6196.15</v>
      </c>
      <c r="G166" s="63"/>
    </row>
    <row r="167" spans="1:11" s="53" customFormat="1" ht="16.5" customHeight="1">
      <c r="A167" s="65"/>
      <c r="B167" s="72"/>
      <c r="C167" s="65"/>
      <c r="D167" s="65"/>
      <c r="E167" s="67"/>
      <c r="F167" s="68">
        <f>F162+F166</f>
        <v>208116.66</v>
      </c>
      <c r="G167" s="67"/>
    </row>
    <row r="168" spans="1:11" s="53" customFormat="1">
      <c r="A168" s="73"/>
      <c r="B168" s="73"/>
      <c r="C168" s="73"/>
      <c r="D168" s="73"/>
      <c r="E168" s="74"/>
      <c r="F168" s="75">
        <f>F158+F167</f>
        <v>74678.87</v>
      </c>
      <c r="G168" s="74"/>
    </row>
    <row r="169" spans="1:11" s="53" customFormat="1">
      <c r="A169" s="97"/>
      <c r="B169" s="97"/>
      <c r="C169" s="97"/>
      <c r="D169" s="97"/>
      <c r="E169" s="98"/>
      <c r="F169" s="99"/>
      <c r="G169" s="98"/>
    </row>
    <row r="170" spans="1:11" ht="14.45" customHeight="1">
      <c r="A170" s="296" t="s">
        <v>138</v>
      </c>
      <c r="B170" s="296"/>
      <c r="C170" s="296"/>
      <c r="D170" s="296"/>
      <c r="E170" s="296"/>
      <c r="F170" s="296"/>
      <c r="G170" s="296"/>
      <c r="H170" s="53"/>
      <c r="I170" s="53"/>
      <c r="J170" s="53"/>
      <c r="K170" s="53"/>
    </row>
    <row r="171" spans="1:11">
      <c r="A171" s="23" t="s">
        <v>42</v>
      </c>
      <c r="B171" s="53"/>
      <c r="C171" s="53"/>
      <c r="D171" s="53"/>
      <c r="E171" s="53"/>
      <c r="F171" s="53"/>
      <c r="G171" s="53"/>
      <c r="H171" s="53"/>
      <c r="I171" s="53"/>
      <c r="J171" s="53"/>
      <c r="K171" s="53"/>
    </row>
    <row r="172" spans="1:11">
      <c r="A172" s="53"/>
      <c r="B172" s="53"/>
      <c r="C172" s="53"/>
      <c r="D172" s="53"/>
      <c r="E172" s="53"/>
      <c r="F172" s="53"/>
      <c r="G172" s="53"/>
      <c r="H172" s="53"/>
      <c r="I172" s="53"/>
      <c r="J172" s="53"/>
      <c r="K172" s="53"/>
    </row>
    <row r="173" spans="1:11" ht="26.25">
      <c r="A173" s="69" t="s">
        <v>43</v>
      </c>
      <c r="B173" s="70" t="s">
        <v>44</v>
      </c>
      <c r="C173" s="71" t="s">
        <v>45</v>
      </c>
      <c r="D173" s="69" t="s">
        <v>46</v>
      </c>
      <c r="E173" s="69" t="s">
        <v>47</v>
      </c>
      <c r="F173" s="69" t="s">
        <v>48</v>
      </c>
      <c r="G173" s="69" t="s">
        <v>49</v>
      </c>
      <c r="H173" s="53"/>
      <c r="I173" s="53"/>
      <c r="J173" s="53"/>
      <c r="K173" s="53"/>
    </row>
    <row r="174" spans="1:11">
      <c r="A174" s="25" t="s">
        <v>81</v>
      </c>
      <c r="B174" s="24" t="s">
        <v>82</v>
      </c>
      <c r="C174" s="26" t="s">
        <v>52</v>
      </c>
      <c r="D174" s="27" t="s">
        <v>293</v>
      </c>
      <c r="E174" s="28">
        <v>0</v>
      </c>
      <c r="F174" s="29">
        <v>0</v>
      </c>
      <c r="G174" s="28">
        <v>0</v>
      </c>
      <c r="H174" s="53"/>
      <c r="I174" s="53"/>
      <c r="J174" s="53"/>
      <c r="K174" s="53"/>
    </row>
    <row r="175" spans="1:11">
      <c r="A175" s="30"/>
      <c r="B175" s="24" t="s">
        <v>82</v>
      </c>
      <c r="C175" s="31"/>
      <c r="D175" s="27" t="s">
        <v>294</v>
      </c>
      <c r="E175" s="28">
        <v>0</v>
      </c>
      <c r="F175" s="29">
        <v>0</v>
      </c>
      <c r="G175" s="28">
        <v>0</v>
      </c>
      <c r="H175" s="53"/>
      <c r="I175" s="53"/>
      <c r="J175" s="53"/>
      <c r="K175" s="53"/>
    </row>
    <row r="176" spans="1:11">
      <c r="A176" s="30"/>
      <c r="B176" s="24" t="s">
        <v>82</v>
      </c>
      <c r="C176" s="32"/>
      <c r="D176" s="27" t="s">
        <v>295</v>
      </c>
      <c r="E176" s="28">
        <v>0</v>
      </c>
      <c r="F176" s="29">
        <v>0</v>
      </c>
      <c r="G176" s="28">
        <v>0</v>
      </c>
      <c r="H176" s="53"/>
      <c r="I176" s="53"/>
      <c r="J176" s="53"/>
      <c r="K176" s="53"/>
    </row>
    <row r="177" spans="1:11">
      <c r="A177" s="30"/>
      <c r="B177" s="61"/>
      <c r="C177" s="62"/>
      <c r="D177" s="61"/>
      <c r="E177" s="63"/>
      <c r="F177" s="64">
        <f>SUM(F174:F176)</f>
        <v>0</v>
      </c>
      <c r="G177" s="63"/>
      <c r="H177" s="53"/>
      <c r="I177" s="53"/>
      <c r="J177" s="53"/>
      <c r="K177" s="53"/>
    </row>
    <row r="178" spans="1:11">
      <c r="A178" s="30"/>
      <c r="B178" s="24" t="s">
        <v>82</v>
      </c>
      <c r="C178" s="26" t="s">
        <v>53</v>
      </c>
      <c r="D178" s="27" t="s">
        <v>293</v>
      </c>
      <c r="E178" s="28">
        <v>0</v>
      </c>
      <c r="F178" s="29">
        <v>0</v>
      </c>
      <c r="G178" s="28">
        <v>0</v>
      </c>
      <c r="H178" s="53"/>
      <c r="I178" s="53"/>
      <c r="J178" s="53"/>
      <c r="K178" s="53"/>
    </row>
    <row r="179" spans="1:11">
      <c r="A179" s="30"/>
      <c r="B179" s="24" t="s">
        <v>82</v>
      </c>
      <c r="C179" s="31"/>
      <c r="D179" s="27" t="s">
        <v>294</v>
      </c>
      <c r="E179" s="28">
        <v>0</v>
      </c>
      <c r="F179" s="29">
        <v>0</v>
      </c>
      <c r="G179" s="28">
        <v>0</v>
      </c>
      <c r="H179" s="53"/>
      <c r="I179" s="53"/>
      <c r="J179" s="53"/>
      <c r="K179" s="53"/>
    </row>
    <row r="180" spans="1:11">
      <c r="A180" s="30"/>
      <c r="B180" s="24" t="s">
        <v>82</v>
      </c>
      <c r="C180" s="32"/>
      <c r="D180" s="27" t="s">
        <v>295</v>
      </c>
      <c r="E180" s="28">
        <v>0</v>
      </c>
      <c r="F180" s="29">
        <v>0</v>
      </c>
      <c r="G180" s="28">
        <v>0</v>
      </c>
      <c r="H180" s="53"/>
      <c r="I180" s="53"/>
      <c r="J180" s="53"/>
      <c r="K180" s="53"/>
    </row>
    <row r="181" spans="1:11">
      <c r="A181" s="33"/>
      <c r="B181" s="61"/>
      <c r="C181" s="62"/>
      <c r="D181" s="61"/>
      <c r="E181" s="63"/>
      <c r="F181" s="64">
        <f>SUM(F178:F180)</f>
        <v>0</v>
      </c>
      <c r="G181" s="63"/>
      <c r="H181" s="53"/>
      <c r="I181" s="53"/>
      <c r="J181" s="53"/>
      <c r="K181" s="53"/>
    </row>
    <row r="182" spans="1:11">
      <c r="A182" s="114"/>
      <c r="B182" s="72" t="s">
        <v>130</v>
      </c>
      <c r="C182" s="65"/>
      <c r="D182" s="65"/>
      <c r="E182" s="67"/>
      <c r="F182" s="68">
        <f>F177+F181</f>
        <v>0</v>
      </c>
      <c r="G182" s="67"/>
      <c r="H182" s="53"/>
      <c r="I182" s="53"/>
      <c r="J182" s="53"/>
      <c r="K182" s="53"/>
    </row>
    <row r="183" spans="1:11">
      <c r="A183" s="121" t="s">
        <v>127</v>
      </c>
      <c r="B183" s="24" t="s">
        <v>128</v>
      </c>
      <c r="C183" s="26" t="s">
        <v>52</v>
      </c>
      <c r="D183" s="27" t="s">
        <v>293</v>
      </c>
      <c r="E183" s="28">
        <v>0</v>
      </c>
      <c r="F183" s="29">
        <v>0</v>
      </c>
      <c r="G183" s="28">
        <v>0</v>
      </c>
      <c r="H183" s="53"/>
      <c r="I183" s="53"/>
      <c r="J183" s="53"/>
      <c r="K183" s="53"/>
    </row>
    <row r="184" spans="1:11">
      <c r="A184" s="122"/>
      <c r="B184" s="24" t="s">
        <v>128</v>
      </c>
      <c r="C184" s="31"/>
      <c r="D184" s="27" t="s">
        <v>294</v>
      </c>
      <c r="E184" s="28">
        <v>0</v>
      </c>
      <c r="F184" s="29">
        <v>0</v>
      </c>
      <c r="G184" s="28">
        <v>0</v>
      </c>
      <c r="H184" s="53"/>
      <c r="I184" s="53"/>
      <c r="J184" s="53"/>
      <c r="K184" s="53"/>
    </row>
    <row r="185" spans="1:11">
      <c r="A185" s="122"/>
      <c r="B185" s="24" t="s">
        <v>128</v>
      </c>
      <c r="C185" s="32"/>
      <c r="D185" s="27" t="s">
        <v>295</v>
      </c>
      <c r="E185" s="28">
        <v>0</v>
      </c>
      <c r="F185" s="29">
        <v>0</v>
      </c>
      <c r="G185" s="28">
        <v>0</v>
      </c>
      <c r="H185" s="53"/>
      <c r="I185" s="53"/>
      <c r="J185" s="53"/>
      <c r="K185" s="53"/>
    </row>
    <row r="186" spans="1:11">
      <c r="A186" s="122"/>
      <c r="B186" s="61"/>
      <c r="C186" s="62"/>
      <c r="D186" s="61"/>
      <c r="E186" s="63"/>
      <c r="F186" s="64">
        <f>SUM(F183:F185)</f>
        <v>0</v>
      </c>
      <c r="G186" s="63"/>
      <c r="H186" s="53"/>
      <c r="I186" s="53"/>
      <c r="J186" s="53"/>
      <c r="K186" s="53"/>
    </row>
    <row r="187" spans="1:11" s="53" customFormat="1">
      <c r="A187" s="122"/>
      <c r="B187" s="24" t="s">
        <v>128</v>
      </c>
      <c r="C187" s="26" t="s">
        <v>53</v>
      </c>
      <c r="D187" s="27" t="s">
        <v>293</v>
      </c>
      <c r="E187" s="28">
        <v>0</v>
      </c>
      <c r="F187" s="29">
        <v>0</v>
      </c>
      <c r="G187" s="28">
        <v>0</v>
      </c>
    </row>
    <row r="188" spans="1:11" s="53" customFormat="1">
      <c r="A188" s="122"/>
      <c r="B188" s="24" t="s">
        <v>128</v>
      </c>
      <c r="C188" s="31"/>
      <c r="D188" s="27" t="s">
        <v>294</v>
      </c>
      <c r="E188" s="28">
        <v>0</v>
      </c>
      <c r="F188" s="29">
        <v>0</v>
      </c>
      <c r="G188" s="28">
        <v>0</v>
      </c>
    </row>
    <row r="189" spans="1:11" s="53" customFormat="1">
      <c r="A189" s="122"/>
      <c r="B189" s="24" t="s">
        <v>128</v>
      </c>
      <c r="C189" s="32"/>
      <c r="D189" s="27" t="s">
        <v>295</v>
      </c>
      <c r="E189" s="28">
        <v>0</v>
      </c>
      <c r="F189" s="29">
        <v>0</v>
      </c>
      <c r="G189" s="28">
        <v>0</v>
      </c>
    </row>
    <row r="190" spans="1:11" s="53" customFormat="1">
      <c r="A190" s="123"/>
      <c r="B190" s="61"/>
      <c r="C190" s="62"/>
      <c r="D190" s="61"/>
      <c r="E190" s="63"/>
      <c r="F190" s="64">
        <f>SUM(F187:F189)</f>
        <v>0</v>
      </c>
      <c r="G190" s="63"/>
    </row>
    <row r="191" spans="1:11">
      <c r="A191" s="120"/>
      <c r="B191" s="72" t="s">
        <v>131</v>
      </c>
      <c r="C191" s="65"/>
      <c r="D191" s="65"/>
      <c r="E191" s="67"/>
      <c r="F191" s="68">
        <f>F186</f>
        <v>0</v>
      </c>
      <c r="G191" s="67"/>
      <c r="H191" s="53"/>
      <c r="I191" s="53"/>
      <c r="J191" s="53"/>
      <c r="K191" s="53"/>
    </row>
    <row r="192" spans="1:11">
      <c r="A192" s="121" t="s">
        <v>129</v>
      </c>
      <c r="B192" s="24" t="s">
        <v>84</v>
      </c>
      <c r="C192" s="26" t="s">
        <v>52</v>
      </c>
      <c r="D192" s="27" t="s">
        <v>293</v>
      </c>
      <c r="E192" s="28">
        <v>0</v>
      </c>
      <c r="F192" s="29">
        <v>0</v>
      </c>
      <c r="G192" s="28">
        <v>0</v>
      </c>
      <c r="H192" s="53"/>
      <c r="I192" s="53"/>
      <c r="J192" s="53"/>
      <c r="K192" s="53"/>
    </row>
    <row r="193" spans="1:11">
      <c r="A193" s="122"/>
      <c r="B193" s="24" t="s">
        <v>84</v>
      </c>
      <c r="C193" s="31"/>
      <c r="D193" s="27" t="s">
        <v>294</v>
      </c>
      <c r="E193" s="28">
        <v>0</v>
      </c>
      <c r="F193" s="29">
        <v>0</v>
      </c>
      <c r="G193" s="28">
        <v>0</v>
      </c>
      <c r="H193" s="53"/>
      <c r="I193" s="53"/>
      <c r="J193" s="53"/>
      <c r="K193" s="53"/>
    </row>
    <row r="194" spans="1:11">
      <c r="A194" s="122"/>
      <c r="B194" s="24" t="s">
        <v>84</v>
      </c>
      <c r="C194" s="32"/>
      <c r="D194" s="27" t="s">
        <v>295</v>
      </c>
      <c r="E194" s="28">
        <v>0</v>
      </c>
      <c r="F194" s="29">
        <v>0</v>
      </c>
      <c r="G194" s="28">
        <v>0</v>
      </c>
    </row>
    <row r="195" spans="1:11">
      <c r="A195" s="123"/>
      <c r="B195" s="61"/>
      <c r="C195" s="62"/>
      <c r="D195" s="61"/>
      <c r="E195" s="63"/>
      <c r="F195" s="64">
        <f>SUM(F192:F194)</f>
        <v>0</v>
      </c>
      <c r="G195" s="63"/>
    </row>
    <row r="196" spans="1:11">
      <c r="A196" s="121" t="s">
        <v>83</v>
      </c>
      <c r="B196" s="24" t="s">
        <v>84</v>
      </c>
      <c r="C196" s="26" t="s">
        <v>53</v>
      </c>
      <c r="D196" s="27" t="s">
        <v>293</v>
      </c>
      <c r="E196" s="28">
        <v>-1022805.86</v>
      </c>
      <c r="F196" s="29">
        <v>0</v>
      </c>
      <c r="G196" s="28">
        <v>-1022805.86</v>
      </c>
    </row>
    <row r="197" spans="1:11">
      <c r="A197" s="122"/>
      <c r="B197" s="24" t="s">
        <v>84</v>
      </c>
      <c r="C197" s="31"/>
      <c r="D197" s="27" t="s">
        <v>294</v>
      </c>
      <c r="E197" s="28">
        <v>-1022805.86</v>
      </c>
      <c r="F197" s="29">
        <v>0</v>
      </c>
      <c r="G197" s="28">
        <v>-1022805.86</v>
      </c>
    </row>
    <row r="198" spans="1:11">
      <c r="A198" s="122"/>
      <c r="B198" s="24" t="s">
        <v>84</v>
      </c>
      <c r="C198" s="32"/>
      <c r="D198" s="27" t="s">
        <v>295</v>
      </c>
      <c r="E198" s="28">
        <v>-1022805.86</v>
      </c>
      <c r="F198" s="29">
        <v>0</v>
      </c>
      <c r="G198" s="28">
        <v>-1022805.86</v>
      </c>
    </row>
    <row r="199" spans="1:11">
      <c r="A199" s="123"/>
      <c r="B199" s="61"/>
      <c r="C199" s="62"/>
      <c r="D199" s="61"/>
      <c r="E199" s="63"/>
      <c r="F199" s="64">
        <f>SUM(F196:F198)</f>
        <v>0</v>
      </c>
      <c r="G199" s="63"/>
    </row>
  </sheetData>
  <mergeCells count="8">
    <mergeCell ref="A1:H1"/>
    <mergeCell ref="A104:G104"/>
    <mergeCell ref="A170:G170"/>
    <mergeCell ref="J93:K93"/>
    <mergeCell ref="I5:J5"/>
    <mergeCell ref="A107:G107"/>
    <mergeCell ref="A148:G148"/>
    <mergeCell ref="A4:G4"/>
  </mergeCells>
  <printOptions horizontalCentered="1"/>
  <pageMargins left="0.25" right="0.25" top="0.9375" bottom="0.75" header="0.3" footer="0.3"/>
  <pageSetup scale="72" fitToHeight="4" orientation="portrait" useFirstPageNumber="1" r:id="rId1"/>
  <headerFooter scaleWithDoc="0">
    <oddHeader>&amp;CAvista Corporation Decoupling Mechanism
Washington Jurisdiction
Quarterly Report for 4th Quarter 2022</oddHeader>
    <oddFooter>&amp;Cfile: &amp;F / &amp;A</oddFooter>
  </headerFooter>
  <rowBreaks count="3" manualBreakCount="3">
    <brk id="46" max="7" man="1"/>
    <brk id="103" max="7" man="1"/>
    <brk id="14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5"/>
  <sheetViews>
    <sheetView topLeftCell="B13" workbookViewId="0">
      <selection activeCell="L32" sqref="L32"/>
    </sheetView>
  </sheetViews>
  <sheetFormatPr defaultColWidth="8.85546875" defaultRowHeight="15"/>
  <cols>
    <col min="1" max="1" width="25.5703125" style="53" customWidth="1"/>
    <col min="2" max="2" width="3.85546875" style="53" customWidth="1"/>
    <col min="3" max="3" width="15.42578125" style="146" bestFit="1" customWidth="1"/>
    <col min="4" max="4" width="12.7109375" style="146" customWidth="1"/>
    <col min="5" max="5" width="15.5703125" style="146" bestFit="1" customWidth="1"/>
    <col min="6" max="6" width="15.28515625" style="146" customWidth="1"/>
    <col min="7" max="7" width="3.42578125" style="53" customWidth="1"/>
    <col min="8" max="8" width="15.85546875" style="53" bestFit="1" customWidth="1"/>
    <col min="9" max="9" width="3.85546875" style="53" customWidth="1"/>
    <col min="10" max="10" width="24.85546875" style="53" customWidth="1"/>
    <col min="11" max="11" width="4.42578125" style="53" customWidth="1"/>
    <col min="12" max="12" width="14" style="146" customWidth="1"/>
    <col min="13" max="13" width="12.28515625" style="146" customWidth="1"/>
    <col min="14" max="14" width="13.140625" style="146" customWidth="1"/>
    <col min="15" max="15" width="14.5703125" style="146" customWidth="1"/>
    <col min="16" max="16" width="3.7109375" style="53" customWidth="1"/>
    <col min="17" max="17" width="12.7109375" style="53" customWidth="1"/>
    <col min="18" max="18" width="3.140625" style="53" customWidth="1"/>
    <col min="19" max="19" width="11.85546875" style="53" bestFit="1" customWidth="1"/>
    <col min="20" max="20" width="8.85546875" style="53"/>
    <col min="21" max="21" width="15" style="53" bestFit="1" customWidth="1"/>
    <col min="22" max="22" width="12.5703125" style="53" bestFit="1" customWidth="1"/>
    <col min="23" max="23" width="14" style="53" bestFit="1" customWidth="1"/>
    <col min="24" max="24" width="13.5703125" style="53" bestFit="1" customWidth="1"/>
    <col min="25" max="16384" width="8.85546875" style="53"/>
  </cols>
  <sheetData>
    <row r="1" spans="1:24" ht="28.15" customHeight="1">
      <c r="A1" s="301" t="s">
        <v>100</v>
      </c>
      <c r="B1" s="301"/>
      <c r="C1" s="301"/>
      <c r="D1" s="301"/>
      <c r="E1" s="301"/>
      <c r="F1" s="301"/>
      <c r="G1" s="301"/>
      <c r="H1" s="301"/>
      <c r="I1" s="301"/>
      <c r="J1" s="301" t="s">
        <v>100</v>
      </c>
      <c r="K1" s="301"/>
      <c r="L1" s="301"/>
      <c r="M1" s="301"/>
      <c r="N1" s="301"/>
      <c r="O1" s="301"/>
      <c r="P1" s="301"/>
      <c r="Q1" s="301"/>
      <c r="R1" s="301"/>
    </row>
    <row r="2" spans="1:24">
      <c r="C2" s="145" t="s">
        <v>105</v>
      </c>
      <c r="L2" s="145" t="s">
        <v>104</v>
      </c>
    </row>
    <row r="3" spans="1:24">
      <c r="A3" s="92"/>
      <c r="C3" s="147"/>
      <c r="H3" s="178"/>
      <c r="L3" s="147"/>
      <c r="Q3" s="178"/>
    </row>
    <row r="4" spans="1:24">
      <c r="A4" s="178"/>
      <c r="B4" s="179" t="s">
        <v>139</v>
      </c>
      <c r="C4" s="178" t="s">
        <v>103</v>
      </c>
      <c r="D4" s="178">
        <v>419328</v>
      </c>
      <c r="E4" s="178">
        <v>431328</v>
      </c>
      <c r="F4" s="178" t="s">
        <v>102</v>
      </c>
      <c r="H4" s="178" t="s">
        <v>132</v>
      </c>
      <c r="I4" s="149"/>
      <c r="K4" s="179" t="s">
        <v>140</v>
      </c>
      <c r="L4" s="178" t="s">
        <v>103</v>
      </c>
      <c r="M4" s="178">
        <v>419328</v>
      </c>
      <c r="N4" s="178">
        <v>431328</v>
      </c>
      <c r="O4" s="178" t="s">
        <v>102</v>
      </c>
      <c r="Q4" s="53" t="str">
        <f>H4</f>
        <v>Recon Check</v>
      </c>
      <c r="R4" s="149"/>
    </row>
    <row r="5" spans="1:24" ht="14.45" customHeight="1">
      <c r="A5" s="180">
        <v>44562</v>
      </c>
      <c r="C5" s="146">
        <f t="shared" ref="C5:C16" si="0">D26+D42+D59+D77+D94+D110+D126+D142</f>
        <v>6837.72</v>
      </c>
      <c r="D5" s="148">
        <v>-26964.94</v>
      </c>
      <c r="E5" s="148">
        <v>20127.22</v>
      </c>
      <c r="F5" s="146">
        <f>D5+E5</f>
        <v>-6837.7199999999975</v>
      </c>
      <c r="H5" s="146">
        <f>C5+F5</f>
        <v>0</v>
      </c>
      <c r="I5" s="149"/>
      <c r="J5" s="92">
        <f>A5</f>
        <v>44562</v>
      </c>
      <c r="L5" s="146">
        <f t="shared" ref="L5:L16" si="1">M26+M42+M59+M77+M94+M110+M126+M142</f>
        <v>22486.22</v>
      </c>
      <c r="M5" s="148">
        <v>-26661.89</v>
      </c>
      <c r="N5" s="148">
        <v>4175.67</v>
      </c>
      <c r="O5" s="146">
        <f>M5+N5</f>
        <v>-22486.22</v>
      </c>
      <c r="P5" s="146"/>
      <c r="Q5" s="146">
        <f>L5+O5</f>
        <v>0</v>
      </c>
      <c r="R5" s="149"/>
      <c r="U5" s="17"/>
      <c r="V5" s="17"/>
      <c r="W5" s="17"/>
      <c r="X5" s="17"/>
    </row>
    <row r="6" spans="1:24" ht="14.45" customHeight="1">
      <c r="A6" s="92">
        <f>EDATE(A5,1)</f>
        <v>44593</v>
      </c>
      <c r="C6" s="146">
        <f t="shared" si="0"/>
        <v>-2852.0700000000011</v>
      </c>
      <c r="D6" s="148">
        <v>-24117.43</v>
      </c>
      <c r="E6" s="148">
        <v>26969.5</v>
      </c>
      <c r="F6" s="146">
        <f t="shared" ref="F6:F15" si="2">D6+E6</f>
        <v>2852.0699999999997</v>
      </c>
      <c r="H6" s="146">
        <f t="shared" ref="H6:H16" si="3">C6+F6</f>
        <v>0</v>
      </c>
      <c r="I6" s="149"/>
      <c r="J6" s="92">
        <f t="shared" ref="J6:J16" si="4">A6</f>
        <v>44593</v>
      </c>
      <c r="L6" s="146">
        <f t="shared" si="1"/>
        <v>16028.610000000002</v>
      </c>
      <c r="M6" s="148">
        <v>-26027.68</v>
      </c>
      <c r="N6" s="148">
        <v>9999.07</v>
      </c>
      <c r="O6" s="146">
        <f t="shared" ref="O6:O16" si="5">M6+N6</f>
        <v>-16028.61</v>
      </c>
      <c r="P6" s="146"/>
      <c r="Q6" s="146">
        <f>L6+O6</f>
        <v>0</v>
      </c>
      <c r="R6" s="149"/>
      <c r="U6" s="17"/>
      <c r="V6" s="17"/>
      <c r="W6" s="17"/>
      <c r="X6" s="17"/>
    </row>
    <row r="7" spans="1:24" ht="14.45" customHeight="1">
      <c r="A7" s="92">
        <f>EDATE(A6,1)</f>
        <v>44621</v>
      </c>
      <c r="C7" s="146">
        <f t="shared" si="0"/>
        <v>-9008.73</v>
      </c>
      <c r="D7" s="148">
        <v>-21193.03</v>
      </c>
      <c r="E7" s="148">
        <v>30201.759999999998</v>
      </c>
      <c r="F7" s="146">
        <f t="shared" si="2"/>
        <v>9008.73</v>
      </c>
      <c r="H7" s="146">
        <f t="shared" si="3"/>
        <v>0</v>
      </c>
      <c r="I7" s="149"/>
      <c r="J7" s="92">
        <f t="shared" si="4"/>
        <v>44621</v>
      </c>
      <c r="L7" s="146">
        <f t="shared" si="1"/>
        <v>14735.970000000001</v>
      </c>
      <c r="M7" s="148">
        <v>-25532.43</v>
      </c>
      <c r="N7" s="148">
        <v>10796.46</v>
      </c>
      <c r="O7" s="146">
        <f t="shared" si="5"/>
        <v>-14735.970000000001</v>
      </c>
      <c r="P7" s="146"/>
      <c r="Q7" s="146">
        <f t="shared" ref="Q7:Q16" si="6">L7+O7</f>
        <v>0</v>
      </c>
      <c r="R7" s="149"/>
      <c r="U7" s="17"/>
      <c r="V7" s="17"/>
      <c r="W7" s="17"/>
      <c r="X7" s="17"/>
    </row>
    <row r="8" spans="1:24" ht="14.45" customHeight="1">
      <c r="A8" s="92">
        <f t="shared" ref="A8:A16" si="7">EDATE(A7,1)</f>
        <v>44652</v>
      </c>
      <c r="B8" s="214"/>
      <c r="C8" s="146">
        <f t="shared" si="0"/>
        <v>-16226.15</v>
      </c>
      <c r="D8" s="148">
        <v>-18130.68</v>
      </c>
      <c r="E8" s="148">
        <v>34356.83</v>
      </c>
      <c r="F8" s="146">
        <f>D8+E8</f>
        <v>16226.150000000001</v>
      </c>
      <c r="H8" s="146">
        <f>C8+F8</f>
        <v>0</v>
      </c>
      <c r="I8" s="149"/>
      <c r="J8" s="92">
        <f t="shared" si="4"/>
        <v>44652</v>
      </c>
      <c r="K8" s="214"/>
      <c r="L8" s="146">
        <f t="shared" si="1"/>
        <v>13891.219999999998</v>
      </c>
      <c r="M8" s="148">
        <v>-25154.639999999999</v>
      </c>
      <c r="N8" s="148">
        <v>11263.42</v>
      </c>
      <c r="O8" s="146">
        <f t="shared" si="5"/>
        <v>-13891.22</v>
      </c>
      <c r="P8" s="146"/>
      <c r="Q8" s="146">
        <f t="shared" si="6"/>
        <v>0</v>
      </c>
      <c r="R8" s="149"/>
      <c r="X8" s="17"/>
    </row>
    <row r="9" spans="1:24" ht="14.45" customHeight="1">
      <c r="A9" s="92">
        <f t="shared" si="7"/>
        <v>44682</v>
      </c>
      <c r="C9" s="146">
        <f t="shared" si="0"/>
        <v>-19626.490000000002</v>
      </c>
      <c r="D9" s="148">
        <v>-15312.1</v>
      </c>
      <c r="E9" s="148">
        <v>34938.589999999997</v>
      </c>
      <c r="F9" s="146">
        <f t="shared" si="2"/>
        <v>19626.489999999998</v>
      </c>
      <c r="H9" s="146">
        <f t="shared" si="3"/>
        <v>0</v>
      </c>
      <c r="I9" s="149"/>
      <c r="J9" s="92">
        <f t="shared" si="4"/>
        <v>44682</v>
      </c>
      <c r="L9" s="146">
        <f t="shared" si="1"/>
        <v>11743.099999999999</v>
      </c>
      <c r="M9" s="148">
        <v>-24887.29</v>
      </c>
      <c r="N9" s="148">
        <v>13144.19</v>
      </c>
      <c r="O9" s="146">
        <f t="shared" si="5"/>
        <v>-11743.1</v>
      </c>
      <c r="P9" s="146"/>
      <c r="Q9" s="146">
        <f t="shared" si="6"/>
        <v>0</v>
      </c>
      <c r="R9" s="149"/>
      <c r="X9" s="17"/>
    </row>
    <row r="10" spans="1:24" ht="14.45" customHeight="1">
      <c r="A10" s="92">
        <f t="shared" si="7"/>
        <v>44713</v>
      </c>
      <c r="C10" s="146">
        <f t="shared" si="0"/>
        <v>-17200.820000000003</v>
      </c>
      <c r="D10" s="148">
        <v>-15113.95</v>
      </c>
      <c r="E10" s="148">
        <v>32314.77</v>
      </c>
      <c r="F10" s="146">
        <f t="shared" si="2"/>
        <v>17200.82</v>
      </c>
      <c r="H10" s="146">
        <f t="shared" si="3"/>
        <v>0</v>
      </c>
      <c r="I10" s="149"/>
      <c r="J10" s="92">
        <f t="shared" si="4"/>
        <v>44713</v>
      </c>
      <c r="L10" s="146">
        <f t="shared" si="1"/>
        <v>11577.52</v>
      </c>
      <c r="M10" s="148">
        <v>-24755.85</v>
      </c>
      <c r="N10" s="148">
        <v>13178.33</v>
      </c>
      <c r="O10" s="146">
        <f>M10+N10</f>
        <v>-11577.519999999999</v>
      </c>
      <c r="P10" s="146"/>
      <c r="Q10" s="146">
        <f t="shared" si="6"/>
        <v>0</v>
      </c>
      <c r="R10" s="149"/>
      <c r="X10" s="17"/>
    </row>
    <row r="11" spans="1:24" ht="14.45" customHeight="1">
      <c r="A11" s="92">
        <f t="shared" si="7"/>
        <v>44743</v>
      </c>
      <c r="C11" s="146">
        <f t="shared" si="0"/>
        <v>-20253.600000000002</v>
      </c>
      <c r="D11" s="148">
        <v>-15079.33</v>
      </c>
      <c r="E11" s="148">
        <v>35332.93</v>
      </c>
      <c r="F11" s="146">
        <f t="shared" si="2"/>
        <v>20253.599999999999</v>
      </c>
      <c r="H11" s="146">
        <f t="shared" si="3"/>
        <v>0</v>
      </c>
      <c r="I11" s="149"/>
      <c r="J11" s="92">
        <f t="shared" si="4"/>
        <v>44743</v>
      </c>
      <c r="L11" s="146">
        <f t="shared" si="1"/>
        <v>14153.42</v>
      </c>
      <c r="M11" s="148">
        <v>-27368.720000000001</v>
      </c>
      <c r="N11" s="148">
        <v>13215.3</v>
      </c>
      <c r="O11" s="146">
        <f t="shared" si="5"/>
        <v>-14153.420000000002</v>
      </c>
      <c r="P11" s="146"/>
      <c r="Q11" s="146">
        <f t="shared" si="6"/>
        <v>0</v>
      </c>
      <c r="R11" s="149"/>
      <c r="X11" s="17"/>
    </row>
    <row r="12" spans="1:24" ht="14.45" customHeight="1">
      <c r="A12" s="92">
        <f t="shared" si="7"/>
        <v>44774</v>
      </c>
      <c r="C12" s="146">
        <f t="shared" si="0"/>
        <v>-30456.319999999996</v>
      </c>
      <c r="D12" s="148">
        <v>-12722.56</v>
      </c>
      <c r="E12" s="148">
        <v>43178.879999999997</v>
      </c>
      <c r="F12" s="146">
        <f t="shared" si="2"/>
        <v>30456.32</v>
      </c>
      <c r="H12" s="146">
        <f t="shared" si="3"/>
        <v>0</v>
      </c>
      <c r="I12" s="149"/>
      <c r="J12" s="92">
        <f t="shared" si="4"/>
        <v>44774</v>
      </c>
      <c r="L12" s="146">
        <f t="shared" si="1"/>
        <v>16079.73</v>
      </c>
      <c r="M12" s="148">
        <v>-27402.31</v>
      </c>
      <c r="N12" s="148">
        <v>11322.58</v>
      </c>
      <c r="O12" s="146">
        <f>M12+N12</f>
        <v>-16079.730000000001</v>
      </c>
      <c r="P12" s="146"/>
      <c r="Q12" s="146">
        <f t="shared" si="6"/>
        <v>0</v>
      </c>
      <c r="X12" s="17"/>
    </row>
    <row r="13" spans="1:24" ht="14.45" customHeight="1">
      <c r="A13" s="92">
        <f t="shared" si="7"/>
        <v>44805</v>
      </c>
      <c r="C13" s="146">
        <f t="shared" si="0"/>
        <v>-40167.269999999997</v>
      </c>
      <c r="D13" s="148">
        <v>-13414.78</v>
      </c>
      <c r="E13" s="148">
        <v>53582.05</v>
      </c>
      <c r="F13" s="146">
        <f t="shared" si="2"/>
        <v>40167.270000000004</v>
      </c>
      <c r="H13" s="146">
        <f t="shared" si="3"/>
        <v>0</v>
      </c>
      <c r="I13" s="149"/>
      <c r="J13" s="92">
        <f t="shared" si="4"/>
        <v>44805</v>
      </c>
      <c r="L13" s="146">
        <f t="shared" si="1"/>
        <v>17849.45</v>
      </c>
      <c r="M13" s="148">
        <v>-27484.52</v>
      </c>
      <c r="N13" s="148">
        <v>9635.07</v>
      </c>
      <c r="O13" s="146">
        <f t="shared" si="5"/>
        <v>-17849.45</v>
      </c>
      <c r="P13" s="146"/>
      <c r="Q13" s="146">
        <f t="shared" si="6"/>
        <v>0</v>
      </c>
      <c r="R13" s="149"/>
      <c r="X13" s="17"/>
    </row>
    <row r="14" spans="1:24">
      <c r="A14" s="92">
        <f t="shared" si="7"/>
        <v>44835</v>
      </c>
      <c r="C14" s="146">
        <f t="shared" si="0"/>
        <v>-52211.390000000007</v>
      </c>
      <c r="D14" s="148">
        <v>-10308.969999999999</v>
      </c>
      <c r="E14" s="148">
        <v>62520.36</v>
      </c>
      <c r="F14" s="146">
        <f t="shared" si="2"/>
        <v>52211.39</v>
      </c>
      <c r="H14" s="146">
        <f t="shared" si="3"/>
        <v>0</v>
      </c>
      <c r="I14" s="149"/>
      <c r="J14" s="92">
        <f t="shared" si="4"/>
        <v>44835</v>
      </c>
      <c r="L14" s="146">
        <f t="shared" si="1"/>
        <v>31761.14</v>
      </c>
      <c r="M14" s="148">
        <v>-37366.79</v>
      </c>
      <c r="N14" s="148">
        <v>5605.65</v>
      </c>
      <c r="O14" s="146">
        <f t="shared" si="5"/>
        <v>-31761.14</v>
      </c>
      <c r="P14" s="146"/>
      <c r="Q14" s="146">
        <f t="shared" si="6"/>
        <v>0</v>
      </c>
      <c r="R14" s="149"/>
      <c r="X14" s="17"/>
    </row>
    <row r="15" spans="1:24">
      <c r="A15" s="92">
        <f t="shared" si="7"/>
        <v>44866</v>
      </c>
      <c r="C15" s="146">
        <f t="shared" si="0"/>
        <v>-55937.45</v>
      </c>
      <c r="D15" s="148">
        <v>-7599.71</v>
      </c>
      <c r="E15" s="148">
        <v>63537.16</v>
      </c>
      <c r="F15" s="146">
        <f t="shared" si="2"/>
        <v>55937.450000000004</v>
      </c>
      <c r="H15" s="146">
        <f t="shared" si="3"/>
        <v>0</v>
      </c>
      <c r="I15" s="149"/>
      <c r="J15" s="92">
        <f t="shared" si="4"/>
        <v>44866</v>
      </c>
      <c r="L15" s="146">
        <f t="shared" si="1"/>
        <v>39931.35</v>
      </c>
      <c r="M15" s="148">
        <v>-39931.35</v>
      </c>
      <c r="N15" s="148">
        <v>0</v>
      </c>
      <c r="O15" s="146">
        <f>M15+N15</f>
        <v>-39931.35</v>
      </c>
      <c r="P15" s="146"/>
      <c r="Q15" s="146">
        <f t="shared" si="6"/>
        <v>0</v>
      </c>
      <c r="R15" s="149"/>
      <c r="X15" s="17"/>
    </row>
    <row r="16" spans="1:24">
      <c r="A16" s="92">
        <f t="shared" si="7"/>
        <v>44896</v>
      </c>
      <c r="C16" s="146">
        <f t="shared" si="0"/>
        <v>-72776.7</v>
      </c>
      <c r="D16" s="148">
        <v>-3086.29</v>
      </c>
      <c r="E16" s="148">
        <v>75862.990000000005</v>
      </c>
      <c r="F16" s="146">
        <f>D16+E16</f>
        <v>72776.700000000012</v>
      </c>
      <c r="H16" s="146">
        <f t="shared" si="3"/>
        <v>0</v>
      </c>
      <c r="J16" s="92">
        <f t="shared" si="4"/>
        <v>44896</v>
      </c>
      <c r="L16" s="146">
        <f t="shared" si="1"/>
        <v>34708.69</v>
      </c>
      <c r="M16" s="148">
        <v>-35144.68</v>
      </c>
      <c r="N16" s="148">
        <v>590.5</v>
      </c>
      <c r="O16" s="146">
        <f t="shared" si="5"/>
        <v>-34554.18</v>
      </c>
      <c r="P16" s="146"/>
      <c r="Q16" s="146">
        <f t="shared" si="6"/>
        <v>154.51000000000204</v>
      </c>
      <c r="R16" s="286" t="s">
        <v>179</v>
      </c>
      <c r="X16" s="17"/>
    </row>
    <row r="17" spans="1:24" ht="14.45" customHeight="1">
      <c r="A17" s="113" t="s">
        <v>101</v>
      </c>
      <c r="B17" s="108"/>
      <c r="C17" s="150">
        <f>SUM(C5:C7)</f>
        <v>-5023.08</v>
      </c>
      <c r="D17" s="150">
        <f>SUM(D5:D7)</f>
        <v>-72275.399999999994</v>
      </c>
      <c r="E17" s="150">
        <f t="shared" ref="E17:F17" si="8">SUM(E5:E7)</f>
        <v>77298.48</v>
      </c>
      <c r="F17" s="150">
        <f t="shared" si="8"/>
        <v>5023.0800000000017</v>
      </c>
      <c r="G17" s="108"/>
      <c r="H17" s="150">
        <f>C17+F17</f>
        <v>0</v>
      </c>
      <c r="I17" s="108"/>
      <c r="J17" s="113" t="s">
        <v>101</v>
      </c>
      <c r="K17" s="108"/>
      <c r="L17" s="150">
        <f>SUM(L5:L7)</f>
        <v>53250.8</v>
      </c>
      <c r="M17" s="150">
        <f t="shared" ref="M17:O17" si="9">SUM(M5:M7)</f>
        <v>-78222</v>
      </c>
      <c r="N17" s="150">
        <f t="shared" si="9"/>
        <v>24971.199999999997</v>
      </c>
      <c r="O17" s="150">
        <f t="shared" si="9"/>
        <v>-53250.8</v>
      </c>
      <c r="P17" s="150"/>
      <c r="Q17" s="150">
        <f>L17+O17</f>
        <v>0</v>
      </c>
    </row>
    <row r="18" spans="1:24" ht="14.45" customHeight="1">
      <c r="A18" s="113" t="s">
        <v>106</v>
      </c>
      <c r="B18" s="108"/>
      <c r="C18" s="150">
        <f>SUM(C8:C10)</f>
        <v>-53053.460000000006</v>
      </c>
      <c r="D18" s="150">
        <f>SUM(D8:D10)</f>
        <v>-48556.729999999996</v>
      </c>
      <c r="E18" s="150">
        <f t="shared" ref="E18:F18" si="10">SUM(E8:E10)</f>
        <v>101610.19</v>
      </c>
      <c r="F18" s="150">
        <f t="shared" si="10"/>
        <v>53053.46</v>
      </c>
      <c r="G18" s="108"/>
      <c r="H18" s="150">
        <f t="shared" ref="H18:H21" si="11">C18+F18</f>
        <v>0</v>
      </c>
      <c r="I18" s="108"/>
      <c r="J18" s="113" t="s">
        <v>106</v>
      </c>
      <c r="K18" s="108"/>
      <c r="L18" s="150">
        <f>SUM(L8:L10)</f>
        <v>37211.839999999997</v>
      </c>
      <c r="M18" s="150">
        <f t="shared" ref="M18:O18" si="12">SUM(M8:M10)</f>
        <v>-74797.78</v>
      </c>
      <c r="N18" s="150">
        <f t="shared" si="12"/>
        <v>37585.94</v>
      </c>
      <c r="O18" s="150">
        <f t="shared" si="12"/>
        <v>-37211.839999999997</v>
      </c>
      <c r="P18" s="150"/>
      <c r="Q18" s="150">
        <f t="shared" ref="Q18:Q21" si="13">L18+O18</f>
        <v>0</v>
      </c>
    </row>
    <row r="19" spans="1:24" ht="14.45" customHeight="1">
      <c r="A19" s="113" t="s">
        <v>107</v>
      </c>
      <c r="B19" s="108"/>
      <c r="C19" s="150">
        <f>SUM(C11:C13)</f>
        <v>-90877.19</v>
      </c>
      <c r="D19" s="150">
        <f t="shared" ref="D19:E19" si="14">SUM(D11:D13)</f>
        <v>-41216.67</v>
      </c>
      <c r="E19" s="150">
        <f t="shared" si="14"/>
        <v>132093.85999999999</v>
      </c>
      <c r="F19" s="150">
        <f>SUM(F11:F13)</f>
        <v>90877.19</v>
      </c>
      <c r="G19" s="108"/>
      <c r="H19" s="150">
        <f t="shared" si="11"/>
        <v>0</v>
      </c>
      <c r="I19" s="108"/>
      <c r="J19" s="113" t="s">
        <v>108</v>
      </c>
      <c r="K19" s="108"/>
      <c r="L19" s="150">
        <f>SUM(L11:L13)</f>
        <v>48082.600000000006</v>
      </c>
      <c r="M19" s="150">
        <f>SUM(M11:M13)</f>
        <v>-82255.55</v>
      </c>
      <c r="N19" s="150">
        <f t="shared" ref="N19:O19" si="15">SUM(N11:N13)</f>
        <v>34172.949999999997</v>
      </c>
      <c r="O19" s="150">
        <f t="shared" si="15"/>
        <v>-48082.600000000006</v>
      </c>
      <c r="P19" s="150"/>
      <c r="Q19" s="150">
        <f t="shared" si="13"/>
        <v>0</v>
      </c>
    </row>
    <row r="20" spans="1:24" s="108" customFormat="1">
      <c r="A20" s="113" t="s">
        <v>110</v>
      </c>
      <c r="C20" s="150">
        <f>SUM(C14:C16)</f>
        <v>-180925.53999999998</v>
      </c>
      <c r="D20" s="150">
        <f t="shared" ref="D20:F20" si="16">SUM(D14:D16)</f>
        <v>-20994.97</v>
      </c>
      <c r="E20" s="150">
        <f t="shared" si="16"/>
        <v>201920.51</v>
      </c>
      <c r="F20" s="150">
        <f t="shared" si="16"/>
        <v>180925.54</v>
      </c>
      <c r="H20" s="150">
        <f t="shared" si="11"/>
        <v>0</v>
      </c>
      <c r="J20" s="113" t="s">
        <v>110</v>
      </c>
      <c r="L20" s="150">
        <f>SUM(L14:L16)</f>
        <v>106401.18</v>
      </c>
      <c r="M20" s="150">
        <f t="shared" ref="M20:O20" si="17">SUM(M14:M16)</f>
        <v>-112442.82</v>
      </c>
      <c r="N20" s="150">
        <f t="shared" si="17"/>
        <v>6196.15</v>
      </c>
      <c r="O20" s="150">
        <f t="shared" si="17"/>
        <v>-106246.66999999998</v>
      </c>
      <c r="P20" s="150"/>
      <c r="Q20" s="150">
        <f t="shared" si="13"/>
        <v>154.51000000000931</v>
      </c>
    </row>
    <row r="21" spans="1:24" s="108" customFormat="1">
      <c r="A21" s="113" t="s">
        <v>137</v>
      </c>
      <c r="C21" s="150">
        <f>SUM(C5:C16)</f>
        <v>-329879.27</v>
      </c>
      <c r="D21" s="150">
        <f t="shared" ref="D21:F21" si="18">SUM(D5:D16)</f>
        <v>-183043.77</v>
      </c>
      <c r="E21" s="150">
        <f t="shared" si="18"/>
        <v>512923.03999999992</v>
      </c>
      <c r="F21" s="150">
        <f t="shared" si="18"/>
        <v>329879.27</v>
      </c>
      <c r="H21" s="150">
        <f t="shared" si="11"/>
        <v>0</v>
      </c>
      <c r="J21" s="113" t="s">
        <v>137</v>
      </c>
      <c r="L21" s="150">
        <f>SUM(L5:L16)</f>
        <v>244946.42</v>
      </c>
      <c r="M21" s="150">
        <f t="shared" ref="M21:O21" si="19">SUM(M5:M16)</f>
        <v>-347718.14999999997</v>
      </c>
      <c r="N21" s="150">
        <f t="shared" si="19"/>
        <v>102926.23999999999</v>
      </c>
      <c r="O21" s="150">
        <f t="shared" si="19"/>
        <v>-244791.91</v>
      </c>
      <c r="P21" s="150"/>
      <c r="Q21" s="150">
        <f t="shared" si="13"/>
        <v>154.51000000000931</v>
      </c>
    </row>
    <row r="22" spans="1:24">
      <c r="A22" s="146"/>
      <c r="B22" s="146"/>
      <c r="J22" s="195" t="s">
        <v>301</v>
      </c>
      <c r="K22" s="195"/>
      <c r="L22" s="195"/>
      <c r="M22" s="195"/>
      <c r="N22" s="195"/>
    </row>
    <row r="23" spans="1:24" ht="29.25" customHeight="1">
      <c r="A23" s="177">
        <v>186328</v>
      </c>
      <c r="B23" s="177" t="s">
        <v>52</v>
      </c>
      <c r="C23" s="147" t="s">
        <v>92</v>
      </c>
      <c r="D23" s="147" t="s">
        <v>93</v>
      </c>
      <c r="E23" s="147"/>
      <c r="F23" s="147" t="s">
        <v>95</v>
      </c>
      <c r="H23" s="178" t="s">
        <v>93</v>
      </c>
      <c r="J23" s="177">
        <f>A23</f>
        <v>186328</v>
      </c>
      <c r="K23" s="177" t="s">
        <v>53</v>
      </c>
      <c r="L23" s="147" t="s">
        <v>92</v>
      </c>
      <c r="M23" s="147" t="s">
        <v>93</v>
      </c>
      <c r="N23" s="147"/>
      <c r="O23" s="147" t="s">
        <v>95</v>
      </c>
      <c r="Q23" s="178" t="s">
        <v>93</v>
      </c>
    </row>
    <row r="24" spans="1:24">
      <c r="A24" s="142" t="s">
        <v>141</v>
      </c>
      <c r="B24" s="108" t="s">
        <v>142</v>
      </c>
      <c r="C24" s="147" t="s">
        <v>96</v>
      </c>
      <c r="D24" s="147" t="s">
        <v>97</v>
      </c>
      <c r="E24" s="147" t="s">
        <v>98</v>
      </c>
      <c r="F24" s="147" t="s">
        <v>94</v>
      </c>
      <c r="H24" s="178" t="s">
        <v>99</v>
      </c>
      <c r="J24" s="143" t="str">
        <f>A24</f>
        <v>Deferral - Residential</v>
      </c>
      <c r="K24" s="108" t="s">
        <v>142</v>
      </c>
      <c r="L24" s="147" t="s">
        <v>96</v>
      </c>
      <c r="M24" s="147" t="s">
        <v>97</v>
      </c>
      <c r="N24" s="147" t="s">
        <v>98</v>
      </c>
      <c r="O24" s="147" t="s">
        <v>94</v>
      </c>
      <c r="Q24" s="178" t="s">
        <v>99</v>
      </c>
    </row>
    <row r="25" spans="1:24" ht="14.45" customHeight="1">
      <c r="A25" s="92">
        <f>EDATE(A5,-1)</f>
        <v>44531</v>
      </c>
      <c r="B25" s="93"/>
      <c r="F25" s="146">
        <v>0</v>
      </c>
      <c r="J25" s="92">
        <f>A25</f>
        <v>44531</v>
      </c>
      <c r="K25" s="93"/>
      <c r="O25" s="146">
        <v>0</v>
      </c>
    </row>
    <row r="26" spans="1:24" ht="14.45" customHeight="1">
      <c r="A26" s="92">
        <f t="shared" ref="A26:A28" si="20">A5</f>
        <v>44562</v>
      </c>
      <c r="C26" s="148">
        <v>-2838689.8</v>
      </c>
      <c r="D26" s="146">
        <f>ROUND((F25+(C26+E26)/2)*H26/12,2)</f>
        <v>-3844.06</v>
      </c>
      <c r="F26" s="146">
        <f>F25+C26+D26+E26</f>
        <v>-2842533.86</v>
      </c>
      <c r="G26" s="149"/>
      <c r="H26" s="117">
        <v>3.2500000000000001E-2</v>
      </c>
      <c r="J26" s="92">
        <f t="shared" ref="J26:J37" si="21">A26</f>
        <v>44562</v>
      </c>
      <c r="L26" s="148">
        <v>-2767527.8</v>
      </c>
      <c r="M26" s="146">
        <f>ROUND((O25+(L26+N26)/2)*Q26/12,2)</f>
        <v>-3747.69</v>
      </c>
      <c r="O26" s="146">
        <f t="shared" ref="O26:O37" si="22">O25+L26+M26+N26</f>
        <v>-2771275.4899999998</v>
      </c>
      <c r="P26" s="149"/>
      <c r="Q26" s="94">
        <f>H26</f>
        <v>3.2500000000000001E-2</v>
      </c>
      <c r="U26" s="17"/>
      <c r="V26" s="181"/>
      <c r="W26" s="17"/>
      <c r="X26" s="181"/>
    </row>
    <row r="27" spans="1:24" ht="14.45" customHeight="1" thickBot="1">
      <c r="A27" s="92">
        <f t="shared" si="20"/>
        <v>44593</v>
      </c>
      <c r="C27" s="148">
        <v>-2626002.98</v>
      </c>
      <c r="D27" s="146">
        <f t="shared" ref="D27:D37" si="23">ROUND((F26+(C27+E27)/2)*H27/12,2)</f>
        <v>-11254.57</v>
      </c>
      <c r="F27" s="146">
        <f t="shared" ref="F27" si="24">F26+C27+D27+E27</f>
        <v>-5479791.4100000001</v>
      </c>
      <c r="G27" s="149"/>
      <c r="H27" s="94">
        <f>H26</f>
        <v>3.2500000000000001E-2</v>
      </c>
      <c r="J27" s="92">
        <f t="shared" si="21"/>
        <v>44593</v>
      </c>
      <c r="L27" s="148">
        <v>-928483.43</v>
      </c>
      <c r="M27" s="146">
        <f t="shared" ref="M27:M37" si="25">ROUND((O26+(L27+N27)/2)*Q27/12,2)</f>
        <v>-8762.86</v>
      </c>
      <c r="O27" s="146">
        <f t="shared" si="22"/>
        <v>-3708521.78</v>
      </c>
      <c r="P27" s="149"/>
      <c r="Q27" s="94">
        <f t="shared" ref="Q27:Q37" si="26">H27</f>
        <v>3.2500000000000001E-2</v>
      </c>
      <c r="U27" s="17"/>
      <c r="V27" s="181"/>
      <c r="W27" s="17"/>
      <c r="X27" s="181"/>
    </row>
    <row r="28" spans="1:24" ht="14.45" customHeight="1">
      <c r="A28" s="92">
        <f t="shared" si="20"/>
        <v>44621</v>
      </c>
      <c r="C28" s="148">
        <v>88043.22</v>
      </c>
      <c r="D28" s="146">
        <f t="shared" si="23"/>
        <v>-14721.88</v>
      </c>
      <c r="F28" s="146">
        <f>F27+C28+D28+E28</f>
        <v>-5406470.0700000003</v>
      </c>
      <c r="G28" s="149"/>
      <c r="H28" s="94">
        <f>H27</f>
        <v>3.2500000000000001E-2</v>
      </c>
      <c r="J28" s="92">
        <f t="shared" si="21"/>
        <v>44621</v>
      </c>
      <c r="L28" s="148">
        <v>801177.51</v>
      </c>
      <c r="M28" s="146">
        <f t="shared" si="25"/>
        <v>-8958.99</v>
      </c>
      <c r="O28" s="146">
        <f t="shared" si="22"/>
        <v>-2916303.26</v>
      </c>
      <c r="P28" s="149"/>
      <c r="Q28" s="94">
        <f t="shared" si="26"/>
        <v>3.2500000000000001E-2</v>
      </c>
      <c r="U28" s="190" t="s">
        <v>178</v>
      </c>
      <c r="V28" s="191"/>
      <c r="W28" s="17"/>
      <c r="X28" s="181"/>
    </row>
    <row r="29" spans="1:24" ht="14.45" customHeight="1" thickBot="1">
      <c r="A29" s="92">
        <f t="shared" ref="A29:A37" si="27">A8</f>
        <v>44652</v>
      </c>
      <c r="C29" s="148">
        <v>-1919946.48</v>
      </c>
      <c r="D29" s="146">
        <f t="shared" si="23"/>
        <v>-17242.45</v>
      </c>
      <c r="F29" s="146">
        <f t="shared" ref="F29:F37" si="28">F28+C29+D29+E29</f>
        <v>-7343659.0000000009</v>
      </c>
      <c r="G29" s="149"/>
      <c r="H29" s="117">
        <v>3.2500000000000001E-2</v>
      </c>
      <c r="J29" s="92">
        <f t="shared" si="21"/>
        <v>44652</v>
      </c>
      <c r="L29" s="148">
        <v>-907234.31</v>
      </c>
      <c r="M29" s="146">
        <f t="shared" si="25"/>
        <v>-9126.8700000000008</v>
      </c>
      <c r="O29" s="146">
        <f t="shared" si="22"/>
        <v>-3832664.44</v>
      </c>
      <c r="P29" s="149"/>
      <c r="Q29" s="94">
        <f t="shared" si="26"/>
        <v>3.2500000000000001E-2</v>
      </c>
      <c r="U29" s="192">
        <f>F37-'Electric Deferral'!U33</f>
        <v>-1.4152461662888527E-2</v>
      </c>
      <c r="V29" s="193">
        <f>O37-'Nat Gas Deferral'!U31</f>
        <v>6.3455931376665831E-3</v>
      </c>
      <c r="W29" s="17"/>
      <c r="X29" s="181"/>
    </row>
    <row r="30" spans="1:24" ht="14.45" customHeight="1">
      <c r="A30" s="92">
        <f t="shared" si="27"/>
        <v>44682</v>
      </c>
      <c r="C30" s="148">
        <v>738105.66</v>
      </c>
      <c r="D30" s="146">
        <f>ROUND((F29+(C30+E30)/2)*H30/12,2)</f>
        <v>-18889.560000000001</v>
      </c>
      <c r="F30" s="146">
        <f t="shared" si="28"/>
        <v>-6624442.9000000004</v>
      </c>
      <c r="G30" s="149"/>
      <c r="H30" s="94">
        <f t="shared" ref="H30:H37" si="29">H29</f>
        <v>3.2500000000000001E-2</v>
      </c>
      <c r="J30" s="92">
        <f t="shared" si="21"/>
        <v>44682</v>
      </c>
      <c r="L30" s="148">
        <v>-245066.1</v>
      </c>
      <c r="M30" s="146">
        <f t="shared" si="25"/>
        <v>-10711.99</v>
      </c>
      <c r="O30" s="146">
        <f t="shared" si="22"/>
        <v>-4088442.5300000003</v>
      </c>
      <c r="P30" s="149"/>
      <c r="Q30" s="94">
        <f t="shared" si="26"/>
        <v>3.2500000000000001E-2</v>
      </c>
    </row>
    <row r="31" spans="1:24" ht="14.45" customHeight="1">
      <c r="A31" s="92">
        <f t="shared" si="27"/>
        <v>44713</v>
      </c>
      <c r="C31" s="148">
        <v>423382.44</v>
      </c>
      <c r="D31" s="146">
        <f t="shared" si="23"/>
        <v>-17367.87</v>
      </c>
      <c r="F31" s="146">
        <f t="shared" si="28"/>
        <v>-6218428.3300000001</v>
      </c>
      <c r="G31" s="149"/>
      <c r="H31" s="94">
        <f t="shared" si="29"/>
        <v>3.2500000000000001E-2</v>
      </c>
      <c r="J31" s="92">
        <f t="shared" si="21"/>
        <v>44713</v>
      </c>
      <c r="L31" s="148">
        <v>303942.55</v>
      </c>
      <c r="M31" s="146">
        <f t="shared" si="25"/>
        <v>-10661.28</v>
      </c>
      <c r="O31" s="146">
        <f t="shared" si="22"/>
        <v>-3795161.2600000002</v>
      </c>
      <c r="P31" s="149"/>
      <c r="Q31" s="94">
        <f t="shared" si="26"/>
        <v>3.2500000000000001E-2</v>
      </c>
    </row>
    <row r="32" spans="1:24" ht="14.45" customHeight="1">
      <c r="A32" s="92">
        <f t="shared" si="27"/>
        <v>44743</v>
      </c>
      <c r="C32" s="148">
        <v>-204348.79999999999</v>
      </c>
      <c r="D32" s="146">
        <f t="shared" si="23"/>
        <v>-18961.810000000001</v>
      </c>
      <c r="F32" s="146">
        <f t="shared" si="28"/>
        <v>-6441738.9399999995</v>
      </c>
      <c r="G32" s="149"/>
      <c r="H32" s="117">
        <v>3.5999999999999997E-2</v>
      </c>
      <c r="J32" s="92">
        <f t="shared" si="21"/>
        <v>44743</v>
      </c>
      <c r="L32" s="148">
        <v>342218.80964791938</v>
      </c>
      <c r="M32" s="146">
        <f t="shared" si="25"/>
        <v>-10872.16</v>
      </c>
      <c r="O32" s="146">
        <f t="shared" si="22"/>
        <v>-3463814.6103520812</v>
      </c>
      <c r="P32" s="149"/>
      <c r="Q32" s="94">
        <f t="shared" si="26"/>
        <v>3.5999999999999997E-2</v>
      </c>
    </row>
    <row r="33" spans="1:24" ht="14.45" customHeight="1">
      <c r="A33" s="92">
        <f t="shared" si="27"/>
        <v>44774</v>
      </c>
      <c r="C33" s="148">
        <v>-4471690.66</v>
      </c>
      <c r="D33" s="146">
        <f t="shared" si="23"/>
        <v>-26032.75</v>
      </c>
      <c r="F33" s="146">
        <f t="shared" si="28"/>
        <v>-10939462.35</v>
      </c>
      <c r="G33" s="149"/>
      <c r="H33" s="94">
        <f t="shared" si="29"/>
        <v>3.5999999999999997E-2</v>
      </c>
      <c r="J33" s="92">
        <f t="shared" si="21"/>
        <v>44774</v>
      </c>
      <c r="L33" s="148">
        <v>571485.41</v>
      </c>
      <c r="M33" s="146">
        <f t="shared" si="25"/>
        <v>-9534.2199999999993</v>
      </c>
      <c r="O33" s="146">
        <f t="shared" si="22"/>
        <v>-2901863.4203520813</v>
      </c>
      <c r="P33" s="149"/>
      <c r="Q33" s="94">
        <f t="shared" si="26"/>
        <v>3.5999999999999997E-2</v>
      </c>
    </row>
    <row r="34" spans="1:24" ht="14.45" customHeight="1">
      <c r="A34" s="92">
        <f t="shared" si="27"/>
        <v>44805</v>
      </c>
      <c r="C34" s="148">
        <v>-94605.85</v>
      </c>
      <c r="D34" s="146">
        <f t="shared" si="23"/>
        <v>-32960.300000000003</v>
      </c>
      <c r="F34" s="146">
        <f t="shared" si="28"/>
        <v>-11067028.5</v>
      </c>
      <c r="G34" s="149"/>
      <c r="H34" s="94">
        <f t="shared" si="29"/>
        <v>3.5999999999999997E-2</v>
      </c>
      <c r="J34" s="92">
        <f t="shared" si="21"/>
        <v>44805</v>
      </c>
      <c r="L34" s="148">
        <v>140161.13</v>
      </c>
      <c r="M34" s="146">
        <f t="shared" si="25"/>
        <v>-8495.35</v>
      </c>
      <c r="O34" s="146">
        <f t="shared" si="22"/>
        <v>-2770197.6403520815</v>
      </c>
      <c r="P34" s="149"/>
      <c r="Q34" s="94">
        <f t="shared" si="26"/>
        <v>3.5999999999999997E-2</v>
      </c>
    </row>
    <row r="35" spans="1:24">
      <c r="A35" s="92">
        <f t="shared" si="27"/>
        <v>44835</v>
      </c>
      <c r="C35" s="148">
        <v>1813128.96</v>
      </c>
      <c r="D35" s="146">
        <f t="shared" si="23"/>
        <v>-41573.230000000003</v>
      </c>
      <c r="F35" s="146">
        <f t="shared" si="28"/>
        <v>-9295472.7699999996</v>
      </c>
      <c r="G35" s="149"/>
      <c r="H35" s="117">
        <v>4.9099999999999998E-2</v>
      </c>
      <c r="J35" s="92">
        <f t="shared" si="21"/>
        <v>44835</v>
      </c>
      <c r="L35" s="148">
        <v>2800363.57</v>
      </c>
      <c r="M35" s="146">
        <f t="shared" si="25"/>
        <v>-5605.65</v>
      </c>
      <c r="O35" s="146">
        <f t="shared" si="22"/>
        <v>24560.279647918323</v>
      </c>
      <c r="P35" s="149"/>
      <c r="Q35" s="94">
        <f t="shared" si="26"/>
        <v>4.9099999999999998E-2</v>
      </c>
    </row>
    <row r="36" spans="1:24">
      <c r="A36" s="92">
        <f t="shared" si="27"/>
        <v>44866</v>
      </c>
      <c r="C36" s="148">
        <v>-2771533.97</v>
      </c>
      <c r="D36" s="146">
        <f t="shared" si="23"/>
        <v>-43704.07</v>
      </c>
      <c r="F36" s="146">
        <f t="shared" si="28"/>
        <v>-12110710.810000001</v>
      </c>
      <c r="G36" s="149"/>
      <c r="H36" s="94">
        <f t="shared" si="29"/>
        <v>4.9099999999999998E-2</v>
      </c>
      <c r="J36" s="92">
        <f t="shared" si="21"/>
        <v>44866</v>
      </c>
      <c r="L36" s="148">
        <v>753912.23</v>
      </c>
      <c r="M36" s="146">
        <f t="shared" si="25"/>
        <v>1642.87</v>
      </c>
      <c r="O36" s="146">
        <f t="shared" si="22"/>
        <v>780115.37964791828</v>
      </c>
      <c r="P36" s="149"/>
      <c r="Q36" s="94">
        <f t="shared" si="26"/>
        <v>4.9099999999999998E-2</v>
      </c>
    </row>
    <row r="37" spans="1:24">
      <c r="A37" s="92">
        <f t="shared" si="27"/>
        <v>44896</v>
      </c>
      <c r="B37" s="93"/>
      <c r="C37" s="148">
        <v>-3957414.09</v>
      </c>
      <c r="D37" s="146">
        <f t="shared" si="23"/>
        <v>-57649.2</v>
      </c>
      <c r="F37" s="146">
        <f t="shared" si="28"/>
        <v>-16125774.1</v>
      </c>
      <c r="H37" s="94">
        <f t="shared" si="29"/>
        <v>4.9099999999999998E-2</v>
      </c>
      <c r="J37" s="92">
        <f t="shared" si="21"/>
        <v>44896</v>
      </c>
      <c r="K37" s="93"/>
      <c r="L37" s="148">
        <v>-1848865.52</v>
      </c>
      <c r="M37" s="146">
        <f t="shared" si="25"/>
        <v>-590.5</v>
      </c>
      <c r="O37" s="146">
        <f t="shared" si="22"/>
        <v>-1069340.6403520817</v>
      </c>
      <c r="Q37" s="94">
        <f t="shared" si="26"/>
        <v>4.9099999999999998E-2</v>
      </c>
    </row>
    <row r="39" spans="1:24">
      <c r="A39" s="177">
        <v>186338</v>
      </c>
      <c r="B39" s="177" t="s">
        <v>52</v>
      </c>
      <c r="C39" s="147" t="s">
        <v>92</v>
      </c>
      <c r="D39" s="147" t="s">
        <v>93</v>
      </c>
      <c r="E39" s="147"/>
      <c r="F39" s="146" t="s">
        <v>95</v>
      </c>
      <c r="H39" s="178" t="s">
        <v>93</v>
      </c>
      <c r="J39" s="177">
        <f>A39</f>
        <v>186338</v>
      </c>
      <c r="K39" s="177" t="s">
        <v>53</v>
      </c>
      <c r="L39" s="147" t="s">
        <v>92</v>
      </c>
      <c r="M39" s="147" t="s">
        <v>93</v>
      </c>
      <c r="N39" s="147"/>
      <c r="O39" s="146" t="s">
        <v>95</v>
      </c>
      <c r="Q39" s="178" t="s">
        <v>93</v>
      </c>
    </row>
    <row r="40" spans="1:24">
      <c r="A40" s="142" t="s">
        <v>143</v>
      </c>
      <c r="B40" s="108" t="s">
        <v>142</v>
      </c>
      <c r="C40" s="147" t="s">
        <v>96</v>
      </c>
      <c r="D40" s="147" t="s">
        <v>97</v>
      </c>
      <c r="E40" s="147" t="s">
        <v>98</v>
      </c>
      <c r="F40" s="146" t="s">
        <v>94</v>
      </c>
      <c r="H40" s="178" t="s">
        <v>99</v>
      </c>
      <c r="J40" s="143" t="str">
        <f>A40</f>
        <v>Deferral - Non-Residential</v>
      </c>
      <c r="K40" s="108" t="s">
        <v>142</v>
      </c>
      <c r="L40" s="147" t="s">
        <v>96</v>
      </c>
      <c r="M40" s="147" t="s">
        <v>97</v>
      </c>
      <c r="N40" s="147" t="s">
        <v>98</v>
      </c>
      <c r="O40" s="146" t="s">
        <v>94</v>
      </c>
      <c r="Q40" s="178" t="s">
        <v>99</v>
      </c>
    </row>
    <row r="41" spans="1:24">
      <c r="A41" s="92">
        <f t="shared" ref="A41:A53" si="30">A25</f>
        <v>44531</v>
      </c>
      <c r="B41" s="93"/>
      <c r="F41" s="146">
        <v>0</v>
      </c>
      <c r="J41" s="92">
        <f>A41</f>
        <v>44531</v>
      </c>
      <c r="K41" s="93"/>
      <c r="O41" s="146">
        <v>0</v>
      </c>
    </row>
    <row r="42" spans="1:24" ht="14.45" customHeight="1">
      <c r="A42" s="92">
        <f t="shared" si="30"/>
        <v>44562</v>
      </c>
      <c r="C42" s="148">
        <v>-217999.59</v>
      </c>
      <c r="D42" s="146">
        <f>ROUND((F41+(C42+E42)/2)*H42/12,2)</f>
        <v>-295.20999999999998</v>
      </c>
      <c r="F42" s="146">
        <f t="shared" ref="F42:F53" si="31">F41+C42+D42+E42</f>
        <v>-218294.8</v>
      </c>
      <c r="G42" s="149"/>
      <c r="H42" s="94">
        <f t="shared" ref="H42:H53" si="32">H26</f>
        <v>3.2500000000000001E-2</v>
      </c>
      <c r="J42" s="92">
        <f t="shared" ref="J42:J53" si="33">A42</f>
        <v>44562</v>
      </c>
      <c r="L42" s="148">
        <v>-316043.14</v>
      </c>
      <c r="M42" s="146">
        <f>ROUND((O41+(L42+N42)/2)*Q42/12,2)</f>
        <v>-427.98</v>
      </c>
      <c r="O42" s="146">
        <f t="shared" ref="O42:O53" si="34">O41+L42+M42+N42</f>
        <v>-316471.12</v>
      </c>
      <c r="P42" s="149"/>
      <c r="Q42" s="94">
        <f t="shared" ref="Q42:Q53" si="35">H42</f>
        <v>3.2500000000000001E-2</v>
      </c>
    </row>
    <row r="43" spans="1:24" ht="14.45" customHeight="1">
      <c r="A43" s="92">
        <f t="shared" si="30"/>
        <v>44593</v>
      </c>
      <c r="C43" s="148">
        <v>488120.74</v>
      </c>
      <c r="D43" s="146">
        <f t="shared" ref="D43:D53" si="36">ROUND((F42+(C43+E43)/2)*H43/12,2)</f>
        <v>69.78</v>
      </c>
      <c r="F43" s="146">
        <f t="shared" si="31"/>
        <v>269895.72000000003</v>
      </c>
      <c r="G43" s="149"/>
      <c r="H43" s="94">
        <f t="shared" si="32"/>
        <v>3.2500000000000001E-2</v>
      </c>
      <c r="J43" s="92">
        <f t="shared" si="33"/>
        <v>44593</v>
      </c>
      <c r="L43" s="148">
        <v>-279948.82</v>
      </c>
      <c r="M43" s="146">
        <f t="shared" ref="M43:M53" si="37">ROUND((O42+(L43+N43)/2)*Q43/12,2)</f>
        <v>-1236.21</v>
      </c>
      <c r="O43" s="146">
        <f t="shared" si="34"/>
        <v>-597656.14999999991</v>
      </c>
      <c r="P43" s="149"/>
      <c r="Q43" s="94">
        <f t="shared" si="35"/>
        <v>3.2500000000000001E-2</v>
      </c>
      <c r="U43" s="17"/>
      <c r="V43" s="181"/>
      <c r="W43" s="17"/>
      <c r="X43" s="181"/>
    </row>
    <row r="44" spans="1:24" ht="14.45" customHeight="1" thickBot="1">
      <c r="A44" s="92">
        <f t="shared" si="30"/>
        <v>44621</v>
      </c>
      <c r="C44" s="148">
        <v>-486569.23</v>
      </c>
      <c r="D44" s="146">
        <f t="shared" si="36"/>
        <v>72.069999999999993</v>
      </c>
      <c r="F44" s="146">
        <f t="shared" si="31"/>
        <v>-216601.43999999994</v>
      </c>
      <c r="G44" s="149"/>
      <c r="H44" s="94">
        <f t="shared" si="32"/>
        <v>3.2500000000000001E-2</v>
      </c>
      <c r="J44" s="92">
        <f t="shared" si="33"/>
        <v>44621</v>
      </c>
      <c r="L44" s="148">
        <v>-161590.26</v>
      </c>
      <c r="M44" s="146">
        <f t="shared" si="37"/>
        <v>-1837.47</v>
      </c>
      <c r="O44" s="146">
        <f t="shared" si="34"/>
        <v>-761083.87999999989</v>
      </c>
      <c r="P44" s="149"/>
      <c r="Q44" s="94">
        <f t="shared" si="35"/>
        <v>3.2500000000000001E-2</v>
      </c>
      <c r="U44" s="17"/>
      <c r="V44" s="181"/>
      <c r="W44" s="17"/>
      <c r="X44" s="181"/>
    </row>
    <row r="45" spans="1:24" ht="14.45" customHeight="1">
      <c r="A45" s="92">
        <f t="shared" si="30"/>
        <v>44652</v>
      </c>
      <c r="C45" s="148">
        <v>-929324.33</v>
      </c>
      <c r="D45" s="146">
        <f t="shared" si="36"/>
        <v>-1845.09</v>
      </c>
      <c r="F45" s="146">
        <f t="shared" si="31"/>
        <v>-1147770.8600000001</v>
      </c>
      <c r="G45" s="149"/>
      <c r="H45" s="94">
        <f t="shared" si="32"/>
        <v>3.2500000000000001E-2</v>
      </c>
      <c r="J45" s="92">
        <f t="shared" si="33"/>
        <v>44652</v>
      </c>
      <c r="L45" s="148">
        <v>-55589.49</v>
      </c>
      <c r="M45" s="146">
        <f t="shared" si="37"/>
        <v>-2136.5500000000002</v>
      </c>
      <c r="O45" s="146">
        <f t="shared" si="34"/>
        <v>-818809.91999999993</v>
      </c>
      <c r="P45" s="149"/>
      <c r="Q45" s="94">
        <f t="shared" si="35"/>
        <v>3.2500000000000001E-2</v>
      </c>
      <c r="U45" s="190" t="s">
        <v>178</v>
      </c>
      <c r="V45" s="191"/>
      <c r="W45" s="17"/>
      <c r="X45" s="181"/>
    </row>
    <row r="46" spans="1:24" ht="14.45" customHeight="1" thickBot="1">
      <c r="A46" s="92">
        <f t="shared" si="30"/>
        <v>44682</v>
      </c>
      <c r="C46" s="148">
        <v>1590347.35</v>
      </c>
      <c r="D46" s="146">
        <f t="shared" si="36"/>
        <v>-954.95</v>
      </c>
      <c r="F46" s="146">
        <f t="shared" si="31"/>
        <v>441621.54</v>
      </c>
      <c r="G46" s="149"/>
      <c r="H46" s="94">
        <f t="shared" si="32"/>
        <v>3.2500000000000001E-2</v>
      </c>
      <c r="J46" s="92">
        <f t="shared" si="33"/>
        <v>44682</v>
      </c>
      <c r="L46" s="148">
        <v>-158464.75</v>
      </c>
      <c r="M46" s="146">
        <f t="shared" si="37"/>
        <v>-2432.1999999999998</v>
      </c>
      <c r="O46" s="146">
        <f t="shared" si="34"/>
        <v>-979706.86999999988</v>
      </c>
      <c r="P46" s="149"/>
      <c r="Q46" s="94">
        <f t="shared" si="35"/>
        <v>3.2500000000000001E-2</v>
      </c>
      <c r="U46" s="192">
        <f>F53-'Electric Deferral'!U61</f>
        <v>7.9809598973952234E-3</v>
      </c>
      <c r="V46" s="193">
        <f>O53-'Nat Gas Deferral'!U57</f>
        <v>9.240343701094389E-3</v>
      </c>
      <c r="W46" s="17"/>
      <c r="X46" s="181"/>
    </row>
    <row r="47" spans="1:24" ht="14.45" customHeight="1">
      <c r="A47" s="92">
        <f t="shared" si="30"/>
        <v>44713</v>
      </c>
      <c r="B47" s="179"/>
      <c r="C47" s="148">
        <v>1065601.81</v>
      </c>
      <c r="D47" s="146">
        <f t="shared" si="36"/>
        <v>2639.06</v>
      </c>
      <c r="F47" s="146">
        <f t="shared" si="31"/>
        <v>1509862.4100000001</v>
      </c>
      <c r="G47" s="194"/>
      <c r="H47" s="94">
        <f t="shared" si="32"/>
        <v>3.2500000000000001E-2</v>
      </c>
      <c r="J47" s="92">
        <f t="shared" si="33"/>
        <v>44713</v>
      </c>
      <c r="L47" s="148">
        <v>100667.46</v>
      </c>
      <c r="M47" s="146">
        <f t="shared" si="37"/>
        <v>-2517.0500000000002</v>
      </c>
      <c r="O47" s="146">
        <f t="shared" si="34"/>
        <v>-881556.46</v>
      </c>
      <c r="P47" s="149"/>
      <c r="Q47" s="94">
        <f t="shared" si="35"/>
        <v>3.2500000000000001E-2</v>
      </c>
    </row>
    <row r="48" spans="1:24" ht="14.45" customHeight="1">
      <c r="A48" s="92">
        <f t="shared" si="30"/>
        <v>44743</v>
      </c>
      <c r="B48" s="179"/>
      <c r="C48" s="148">
        <v>219606.71</v>
      </c>
      <c r="D48" s="146">
        <f t="shared" si="36"/>
        <v>4859</v>
      </c>
      <c r="F48" s="146">
        <f t="shared" si="31"/>
        <v>1734328.12</v>
      </c>
      <c r="G48" s="194"/>
      <c r="H48" s="94">
        <f t="shared" si="32"/>
        <v>3.5999999999999997E-2</v>
      </c>
      <c r="J48" s="92">
        <f t="shared" si="33"/>
        <v>44743</v>
      </c>
      <c r="L48" s="148">
        <v>201020.97493032328</v>
      </c>
      <c r="M48" s="146">
        <f t="shared" si="37"/>
        <v>-2343.14</v>
      </c>
      <c r="O48" s="146">
        <f t="shared" si="34"/>
        <v>-682878.62506967667</v>
      </c>
      <c r="P48" s="149"/>
      <c r="Q48" s="94">
        <f t="shared" si="35"/>
        <v>3.5999999999999997E-2</v>
      </c>
    </row>
    <row r="49" spans="1:24" ht="14.45" customHeight="1">
      <c r="A49" s="92">
        <f t="shared" si="30"/>
        <v>44774</v>
      </c>
      <c r="B49" s="179"/>
      <c r="C49" s="148">
        <v>142081.43</v>
      </c>
      <c r="D49" s="146">
        <f t="shared" si="36"/>
        <v>5416.11</v>
      </c>
      <c r="F49" s="146">
        <f t="shared" si="31"/>
        <v>1881825.6600000001</v>
      </c>
      <c r="G49" s="194"/>
      <c r="H49" s="94">
        <f t="shared" si="32"/>
        <v>3.5999999999999997E-2</v>
      </c>
      <c r="J49" s="92">
        <f t="shared" si="33"/>
        <v>44774</v>
      </c>
      <c r="L49" s="148">
        <v>207966.56</v>
      </c>
      <c r="M49" s="146">
        <f t="shared" si="37"/>
        <v>-1736.69</v>
      </c>
      <c r="O49" s="146">
        <f t="shared" si="34"/>
        <v>-476648.75506967667</v>
      </c>
      <c r="P49" s="149"/>
      <c r="Q49" s="94">
        <f t="shared" si="35"/>
        <v>3.5999999999999997E-2</v>
      </c>
    </row>
    <row r="50" spans="1:24" ht="14.45" customHeight="1">
      <c r="A50" s="92">
        <f t="shared" si="30"/>
        <v>44805</v>
      </c>
      <c r="B50" s="179"/>
      <c r="C50" s="148">
        <v>293955.34999999998</v>
      </c>
      <c r="D50" s="146">
        <f t="shared" si="36"/>
        <v>6086.41</v>
      </c>
      <c r="F50" s="146">
        <f t="shared" si="31"/>
        <v>2181867.4200000004</v>
      </c>
      <c r="G50" s="194"/>
      <c r="H50" s="94">
        <f t="shared" si="32"/>
        <v>3.5999999999999997E-2</v>
      </c>
      <c r="J50" s="92">
        <f t="shared" si="33"/>
        <v>44805</v>
      </c>
      <c r="L50" s="148">
        <v>300296.5</v>
      </c>
      <c r="M50" s="146">
        <f t="shared" si="37"/>
        <v>-979.5</v>
      </c>
      <c r="O50" s="146">
        <f t="shared" si="34"/>
        <v>-177331.75506967667</v>
      </c>
      <c r="P50" s="149"/>
      <c r="Q50" s="94">
        <f t="shared" si="35"/>
        <v>3.5999999999999997E-2</v>
      </c>
    </row>
    <row r="51" spans="1:24" ht="14.45" customHeight="1">
      <c r="A51" s="92">
        <f t="shared" si="30"/>
        <v>44835</v>
      </c>
      <c r="C51" s="148">
        <v>403966.81</v>
      </c>
      <c r="D51" s="146">
        <f t="shared" si="36"/>
        <v>9753.92</v>
      </c>
      <c r="F51" s="146">
        <f t="shared" si="31"/>
        <v>2595588.1500000004</v>
      </c>
      <c r="G51" s="149"/>
      <c r="H51" s="94">
        <f t="shared" si="32"/>
        <v>4.9099999999999998E-2</v>
      </c>
      <c r="J51" s="92">
        <f t="shared" si="33"/>
        <v>44835</v>
      </c>
      <c r="L51" s="148">
        <v>711750.68</v>
      </c>
      <c r="M51" s="146">
        <f t="shared" si="37"/>
        <v>730.54</v>
      </c>
      <c r="O51" s="146">
        <f t="shared" si="34"/>
        <v>535149.46493032342</v>
      </c>
      <c r="P51" s="149"/>
      <c r="Q51" s="94">
        <f t="shared" si="35"/>
        <v>4.9099999999999998E-2</v>
      </c>
    </row>
    <row r="52" spans="1:24">
      <c r="A52" s="92">
        <f t="shared" si="30"/>
        <v>44866</v>
      </c>
      <c r="C52" s="148">
        <v>-1476450.44</v>
      </c>
      <c r="D52" s="146">
        <f t="shared" si="36"/>
        <v>7599.71</v>
      </c>
      <c r="F52" s="146">
        <f t="shared" si="31"/>
        <v>1126737.4200000004</v>
      </c>
      <c r="G52" s="149"/>
      <c r="H52" s="94">
        <f t="shared" si="32"/>
        <v>4.9099999999999998E-2</v>
      </c>
      <c r="J52" s="92">
        <f t="shared" si="33"/>
        <v>44866</v>
      </c>
      <c r="L52" s="148">
        <v>1008422.22</v>
      </c>
      <c r="M52" s="146">
        <f t="shared" si="37"/>
        <v>4252.72</v>
      </c>
      <c r="O52" s="146">
        <f t="shared" si="34"/>
        <v>1547824.4049303234</v>
      </c>
      <c r="P52" s="149"/>
      <c r="Q52" s="94">
        <f t="shared" si="35"/>
        <v>4.9099999999999998E-2</v>
      </c>
    </row>
    <row r="53" spans="1:24">
      <c r="A53" s="92">
        <f t="shared" si="30"/>
        <v>44896</v>
      </c>
      <c r="B53" s="93"/>
      <c r="C53" s="148">
        <v>-744900.11</v>
      </c>
      <c r="D53" s="146">
        <f t="shared" si="36"/>
        <v>3086.29</v>
      </c>
      <c r="F53" s="146">
        <f t="shared" si="31"/>
        <v>384923.60000000038</v>
      </c>
      <c r="H53" s="94">
        <f t="shared" si="32"/>
        <v>4.9099999999999998E-2</v>
      </c>
      <c r="J53" s="92">
        <f t="shared" si="33"/>
        <v>44896</v>
      </c>
      <c r="K53" s="93"/>
      <c r="L53" s="148">
        <v>-251367.58</v>
      </c>
      <c r="M53" s="146">
        <f t="shared" si="37"/>
        <v>5818.93</v>
      </c>
      <c r="O53" s="146">
        <f t="shared" si="34"/>
        <v>1302275.7549303232</v>
      </c>
      <c r="Q53" s="94">
        <f t="shared" si="35"/>
        <v>4.9099999999999998E-2</v>
      </c>
    </row>
    <row r="54" spans="1:24">
      <c r="A54" s="92"/>
      <c r="B54" s="93"/>
      <c r="C54" s="148"/>
      <c r="H54" s="94"/>
      <c r="J54" s="92"/>
      <c r="K54" s="93"/>
      <c r="L54" s="148"/>
      <c r="Q54" s="94"/>
    </row>
    <row r="55" spans="1:24">
      <c r="A55" s="177">
        <v>182329</v>
      </c>
      <c r="B55" s="177" t="s">
        <v>52</v>
      </c>
      <c r="C55" s="147" t="s">
        <v>92</v>
      </c>
      <c r="D55" s="147" t="s">
        <v>93</v>
      </c>
      <c r="E55" s="147"/>
      <c r="F55" s="146" t="s">
        <v>95</v>
      </c>
      <c r="H55" s="178" t="s">
        <v>93</v>
      </c>
      <c r="J55" s="177">
        <f>A55</f>
        <v>182329</v>
      </c>
      <c r="K55" s="177" t="s">
        <v>53</v>
      </c>
      <c r="L55" s="147" t="s">
        <v>92</v>
      </c>
      <c r="M55" s="147" t="s">
        <v>93</v>
      </c>
      <c r="N55" s="147"/>
      <c r="O55" s="146" t="s">
        <v>95</v>
      </c>
      <c r="Q55" s="178" t="s">
        <v>93</v>
      </c>
    </row>
    <row r="56" spans="1:24" ht="31.5" customHeight="1">
      <c r="A56" s="144" t="s">
        <v>144</v>
      </c>
      <c r="B56" s="108" t="s">
        <v>142</v>
      </c>
      <c r="C56" s="147" t="s">
        <v>96</v>
      </c>
      <c r="D56" s="147" t="s">
        <v>97</v>
      </c>
      <c r="E56" s="147" t="s">
        <v>98</v>
      </c>
      <c r="F56" s="146" t="s">
        <v>94</v>
      </c>
      <c r="H56" s="178" t="s">
        <v>99</v>
      </c>
      <c r="J56" s="108" t="str">
        <f>A56</f>
        <v>Res Prior Year Pending</v>
      </c>
      <c r="K56" s="108" t="s">
        <v>142</v>
      </c>
      <c r="L56" s="147" t="s">
        <v>96</v>
      </c>
      <c r="M56" s="147" t="s">
        <v>97</v>
      </c>
      <c r="N56" s="147" t="s">
        <v>98</v>
      </c>
      <c r="O56" s="146" t="s">
        <v>94</v>
      </c>
      <c r="Q56" s="178" t="s">
        <v>99</v>
      </c>
    </row>
    <row r="57" spans="1:24">
      <c r="A57" s="92">
        <f>$A$25</f>
        <v>44531</v>
      </c>
      <c r="B57" s="93"/>
      <c r="F57" s="148">
        <v>-5123504.67</v>
      </c>
      <c r="G57" s="149"/>
      <c r="J57" s="92">
        <f>A57</f>
        <v>44531</v>
      </c>
      <c r="K57" s="93"/>
      <c r="O57" s="148">
        <v>6559457.8300000001</v>
      </c>
      <c r="P57" s="149"/>
    </row>
    <row r="58" spans="1:24">
      <c r="A58" s="183" t="s">
        <v>177</v>
      </c>
      <c r="B58" s="93"/>
      <c r="F58" s="148">
        <v>0</v>
      </c>
      <c r="I58" s="115"/>
      <c r="J58" s="112" t="str">
        <f t="shared" ref="J58:J70" si="38">A58</f>
        <v>Provision for Rate Refund - December 2020 Estimate</v>
      </c>
      <c r="K58" s="93"/>
      <c r="O58" s="148">
        <v>0</v>
      </c>
      <c r="R58" s="115"/>
    </row>
    <row r="59" spans="1:24" ht="14.45" customHeight="1">
      <c r="A59" s="92">
        <f t="shared" ref="A59:A70" si="39">A26</f>
        <v>44562</v>
      </c>
      <c r="D59" s="146">
        <f>ROUND((F57+F$58+(E59)/2)*H59/12,2)</f>
        <v>-13876.16</v>
      </c>
      <c r="F59" s="146">
        <f>F57+C59+D59+E59</f>
        <v>-5137380.83</v>
      </c>
      <c r="G59" s="149"/>
      <c r="H59" s="94">
        <f t="shared" ref="H59:H70" si="40">H26</f>
        <v>3.2500000000000001E-2</v>
      </c>
      <c r="J59" s="92">
        <f t="shared" si="38"/>
        <v>44562</v>
      </c>
      <c r="L59" s="148"/>
      <c r="M59" s="146">
        <f>ROUND((O57+O$58+(N59)/2)*Q59/12,2)</f>
        <v>17765.2</v>
      </c>
      <c r="O59" s="146">
        <f>O57+L59+M59+N59</f>
        <v>6577223.0300000003</v>
      </c>
      <c r="P59" s="149"/>
      <c r="Q59" s="94">
        <f t="shared" ref="Q59:Q70" si="41">H59</f>
        <v>3.2500000000000001E-2</v>
      </c>
    </row>
    <row r="60" spans="1:24" ht="14.45" customHeight="1">
      <c r="A60" s="92">
        <f t="shared" si="39"/>
        <v>44593</v>
      </c>
      <c r="D60" s="146">
        <f>ROUND((F59+F$58+(E60)/2)*H60/12,2)</f>
        <v>-13913.74</v>
      </c>
      <c r="F60" s="146">
        <f>F59+C60+D60+E60</f>
        <v>-5151294.57</v>
      </c>
      <c r="G60" s="149"/>
      <c r="H60" s="94">
        <f t="shared" si="40"/>
        <v>3.2500000000000001E-2</v>
      </c>
      <c r="J60" s="92">
        <f t="shared" si="38"/>
        <v>44593</v>
      </c>
      <c r="L60" s="148"/>
      <c r="M60" s="146">
        <f>ROUND((O59+O$58+(N60)/2)*Q60/12,2)</f>
        <v>17813.310000000001</v>
      </c>
      <c r="O60" s="146">
        <f t="shared" ref="O60:O70" si="42">O59+L60+M60+N60</f>
        <v>6595036.3399999999</v>
      </c>
      <c r="P60" s="149"/>
      <c r="Q60" s="94">
        <f t="shared" si="41"/>
        <v>3.2500000000000001E-2</v>
      </c>
    </row>
    <row r="61" spans="1:24" ht="14.45" customHeight="1">
      <c r="A61" s="92">
        <f t="shared" si="39"/>
        <v>44621</v>
      </c>
      <c r="D61" s="146">
        <f t="shared" ref="D61:D67" si="43">ROUND((F60+F$58+(E61)/2)*H61/12,2)</f>
        <v>-13951.42</v>
      </c>
      <c r="F61" s="146">
        <f t="shared" ref="F61:F70" si="44">F60+C61+D61+E61</f>
        <v>-5165245.99</v>
      </c>
      <c r="G61" s="149"/>
      <c r="H61" s="94">
        <f t="shared" si="40"/>
        <v>3.2500000000000001E-2</v>
      </c>
      <c r="J61" s="92">
        <f t="shared" si="38"/>
        <v>44621</v>
      </c>
      <c r="L61" s="148"/>
      <c r="M61" s="146">
        <f t="shared" ref="M61:M67" si="45">ROUND((O60+O$58+(N61)/2)*Q61/12,2)</f>
        <v>17861.560000000001</v>
      </c>
      <c r="O61" s="146">
        <f t="shared" si="42"/>
        <v>6612897.8999999994</v>
      </c>
      <c r="P61" s="149"/>
      <c r="Q61" s="94">
        <f t="shared" si="41"/>
        <v>3.2500000000000001E-2</v>
      </c>
      <c r="U61" s="17"/>
      <c r="V61" s="181"/>
      <c r="W61" s="17"/>
      <c r="X61" s="181"/>
    </row>
    <row r="62" spans="1:24" ht="14.45" customHeight="1">
      <c r="A62" s="92">
        <f t="shared" si="39"/>
        <v>44652</v>
      </c>
      <c r="D62" s="146">
        <f t="shared" si="43"/>
        <v>-13989.21</v>
      </c>
      <c r="F62" s="146">
        <f t="shared" si="44"/>
        <v>-5179235.2</v>
      </c>
      <c r="G62" s="149"/>
      <c r="H62" s="94">
        <f t="shared" si="40"/>
        <v>3.2500000000000001E-2</v>
      </c>
      <c r="J62" s="92">
        <f t="shared" si="38"/>
        <v>44652</v>
      </c>
      <c r="M62" s="146">
        <f t="shared" si="45"/>
        <v>17909.93</v>
      </c>
      <c r="O62" s="146">
        <f t="shared" si="42"/>
        <v>6630807.8299999991</v>
      </c>
      <c r="P62" s="149"/>
      <c r="Q62" s="94">
        <f t="shared" si="41"/>
        <v>3.2500000000000001E-2</v>
      </c>
      <c r="U62" s="17"/>
      <c r="V62" s="181"/>
      <c r="W62" s="17"/>
      <c r="X62" s="181"/>
    </row>
    <row r="63" spans="1:24" ht="14.45" customHeight="1">
      <c r="A63" s="92">
        <f t="shared" si="39"/>
        <v>44682</v>
      </c>
      <c r="D63" s="146">
        <f t="shared" si="43"/>
        <v>-14027.1</v>
      </c>
      <c r="F63" s="146">
        <f t="shared" si="44"/>
        <v>-5193262.3</v>
      </c>
      <c r="G63" s="149"/>
      <c r="H63" s="94">
        <f t="shared" si="40"/>
        <v>3.2500000000000001E-2</v>
      </c>
      <c r="J63" s="92">
        <f t="shared" si="38"/>
        <v>44682</v>
      </c>
      <c r="M63" s="146">
        <f t="shared" si="45"/>
        <v>17958.439999999999</v>
      </c>
      <c r="O63" s="146">
        <f t="shared" si="42"/>
        <v>6648766.2699999996</v>
      </c>
      <c r="P63" s="149"/>
      <c r="Q63" s="94">
        <f t="shared" si="41"/>
        <v>3.2500000000000001E-2</v>
      </c>
      <c r="U63" s="17"/>
      <c r="V63" s="181"/>
      <c r="W63" s="17"/>
      <c r="X63" s="181"/>
    </row>
    <row r="64" spans="1:24" ht="14.45" customHeight="1">
      <c r="A64" s="92">
        <f t="shared" si="39"/>
        <v>44713</v>
      </c>
      <c r="D64" s="146">
        <f t="shared" si="43"/>
        <v>-14065.09</v>
      </c>
      <c r="F64" s="146">
        <f t="shared" si="44"/>
        <v>-5207327.3899999997</v>
      </c>
      <c r="G64" s="149"/>
      <c r="H64" s="94">
        <f t="shared" si="40"/>
        <v>3.2500000000000001E-2</v>
      </c>
      <c r="J64" s="92">
        <f t="shared" si="38"/>
        <v>44713</v>
      </c>
      <c r="M64" s="146">
        <f t="shared" si="45"/>
        <v>18007.080000000002</v>
      </c>
      <c r="O64" s="146">
        <f t="shared" si="42"/>
        <v>6666773.3499999996</v>
      </c>
      <c r="P64" s="149"/>
      <c r="Q64" s="94">
        <f t="shared" si="41"/>
        <v>3.2500000000000001E-2</v>
      </c>
    </row>
    <row r="65" spans="1:24" ht="14.45" customHeight="1">
      <c r="A65" s="92">
        <f t="shared" si="39"/>
        <v>44743</v>
      </c>
      <c r="D65" s="146">
        <f t="shared" si="43"/>
        <v>-15621.98</v>
      </c>
      <c r="F65" s="146">
        <f>F64+C65+D65+E65</f>
        <v>-5222949.37</v>
      </c>
      <c r="G65" s="149"/>
      <c r="H65" s="94">
        <f t="shared" si="40"/>
        <v>3.5999999999999997E-2</v>
      </c>
      <c r="J65" s="92">
        <f t="shared" si="38"/>
        <v>44743</v>
      </c>
      <c r="M65" s="146">
        <f t="shared" si="45"/>
        <v>20000.32</v>
      </c>
      <c r="O65" s="146">
        <f t="shared" si="42"/>
        <v>6686773.6699999999</v>
      </c>
      <c r="P65" s="149"/>
      <c r="Q65" s="94">
        <f t="shared" si="41"/>
        <v>3.5999999999999997E-2</v>
      </c>
    </row>
    <row r="66" spans="1:24" ht="14.45" customHeight="1">
      <c r="A66" s="92">
        <f t="shared" si="39"/>
        <v>44774</v>
      </c>
      <c r="D66" s="146">
        <f t="shared" si="43"/>
        <v>-15668.85</v>
      </c>
      <c r="F66" s="146">
        <f>F65+C66+D66+E66</f>
        <v>-5238618.22</v>
      </c>
      <c r="G66" s="149"/>
      <c r="H66" s="94">
        <f t="shared" si="40"/>
        <v>3.5999999999999997E-2</v>
      </c>
      <c r="J66" s="92">
        <f t="shared" si="38"/>
        <v>44774</v>
      </c>
      <c r="M66" s="146">
        <f t="shared" si="45"/>
        <v>20060.32</v>
      </c>
      <c r="O66" s="146">
        <f>O65+L66+M66+N66</f>
        <v>6706833.9900000002</v>
      </c>
      <c r="P66" s="149"/>
      <c r="Q66" s="94">
        <f t="shared" si="41"/>
        <v>3.5999999999999997E-2</v>
      </c>
    </row>
    <row r="67" spans="1:24" ht="14.45" customHeight="1">
      <c r="A67" s="92">
        <f t="shared" si="39"/>
        <v>44805</v>
      </c>
      <c r="D67" s="146">
        <f t="shared" si="43"/>
        <v>-15715.85</v>
      </c>
      <c r="F67" s="146">
        <f>F66+C67+D67+E67</f>
        <v>-5254334.0699999994</v>
      </c>
      <c r="G67" s="149"/>
      <c r="H67" s="94">
        <f t="shared" si="40"/>
        <v>3.5999999999999997E-2</v>
      </c>
      <c r="J67" s="92">
        <f t="shared" si="38"/>
        <v>44805</v>
      </c>
      <c r="M67" s="146">
        <f t="shared" si="45"/>
        <v>20120.5</v>
      </c>
      <c r="O67" s="146">
        <f t="shared" si="42"/>
        <v>6726954.4900000002</v>
      </c>
      <c r="P67" s="149"/>
      <c r="Q67" s="94">
        <f t="shared" si="41"/>
        <v>3.5999999999999997E-2</v>
      </c>
    </row>
    <row r="68" spans="1:24" ht="14.45" customHeight="1">
      <c r="A68" s="92">
        <f t="shared" si="39"/>
        <v>44835</v>
      </c>
      <c r="B68" s="53" t="s">
        <v>126</v>
      </c>
      <c r="C68" s="146">
        <f>-F67</f>
        <v>5254334.0699999994</v>
      </c>
      <c r="D68" s="146">
        <f>ROUND((F67+C68+(E68)/2)*H68/12,2)</f>
        <v>0</v>
      </c>
      <c r="F68" s="146">
        <f t="shared" si="44"/>
        <v>0</v>
      </c>
      <c r="G68" s="149"/>
      <c r="H68" s="94">
        <f t="shared" si="40"/>
        <v>4.9099999999999998E-2</v>
      </c>
      <c r="J68" s="92">
        <f t="shared" si="38"/>
        <v>44835</v>
      </c>
      <c r="K68" s="53" t="s">
        <v>126</v>
      </c>
      <c r="L68" s="146">
        <f>-O67</f>
        <v>-6726954.4900000002</v>
      </c>
      <c r="M68" s="146">
        <f>ROUND((O67+L68+(N68)/2)*Q68/12,2)</f>
        <v>0</v>
      </c>
      <c r="O68" s="146">
        <f t="shared" si="42"/>
        <v>0</v>
      </c>
      <c r="P68" s="149"/>
      <c r="Q68" s="94">
        <f t="shared" si="41"/>
        <v>4.9099999999999998E-2</v>
      </c>
    </row>
    <row r="69" spans="1:24">
      <c r="A69" s="92">
        <f t="shared" si="39"/>
        <v>44866</v>
      </c>
      <c r="D69" s="146">
        <f>ROUND((F68+(E69)/2)*H69/12,2)</f>
        <v>0</v>
      </c>
      <c r="F69" s="146">
        <f t="shared" si="44"/>
        <v>0</v>
      </c>
      <c r="G69" s="149"/>
      <c r="H69" s="94">
        <f t="shared" si="40"/>
        <v>4.9099999999999998E-2</v>
      </c>
      <c r="J69" s="92">
        <f t="shared" si="38"/>
        <v>44866</v>
      </c>
      <c r="M69" s="146">
        <f>ROUND((O68+(N69)/2)*Q69/12,2)</f>
        <v>0</v>
      </c>
      <c r="O69" s="146">
        <f>O68+L69+M69+N69</f>
        <v>0</v>
      </c>
      <c r="P69" s="149"/>
      <c r="Q69" s="94">
        <f t="shared" si="41"/>
        <v>4.9099999999999998E-2</v>
      </c>
    </row>
    <row r="70" spans="1:24">
      <c r="A70" s="92">
        <f t="shared" si="39"/>
        <v>44896</v>
      </c>
      <c r="B70" s="93"/>
      <c r="D70" s="146">
        <f>ROUND((F69+(E70)/2)*H70/12,2)</f>
        <v>0</v>
      </c>
      <c r="F70" s="146">
        <f t="shared" si="44"/>
        <v>0</v>
      </c>
      <c r="H70" s="94">
        <f t="shared" si="40"/>
        <v>4.9099999999999998E-2</v>
      </c>
      <c r="J70" s="92">
        <f t="shared" si="38"/>
        <v>44896</v>
      </c>
      <c r="K70" s="93"/>
      <c r="M70" s="146">
        <f>ROUND((O69+(N70)/2)*Q70/12,2)</f>
        <v>0</v>
      </c>
      <c r="O70" s="146">
        <f t="shared" si="42"/>
        <v>0</v>
      </c>
      <c r="Q70" s="94">
        <f t="shared" si="41"/>
        <v>4.9099999999999998E-2</v>
      </c>
    </row>
    <row r="71" spans="1:24" ht="28.5" customHeight="1">
      <c r="A71" s="92"/>
      <c r="B71" s="96" t="s">
        <v>126</v>
      </c>
      <c r="C71" s="300" t="s">
        <v>292</v>
      </c>
      <c r="D71" s="300"/>
      <c r="E71" s="300"/>
      <c r="F71" s="300"/>
      <c r="G71" s="300"/>
      <c r="H71" s="300"/>
      <c r="K71" s="96" t="s">
        <v>126</v>
      </c>
      <c r="L71" s="300" t="s">
        <v>292</v>
      </c>
      <c r="M71" s="300"/>
      <c r="N71" s="300"/>
      <c r="O71" s="300"/>
      <c r="P71" s="300"/>
      <c r="Q71" s="300"/>
    </row>
    <row r="72" spans="1:24">
      <c r="B72" s="96"/>
      <c r="C72" s="151"/>
      <c r="D72" s="151"/>
      <c r="E72" s="151"/>
      <c r="F72" s="151"/>
      <c r="G72" s="176"/>
      <c r="H72" s="176"/>
    </row>
    <row r="73" spans="1:24" ht="30.75" customHeight="1">
      <c r="A73" s="177">
        <v>182339</v>
      </c>
      <c r="B73" s="177" t="s">
        <v>52</v>
      </c>
      <c r="C73" s="147" t="s">
        <v>92</v>
      </c>
      <c r="D73" s="147" t="s">
        <v>93</v>
      </c>
      <c r="E73" s="147"/>
      <c r="F73" s="146" t="s">
        <v>95</v>
      </c>
      <c r="H73" s="178" t="s">
        <v>93</v>
      </c>
      <c r="J73" s="177">
        <f>A73</f>
        <v>182339</v>
      </c>
      <c r="K73" s="177" t="s">
        <v>53</v>
      </c>
      <c r="L73" s="147" t="s">
        <v>92</v>
      </c>
      <c r="M73" s="147" t="s">
        <v>93</v>
      </c>
      <c r="N73" s="147"/>
      <c r="O73" s="146" t="s">
        <v>95</v>
      </c>
      <c r="Q73" s="178" t="s">
        <v>93</v>
      </c>
    </row>
    <row r="74" spans="1:24" ht="14.45" customHeight="1">
      <c r="A74" s="144" t="s">
        <v>145</v>
      </c>
      <c r="B74" s="108" t="s">
        <v>142</v>
      </c>
      <c r="C74" s="147" t="s">
        <v>96</v>
      </c>
      <c r="D74" s="147" t="s">
        <v>97</v>
      </c>
      <c r="E74" s="147" t="s">
        <v>98</v>
      </c>
      <c r="F74" s="146" t="s">
        <v>94</v>
      </c>
      <c r="H74" s="178" t="s">
        <v>99</v>
      </c>
      <c r="J74" s="108" t="str">
        <f>A74</f>
        <v>Non-Res Prior Year Pending</v>
      </c>
      <c r="K74" s="108" t="s">
        <v>142</v>
      </c>
      <c r="L74" s="147" t="s">
        <v>96</v>
      </c>
      <c r="M74" s="147" t="s">
        <v>97</v>
      </c>
      <c r="N74" s="147" t="s">
        <v>98</v>
      </c>
      <c r="O74" s="146" t="s">
        <v>94</v>
      </c>
      <c r="Q74" s="178" t="s">
        <v>99</v>
      </c>
    </row>
    <row r="75" spans="1:24">
      <c r="A75" s="92">
        <f>$A$25</f>
        <v>44531</v>
      </c>
      <c r="B75" s="93"/>
      <c r="F75" s="148">
        <v>2389111.4900000012</v>
      </c>
      <c r="G75" s="149"/>
      <c r="J75" s="92">
        <f>A75</f>
        <v>44531</v>
      </c>
      <c r="K75" s="93"/>
      <c r="O75" s="148">
        <v>2400733.6599999997</v>
      </c>
      <c r="P75" s="149"/>
    </row>
    <row r="76" spans="1:24">
      <c r="A76" s="112" t="str">
        <f>A58</f>
        <v>Provision for Rate Refund - December 2020 Estimate</v>
      </c>
      <c r="B76" s="93"/>
      <c r="F76" s="148">
        <v>0</v>
      </c>
      <c r="J76" s="112" t="str">
        <f t="shared" ref="J76:J88" si="46">A76</f>
        <v>Provision for Rate Refund - December 2020 Estimate</v>
      </c>
      <c r="K76" s="93"/>
      <c r="O76" s="148">
        <v>0</v>
      </c>
    </row>
    <row r="77" spans="1:24" ht="14.45" customHeight="1">
      <c r="A77" s="92">
        <f t="shared" ref="A77:A88" si="47">A26</f>
        <v>44562</v>
      </c>
      <c r="D77" s="146">
        <f>ROUND((F75+F$58+(E77)/2)*H77/12,2)</f>
        <v>6470.51</v>
      </c>
      <c r="F77" s="146">
        <f>F75+C77+D77+E77</f>
        <v>2395582.0000000009</v>
      </c>
      <c r="G77" s="149"/>
      <c r="H77" s="94">
        <f t="shared" ref="H77:H88" si="48">H26</f>
        <v>3.2500000000000001E-2</v>
      </c>
      <c r="J77" s="92">
        <f t="shared" si="46"/>
        <v>44562</v>
      </c>
      <c r="M77" s="146">
        <f>ROUND((O75+O$58+(N77)/2)*Q77/12,2)</f>
        <v>6501.99</v>
      </c>
      <c r="O77" s="146">
        <f>O75+L77+M77+N77</f>
        <v>2407235.65</v>
      </c>
      <c r="P77" s="149"/>
      <c r="Q77" s="94">
        <f t="shared" ref="Q77:Q88" si="49">H77</f>
        <v>3.2500000000000001E-2</v>
      </c>
    </row>
    <row r="78" spans="1:24" ht="14.45" customHeight="1">
      <c r="A78" s="92">
        <f t="shared" si="47"/>
        <v>44593</v>
      </c>
      <c r="D78" s="146">
        <f>ROUND((F77+F$58+(E78)/2)*H78/12,2)</f>
        <v>6488.03</v>
      </c>
      <c r="F78" s="146">
        <f>F77+C78+D78+E78</f>
        <v>2402070.0300000007</v>
      </c>
      <c r="G78" s="149"/>
      <c r="H78" s="94">
        <f t="shared" si="48"/>
        <v>3.2500000000000001E-2</v>
      </c>
      <c r="J78" s="92">
        <f t="shared" si="46"/>
        <v>44593</v>
      </c>
      <c r="M78" s="146">
        <f>ROUND((O77+O$58+(N78)/2)*Q78/12,2)</f>
        <v>6519.6</v>
      </c>
      <c r="O78" s="146">
        <f>O77+L78+M78+N78</f>
        <v>2413755.25</v>
      </c>
      <c r="P78" s="149"/>
      <c r="Q78" s="94">
        <f t="shared" si="49"/>
        <v>3.2500000000000001E-2</v>
      </c>
    </row>
    <row r="79" spans="1:24" ht="14.45" customHeight="1">
      <c r="A79" s="92">
        <f t="shared" si="47"/>
        <v>44621</v>
      </c>
      <c r="D79" s="146">
        <f t="shared" ref="D79:D85" si="50">ROUND((F78+F$58+(E79)/2)*H79/12,2)</f>
        <v>6505.61</v>
      </c>
      <c r="F79" s="146">
        <f>F78+C79+D79+E79</f>
        <v>2408575.6400000006</v>
      </c>
      <c r="G79" s="149"/>
      <c r="H79" s="94">
        <f t="shared" si="48"/>
        <v>3.2500000000000001E-2</v>
      </c>
      <c r="J79" s="92">
        <f t="shared" si="46"/>
        <v>44621</v>
      </c>
      <c r="M79" s="146">
        <f t="shared" ref="M79:M84" si="51">ROUND((O78+O$58+(N79)/2)*Q79/12,2)</f>
        <v>6537.25</v>
      </c>
      <c r="O79" s="146">
        <f>O78+L79+M79+N79</f>
        <v>2420292.5</v>
      </c>
      <c r="P79" s="149"/>
      <c r="Q79" s="94">
        <f t="shared" si="49"/>
        <v>3.2500000000000001E-2</v>
      </c>
      <c r="U79" s="17"/>
      <c r="V79" s="181"/>
      <c r="W79" s="17"/>
      <c r="X79" s="181"/>
    </row>
    <row r="80" spans="1:24" ht="14.45" customHeight="1">
      <c r="A80" s="92">
        <f t="shared" si="47"/>
        <v>44652</v>
      </c>
      <c r="D80" s="146">
        <f t="shared" si="50"/>
        <v>6523.23</v>
      </c>
      <c r="F80" s="146">
        <f t="shared" ref="F80:F88" si="52">F79+C80+D80+E80</f>
        <v>2415098.8700000006</v>
      </c>
      <c r="G80" s="149"/>
      <c r="H80" s="94">
        <f t="shared" si="48"/>
        <v>3.2500000000000001E-2</v>
      </c>
      <c r="J80" s="92">
        <f t="shared" si="46"/>
        <v>44652</v>
      </c>
      <c r="M80" s="146">
        <f t="shared" si="51"/>
        <v>6554.96</v>
      </c>
      <c r="O80" s="146">
        <f t="shared" ref="O80:O86" si="53">O79+L80+M80+N80</f>
        <v>2426847.46</v>
      </c>
      <c r="P80" s="149"/>
      <c r="Q80" s="94">
        <f t="shared" si="49"/>
        <v>3.2500000000000001E-2</v>
      </c>
      <c r="U80" s="17"/>
      <c r="V80" s="181"/>
      <c r="W80" s="17"/>
      <c r="X80" s="181"/>
    </row>
    <row r="81" spans="1:24" ht="14.45" customHeight="1">
      <c r="A81" s="92">
        <f t="shared" si="47"/>
        <v>44682</v>
      </c>
      <c r="D81" s="146">
        <f t="shared" si="50"/>
        <v>6540.89</v>
      </c>
      <c r="F81" s="146">
        <f t="shared" si="52"/>
        <v>2421639.7600000007</v>
      </c>
      <c r="G81" s="149"/>
      <c r="H81" s="94">
        <f t="shared" si="48"/>
        <v>3.2500000000000001E-2</v>
      </c>
      <c r="J81" s="92">
        <f t="shared" si="46"/>
        <v>44682</v>
      </c>
      <c r="M81" s="146">
        <f t="shared" si="51"/>
        <v>6572.71</v>
      </c>
      <c r="O81" s="146">
        <f t="shared" si="53"/>
        <v>2433420.17</v>
      </c>
      <c r="P81" s="149"/>
      <c r="Q81" s="94">
        <f t="shared" si="49"/>
        <v>3.2500000000000001E-2</v>
      </c>
      <c r="U81" s="17"/>
      <c r="V81" s="181"/>
      <c r="W81" s="17"/>
      <c r="X81" s="181"/>
    </row>
    <row r="82" spans="1:24" ht="14.45" customHeight="1">
      <c r="A82" s="92">
        <f t="shared" si="47"/>
        <v>44713</v>
      </c>
      <c r="D82" s="146">
        <f t="shared" si="50"/>
        <v>6558.61</v>
      </c>
      <c r="F82" s="146">
        <f t="shared" si="52"/>
        <v>2428198.3700000006</v>
      </c>
      <c r="G82" s="149"/>
      <c r="H82" s="94">
        <f t="shared" si="48"/>
        <v>3.2500000000000001E-2</v>
      </c>
      <c r="J82" s="92">
        <f t="shared" si="46"/>
        <v>44713</v>
      </c>
      <c r="M82" s="146">
        <f t="shared" si="51"/>
        <v>6590.51</v>
      </c>
      <c r="O82" s="146">
        <f t="shared" si="53"/>
        <v>2440010.6799999997</v>
      </c>
      <c r="P82" s="149"/>
      <c r="Q82" s="94">
        <f t="shared" si="49"/>
        <v>3.2500000000000001E-2</v>
      </c>
    </row>
    <row r="83" spans="1:24" ht="14.45" customHeight="1">
      <c r="A83" s="92">
        <f t="shared" si="47"/>
        <v>44743</v>
      </c>
      <c r="D83" s="146">
        <f t="shared" si="50"/>
        <v>7284.6</v>
      </c>
      <c r="F83" s="146">
        <f>F82+C83+D83+E83</f>
        <v>2435482.9700000007</v>
      </c>
      <c r="G83" s="149"/>
      <c r="H83" s="94">
        <f t="shared" si="48"/>
        <v>3.5999999999999997E-2</v>
      </c>
      <c r="J83" s="92">
        <f t="shared" si="46"/>
        <v>44743</v>
      </c>
      <c r="M83" s="146">
        <f t="shared" si="51"/>
        <v>7320.03</v>
      </c>
      <c r="O83" s="146">
        <f t="shared" si="53"/>
        <v>2447330.7099999995</v>
      </c>
      <c r="P83" s="149"/>
      <c r="Q83" s="94">
        <f t="shared" si="49"/>
        <v>3.5999999999999997E-2</v>
      </c>
    </row>
    <row r="84" spans="1:24" ht="14.45" customHeight="1">
      <c r="A84" s="92">
        <f t="shared" si="47"/>
        <v>44774</v>
      </c>
      <c r="D84" s="146">
        <f t="shared" si="50"/>
        <v>7306.45</v>
      </c>
      <c r="F84" s="146">
        <f>F83+C84+D84+E84</f>
        <v>2442789.4200000009</v>
      </c>
      <c r="G84" s="149"/>
      <c r="H84" s="94">
        <f t="shared" si="48"/>
        <v>3.5999999999999997E-2</v>
      </c>
      <c r="J84" s="92">
        <f t="shared" si="46"/>
        <v>44774</v>
      </c>
      <c r="M84" s="146">
        <f t="shared" si="51"/>
        <v>7341.99</v>
      </c>
      <c r="O84" s="146">
        <f>O83+L84+M84+N84</f>
        <v>2454672.6999999997</v>
      </c>
      <c r="P84" s="149"/>
      <c r="Q84" s="94">
        <f t="shared" si="49"/>
        <v>3.5999999999999997E-2</v>
      </c>
    </row>
    <row r="85" spans="1:24" ht="14.45" customHeight="1">
      <c r="A85" s="92">
        <f t="shared" si="47"/>
        <v>44805</v>
      </c>
      <c r="D85" s="146">
        <f t="shared" si="50"/>
        <v>7328.37</v>
      </c>
      <c r="F85" s="146">
        <f>F84+C85+D85+E85</f>
        <v>2450117.790000001</v>
      </c>
      <c r="G85" s="149"/>
      <c r="H85" s="94">
        <f t="shared" si="48"/>
        <v>3.5999999999999997E-2</v>
      </c>
      <c r="J85" s="92">
        <f t="shared" si="46"/>
        <v>44805</v>
      </c>
      <c r="M85" s="146">
        <f>ROUND((O84+O$58+(N85)/2)*Q85/12,2)</f>
        <v>7364.02</v>
      </c>
      <c r="O85" s="146">
        <f>O84+L85+M85+N85</f>
        <v>2462036.7199999997</v>
      </c>
      <c r="P85" s="149"/>
      <c r="Q85" s="94">
        <f t="shared" si="49"/>
        <v>3.5999999999999997E-2</v>
      </c>
    </row>
    <row r="86" spans="1:24" ht="14.45" customHeight="1">
      <c r="A86" s="92">
        <f t="shared" si="47"/>
        <v>44835</v>
      </c>
      <c r="B86" s="53" t="s">
        <v>126</v>
      </c>
      <c r="C86" s="146">
        <f>-F85</f>
        <v>-2450117.790000001</v>
      </c>
      <c r="D86" s="146">
        <f>ROUND((F85+C86+(E86)/2)*H86/12,2)</f>
        <v>0</v>
      </c>
      <c r="F86" s="146">
        <f>F85+C86+D86+E86</f>
        <v>0</v>
      </c>
      <c r="G86" s="149"/>
      <c r="H86" s="94">
        <f t="shared" si="48"/>
        <v>4.9099999999999998E-2</v>
      </c>
      <c r="J86" s="92">
        <f t="shared" si="46"/>
        <v>44835</v>
      </c>
      <c r="K86" s="53" t="s">
        <v>126</v>
      </c>
      <c r="L86" s="146">
        <f>-O85</f>
        <v>-2462036.7199999997</v>
      </c>
      <c r="M86" s="146">
        <f>ROUND((O85+L86+(N86)/2)*Q86/12,2)</f>
        <v>0</v>
      </c>
      <c r="O86" s="146">
        <f t="shared" si="53"/>
        <v>0</v>
      </c>
      <c r="P86" s="149"/>
      <c r="Q86" s="94">
        <f t="shared" si="49"/>
        <v>4.9099999999999998E-2</v>
      </c>
    </row>
    <row r="87" spans="1:24">
      <c r="A87" s="92">
        <f t="shared" si="47"/>
        <v>44866</v>
      </c>
      <c r="D87" s="146">
        <f>ROUND((F86+(E87)/2)*H87/12,2)</f>
        <v>0</v>
      </c>
      <c r="E87" s="152"/>
      <c r="F87" s="146">
        <f t="shared" si="52"/>
        <v>0</v>
      </c>
      <c r="G87" s="149"/>
      <c r="H87" s="94">
        <f t="shared" si="48"/>
        <v>4.9099999999999998E-2</v>
      </c>
      <c r="J87" s="92">
        <f t="shared" si="46"/>
        <v>44866</v>
      </c>
      <c r="M87" s="146">
        <f>ROUND((O86+(N87)/2)*Q87/12,2)</f>
        <v>0</v>
      </c>
      <c r="O87" s="146">
        <f>O86+L87+M87+N87</f>
        <v>0</v>
      </c>
      <c r="P87" s="149"/>
      <c r="Q87" s="94">
        <f t="shared" si="49"/>
        <v>4.9099999999999998E-2</v>
      </c>
    </row>
    <row r="88" spans="1:24">
      <c r="A88" s="92">
        <f t="shared" si="47"/>
        <v>44896</v>
      </c>
      <c r="D88" s="146">
        <f>ROUND((F87+(E88)/2)*H88/12,2)</f>
        <v>0</v>
      </c>
      <c r="F88" s="146">
        <f t="shared" si="52"/>
        <v>0</v>
      </c>
      <c r="H88" s="94">
        <f t="shared" si="48"/>
        <v>4.9099999999999998E-2</v>
      </c>
      <c r="J88" s="92">
        <f t="shared" si="46"/>
        <v>44896</v>
      </c>
      <c r="M88" s="146">
        <f>ROUND((O87+(N88)/2)*Q88/12,2)</f>
        <v>0</v>
      </c>
      <c r="O88" s="146">
        <f t="shared" ref="O88" si="54">O87+L88+M88+N88</f>
        <v>0</v>
      </c>
      <c r="Q88" s="94">
        <f t="shared" si="49"/>
        <v>4.9099999999999998E-2</v>
      </c>
    </row>
    <row r="89" spans="1:24" ht="32.25" customHeight="1">
      <c r="A89" s="92"/>
      <c r="B89" s="96" t="s">
        <v>126</v>
      </c>
      <c r="C89" s="300" t="s">
        <v>292</v>
      </c>
      <c r="D89" s="300"/>
      <c r="E89" s="300"/>
      <c r="F89" s="300"/>
      <c r="G89" s="300"/>
      <c r="H89" s="300"/>
      <c r="J89" s="92"/>
      <c r="K89" s="96" t="s">
        <v>126</v>
      </c>
      <c r="L89" s="300" t="s">
        <v>292</v>
      </c>
      <c r="M89" s="300"/>
      <c r="N89" s="300"/>
      <c r="O89" s="300"/>
      <c r="P89" s="300"/>
      <c r="Q89" s="300"/>
    </row>
    <row r="90" spans="1:24">
      <c r="A90" s="92"/>
      <c r="B90" s="96"/>
      <c r="C90" s="151"/>
      <c r="D90" s="151"/>
      <c r="E90" s="151"/>
      <c r="F90" s="151"/>
      <c r="G90" s="176"/>
      <c r="H90" s="176"/>
      <c r="J90" s="92"/>
      <c r="Q90" s="94"/>
    </row>
    <row r="91" spans="1:24" ht="29.25" customHeight="1">
      <c r="A91" s="177">
        <v>182328</v>
      </c>
      <c r="B91" s="177" t="s">
        <v>52</v>
      </c>
      <c r="C91" s="147" t="s">
        <v>92</v>
      </c>
      <c r="D91" s="147" t="s">
        <v>93</v>
      </c>
      <c r="E91" s="147"/>
      <c r="F91" s="146" t="s">
        <v>95</v>
      </c>
      <c r="H91" s="178" t="s">
        <v>93</v>
      </c>
      <c r="J91" s="177">
        <f>A91</f>
        <v>182328</v>
      </c>
      <c r="K91" s="177" t="s">
        <v>53</v>
      </c>
      <c r="L91" s="147" t="s">
        <v>92</v>
      </c>
      <c r="M91" s="147" t="s">
        <v>93</v>
      </c>
      <c r="N91" s="147"/>
      <c r="O91" s="146" t="s">
        <v>95</v>
      </c>
      <c r="Q91" s="178" t="s">
        <v>93</v>
      </c>
    </row>
    <row r="92" spans="1:24" ht="14.45" customHeight="1">
      <c r="A92" s="108" t="s">
        <v>146</v>
      </c>
      <c r="B92" s="108" t="s">
        <v>142</v>
      </c>
      <c r="C92" s="147" t="s">
        <v>96</v>
      </c>
      <c r="D92" s="147" t="s">
        <v>97</v>
      </c>
      <c r="E92" s="147" t="s">
        <v>98</v>
      </c>
      <c r="F92" s="146" t="s">
        <v>94</v>
      </c>
      <c r="H92" s="178" t="s">
        <v>99</v>
      </c>
      <c r="J92" s="108" t="str">
        <f>A92</f>
        <v xml:space="preserve">Res Surcharge Approved </v>
      </c>
      <c r="K92" s="108" t="s">
        <v>142</v>
      </c>
      <c r="L92" s="147" t="s">
        <v>96</v>
      </c>
      <c r="M92" s="147" t="s">
        <v>97</v>
      </c>
      <c r="N92" s="147" t="s">
        <v>98</v>
      </c>
      <c r="O92" s="146" t="s">
        <v>94</v>
      </c>
      <c r="Q92" s="178" t="s">
        <v>99</v>
      </c>
    </row>
    <row r="93" spans="1:24">
      <c r="A93" s="92">
        <f>$A$25</f>
        <v>44531</v>
      </c>
      <c r="B93" s="93"/>
      <c r="F93" s="153">
        <v>0</v>
      </c>
      <c r="G93" s="149"/>
      <c r="J93" s="92">
        <f t="shared" ref="J93:J105" si="55">A93</f>
        <v>44531</v>
      </c>
      <c r="K93" s="93"/>
      <c r="O93" s="153">
        <v>735648.83999999985</v>
      </c>
      <c r="P93" s="149"/>
    </row>
    <row r="94" spans="1:24">
      <c r="A94" s="92">
        <f t="shared" ref="A94:A105" si="56">A26</f>
        <v>44562</v>
      </c>
      <c r="D94" s="146">
        <f>ROUND((F93+(E94)/2)*H94/12,2)</f>
        <v>0</v>
      </c>
      <c r="E94" s="148">
        <v>0</v>
      </c>
      <c r="F94" s="146">
        <f t="shared" ref="F94:F105" si="57">F93+C94+D94+E94</f>
        <v>0</v>
      </c>
      <c r="G94" s="149"/>
      <c r="H94" s="94">
        <f t="shared" ref="H94:H105" si="58">H26</f>
        <v>3.2500000000000001E-2</v>
      </c>
      <c r="J94" s="92">
        <f t="shared" si="55"/>
        <v>44562</v>
      </c>
      <c r="M94" s="146">
        <f>ROUND((O93+(N94)/2)*Q94/12,2)</f>
        <v>1702.88</v>
      </c>
      <c r="N94" s="148">
        <v>-213785.55</v>
      </c>
      <c r="O94" s="146">
        <f t="shared" ref="O94:O105" si="59">O93+L94+M94+N94</f>
        <v>523566.16999999987</v>
      </c>
      <c r="P94" s="149"/>
      <c r="Q94" s="94">
        <f>H94</f>
        <v>3.2500000000000001E-2</v>
      </c>
    </row>
    <row r="95" spans="1:24" ht="14.45" customHeight="1">
      <c r="A95" s="92">
        <f t="shared" si="56"/>
        <v>44593</v>
      </c>
      <c r="D95" s="146">
        <f t="shared" ref="D95:D105" si="60">ROUND((F94+(E95)/2)*H95/12,2)</f>
        <v>0</v>
      </c>
      <c r="E95" s="148">
        <v>0</v>
      </c>
      <c r="F95" s="146">
        <f t="shared" si="57"/>
        <v>0</v>
      </c>
      <c r="G95" s="149"/>
      <c r="H95" s="94">
        <f t="shared" si="58"/>
        <v>3.2500000000000001E-2</v>
      </c>
      <c r="J95" s="92">
        <f t="shared" si="55"/>
        <v>44593</v>
      </c>
      <c r="M95" s="146">
        <f t="shared" ref="M95:M105" si="61">ROUND((O94+(N95)/2)*Q95/12,2)</f>
        <v>1178.96</v>
      </c>
      <c r="N95" s="148">
        <v>-176513.22</v>
      </c>
      <c r="O95" s="146">
        <f t="shared" si="59"/>
        <v>348231.90999999992</v>
      </c>
      <c r="P95" s="149"/>
      <c r="Q95" s="94">
        <f t="shared" ref="Q95:Q105" si="62">H95</f>
        <v>3.2500000000000001E-2</v>
      </c>
    </row>
    <row r="96" spans="1:24" ht="14.45" customHeight="1">
      <c r="A96" s="92">
        <f t="shared" si="56"/>
        <v>44621</v>
      </c>
      <c r="D96" s="146">
        <f t="shared" si="60"/>
        <v>0</v>
      </c>
      <c r="E96" s="148">
        <v>0</v>
      </c>
      <c r="F96" s="146">
        <f t="shared" si="57"/>
        <v>0</v>
      </c>
      <c r="G96" s="149"/>
      <c r="H96" s="94">
        <f t="shared" si="58"/>
        <v>3.2500000000000001E-2</v>
      </c>
      <c r="J96" s="92">
        <f t="shared" si="55"/>
        <v>44621</v>
      </c>
      <c r="M96" s="146">
        <f t="shared" si="61"/>
        <v>769.21</v>
      </c>
      <c r="N96" s="148">
        <v>-128434.38</v>
      </c>
      <c r="O96" s="146">
        <f t="shared" si="59"/>
        <v>220566.73999999993</v>
      </c>
      <c r="P96" s="149"/>
      <c r="Q96" s="94">
        <f t="shared" si="62"/>
        <v>3.2500000000000001E-2</v>
      </c>
      <c r="U96" s="17"/>
      <c r="V96" s="181"/>
      <c r="W96" s="17"/>
      <c r="X96" s="181"/>
    </row>
    <row r="97" spans="1:24" ht="14.45" customHeight="1">
      <c r="A97" s="92">
        <f t="shared" si="56"/>
        <v>44652</v>
      </c>
      <c r="D97" s="146">
        <f t="shared" si="60"/>
        <v>0</v>
      </c>
      <c r="E97" s="148">
        <v>0</v>
      </c>
      <c r="F97" s="146">
        <f>F96+C97+D97+E97</f>
        <v>0</v>
      </c>
      <c r="G97" s="149"/>
      <c r="H97" s="94">
        <f t="shared" si="58"/>
        <v>3.2500000000000001E-2</v>
      </c>
      <c r="J97" s="92">
        <f t="shared" si="55"/>
        <v>44652</v>
      </c>
      <c r="M97" s="146">
        <f t="shared" si="61"/>
        <v>451.51</v>
      </c>
      <c r="N97" s="148">
        <v>-107709.67</v>
      </c>
      <c r="O97" s="146">
        <f t="shared" si="59"/>
        <v>113308.57999999994</v>
      </c>
      <c r="P97" s="149"/>
      <c r="Q97" s="94">
        <f t="shared" si="62"/>
        <v>3.2500000000000001E-2</v>
      </c>
      <c r="U97" s="17"/>
      <c r="V97" s="181"/>
      <c r="W97" s="17"/>
      <c r="X97" s="181"/>
    </row>
    <row r="98" spans="1:24" ht="14.45" customHeight="1">
      <c r="A98" s="92">
        <f t="shared" si="56"/>
        <v>44682</v>
      </c>
      <c r="D98" s="146">
        <f t="shared" si="60"/>
        <v>0</v>
      </c>
      <c r="E98" s="148">
        <v>0</v>
      </c>
      <c r="F98" s="146">
        <f>F97+C98+D98+E98</f>
        <v>0</v>
      </c>
      <c r="G98" s="149"/>
      <c r="H98" s="94">
        <f t="shared" si="58"/>
        <v>3.2500000000000001E-2</v>
      </c>
      <c r="J98" s="92">
        <f t="shared" si="55"/>
        <v>44682</v>
      </c>
      <c r="M98" s="146">
        <f t="shared" si="61"/>
        <v>216.26</v>
      </c>
      <c r="N98" s="148">
        <v>-66916.28</v>
      </c>
      <c r="O98" s="146">
        <f t="shared" si="59"/>
        <v>46608.559999999939</v>
      </c>
      <c r="P98" s="149"/>
      <c r="Q98" s="94">
        <f t="shared" si="62"/>
        <v>3.2500000000000001E-2</v>
      </c>
      <c r="U98" s="17"/>
      <c r="V98" s="181"/>
      <c r="W98" s="17"/>
      <c r="X98" s="181"/>
    </row>
    <row r="99" spans="1:24" ht="14.45" customHeight="1">
      <c r="A99" s="92">
        <f t="shared" si="56"/>
        <v>44713</v>
      </c>
      <c r="D99" s="146">
        <f t="shared" si="60"/>
        <v>0</v>
      </c>
      <c r="E99" s="148">
        <v>0</v>
      </c>
      <c r="F99" s="146">
        <f t="shared" si="57"/>
        <v>0</v>
      </c>
      <c r="G99" s="149"/>
      <c r="H99" s="94">
        <f t="shared" si="58"/>
        <v>3.2500000000000001E-2</v>
      </c>
      <c r="J99" s="92">
        <f t="shared" si="55"/>
        <v>44713</v>
      </c>
      <c r="M99" s="146">
        <f t="shared" si="61"/>
        <v>83.98</v>
      </c>
      <c r="N99" s="148">
        <v>-31200.06</v>
      </c>
      <c r="O99" s="146">
        <f t="shared" si="59"/>
        <v>15492.479999999941</v>
      </c>
      <c r="P99" s="149"/>
      <c r="Q99" s="94">
        <f t="shared" si="62"/>
        <v>3.2500000000000001E-2</v>
      </c>
    </row>
    <row r="100" spans="1:24" ht="14.45" customHeight="1">
      <c r="A100" s="92">
        <f t="shared" si="56"/>
        <v>44743</v>
      </c>
      <c r="D100" s="146">
        <f>ROUND((F99+(E100)/2)*H100/12,2)</f>
        <v>0</v>
      </c>
      <c r="E100" s="148">
        <v>0</v>
      </c>
      <c r="F100" s="146">
        <f>F99+D100+E100</f>
        <v>0</v>
      </c>
      <c r="G100" s="149"/>
      <c r="H100" s="94">
        <f t="shared" si="58"/>
        <v>3.5999999999999997E-2</v>
      </c>
      <c r="J100" s="92">
        <f t="shared" si="55"/>
        <v>44743</v>
      </c>
      <c r="M100" s="146">
        <f>ROUND((O99+(N100)/2)*Q100/12,2)</f>
        <v>16.87</v>
      </c>
      <c r="N100" s="148">
        <v>-19740.080000000002</v>
      </c>
      <c r="O100" s="146">
        <f t="shared" si="59"/>
        <v>-4230.7300000000596</v>
      </c>
      <c r="P100" s="149"/>
      <c r="Q100" s="94">
        <f t="shared" si="62"/>
        <v>3.5999999999999997E-2</v>
      </c>
    </row>
    <row r="101" spans="1:24" ht="14.45" customHeight="1">
      <c r="A101" s="92">
        <f t="shared" si="56"/>
        <v>44774</v>
      </c>
      <c r="D101" s="146">
        <f>ROUND((F100+(E101)/2)*H101/12,2)</f>
        <v>0</v>
      </c>
      <c r="E101" s="148">
        <v>0</v>
      </c>
      <c r="F101" s="146">
        <f>F100+C100+C101+D101+E101</f>
        <v>0</v>
      </c>
      <c r="G101" s="149"/>
      <c r="H101" s="94">
        <f t="shared" si="58"/>
        <v>3.5999999999999997E-2</v>
      </c>
      <c r="J101" s="92">
        <f t="shared" si="55"/>
        <v>44774</v>
      </c>
      <c r="M101" s="146">
        <f>ROUND((O100+(N101)/2)*Q101/12,2)</f>
        <v>-39.119999999999997</v>
      </c>
      <c r="N101" s="148">
        <v>-17621.46</v>
      </c>
      <c r="O101" s="146">
        <f t="shared" si="59"/>
        <v>-21891.31000000006</v>
      </c>
      <c r="P101" s="149"/>
      <c r="Q101" s="94">
        <f t="shared" si="62"/>
        <v>3.5999999999999997E-2</v>
      </c>
    </row>
    <row r="102" spans="1:24" ht="14.45" customHeight="1">
      <c r="A102" s="92">
        <f t="shared" si="56"/>
        <v>44805</v>
      </c>
      <c r="B102" s="53" t="s">
        <v>126</v>
      </c>
      <c r="C102" s="146">
        <f>IF(C68&lt;0,-C68,0)</f>
        <v>0</v>
      </c>
      <c r="D102" s="146">
        <f t="shared" si="60"/>
        <v>0</v>
      </c>
      <c r="E102" s="148">
        <v>0</v>
      </c>
      <c r="F102" s="146">
        <f>F101+C102+D102+E102</f>
        <v>0</v>
      </c>
      <c r="G102" s="149"/>
      <c r="H102" s="94">
        <f t="shared" si="58"/>
        <v>3.5999999999999997E-2</v>
      </c>
      <c r="J102" s="92">
        <f t="shared" si="55"/>
        <v>44805</v>
      </c>
      <c r="K102" s="53" t="s">
        <v>126</v>
      </c>
      <c r="L102" s="146">
        <f>IF(L68&lt;0,-L68,0)</f>
        <v>6726954.4900000002</v>
      </c>
      <c r="M102" s="146">
        <f t="shared" si="61"/>
        <v>-100.37</v>
      </c>
      <c r="N102" s="148">
        <v>-23132.55</v>
      </c>
      <c r="O102" s="146">
        <f>O101+M102+N102</f>
        <v>-45124.230000000054</v>
      </c>
      <c r="P102" s="149"/>
      <c r="Q102" s="94">
        <f t="shared" si="62"/>
        <v>3.5999999999999997E-2</v>
      </c>
    </row>
    <row r="103" spans="1:24" ht="14.45" customHeight="1">
      <c r="A103" s="92">
        <f t="shared" si="56"/>
        <v>44835</v>
      </c>
      <c r="B103" s="53" t="s">
        <v>126</v>
      </c>
      <c r="C103" s="146">
        <f>IF(F95&gt;0,IF(F67+F102&lt;0,-F102,-C135),IF(F67+F134&lt;0,-F102,-C135))</f>
        <v>0</v>
      </c>
      <c r="D103" s="146">
        <f>ROUND((F102+C102+C103+(E103)/2)*H103/12,2)</f>
        <v>0</v>
      </c>
      <c r="E103" s="148">
        <v>0</v>
      </c>
      <c r="F103" s="146">
        <f>F102+C103+D103+E103</f>
        <v>0</v>
      </c>
      <c r="G103" s="149"/>
      <c r="H103" s="94">
        <f t="shared" si="58"/>
        <v>4.9099999999999998E-2</v>
      </c>
      <c r="J103" s="92">
        <f t="shared" si="55"/>
        <v>44835</v>
      </c>
      <c r="K103" s="53" t="s">
        <v>126</v>
      </c>
      <c r="L103" s="146">
        <f>IF(O95&gt;0,IF(O67+O102&lt;0,-O102,-L135),IF(O67+O134&lt;0,-O102,-L135))</f>
        <v>0</v>
      </c>
      <c r="M103" s="146">
        <f>ROUND((O102+L102+L103+(N103)/2)*Q103/12,2)</f>
        <v>26914.42</v>
      </c>
      <c r="N103" s="148">
        <v>-207933.48</v>
      </c>
      <c r="O103" s="146">
        <f>O102+L102+L103+M103+N103</f>
        <v>6500811.1999999993</v>
      </c>
      <c r="P103" s="149"/>
      <c r="Q103" s="94">
        <f t="shared" si="62"/>
        <v>4.9099999999999998E-2</v>
      </c>
    </row>
    <row r="104" spans="1:24">
      <c r="A104" s="92">
        <f t="shared" si="56"/>
        <v>44866</v>
      </c>
      <c r="D104" s="146">
        <f t="shared" si="60"/>
        <v>0</v>
      </c>
      <c r="E104" s="148">
        <v>0</v>
      </c>
      <c r="F104" s="146">
        <f>F103+C104+D104+E104</f>
        <v>0</v>
      </c>
      <c r="G104" s="149"/>
      <c r="H104" s="94">
        <f t="shared" si="58"/>
        <v>4.9099999999999998E-2</v>
      </c>
      <c r="J104" s="92">
        <f t="shared" si="55"/>
        <v>44866</v>
      </c>
      <c r="M104" s="146">
        <f t="shared" si="61"/>
        <v>24978.53</v>
      </c>
      <c r="N104" s="148">
        <v>-792156.82</v>
      </c>
      <c r="O104" s="146">
        <f>O103+L104+M104+N104</f>
        <v>5733632.9099999992</v>
      </c>
      <c r="P104" s="149"/>
      <c r="Q104" s="94">
        <f t="shared" si="62"/>
        <v>4.9099999999999998E-2</v>
      </c>
    </row>
    <row r="105" spans="1:24">
      <c r="A105" s="92">
        <f t="shared" si="56"/>
        <v>44896</v>
      </c>
      <c r="B105" s="93"/>
      <c r="C105" s="152"/>
      <c r="D105" s="146">
        <f t="shared" si="60"/>
        <v>0</v>
      </c>
      <c r="E105" s="148">
        <v>0</v>
      </c>
      <c r="F105" s="146">
        <f t="shared" si="57"/>
        <v>0</v>
      </c>
      <c r="H105" s="94">
        <f t="shared" si="58"/>
        <v>4.9099999999999998E-2</v>
      </c>
      <c r="J105" s="92">
        <f t="shared" si="55"/>
        <v>44896</v>
      </c>
      <c r="K105" s="93"/>
      <c r="L105" s="185"/>
      <c r="M105" s="146">
        <f t="shared" si="61"/>
        <v>21419.63</v>
      </c>
      <c r="N105" s="148">
        <v>-997387.37</v>
      </c>
      <c r="O105" s="146">
        <f t="shared" si="59"/>
        <v>4757665.169999999</v>
      </c>
      <c r="Q105" s="94">
        <f t="shared" si="62"/>
        <v>4.9099999999999998E-2</v>
      </c>
      <c r="T105" s="184"/>
    </row>
    <row r="106" spans="1:24">
      <c r="T106" s="184"/>
    </row>
    <row r="107" spans="1:24" ht="13.9" customHeight="1">
      <c r="A107" s="177">
        <v>182338</v>
      </c>
      <c r="B107" s="177" t="s">
        <v>52</v>
      </c>
      <c r="C107" s="147" t="s">
        <v>92</v>
      </c>
      <c r="D107" s="147" t="s">
        <v>93</v>
      </c>
      <c r="E107" s="147"/>
      <c r="F107" s="146" t="s">
        <v>95</v>
      </c>
      <c r="H107" s="178" t="s">
        <v>93</v>
      </c>
      <c r="J107" s="177">
        <f>A107</f>
        <v>182338</v>
      </c>
      <c r="K107" s="177" t="s">
        <v>53</v>
      </c>
      <c r="L107" s="147" t="s">
        <v>92</v>
      </c>
      <c r="M107" s="147" t="s">
        <v>93</v>
      </c>
      <c r="N107" s="147"/>
      <c r="O107" s="146" t="s">
        <v>95</v>
      </c>
      <c r="Q107" s="178" t="s">
        <v>93</v>
      </c>
      <c r="T107" s="184"/>
    </row>
    <row r="108" spans="1:24" ht="11.45" customHeight="1">
      <c r="A108" s="108" t="s">
        <v>147</v>
      </c>
      <c r="B108" s="108" t="s">
        <v>142</v>
      </c>
      <c r="C108" s="147" t="s">
        <v>96</v>
      </c>
      <c r="D108" s="147" t="s">
        <v>97</v>
      </c>
      <c r="E108" s="147" t="s">
        <v>98</v>
      </c>
      <c r="F108" s="146" t="s">
        <v>94</v>
      </c>
      <c r="H108" s="178" t="s">
        <v>99</v>
      </c>
      <c r="J108" s="108" t="str">
        <f>A108</f>
        <v xml:space="preserve">Non-Res Surcharge Approved </v>
      </c>
      <c r="K108" s="108" t="s">
        <v>142</v>
      </c>
      <c r="L108" s="147" t="s">
        <v>96</v>
      </c>
      <c r="M108" s="147" t="s">
        <v>97</v>
      </c>
      <c r="N108" s="147" t="s">
        <v>98</v>
      </c>
      <c r="O108" s="146" t="s">
        <v>94</v>
      </c>
      <c r="Q108" s="178" t="s">
        <v>99</v>
      </c>
    </row>
    <row r="109" spans="1:24" ht="16.149999999999999" customHeight="1">
      <c r="A109" s="92">
        <f>$A$25</f>
        <v>44531</v>
      </c>
      <c r="B109" s="93"/>
      <c r="F109" s="153">
        <v>8136564.1299999999</v>
      </c>
      <c r="G109" s="149"/>
      <c r="J109" s="92">
        <f t="shared" ref="J109:J121" si="63">A109</f>
        <v>44531</v>
      </c>
      <c r="K109" s="93"/>
      <c r="O109" s="153">
        <v>290117.7</v>
      </c>
      <c r="P109" s="149"/>
    </row>
    <row r="110" spans="1:24">
      <c r="A110" s="92">
        <f t="shared" ref="A110:A121" si="64">A26</f>
        <v>44562</v>
      </c>
      <c r="D110" s="146">
        <f>ROUND((F109+(E110)/2)*H110/12,2)</f>
        <v>20494.43</v>
      </c>
      <c r="E110" s="148">
        <v>-1138779.95</v>
      </c>
      <c r="F110" s="146">
        <f>F109+C110+D110+E110</f>
        <v>7018278.6099999994</v>
      </c>
      <c r="G110" s="149"/>
      <c r="H110" s="94">
        <f t="shared" ref="H110:H121" si="65">H26</f>
        <v>3.2500000000000001E-2</v>
      </c>
      <c r="J110" s="92">
        <f t="shared" si="63"/>
        <v>44562</v>
      </c>
      <c r="M110" s="146">
        <f>ROUND((O109+(N110)/2)*Q110/12,2)</f>
        <v>691.82</v>
      </c>
      <c r="N110" s="148">
        <v>-69355.28</v>
      </c>
      <c r="O110" s="146">
        <f>O109+L110+M110+N110</f>
        <v>221454.24000000002</v>
      </c>
      <c r="P110" s="149"/>
      <c r="Q110" s="94">
        <f>H110</f>
        <v>3.2500000000000001E-2</v>
      </c>
    </row>
    <row r="111" spans="1:24">
      <c r="A111" s="92">
        <f t="shared" si="64"/>
        <v>44593</v>
      </c>
      <c r="D111" s="146">
        <f t="shared" ref="D111:D121" si="66">ROUND((F110+(E111)/2)*H111/12,2)</f>
        <v>17559.62</v>
      </c>
      <c r="E111" s="148">
        <v>-1069453.8600000001</v>
      </c>
      <c r="F111" s="146">
        <f>F110+C111+D111+E111</f>
        <v>5966384.3699999992</v>
      </c>
      <c r="G111" s="149"/>
      <c r="H111" s="94">
        <f t="shared" si="65"/>
        <v>3.2500000000000001E-2</v>
      </c>
      <c r="J111" s="92">
        <f t="shared" si="63"/>
        <v>44593</v>
      </c>
      <c r="M111" s="146">
        <f t="shared" ref="M111:M121" si="67">ROUND((O110+(N111)/2)*Q111/12,2)</f>
        <v>515.80999999999995</v>
      </c>
      <c r="N111" s="148">
        <v>-62006.080000000002</v>
      </c>
      <c r="O111" s="146">
        <f>O110+L111+M111+N111</f>
        <v>159963.97000000003</v>
      </c>
      <c r="P111" s="149"/>
      <c r="Q111" s="94">
        <f t="shared" ref="Q111:Q121" si="68">H111</f>
        <v>3.2500000000000001E-2</v>
      </c>
    </row>
    <row r="112" spans="1:24">
      <c r="A112" s="92">
        <f t="shared" si="64"/>
        <v>44621</v>
      </c>
      <c r="D112" s="146">
        <f t="shared" si="66"/>
        <v>14615.35</v>
      </c>
      <c r="E112" s="148">
        <v>-1139896.46</v>
      </c>
      <c r="F112" s="146">
        <f>F111+C112+D112+E112</f>
        <v>4841103.2599999988</v>
      </c>
      <c r="G112" s="149"/>
      <c r="H112" s="94">
        <f t="shared" si="65"/>
        <v>3.2500000000000001E-2</v>
      </c>
      <c r="J112" s="92">
        <f t="shared" si="63"/>
        <v>44621</v>
      </c>
      <c r="M112" s="146">
        <f t="shared" si="67"/>
        <v>364.41</v>
      </c>
      <c r="N112" s="148">
        <v>-50825.22</v>
      </c>
      <c r="O112" s="146">
        <f>O111+L112+M112+N112</f>
        <v>109503.16000000003</v>
      </c>
      <c r="P112" s="149"/>
      <c r="Q112" s="94">
        <f t="shared" si="68"/>
        <v>3.2500000000000001E-2</v>
      </c>
      <c r="U112" s="17"/>
      <c r="V112" s="181"/>
      <c r="W112" s="17"/>
      <c r="X112" s="181"/>
    </row>
    <row r="113" spans="1:24">
      <c r="A113" s="92">
        <f t="shared" si="64"/>
        <v>44652</v>
      </c>
      <c r="D113" s="146">
        <f t="shared" si="66"/>
        <v>11607.45</v>
      </c>
      <c r="E113" s="148">
        <v>-1110548.1399999999</v>
      </c>
      <c r="F113" s="146">
        <f t="shared" ref="F113:F115" si="69">F112+C113+D113+E113</f>
        <v>3742162.5699999994</v>
      </c>
      <c r="G113" s="149"/>
      <c r="H113" s="94">
        <f t="shared" si="65"/>
        <v>3.2500000000000001E-2</v>
      </c>
      <c r="J113" s="92">
        <f t="shared" si="63"/>
        <v>44652</v>
      </c>
      <c r="M113" s="146">
        <f t="shared" si="67"/>
        <v>238.24</v>
      </c>
      <c r="N113" s="148">
        <v>-43074.49</v>
      </c>
      <c r="O113" s="146">
        <f>O112+L113+M113+N113</f>
        <v>66666.910000000033</v>
      </c>
      <c r="P113" s="149"/>
      <c r="Q113" s="94">
        <f t="shared" si="68"/>
        <v>3.2500000000000001E-2</v>
      </c>
      <c r="U113" s="17"/>
      <c r="V113" s="181"/>
      <c r="W113" s="17"/>
      <c r="X113" s="181"/>
    </row>
    <row r="114" spans="1:24">
      <c r="A114" s="92">
        <f t="shared" si="64"/>
        <v>44682</v>
      </c>
      <c r="D114" s="146">
        <f t="shared" si="66"/>
        <v>8771.2099999999991</v>
      </c>
      <c r="E114" s="148">
        <v>-1007127.36</v>
      </c>
      <c r="F114" s="146">
        <f t="shared" si="69"/>
        <v>2743806.4199999995</v>
      </c>
      <c r="G114" s="149"/>
      <c r="H114" s="94">
        <f t="shared" si="65"/>
        <v>3.2500000000000001E-2</v>
      </c>
      <c r="J114" s="92">
        <f t="shared" si="63"/>
        <v>44682</v>
      </c>
      <c r="M114" s="146">
        <f t="shared" si="67"/>
        <v>139.88</v>
      </c>
      <c r="N114" s="148">
        <v>-30040.11</v>
      </c>
      <c r="O114" s="146">
        <f t="shared" ref="O114:O121" si="70">O113+L114+M114+N114</f>
        <v>36766.680000000037</v>
      </c>
      <c r="P114" s="149"/>
      <c r="Q114" s="94">
        <f t="shared" si="68"/>
        <v>3.2500000000000001E-2</v>
      </c>
      <c r="U114" s="17"/>
      <c r="V114" s="181"/>
      <c r="W114" s="17"/>
      <c r="X114" s="181"/>
    </row>
    <row r="115" spans="1:24">
      <c r="A115" s="92">
        <f t="shared" si="64"/>
        <v>44713</v>
      </c>
      <c r="D115" s="146">
        <f t="shared" si="66"/>
        <v>5916.28</v>
      </c>
      <c r="E115" s="148">
        <v>-1118666.06</v>
      </c>
      <c r="F115" s="146">
        <f t="shared" si="69"/>
        <v>1631056.6399999992</v>
      </c>
      <c r="G115" s="149"/>
      <c r="H115" s="94">
        <f t="shared" si="65"/>
        <v>3.2500000000000001E-2</v>
      </c>
      <c r="J115" s="92">
        <f t="shared" si="63"/>
        <v>44713</v>
      </c>
      <c r="M115" s="146">
        <f t="shared" si="67"/>
        <v>74.28</v>
      </c>
      <c r="N115" s="148">
        <v>-18681.849999999999</v>
      </c>
      <c r="O115" s="146">
        <f t="shared" si="70"/>
        <v>18159.110000000037</v>
      </c>
      <c r="P115" s="149"/>
      <c r="Q115" s="94">
        <f t="shared" si="68"/>
        <v>3.2500000000000001E-2</v>
      </c>
    </row>
    <row r="116" spans="1:24">
      <c r="A116" s="92">
        <f t="shared" si="64"/>
        <v>44743</v>
      </c>
      <c r="D116" s="146">
        <f>ROUND((F115+(E116)/2)*H116/12,2)</f>
        <v>2935.73</v>
      </c>
      <c r="E116" s="148">
        <v>-1304958.6100000001</v>
      </c>
      <c r="F116" s="146">
        <f>F115+C116+D116+E116</f>
        <v>329033.75999999908</v>
      </c>
      <c r="G116" s="149"/>
      <c r="H116" s="94">
        <f t="shared" si="65"/>
        <v>3.5999999999999997E-2</v>
      </c>
      <c r="J116" s="92">
        <f t="shared" si="63"/>
        <v>44743</v>
      </c>
      <c r="M116" s="146">
        <f>ROUND((O115+(N116)/2)*Q116/12,2)</f>
        <v>31.5</v>
      </c>
      <c r="N116" s="148">
        <v>-15316.19</v>
      </c>
      <c r="O116" s="146">
        <f t="shared" si="70"/>
        <v>2874.4200000000365</v>
      </c>
      <c r="P116" s="149"/>
      <c r="Q116" s="94">
        <f t="shared" si="68"/>
        <v>3.5999999999999997E-2</v>
      </c>
    </row>
    <row r="117" spans="1:24">
      <c r="A117" s="92">
        <f t="shared" si="64"/>
        <v>44774</v>
      </c>
      <c r="D117" s="146">
        <f>ROUND((F116+(E117)/2)*H117/12,2)</f>
        <v>-1015.01</v>
      </c>
      <c r="E117" s="148">
        <v>-1334743.43</v>
      </c>
      <c r="F117" s="146">
        <f>F116+C117+D117+E117</f>
        <v>-1006724.6800000009</v>
      </c>
      <c r="G117" s="149"/>
      <c r="H117" s="94">
        <f t="shared" si="65"/>
        <v>3.5999999999999997E-2</v>
      </c>
      <c r="J117" s="92">
        <f t="shared" si="63"/>
        <v>44774</v>
      </c>
      <c r="M117" s="146">
        <f>ROUND((O116+(N117)/2)*Q117/12,2)</f>
        <v>-12.55</v>
      </c>
      <c r="N117" s="148">
        <v>-14114.51</v>
      </c>
      <c r="O117" s="146">
        <f t="shared" si="70"/>
        <v>-11252.639999999963</v>
      </c>
      <c r="P117" s="149"/>
      <c r="Q117" s="94">
        <f t="shared" si="68"/>
        <v>3.5999999999999997E-2</v>
      </c>
    </row>
    <row r="118" spans="1:24">
      <c r="A118" s="92">
        <f t="shared" si="64"/>
        <v>44805</v>
      </c>
      <c r="B118" s="53" t="s">
        <v>126</v>
      </c>
      <c r="C118" s="146">
        <f>IF(C86&lt;0,-C86,0)</f>
        <v>2450117.790000001</v>
      </c>
      <c r="D118" s="146">
        <f t="shared" si="66"/>
        <v>-4706.0600000000004</v>
      </c>
      <c r="E118" s="148">
        <v>-1123921.05</v>
      </c>
      <c r="F118" s="146">
        <f>F117+D118+E118</f>
        <v>-2135351.790000001</v>
      </c>
      <c r="G118" s="149"/>
      <c r="H118" s="94">
        <f t="shared" si="65"/>
        <v>3.5999999999999997E-2</v>
      </c>
      <c r="J118" s="92">
        <f t="shared" si="63"/>
        <v>44805</v>
      </c>
      <c r="K118" s="53" t="s">
        <v>126</v>
      </c>
      <c r="L118" s="146">
        <f>IF(L86&lt;0,-L86,0)</f>
        <v>2462036.7199999997</v>
      </c>
      <c r="M118" s="146">
        <f t="shared" si="67"/>
        <v>-59.85</v>
      </c>
      <c r="N118" s="148">
        <v>-17396.740000000002</v>
      </c>
      <c r="O118" s="146">
        <f>O117+M118+N118</f>
        <v>-28709.229999999967</v>
      </c>
      <c r="P118" s="149"/>
      <c r="Q118" s="94">
        <f t="shared" si="68"/>
        <v>3.5999999999999997E-2</v>
      </c>
      <c r="S118" s="146"/>
    </row>
    <row r="119" spans="1:24">
      <c r="A119" s="92">
        <f t="shared" si="64"/>
        <v>44835</v>
      </c>
      <c r="B119" s="53" t="s">
        <v>126</v>
      </c>
      <c r="C119" s="146">
        <f>IF(F111&gt;0,IF(F85+F118&lt;0,-F118,-C151),IF(F85+F150&lt;0,-F118,-C151))</f>
        <v>0</v>
      </c>
      <c r="D119" s="146">
        <f>ROUND((F118+C118+C119+(E119)/2)*H119/12,2)</f>
        <v>555.04999999999995</v>
      </c>
      <c r="E119" s="148">
        <v>-358225.55</v>
      </c>
      <c r="F119" s="146">
        <f>F118+C119+D119+E119+C118</f>
        <v>-42904.5</v>
      </c>
      <c r="G119" s="186"/>
      <c r="H119" s="94">
        <f t="shared" si="65"/>
        <v>4.9099999999999998E-2</v>
      </c>
      <c r="J119" s="92">
        <f t="shared" si="63"/>
        <v>44835</v>
      </c>
      <c r="K119" s="53" t="s">
        <v>126</v>
      </c>
      <c r="L119" s="146">
        <f>IF(O111&gt;0,IF(O85+O118&lt;0,-O118,-L151),IF(O85+O150&lt;0,-O118,-L151))</f>
        <v>0</v>
      </c>
      <c r="M119" s="146">
        <f>ROUND((O118+L118+L119+(N119)/2)*Q119/12,2)</f>
        <v>9721.83</v>
      </c>
      <c r="N119" s="148">
        <v>-114641.55</v>
      </c>
      <c r="O119" s="146">
        <f>O118+L118+L119+M119+N119</f>
        <v>2328407.77</v>
      </c>
      <c r="P119" s="149"/>
      <c r="Q119" s="94">
        <f t="shared" si="68"/>
        <v>4.9099999999999998E-2</v>
      </c>
    </row>
    <row r="120" spans="1:24">
      <c r="A120" s="92">
        <f t="shared" si="64"/>
        <v>44866</v>
      </c>
      <c r="D120" s="146">
        <f t="shared" si="66"/>
        <v>-670.95</v>
      </c>
      <c r="E120" s="148">
        <v>-242148.54</v>
      </c>
      <c r="F120" s="146">
        <f>F119+C120+D120+E120</f>
        <v>-285723.99</v>
      </c>
      <c r="G120" s="186"/>
      <c r="H120" s="94">
        <f t="shared" si="65"/>
        <v>4.9099999999999998E-2</v>
      </c>
      <c r="J120" s="92">
        <f t="shared" si="63"/>
        <v>44866</v>
      </c>
      <c r="M120" s="146">
        <f t="shared" si="67"/>
        <v>9057.23</v>
      </c>
      <c r="N120" s="148">
        <v>-229655.39</v>
      </c>
      <c r="O120" s="146">
        <f>O119+L120+M120+N120</f>
        <v>2107809.61</v>
      </c>
      <c r="P120" s="149"/>
      <c r="Q120" s="94">
        <f t="shared" si="68"/>
        <v>4.9099999999999998E-2</v>
      </c>
    </row>
    <row r="121" spans="1:24">
      <c r="A121" s="92">
        <f t="shared" si="64"/>
        <v>44896</v>
      </c>
      <c r="D121" s="146">
        <f t="shared" si="66"/>
        <v>-1660.13</v>
      </c>
      <c r="E121" s="148">
        <v>-240020.55</v>
      </c>
      <c r="F121" s="146">
        <f t="shared" ref="F121" si="71">F120+C121+D121+E121</f>
        <v>-527404.66999999993</v>
      </c>
      <c r="H121" s="94">
        <f t="shared" si="65"/>
        <v>4.9099999999999998E-2</v>
      </c>
      <c r="J121" s="92">
        <f t="shared" si="63"/>
        <v>44896</v>
      </c>
      <c r="M121" s="146">
        <f t="shared" si="67"/>
        <v>8060.63</v>
      </c>
      <c r="N121" s="148">
        <v>-275596.83</v>
      </c>
      <c r="O121" s="146">
        <f t="shared" si="70"/>
        <v>1840273.4099999997</v>
      </c>
      <c r="Q121" s="94">
        <f t="shared" si="68"/>
        <v>4.9099999999999998E-2</v>
      </c>
    </row>
    <row r="122" spans="1:24">
      <c r="A122" s="92"/>
      <c r="H122" s="94"/>
      <c r="J122" s="92"/>
      <c r="Q122" s="94"/>
    </row>
    <row r="123" spans="1:24">
      <c r="A123" s="177">
        <v>254328</v>
      </c>
      <c r="B123" s="177" t="s">
        <v>52</v>
      </c>
      <c r="C123" s="147" t="s">
        <v>92</v>
      </c>
      <c r="D123" s="147" t="s">
        <v>93</v>
      </c>
      <c r="E123" s="147"/>
      <c r="F123" s="146" t="s">
        <v>95</v>
      </c>
      <c r="H123" s="178" t="s">
        <v>93</v>
      </c>
      <c r="J123" s="177">
        <f>A123</f>
        <v>254328</v>
      </c>
      <c r="K123" s="177" t="s">
        <v>53</v>
      </c>
      <c r="L123" s="147" t="s">
        <v>92</v>
      </c>
      <c r="M123" s="147" t="s">
        <v>93</v>
      </c>
      <c r="N123" s="147"/>
      <c r="O123" s="146" t="s">
        <v>95</v>
      </c>
      <c r="Q123" s="178" t="s">
        <v>93</v>
      </c>
    </row>
    <row r="124" spans="1:24">
      <c r="A124" s="108" t="s">
        <v>148</v>
      </c>
      <c r="B124" s="108" t="s">
        <v>142</v>
      </c>
      <c r="C124" s="147" t="s">
        <v>96</v>
      </c>
      <c r="D124" s="147" t="s">
        <v>97</v>
      </c>
      <c r="E124" s="147" t="s">
        <v>98</v>
      </c>
      <c r="F124" s="146" t="s">
        <v>94</v>
      </c>
      <c r="H124" s="178" t="s">
        <v>99</v>
      </c>
      <c r="J124" s="108" t="str">
        <f>A124</f>
        <v>Res Rebate Approved</v>
      </c>
      <c r="K124" s="108" t="s">
        <v>142</v>
      </c>
      <c r="L124" s="147" t="s">
        <v>96</v>
      </c>
      <c r="M124" s="147" t="s">
        <v>97</v>
      </c>
      <c r="N124" s="147" t="s">
        <v>98</v>
      </c>
      <c r="O124" s="146" t="s">
        <v>94</v>
      </c>
      <c r="Q124" s="178" t="s">
        <v>99</v>
      </c>
    </row>
    <row r="125" spans="1:24">
      <c r="A125" s="92">
        <f>$A$25</f>
        <v>44531</v>
      </c>
      <c r="B125" s="93"/>
      <c r="F125" s="153">
        <v>-843947.01000000024</v>
      </c>
      <c r="G125" s="149"/>
      <c r="J125" s="92">
        <f t="shared" ref="J125:J137" si="72">A125</f>
        <v>44531</v>
      </c>
      <c r="K125" s="93"/>
      <c r="O125" s="153">
        <v>0</v>
      </c>
      <c r="P125" s="149"/>
    </row>
    <row r="126" spans="1:24">
      <c r="A126" s="92">
        <f t="shared" ref="A126:A137" si="73">A26</f>
        <v>44562</v>
      </c>
      <c r="D126" s="146">
        <f>ROUND((F125+(E126)/2)*H126/12,2)</f>
        <v>-2111.79</v>
      </c>
      <c r="E126" s="182">
        <v>128419.8</v>
      </c>
      <c r="F126" s="146">
        <f t="shared" ref="F126:F137" si="74">F125+C126+D126+E126</f>
        <v>-717639.00000000023</v>
      </c>
      <c r="G126" s="149"/>
      <c r="H126" s="94">
        <f t="shared" ref="H126:H137" si="75">H26</f>
        <v>3.2500000000000001E-2</v>
      </c>
      <c r="J126" s="92">
        <f t="shared" si="72"/>
        <v>44562</v>
      </c>
      <c r="M126" s="146">
        <f>ROUND((O125+(N126)/2)*Q126/12,2)</f>
        <v>0</v>
      </c>
      <c r="N126" s="182">
        <v>0</v>
      </c>
      <c r="O126" s="146">
        <f t="shared" ref="O126:O137" si="76">O125+L126+M126+N126</f>
        <v>0</v>
      </c>
      <c r="P126" s="149"/>
      <c r="Q126" s="94">
        <f>H126</f>
        <v>3.2500000000000001E-2</v>
      </c>
    </row>
    <row r="127" spans="1:24">
      <c r="A127" s="92">
        <f t="shared" si="73"/>
        <v>44593</v>
      </c>
      <c r="D127" s="146">
        <f t="shared" ref="D127:D137" si="77">ROUND((F126+(E127)/2)*H127/12,2)</f>
        <v>-1801.19</v>
      </c>
      <c r="E127" s="182">
        <v>105169.79</v>
      </c>
      <c r="F127" s="146">
        <f t="shared" si="74"/>
        <v>-614270.40000000014</v>
      </c>
      <c r="G127" s="149"/>
      <c r="H127" s="94">
        <f t="shared" si="75"/>
        <v>3.2500000000000001E-2</v>
      </c>
      <c r="J127" s="92">
        <f t="shared" si="72"/>
        <v>44593</v>
      </c>
      <c r="M127" s="146">
        <f t="shared" ref="M127:M137" si="78">ROUND((O126+(N127)/2)*Q127/12,2)</f>
        <v>0</v>
      </c>
      <c r="N127" s="182">
        <v>0</v>
      </c>
      <c r="O127" s="146">
        <f t="shared" si="76"/>
        <v>0</v>
      </c>
      <c r="P127" s="149"/>
      <c r="Q127" s="94">
        <f t="shared" ref="Q127:Q137" si="79">H127</f>
        <v>3.2500000000000001E-2</v>
      </c>
    </row>
    <row r="128" spans="1:24">
      <c r="A128" s="92">
        <f t="shared" si="73"/>
        <v>44621</v>
      </c>
      <c r="D128" s="146">
        <f t="shared" si="77"/>
        <v>-1528.46</v>
      </c>
      <c r="E128" s="182">
        <v>99828.66</v>
      </c>
      <c r="F128" s="146">
        <f t="shared" si="74"/>
        <v>-515970.20000000007</v>
      </c>
      <c r="G128" s="149"/>
      <c r="H128" s="94">
        <f t="shared" si="75"/>
        <v>3.2500000000000001E-2</v>
      </c>
      <c r="J128" s="92">
        <f t="shared" si="72"/>
        <v>44621</v>
      </c>
      <c r="M128" s="146">
        <f t="shared" si="78"/>
        <v>0</v>
      </c>
      <c r="N128" s="182">
        <v>0</v>
      </c>
      <c r="O128" s="146">
        <f t="shared" si="76"/>
        <v>0</v>
      </c>
      <c r="P128" s="149"/>
      <c r="Q128" s="94">
        <f t="shared" si="79"/>
        <v>3.2500000000000001E-2</v>
      </c>
      <c r="U128" s="17"/>
      <c r="V128" s="181"/>
      <c r="W128" s="17"/>
      <c r="X128" s="181"/>
    </row>
    <row r="129" spans="1:24">
      <c r="A129" s="92">
        <f t="shared" si="73"/>
        <v>44652</v>
      </c>
      <c r="D129" s="146">
        <f t="shared" si="77"/>
        <v>-1280.08</v>
      </c>
      <c r="E129" s="182">
        <v>86649.95</v>
      </c>
      <c r="F129" s="146">
        <f t="shared" si="74"/>
        <v>-430600.33000000007</v>
      </c>
      <c r="G129" s="149"/>
      <c r="H129" s="94">
        <f t="shared" si="75"/>
        <v>3.2500000000000001E-2</v>
      </c>
      <c r="J129" s="92">
        <f t="shared" si="72"/>
        <v>44652</v>
      </c>
      <c r="M129" s="146">
        <f t="shared" si="78"/>
        <v>0</v>
      </c>
      <c r="N129" s="182">
        <v>0</v>
      </c>
      <c r="O129" s="146">
        <f t="shared" si="76"/>
        <v>0</v>
      </c>
      <c r="P129" s="149"/>
      <c r="Q129" s="94">
        <f t="shared" si="79"/>
        <v>3.2500000000000001E-2</v>
      </c>
      <c r="U129" s="17"/>
      <c r="V129" s="181"/>
      <c r="W129" s="17"/>
      <c r="X129" s="181"/>
    </row>
    <row r="130" spans="1:24">
      <c r="A130" s="92">
        <f t="shared" si="73"/>
        <v>44682</v>
      </c>
      <c r="D130" s="146">
        <f t="shared" si="77"/>
        <v>-1066.98</v>
      </c>
      <c r="E130" s="182">
        <v>73275.33</v>
      </c>
      <c r="F130" s="146">
        <f t="shared" si="74"/>
        <v>-358391.98000000004</v>
      </c>
      <c r="G130" s="149"/>
      <c r="H130" s="94">
        <f t="shared" si="75"/>
        <v>3.2500000000000001E-2</v>
      </c>
      <c r="J130" s="92">
        <f t="shared" si="72"/>
        <v>44682</v>
      </c>
      <c r="M130" s="146">
        <f t="shared" si="78"/>
        <v>0</v>
      </c>
      <c r="N130" s="182">
        <v>0</v>
      </c>
      <c r="O130" s="146">
        <f t="shared" si="76"/>
        <v>0</v>
      </c>
      <c r="P130" s="149"/>
      <c r="Q130" s="94">
        <f t="shared" si="79"/>
        <v>3.2500000000000001E-2</v>
      </c>
      <c r="U130" s="17"/>
      <c r="V130" s="181"/>
      <c r="W130" s="17"/>
      <c r="X130" s="181"/>
    </row>
    <row r="131" spans="1:24">
      <c r="A131" s="92">
        <f t="shared" si="73"/>
        <v>44713</v>
      </c>
      <c r="D131" s="146">
        <f t="shared" si="77"/>
        <v>-881.81</v>
      </c>
      <c r="E131" s="182">
        <v>65599.820000000007</v>
      </c>
      <c r="F131" s="146">
        <f t="shared" si="74"/>
        <v>-293673.97000000003</v>
      </c>
      <c r="G131" s="149"/>
      <c r="H131" s="94">
        <f t="shared" si="75"/>
        <v>3.2500000000000001E-2</v>
      </c>
      <c r="J131" s="92">
        <f t="shared" si="72"/>
        <v>44713</v>
      </c>
      <c r="M131" s="146">
        <f t="shared" si="78"/>
        <v>0</v>
      </c>
      <c r="N131" s="182">
        <v>0</v>
      </c>
      <c r="O131" s="146">
        <f t="shared" si="76"/>
        <v>0</v>
      </c>
      <c r="P131" s="149"/>
      <c r="Q131" s="94">
        <f t="shared" si="79"/>
        <v>3.2500000000000001E-2</v>
      </c>
    </row>
    <row r="132" spans="1:24">
      <c r="A132" s="92">
        <f t="shared" si="73"/>
        <v>44743</v>
      </c>
      <c r="D132" s="146">
        <f>ROUND((F131+(E132)/2)*H132/12,2)</f>
        <v>-749.14</v>
      </c>
      <c r="E132" s="182">
        <v>87922.92</v>
      </c>
      <c r="F132" s="146">
        <f>F131+D132+E132</f>
        <v>-206500.19000000006</v>
      </c>
      <c r="G132" s="149"/>
      <c r="H132" s="94">
        <f t="shared" si="75"/>
        <v>3.5999999999999997E-2</v>
      </c>
      <c r="J132" s="92">
        <f t="shared" si="72"/>
        <v>44743</v>
      </c>
      <c r="M132" s="146">
        <f>ROUND((O131+(N132)/2)*Q132/12,2)</f>
        <v>0</v>
      </c>
      <c r="N132" s="182">
        <v>0</v>
      </c>
      <c r="O132" s="146">
        <f t="shared" si="76"/>
        <v>0</v>
      </c>
      <c r="P132" s="149"/>
      <c r="Q132" s="94">
        <f t="shared" si="79"/>
        <v>3.5999999999999997E-2</v>
      </c>
    </row>
    <row r="133" spans="1:24">
      <c r="A133" s="92">
        <f t="shared" si="73"/>
        <v>44774</v>
      </c>
      <c r="D133" s="146">
        <f>ROUND((F132+(E133)/2)*H133/12,2)</f>
        <v>-462.27</v>
      </c>
      <c r="E133" s="182">
        <v>104819.27</v>
      </c>
      <c r="F133" s="146">
        <f>F132+D133+E133</f>
        <v>-102143.19000000005</v>
      </c>
      <c r="G133" s="149"/>
      <c r="H133" s="94">
        <f t="shared" si="75"/>
        <v>3.5999999999999997E-2</v>
      </c>
      <c r="J133" s="92">
        <f t="shared" si="72"/>
        <v>44774</v>
      </c>
      <c r="M133" s="146">
        <f>ROUND((O132+(N133)/2)*Q133/12,2)</f>
        <v>0</v>
      </c>
      <c r="N133" s="182">
        <v>0</v>
      </c>
      <c r="O133" s="146">
        <f t="shared" si="76"/>
        <v>0</v>
      </c>
      <c r="P133" s="186"/>
      <c r="Q133" s="94">
        <f t="shared" si="79"/>
        <v>3.5999999999999997E-2</v>
      </c>
    </row>
    <row r="134" spans="1:24">
      <c r="A134" s="92">
        <f t="shared" si="73"/>
        <v>44805</v>
      </c>
      <c r="B134" s="53" t="s">
        <v>126</v>
      </c>
      <c r="C134" s="146">
        <f>IF(C68&gt;0,-C68,0)</f>
        <v>-5254334.0699999994</v>
      </c>
      <c r="D134" s="146">
        <f t="shared" si="77"/>
        <v>-199.84</v>
      </c>
      <c r="E134" s="182">
        <v>71062.81</v>
      </c>
      <c r="F134" s="146">
        <f>F133+D134+E134</f>
        <v>-31280.220000000045</v>
      </c>
      <c r="G134" s="149"/>
      <c r="H134" s="94">
        <f t="shared" si="75"/>
        <v>3.5999999999999997E-2</v>
      </c>
      <c r="J134" s="92">
        <f t="shared" si="72"/>
        <v>44805</v>
      </c>
      <c r="K134" s="53" t="s">
        <v>126</v>
      </c>
      <c r="L134" s="146">
        <f>IF(L68&gt;0,-L68,0)</f>
        <v>0</v>
      </c>
      <c r="M134" s="146">
        <f t="shared" si="78"/>
        <v>0</v>
      </c>
      <c r="N134" s="182">
        <v>0</v>
      </c>
      <c r="O134" s="146">
        <f>O133+M134+N134</f>
        <v>0</v>
      </c>
      <c r="P134" s="149"/>
      <c r="Q134" s="94">
        <f t="shared" si="79"/>
        <v>3.5999999999999997E-2</v>
      </c>
    </row>
    <row r="135" spans="1:24">
      <c r="A135" s="92">
        <f t="shared" si="73"/>
        <v>44835</v>
      </c>
      <c r="B135" s="53" t="s">
        <v>126</v>
      </c>
      <c r="C135" s="146">
        <f>IF(F127&gt;=0,IF(F67+F102&lt;0,-C103,-C134),IF(F67+F134&gt;0,-F134,-C103))</f>
        <v>0</v>
      </c>
      <c r="D135" s="146">
        <f>ROUND((F134+C134+C135+(E135)/2)*H135/12,2)</f>
        <v>-20947.13</v>
      </c>
      <c r="E135" s="182">
        <v>332306.53000000003</v>
      </c>
      <c r="F135" s="146">
        <f>F134+C135+D135+E135+C134</f>
        <v>-4974254.8899999997</v>
      </c>
      <c r="G135" s="149"/>
      <c r="H135" s="94">
        <f t="shared" si="75"/>
        <v>4.9099999999999998E-2</v>
      </c>
      <c r="J135" s="92">
        <f t="shared" si="72"/>
        <v>44835</v>
      </c>
      <c r="K135" s="53" t="s">
        <v>126</v>
      </c>
      <c r="L135" s="146">
        <f>IF(O127&gt;=0,IF(O67+O102&lt;0,-L103,-L134),IF(O67+O134&gt;0,-O134,-L103))</f>
        <v>0</v>
      </c>
      <c r="M135" s="146">
        <f>ROUND((O134+L134+L135+(N135)/2)*Q135/12,2)</f>
        <v>0</v>
      </c>
      <c r="N135" s="182">
        <v>0</v>
      </c>
      <c r="O135" s="146">
        <f>O134+L134+L135+M135+N135</f>
        <v>0</v>
      </c>
      <c r="P135" s="149"/>
      <c r="Q135" s="94">
        <f t="shared" si="79"/>
        <v>4.9099999999999998E-2</v>
      </c>
    </row>
    <row r="136" spans="1:24">
      <c r="A136" s="92">
        <f t="shared" si="73"/>
        <v>44866</v>
      </c>
      <c r="D136" s="146">
        <f t="shared" si="77"/>
        <v>-19162.14</v>
      </c>
      <c r="E136" s="182">
        <v>582086.27</v>
      </c>
      <c r="F136" s="146">
        <f t="shared" si="74"/>
        <v>-4411330.76</v>
      </c>
      <c r="G136" s="149"/>
      <c r="H136" s="94">
        <f t="shared" si="75"/>
        <v>4.9099999999999998E-2</v>
      </c>
      <c r="J136" s="92">
        <f t="shared" si="72"/>
        <v>44866</v>
      </c>
      <c r="M136" s="146">
        <f t="shared" si="78"/>
        <v>0</v>
      </c>
      <c r="N136" s="182">
        <v>0</v>
      </c>
      <c r="O136" s="146">
        <f>O135+L136+M136+N136</f>
        <v>0</v>
      </c>
      <c r="P136" s="149"/>
      <c r="Q136" s="94">
        <f t="shared" si="79"/>
        <v>4.9099999999999998E-2</v>
      </c>
    </row>
    <row r="137" spans="1:24">
      <c r="A137" s="92">
        <f t="shared" si="73"/>
        <v>44896</v>
      </c>
      <c r="B137" s="93"/>
      <c r="D137" s="146">
        <f t="shared" si="77"/>
        <v>-16553.66</v>
      </c>
      <c r="E137" s="182">
        <v>731260.72</v>
      </c>
      <c r="F137" s="146">
        <f t="shared" si="74"/>
        <v>-3696623.7</v>
      </c>
      <c r="H137" s="94">
        <f t="shared" si="75"/>
        <v>4.9099999999999998E-2</v>
      </c>
      <c r="J137" s="92">
        <f t="shared" si="72"/>
        <v>44896</v>
      </c>
      <c r="K137" s="93"/>
      <c r="M137" s="146">
        <f t="shared" si="78"/>
        <v>0</v>
      </c>
      <c r="N137" s="182">
        <v>0</v>
      </c>
      <c r="O137" s="146">
        <f t="shared" si="76"/>
        <v>0</v>
      </c>
      <c r="Q137" s="94">
        <f t="shared" si="79"/>
        <v>4.9099999999999998E-2</v>
      </c>
    </row>
    <row r="138" spans="1:24">
      <c r="A138" s="92"/>
    </row>
    <row r="139" spans="1:24">
      <c r="A139" s="177">
        <v>254338</v>
      </c>
      <c r="B139" s="177" t="s">
        <v>52</v>
      </c>
      <c r="C139" s="147" t="s">
        <v>92</v>
      </c>
      <c r="D139" s="147" t="s">
        <v>93</v>
      </c>
      <c r="E139" s="147"/>
      <c r="F139" s="146" t="s">
        <v>95</v>
      </c>
      <c r="H139" s="178" t="s">
        <v>93</v>
      </c>
      <c r="J139" s="177">
        <f>A139</f>
        <v>254338</v>
      </c>
      <c r="K139" s="177" t="s">
        <v>53</v>
      </c>
      <c r="L139" s="147" t="s">
        <v>92</v>
      </c>
      <c r="M139" s="147" t="s">
        <v>93</v>
      </c>
      <c r="N139" s="147"/>
      <c r="O139" s="146" t="s">
        <v>95</v>
      </c>
      <c r="Q139" s="178" t="s">
        <v>93</v>
      </c>
    </row>
    <row r="140" spans="1:24">
      <c r="A140" s="108" t="s">
        <v>149</v>
      </c>
      <c r="B140" s="108" t="s">
        <v>142</v>
      </c>
      <c r="C140" s="147" t="s">
        <v>96</v>
      </c>
      <c r="D140" s="147" t="s">
        <v>97</v>
      </c>
      <c r="E140" s="147" t="s">
        <v>98</v>
      </c>
      <c r="F140" s="146" t="s">
        <v>94</v>
      </c>
      <c r="H140" s="178" t="s">
        <v>99</v>
      </c>
      <c r="J140" s="108" t="str">
        <f>A140</f>
        <v>Non-Res Rebate Approved</v>
      </c>
      <c r="K140" s="108" t="s">
        <v>142</v>
      </c>
      <c r="L140" s="147" t="s">
        <v>96</v>
      </c>
      <c r="M140" s="147" t="s">
        <v>97</v>
      </c>
      <c r="N140" s="147" t="s">
        <v>98</v>
      </c>
      <c r="O140" s="146" t="s">
        <v>94</v>
      </c>
      <c r="Q140" s="178" t="s">
        <v>99</v>
      </c>
    </row>
    <row r="141" spans="1:24">
      <c r="A141" s="92">
        <f>$A$25</f>
        <v>44531</v>
      </c>
      <c r="B141" s="93"/>
      <c r="F141" s="153">
        <v>0</v>
      </c>
      <c r="G141" s="149"/>
      <c r="J141" s="92">
        <f t="shared" ref="J141:J153" si="80">A141</f>
        <v>44531</v>
      </c>
      <c r="K141" s="93"/>
      <c r="O141" s="153">
        <v>0</v>
      </c>
      <c r="P141" s="149"/>
    </row>
    <row r="142" spans="1:24">
      <c r="A142" s="92">
        <f t="shared" ref="A142:A153" si="81">A26</f>
        <v>44562</v>
      </c>
      <c r="D142" s="146">
        <f>ROUND((F141+(E142)/2)*H142/12,2)</f>
        <v>0</v>
      </c>
      <c r="E142" s="182">
        <v>0</v>
      </c>
      <c r="F142" s="146">
        <f>F141+C142+D142+E142</f>
        <v>0</v>
      </c>
      <c r="G142" s="149"/>
      <c r="H142" s="94">
        <f t="shared" ref="H142:H153" si="82">H26</f>
        <v>3.2500000000000001E-2</v>
      </c>
      <c r="J142" s="92">
        <f t="shared" si="80"/>
        <v>44562</v>
      </c>
      <c r="M142" s="146">
        <f>ROUND((O141+(N142)/2)*Q142/12,2)</f>
        <v>0</v>
      </c>
      <c r="N142" s="182">
        <v>0</v>
      </c>
      <c r="O142" s="146">
        <f>O141+L142+M142+N142</f>
        <v>0</v>
      </c>
      <c r="P142" s="149"/>
      <c r="Q142" s="94">
        <f>H142</f>
        <v>3.2500000000000001E-2</v>
      </c>
    </row>
    <row r="143" spans="1:24">
      <c r="A143" s="92">
        <f t="shared" si="81"/>
        <v>44593</v>
      </c>
      <c r="D143" s="146">
        <f t="shared" ref="D143:D153" si="83">ROUND((F142+(E143)/2)*H143/12,2)</f>
        <v>0</v>
      </c>
      <c r="E143" s="182">
        <v>0</v>
      </c>
      <c r="F143" s="146">
        <f>F142+C143+D143+E143</f>
        <v>0</v>
      </c>
      <c r="G143" s="149"/>
      <c r="H143" s="94">
        <f t="shared" si="82"/>
        <v>3.2500000000000001E-2</v>
      </c>
      <c r="J143" s="92">
        <f t="shared" si="80"/>
        <v>44593</v>
      </c>
      <c r="M143" s="146">
        <f t="shared" ref="M143:M153" si="84">ROUND((O142+(N143)/2)*Q143/12,2)</f>
        <v>0</v>
      </c>
      <c r="N143" s="182">
        <v>0</v>
      </c>
      <c r="O143" s="146">
        <f>O142+L143+M143+N143</f>
        <v>0</v>
      </c>
      <c r="P143" s="149"/>
      <c r="Q143" s="94">
        <f t="shared" ref="Q143:Q153" si="85">H143</f>
        <v>3.2500000000000001E-2</v>
      </c>
    </row>
    <row r="144" spans="1:24">
      <c r="A144" s="92">
        <f t="shared" si="81"/>
        <v>44621</v>
      </c>
      <c r="D144" s="146">
        <f t="shared" si="83"/>
        <v>0</v>
      </c>
      <c r="E144" s="182">
        <v>0</v>
      </c>
      <c r="F144" s="146">
        <f>F143+C144+D144+E144</f>
        <v>0</v>
      </c>
      <c r="G144" s="149"/>
      <c r="H144" s="94">
        <f t="shared" si="82"/>
        <v>3.2500000000000001E-2</v>
      </c>
      <c r="J144" s="92">
        <f t="shared" si="80"/>
        <v>44621</v>
      </c>
      <c r="M144" s="146">
        <f t="shared" si="84"/>
        <v>0</v>
      </c>
      <c r="N144" s="182">
        <v>0</v>
      </c>
      <c r="O144" s="146">
        <f>O143+L144+M144+N144</f>
        <v>0</v>
      </c>
      <c r="P144" s="149"/>
      <c r="Q144" s="94">
        <f t="shared" si="85"/>
        <v>3.2500000000000001E-2</v>
      </c>
      <c r="U144" s="17"/>
      <c r="V144" s="181"/>
      <c r="W144" s="17"/>
      <c r="X144" s="181"/>
    </row>
    <row r="145" spans="1:24">
      <c r="A145" s="92">
        <f t="shared" si="81"/>
        <v>44652</v>
      </c>
      <c r="D145" s="146">
        <f t="shared" si="83"/>
        <v>0</v>
      </c>
      <c r="E145" s="182">
        <v>0</v>
      </c>
      <c r="F145" s="146">
        <f t="shared" ref="F145:F153" si="86">F144+C145+D145+E145</f>
        <v>0</v>
      </c>
      <c r="G145" s="149"/>
      <c r="H145" s="94">
        <f t="shared" si="82"/>
        <v>3.2500000000000001E-2</v>
      </c>
      <c r="J145" s="92">
        <f t="shared" si="80"/>
        <v>44652</v>
      </c>
      <c r="M145" s="146">
        <f t="shared" si="84"/>
        <v>0</v>
      </c>
      <c r="N145" s="182">
        <v>0</v>
      </c>
      <c r="O145" s="146">
        <f t="shared" ref="O145:O153" si="87">O144+L145+M145+N145</f>
        <v>0</v>
      </c>
      <c r="P145" s="149"/>
      <c r="Q145" s="94">
        <f t="shared" si="85"/>
        <v>3.2500000000000001E-2</v>
      </c>
      <c r="U145" s="17"/>
      <c r="V145" s="181"/>
      <c r="W145" s="17"/>
      <c r="X145" s="181"/>
    </row>
    <row r="146" spans="1:24">
      <c r="A146" s="92">
        <f t="shared" si="81"/>
        <v>44682</v>
      </c>
      <c r="D146" s="146">
        <f t="shared" si="83"/>
        <v>0</v>
      </c>
      <c r="E146" s="182">
        <v>0</v>
      </c>
      <c r="F146" s="146">
        <f t="shared" si="86"/>
        <v>0</v>
      </c>
      <c r="G146" s="149"/>
      <c r="H146" s="94">
        <f t="shared" si="82"/>
        <v>3.2500000000000001E-2</v>
      </c>
      <c r="J146" s="92">
        <f t="shared" si="80"/>
        <v>44682</v>
      </c>
      <c r="M146" s="146">
        <f t="shared" si="84"/>
        <v>0</v>
      </c>
      <c r="N146" s="182">
        <v>0</v>
      </c>
      <c r="O146" s="146">
        <f t="shared" si="87"/>
        <v>0</v>
      </c>
      <c r="P146" s="149"/>
      <c r="Q146" s="94">
        <f t="shared" si="85"/>
        <v>3.2500000000000001E-2</v>
      </c>
      <c r="U146" s="17"/>
      <c r="V146" s="181"/>
      <c r="W146" s="17"/>
      <c r="X146" s="181"/>
    </row>
    <row r="147" spans="1:24">
      <c r="A147" s="92">
        <f t="shared" si="81"/>
        <v>44713</v>
      </c>
      <c r="D147" s="146">
        <f t="shared" si="83"/>
        <v>0</v>
      </c>
      <c r="E147" s="182">
        <v>0</v>
      </c>
      <c r="F147" s="146">
        <f t="shared" si="86"/>
        <v>0</v>
      </c>
      <c r="G147" s="149"/>
      <c r="H147" s="94">
        <f t="shared" si="82"/>
        <v>3.2500000000000001E-2</v>
      </c>
      <c r="J147" s="92">
        <f t="shared" si="80"/>
        <v>44713</v>
      </c>
      <c r="M147" s="146">
        <f t="shared" si="84"/>
        <v>0</v>
      </c>
      <c r="N147" s="182">
        <v>0</v>
      </c>
      <c r="O147" s="146">
        <f t="shared" si="87"/>
        <v>0</v>
      </c>
      <c r="P147" s="149"/>
      <c r="Q147" s="94">
        <f t="shared" si="85"/>
        <v>3.2500000000000001E-2</v>
      </c>
    </row>
    <row r="148" spans="1:24">
      <c r="A148" s="92">
        <f t="shared" si="81"/>
        <v>44743</v>
      </c>
      <c r="D148" s="146">
        <f>ROUND((F147+(E148)/2)*H148/12,2)</f>
        <v>0</v>
      </c>
      <c r="E148" s="182">
        <v>0</v>
      </c>
      <c r="F148" s="146">
        <f>F147+D148+E148</f>
        <v>0</v>
      </c>
      <c r="G148" s="149"/>
      <c r="H148" s="94">
        <f t="shared" si="82"/>
        <v>3.5999999999999997E-2</v>
      </c>
      <c r="J148" s="92">
        <f t="shared" si="80"/>
        <v>44743</v>
      </c>
      <c r="M148" s="146">
        <f>ROUND((O147+(N148)/2)*Q148/12,2)</f>
        <v>0</v>
      </c>
      <c r="N148" s="182">
        <v>0</v>
      </c>
      <c r="O148" s="146">
        <f t="shared" si="87"/>
        <v>0</v>
      </c>
      <c r="P148" s="149"/>
      <c r="Q148" s="94">
        <f t="shared" si="85"/>
        <v>3.5999999999999997E-2</v>
      </c>
    </row>
    <row r="149" spans="1:24">
      <c r="A149" s="92">
        <f t="shared" si="81"/>
        <v>44774</v>
      </c>
      <c r="D149" s="146">
        <f>ROUND((F148+(E149)/2)*H149/12,2)</f>
        <v>0</v>
      </c>
      <c r="E149" s="182">
        <v>0</v>
      </c>
      <c r="F149" s="146">
        <f>F148+D149+E149</f>
        <v>0</v>
      </c>
      <c r="G149" s="149"/>
      <c r="H149" s="94">
        <f t="shared" si="82"/>
        <v>3.5999999999999997E-2</v>
      </c>
      <c r="J149" s="92">
        <f t="shared" si="80"/>
        <v>44774</v>
      </c>
      <c r="M149" s="146">
        <f>ROUND((O148+(N149)/2)*Q149/12,2)</f>
        <v>0</v>
      </c>
      <c r="N149" s="182">
        <v>0</v>
      </c>
      <c r="O149" s="146">
        <f t="shared" si="87"/>
        <v>0</v>
      </c>
      <c r="P149" s="149"/>
      <c r="Q149" s="94">
        <f t="shared" si="85"/>
        <v>3.5999999999999997E-2</v>
      </c>
    </row>
    <row r="150" spans="1:24">
      <c r="A150" s="92">
        <f t="shared" si="81"/>
        <v>44805</v>
      </c>
      <c r="B150" s="53" t="s">
        <v>126</v>
      </c>
      <c r="C150" s="146">
        <f>IF(C86&gt;0,-C86,0)</f>
        <v>0</v>
      </c>
      <c r="D150" s="146">
        <f t="shared" si="83"/>
        <v>0</v>
      </c>
      <c r="E150" s="182">
        <v>0</v>
      </c>
      <c r="F150" s="146">
        <f>F149+D150+E150</f>
        <v>0</v>
      </c>
      <c r="G150" s="149"/>
      <c r="H150" s="94">
        <f t="shared" si="82"/>
        <v>3.5999999999999997E-2</v>
      </c>
      <c r="J150" s="92">
        <f t="shared" si="80"/>
        <v>44805</v>
      </c>
      <c r="K150" s="53" t="s">
        <v>126</v>
      </c>
      <c r="L150" s="146">
        <f>IF(L86&gt;0,-L86,0)</f>
        <v>0</v>
      </c>
      <c r="M150" s="146">
        <f t="shared" si="84"/>
        <v>0</v>
      </c>
      <c r="N150" s="182">
        <v>0</v>
      </c>
      <c r="O150" s="146">
        <f>O149+M150+N150</f>
        <v>0</v>
      </c>
      <c r="P150" s="149"/>
      <c r="Q150" s="94">
        <f t="shared" si="85"/>
        <v>3.5999999999999997E-2</v>
      </c>
    </row>
    <row r="151" spans="1:24">
      <c r="A151" s="92">
        <f t="shared" si="81"/>
        <v>44835</v>
      </c>
      <c r="B151" s="53" t="s">
        <v>126</v>
      </c>
      <c r="C151" s="146">
        <f>IF(F143&gt;=0,IF(F85+F118&lt;0,-C119,-C150),IF(F85+F150&gt;0,-F150,-C119))</f>
        <v>0</v>
      </c>
      <c r="D151" s="146">
        <f>ROUND((F150+C150+C151+(E151)/2)*H151/12,2)</f>
        <v>0</v>
      </c>
      <c r="E151" s="182">
        <v>0</v>
      </c>
      <c r="F151" s="146">
        <f>F150+C151+D151+E151+C150</f>
        <v>0</v>
      </c>
      <c r="G151" s="149"/>
      <c r="H151" s="94">
        <f t="shared" si="82"/>
        <v>4.9099999999999998E-2</v>
      </c>
      <c r="J151" s="92">
        <f t="shared" si="80"/>
        <v>44835</v>
      </c>
      <c r="K151" s="53" t="s">
        <v>126</v>
      </c>
      <c r="L151" s="146">
        <f>IF(O143&gt;=0,IF(O85+O118&lt;0,-L119,-L150),IF(O85+O150&gt;0,-O150,-L119))</f>
        <v>0</v>
      </c>
      <c r="M151" s="146">
        <f>ROUND((O150+L150+L151+(N151)/2)*Q151/12,2)</f>
        <v>0</v>
      </c>
      <c r="N151" s="182">
        <v>0</v>
      </c>
      <c r="O151" s="146">
        <f>O150+L150+L151+M151+N151</f>
        <v>0</v>
      </c>
      <c r="P151" s="149"/>
      <c r="Q151" s="94">
        <f t="shared" si="85"/>
        <v>4.9099999999999998E-2</v>
      </c>
    </row>
    <row r="152" spans="1:24">
      <c r="A152" s="92">
        <f t="shared" si="81"/>
        <v>44866</v>
      </c>
      <c r="D152" s="146">
        <f t="shared" si="83"/>
        <v>0</v>
      </c>
      <c r="E152" s="182">
        <v>0</v>
      </c>
      <c r="F152" s="146">
        <f t="shared" si="86"/>
        <v>0</v>
      </c>
      <c r="G152" s="149"/>
      <c r="H152" s="94">
        <f t="shared" si="82"/>
        <v>4.9099999999999998E-2</v>
      </c>
      <c r="J152" s="92">
        <f t="shared" si="80"/>
        <v>44866</v>
      </c>
      <c r="M152" s="146">
        <f t="shared" si="84"/>
        <v>0</v>
      </c>
      <c r="N152" s="182">
        <v>0</v>
      </c>
      <c r="O152" s="146">
        <f>O151+L152+M152+N152</f>
        <v>0</v>
      </c>
      <c r="P152" s="149"/>
      <c r="Q152" s="94">
        <f t="shared" si="85"/>
        <v>4.9099999999999998E-2</v>
      </c>
    </row>
    <row r="153" spans="1:24">
      <c r="A153" s="92">
        <f t="shared" si="81"/>
        <v>44896</v>
      </c>
      <c r="D153" s="146">
        <f t="shared" si="83"/>
        <v>0</v>
      </c>
      <c r="E153" s="182">
        <v>0</v>
      </c>
      <c r="F153" s="146">
        <f t="shared" si="86"/>
        <v>0</v>
      </c>
      <c r="H153" s="94">
        <f t="shared" si="82"/>
        <v>4.9099999999999998E-2</v>
      </c>
      <c r="J153" s="92">
        <f t="shared" si="80"/>
        <v>44896</v>
      </c>
      <c r="M153" s="146">
        <f t="shared" si="84"/>
        <v>0</v>
      </c>
      <c r="N153" s="182">
        <v>0</v>
      </c>
      <c r="O153" s="146">
        <f t="shared" si="87"/>
        <v>0</v>
      </c>
      <c r="Q153" s="94">
        <f t="shared" si="85"/>
        <v>4.9099999999999998E-2</v>
      </c>
    </row>
    <row r="154" spans="1:24">
      <c r="A154" s="92"/>
    </row>
    <row r="155" spans="1:24">
      <c r="A155" s="177">
        <v>253311</v>
      </c>
      <c r="B155" s="177" t="s">
        <v>52</v>
      </c>
      <c r="C155" s="147" t="s">
        <v>92</v>
      </c>
      <c r="D155" s="147" t="s">
        <v>93</v>
      </c>
      <c r="E155" s="147"/>
      <c r="F155" s="146" t="s">
        <v>95</v>
      </c>
      <c r="H155" s="178" t="s">
        <v>93</v>
      </c>
      <c r="J155" s="177">
        <f>A155</f>
        <v>253311</v>
      </c>
      <c r="K155" s="177" t="s">
        <v>53</v>
      </c>
      <c r="L155" s="147" t="s">
        <v>92</v>
      </c>
      <c r="M155" s="147" t="s">
        <v>93</v>
      </c>
      <c r="N155" s="147"/>
      <c r="O155" s="146" t="s">
        <v>95</v>
      </c>
      <c r="Q155" s="178" t="s">
        <v>93</v>
      </c>
    </row>
    <row r="156" spans="1:24">
      <c r="A156" s="108" t="s">
        <v>150</v>
      </c>
      <c r="B156" s="108" t="s">
        <v>142</v>
      </c>
      <c r="C156" s="147" t="s">
        <v>96</v>
      </c>
      <c r="D156" s="147" t="s">
        <v>97</v>
      </c>
      <c r="E156" s="147" t="s">
        <v>98</v>
      </c>
      <c r="F156" s="146" t="s">
        <v>94</v>
      </c>
      <c r="H156" s="178" t="s">
        <v>99</v>
      </c>
      <c r="J156" s="108" t="str">
        <f>A156</f>
        <v>3% Contra Deferral</v>
      </c>
      <c r="K156" s="108" t="s">
        <v>142</v>
      </c>
      <c r="L156" s="147" t="s">
        <v>96</v>
      </c>
      <c r="M156" s="147" t="s">
        <v>97</v>
      </c>
      <c r="N156" s="147" t="s">
        <v>98</v>
      </c>
      <c r="O156" s="146" t="s">
        <v>94</v>
      </c>
      <c r="Q156" s="178" t="s">
        <v>99</v>
      </c>
    </row>
    <row r="157" spans="1:24">
      <c r="A157" s="92">
        <f>$A$25</f>
        <v>44531</v>
      </c>
      <c r="B157" s="93"/>
      <c r="F157" s="187">
        <v>0</v>
      </c>
      <c r="G157" s="149"/>
      <c r="J157" s="92">
        <f t="shared" ref="J157:J169" si="88">A157</f>
        <v>44531</v>
      </c>
      <c r="K157" s="93"/>
      <c r="O157" s="187">
        <v>0</v>
      </c>
      <c r="P157" s="149"/>
    </row>
    <row r="158" spans="1:24">
      <c r="A158" s="92">
        <f t="shared" ref="A158:A169" si="89">A26</f>
        <v>44562</v>
      </c>
      <c r="C158" s="154">
        <v>0</v>
      </c>
      <c r="D158" s="146">
        <f>ROUND((F157+(C158+E158)/2)*H158/12,2)</f>
        <v>0</v>
      </c>
      <c r="E158" s="148"/>
      <c r="F158" s="146">
        <f>F157+C158+D158+E158</f>
        <v>0</v>
      </c>
      <c r="G158" s="149"/>
      <c r="H158" s="94">
        <v>0</v>
      </c>
      <c r="J158" s="92">
        <f t="shared" si="88"/>
        <v>44562</v>
      </c>
      <c r="L158" s="154">
        <v>0</v>
      </c>
      <c r="M158" s="146">
        <f>ROUND((O157+(L158+N158)/2)*Q158/12,2)</f>
        <v>0</v>
      </c>
      <c r="N158" s="148"/>
      <c r="O158" s="146">
        <f>O157+L158+M158+N158</f>
        <v>0</v>
      </c>
      <c r="P158" s="149"/>
      <c r="Q158" s="94">
        <f>H158</f>
        <v>0</v>
      </c>
    </row>
    <row r="159" spans="1:24">
      <c r="A159" s="92">
        <f t="shared" si="89"/>
        <v>44593</v>
      </c>
      <c r="C159" s="154">
        <v>0</v>
      </c>
      <c r="D159" s="146">
        <f t="shared" ref="D159:D169" si="90">ROUND((F158+(C159+E159)/2)*H159/12,2)</f>
        <v>0</v>
      </c>
      <c r="E159" s="148"/>
      <c r="F159" s="146">
        <f>F158+C159+D159+E159</f>
        <v>0</v>
      </c>
      <c r="G159" s="149"/>
      <c r="H159" s="94">
        <f>H158</f>
        <v>0</v>
      </c>
      <c r="J159" s="92">
        <f t="shared" si="88"/>
        <v>44593</v>
      </c>
      <c r="L159" s="154">
        <v>0</v>
      </c>
      <c r="M159" s="146">
        <f t="shared" ref="M159:M169" si="91">ROUND((O158+(L159+N159)/2)*Q159/12,2)</f>
        <v>0</v>
      </c>
      <c r="N159" s="148"/>
      <c r="O159" s="146">
        <f>O158+L159+M159+N159</f>
        <v>0</v>
      </c>
      <c r="P159" s="149"/>
      <c r="Q159" s="94">
        <f t="shared" ref="Q159:Q169" si="92">H159</f>
        <v>0</v>
      </c>
    </row>
    <row r="160" spans="1:24">
      <c r="A160" s="92">
        <f t="shared" si="89"/>
        <v>44621</v>
      </c>
      <c r="C160" s="154">
        <v>0</v>
      </c>
      <c r="D160" s="146">
        <f t="shared" si="90"/>
        <v>0</v>
      </c>
      <c r="E160" s="148"/>
      <c r="F160" s="146">
        <f>F159+C160+D160+E160</f>
        <v>0</v>
      </c>
      <c r="G160" s="149"/>
      <c r="H160" s="94">
        <f t="shared" ref="H160:H169" si="93">H159</f>
        <v>0</v>
      </c>
      <c r="J160" s="92">
        <f t="shared" si="88"/>
        <v>44621</v>
      </c>
      <c r="L160" s="154">
        <v>0</v>
      </c>
      <c r="M160" s="146">
        <f t="shared" si="91"/>
        <v>0</v>
      </c>
      <c r="N160" s="148"/>
      <c r="O160" s="146">
        <f>O159+L160+M160+N160</f>
        <v>0</v>
      </c>
      <c r="P160" s="149"/>
      <c r="Q160" s="94">
        <f t="shared" si="92"/>
        <v>0</v>
      </c>
      <c r="U160" s="17"/>
      <c r="V160" s="181"/>
      <c r="W160" s="17"/>
      <c r="X160" s="181"/>
    </row>
    <row r="161" spans="1:24">
      <c r="A161" s="92">
        <f t="shared" si="89"/>
        <v>44652</v>
      </c>
      <c r="C161" s="154">
        <v>0</v>
      </c>
      <c r="D161" s="146">
        <f t="shared" si="90"/>
        <v>0</v>
      </c>
      <c r="E161" s="148"/>
      <c r="F161" s="146">
        <f t="shared" ref="F161:F169" si="94">F160+C161+D161+E161</f>
        <v>0</v>
      </c>
      <c r="G161" s="149"/>
      <c r="H161" s="94">
        <f t="shared" si="93"/>
        <v>0</v>
      </c>
      <c r="J161" s="92">
        <f t="shared" si="88"/>
        <v>44652</v>
      </c>
      <c r="L161" s="154">
        <v>0</v>
      </c>
      <c r="M161" s="146">
        <f t="shared" si="91"/>
        <v>0</v>
      </c>
      <c r="N161" s="148"/>
      <c r="O161" s="146">
        <f t="shared" ref="O161:O169" si="95">O160+L161+M161+N161</f>
        <v>0</v>
      </c>
      <c r="P161" s="149"/>
      <c r="Q161" s="94">
        <f t="shared" si="92"/>
        <v>0</v>
      </c>
      <c r="U161" s="17"/>
      <c r="V161" s="181"/>
      <c r="W161" s="17"/>
      <c r="X161" s="181"/>
    </row>
    <row r="162" spans="1:24">
      <c r="A162" s="92">
        <f t="shared" si="89"/>
        <v>44682</v>
      </c>
      <c r="C162" s="154">
        <v>0</v>
      </c>
      <c r="D162" s="146">
        <f t="shared" si="90"/>
        <v>0</v>
      </c>
      <c r="E162" s="148"/>
      <c r="F162" s="146">
        <f t="shared" si="94"/>
        <v>0</v>
      </c>
      <c r="G162" s="149"/>
      <c r="H162" s="94">
        <f t="shared" si="93"/>
        <v>0</v>
      </c>
      <c r="J162" s="92">
        <f t="shared" si="88"/>
        <v>44682</v>
      </c>
      <c r="L162" s="154">
        <v>0</v>
      </c>
      <c r="M162" s="146">
        <f t="shared" si="91"/>
        <v>0</v>
      </c>
      <c r="N162" s="148"/>
      <c r="O162" s="146">
        <f t="shared" si="95"/>
        <v>0</v>
      </c>
      <c r="P162" s="149"/>
      <c r="Q162" s="94">
        <f t="shared" si="92"/>
        <v>0</v>
      </c>
      <c r="U162" s="17"/>
      <c r="V162" s="181"/>
      <c r="W162" s="17"/>
      <c r="X162" s="181"/>
    </row>
    <row r="163" spans="1:24">
      <c r="A163" s="92">
        <f t="shared" si="89"/>
        <v>44713</v>
      </c>
      <c r="C163" s="154">
        <v>0</v>
      </c>
      <c r="D163" s="146">
        <f t="shared" si="90"/>
        <v>0</v>
      </c>
      <c r="E163" s="148"/>
      <c r="F163" s="146">
        <f t="shared" si="94"/>
        <v>0</v>
      </c>
      <c r="G163" s="149"/>
      <c r="H163" s="94">
        <f t="shared" si="93"/>
        <v>0</v>
      </c>
      <c r="J163" s="92">
        <f t="shared" si="88"/>
        <v>44713</v>
      </c>
      <c r="L163" s="154">
        <v>0</v>
      </c>
      <c r="M163" s="146">
        <f t="shared" si="91"/>
        <v>0</v>
      </c>
      <c r="N163" s="148"/>
      <c r="O163" s="146">
        <f t="shared" si="95"/>
        <v>0</v>
      </c>
      <c r="P163" s="149"/>
      <c r="Q163" s="94">
        <f t="shared" si="92"/>
        <v>0</v>
      </c>
    </row>
    <row r="164" spans="1:24">
      <c r="A164" s="92">
        <f t="shared" si="89"/>
        <v>44743</v>
      </c>
      <c r="C164" s="154">
        <v>0</v>
      </c>
      <c r="D164" s="146">
        <f t="shared" si="90"/>
        <v>0</v>
      </c>
      <c r="E164" s="148"/>
      <c r="F164" s="146">
        <f t="shared" si="94"/>
        <v>0</v>
      </c>
      <c r="G164" s="149"/>
      <c r="H164" s="94">
        <f t="shared" si="93"/>
        <v>0</v>
      </c>
      <c r="J164" s="92">
        <f t="shared" si="88"/>
        <v>44743</v>
      </c>
      <c r="L164" s="154">
        <v>0</v>
      </c>
      <c r="M164" s="146">
        <f t="shared" si="91"/>
        <v>0</v>
      </c>
      <c r="N164" s="148"/>
      <c r="O164" s="146">
        <f t="shared" si="95"/>
        <v>0</v>
      </c>
      <c r="P164" s="149"/>
      <c r="Q164" s="94">
        <f t="shared" si="92"/>
        <v>0</v>
      </c>
    </row>
    <row r="165" spans="1:24">
      <c r="A165" s="92">
        <f t="shared" si="89"/>
        <v>44774</v>
      </c>
      <c r="C165" s="154">
        <v>0</v>
      </c>
      <c r="D165" s="146">
        <f t="shared" si="90"/>
        <v>0</v>
      </c>
      <c r="E165" s="148"/>
      <c r="F165" s="146">
        <f t="shared" si="94"/>
        <v>0</v>
      </c>
      <c r="G165" s="149"/>
      <c r="H165" s="94">
        <f t="shared" si="93"/>
        <v>0</v>
      </c>
      <c r="J165" s="92">
        <f t="shared" si="88"/>
        <v>44774</v>
      </c>
      <c r="L165" s="154">
        <v>0</v>
      </c>
      <c r="M165" s="146">
        <f t="shared" si="91"/>
        <v>0</v>
      </c>
      <c r="N165" s="148"/>
      <c r="O165" s="146">
        <f t="shared" si="95"/>
        <v>0</v>
      </c>
      <c r="P165" s="149"/>
      <c r="Q165" s="94">
        <f t="shared" si="92"/>
        <v>0</v>
      </c>
    </row>
    <row r="166" spans="1:24">
      <c r="A166" s="92">
        <f t="shared" si="89"/>
        <v>44805</v>
      </c>
      <c r="C166" s="154">
        <v>0</v>
      </c>
      <c r="D166" s="146">
        <f t="shared" si="90"/>
        <v>0</v>
      </c>
      <c r="E166" s="148"/>
      <c r="F166" s="146">
        <f t="shared" si="94"/>
        <v>0</v>
      </c>
      <c r="G166" s="149"/>
      <c r="H166" s="94">
        <f t="shared" si="93"/>
        <v>0</v>
      </c>
      <c r="J166" s="92">
        <f t="shared" si="88"/>
        <v>44805</v>
      </c>
      <c r="L166" s="154">
        <v>0</v>
      </c>
      <c r="M166" s="146">
        <f t="shared" si="91"/>
        <v>0</v>
      </c>
      <c r="N166" s="148"/>
      <c r="O166" s="146">
        <f t="shared" si="95"/>
        <v>0</v>
      </c>
      <c r="P166" s="149"/>
      <c r="Q166" s="94">
        <f t="shared" si="92"/>
        <v>0</v>
      </c>
    </row>
    <row r="167" spans="1:24">
      <c r="A167" s="92">
        <f t="shared" si="89"/>
        <v>44835</v>
      </c>
      <c r="C167" s="154">
        <v>0</v>
      </c>
      <c r="D167" s="146">
        <f t="shared" si="90"/>
        <v>0</v>
      </c>
      <c r="E167" s="148"/>
      <c r="F167" s="146">
        <f t="shared" si="94"/>
        <v>0</v>
      </c>
      <c r="G167" s="149"/>
      <c r="H167" s="94">
        <f t="shared" si="93"/>
        <v>0</v>
      </c>
      <c r="J167" s="92">
        <f t="shared" si="88"/>
        <v>44835</v>
      </c>
      <c r="L167" s="154">
        <v>0</v>
      </c>
      <c r="M167" s="146">
        <f t="shared" si="91"/>
        <v>0</v>
      </c>
      <c r="N167" s="148"/>
      <c r="O167" s="146">
        <f t="shared" si="95"/>
        <v>0</v>
      </c>
      <c r="P167" s="149"/>
      <c r="Q167" s="94">
        <f t="shared" si="92"/>
        <v>0</v>
      </c>
    </row>
    <row r="168" spans="1:24">
      <c r="A168" s="92">
        <f t="shared" si="89"/>
        <v>44866</v>
      </c>
      <c r="C168" s="154">
        <v>0</v>
      </c>
      <c r="D168" s="146">
        <f t="shared" si="90"/>
        <v>0</v>
      </c>
      <c r="E168" s="148"/>
      <c r="F168" s="146">
        <f t="shared" si="94"/>
        <v>0</v>
      </c>
      <c r="G168" s="149"/>
      <c r="H168" s="94">
        <f t="shared" si="93"/>
        <v>0</v>
      </c>
      <c r="J168" s="92">
        <f t="shared" si="88"/>
        <v>44866</v>
      </c>
      <c r="L168" s="154">
        <v>0</v>
      </c>
      <c r="M168" s="146">
        <f t="shared" si="91"/>
        <v>0</v>
      </c>
      <c r="N168" s="148"/>
      <c r="O168" s="146">
        <f t="shared" si="95"/>
        <v>0</v>
      </c>
      <c r="P168" s="149"/>
      <c r="Q168" s="94">
        <f t="shared" si="92"/>
        <v>0</v>
      </c>
    </row>
    <row r="169" spans="1:24">
      <c r="A169" s="92">
        <f t="shared" si="89"/>
        <v>44896</v>
      </c>
      <c r="C169" s="154">
        <v>0</v>
      </c>
      <c r="D169" s="146">
        <f t="shared" si="90"/>
        <v>0</v>
      </c>
      <c r="E169" s="148"/>
      <c r="F169" s="146">
        <f t="shared" si="94"/>
        <v>0</v>
      </c>
      <c r="H169" s="94">
        <f t="shared" si="93"/>
        <v>0</v>
      </c>
      <c r="J169" s="92">
        <f t="shared" si="88"/>
        <v>44896</v>
      </c>
      <c r="L169" s="154">
        <v>0</v>
      </c>
      <c r="M169" s="146">
        <f t="shared" si="91"/>
        <v>0</v>
      </c>
      <c r="N169" s="148"/>
      <c r="O169" s="146">
        <f t="shared" si="95"/>
        <v>0</v>
      </c>
      <c r="Q169" s="94">
        <f t="shared" si="92"/>
        <v>0</v>
      </c>
    </row>
    <row r="171" spans="1:24">
      <c r="A171" s="177">
        <v>253312</v>
      </c>
      <c r="B171" s="177" t="s">
        <v>52</v>
      </c>
      <c r="C171" s="147" t="s">
        <v>92</v>
      </c>
      <c r="D171" s="147" t="s">
        <v>93</v>
      </c>
      <c r="E171" s="147"/>
      <c r="F171" s="146" t="s">
        <v>95</v>
      </c>
      <c r="H171" s="178" t="s">
        <v>93</v>
      </c>
      <c r="J171" s="177">
        <f>A171</f>
        <v>253312</v>
      </c>
      <c r="K171" s="177" t="s">
        <v>53</v>
      </c>
      <c r="L171" s="147" t="s">
        <v>92</v>
      </c>
      <c r="M171" s="147" t="s">
        <v>93</v>
      </c>
      <c r="N171" s="147"/>
      <c r="O171" s="146" t="s">
        <v>95</v>
      </c>
      <c r="Q171" s="178" t="s">
        <v>93</v>
      </c>
    </row>
    <row r="172" spans="1:24">
      <c r="A172" s="108" t="s">
        <v>151</v>
      </c>
      <c r="B172" s="108" t="s">
        <v>142</v>
      </c>
      <c r="C172" s="147" t="s">
        <v>96</v>
      </c>
      <c r="D172" s="147" t="s">
        <v>97</v>
      </c>
      <c r="E172" s="147" t="s">
        <v>98</v>
      </c>
      <c r="F172" s="146" t="s">
        <v>94</v>
      </c>
      <c r="H172" s="178" t="s">
        <v>99</v>
      </c>
      <c r="J172" s="108" t="str">
        <f>A172</f>
        <v>Prior 3% Contra Deferral</v>
      </c>
      <c r="K172" s="108" t="s">
        <v>142</v>
      </c>
      <c r="L172" s="147" t="s">
        <v>96</v>
      </c>
      <c r="M172" s="147" t="s">
        <v>97</v>
      </c>
      <c r="N172" s="147" t="s">
        <v>98</v>
      </c>
      <c r="O172" s="146" t="s">
        <v>94</v>
      </c>
      <c r="Q172" s="178" t="s">
        <v>99</v>
      </c>
    </row>
    <row r="173" spans="1:24">
      <c r="A173" s="92">
        <f>$A$25</f>
        <v>44531</v>
      </c>
      <c r="B173" s="93"/>
      <c r="F173" s="188">
        <v>0</v>
      </c>
      <c r="G173" s="149"/>
      <c r="J173" s="92">
        <f t="shared" ref="J173:J185" si="96">A173</f>
        <v>44531</v>
      </c>
      <c r="K173" s="93"/>
      <c r="O173" s="188">
        <v>-1022805.86</v>
      </c>
      <c r="P173" s="149"/>
    </row>
    <row r="174" spans="1:24">
      <c r="A174" s="92">
        <f t="shared" ref="A174:A185" si="97">A26</f>
        <v>44562</v>
      </c>
      <c r="D174" s="146">
        <f>ROUND((F173+(C174+E174)/2)*H174/12,2)</f>
        <v>0</v>
      </c>
      <c r="E174" s="154">
        <v>0</v>
      </c>
      <c r="F174" s="146">
        <f>F173+C174+D174+E174</f>
        <v>0</v>
      </c>
      <c r="G174" s="149"/>
      <c r="H174" s="94">
        <v>0</v>
      </c>
      <c r="J174" s="92">
        <f t="shared" si="96"/>
        <v>44562</v>
      </c>
      <c r="M174" s="146">
        <f>ROUND((O173+(L174+N174)/2)*Q174/12,2)</f>
        <v>0</v>
      </c>
      <c r="N174" s="154">
        <v>382549.04000000004</v>
      </c>
      <c r="O174" s="146">
        <f>O173+L174+M174+N174</f>
        <v>-640256.81999999995</v>
      </c>
      <c r="P174" s="149"/>
      <c r="Q174" s="94">
        <f>H174</f>
        <v>0</v>
      </c>
    </row>
    <row r="175" spans="1:24">
      <c r="A175" s="92">
        <f t="shared" si="97"/>
        <v>44593</v>
      </c>
      <c r="D175" s="146">
        <f t="shared" ref="D175:D185" si="98">ROUND((F174+(C175+E175)/2)*H175/12,2)</f>
        <v>0</v>
      </c>
      <c r="E175" s="154">
        <v>0</v>
      </c>
      <c r="F175" s="146">
        <f>F174+C175+D175+E175</f>
        <v>0</v>
      </c>
      <c r="G175" s="149"/>
      <c r="H175" s="94">
        <f>H174</f>
        <v>0</v>
      </c>
      <c r="J175" s="92">
        <f t="shared" si="96"/>
        <v>44593</v>
      </c>
      <c r="M175" s="146">
        <f t="shared" ref="M175:M185" si="99">ROUND((O174+(L175+N175)/2)*Q175/12,2)</f>
        <v>0</v>
      </c>
      <c r="N175" s="154">
        <v>323514.81999999995</v>
      </c>
      <c r="O175" s="146">
        <f>O174+L175+M175+N175</f>
        <v>-316742</v>
      </c>
      <c r="P175" s="149"/>
      <c r="Q175" s="94">
        <f t="shared" ref="Q175:Q185" si="100">H175</f>
        <v>0</v>
      </c>
    </row>
    <row r="176" spans="1:24">
      <c r="A176" s="92">
        <f t="shared" si="97"/>
        <v>44621</v>
      </c>
      <c r="D176" s="146">
        <f t="shared" si="98"/>
        <v>0</v>
      </c>
      <c r="E176" s="154">
        <v>0</v>
      </c>
      <c r="F176" s="146">
        <f>F175+C176+D176+E176</f>
        <v>0</v>
      </c>
      <c r="G176" s="149"/>
      <c r="H176" s="94">
        <f t="shared" ref="H176:H185" si="101">H175</f>
        <v>0</v>
      </c>
      <c r="J176" s="92">
        <f t="shared" si="96"/>
        <v>44621</v>
      </c>
      <c r="M176" s="146">
        <f t="shared" si="99"/>
        <v>0</v>
      </c>
      <c r="N176" s="154">
        <v>265063.41000000003</v>
      </c>
      <c r="O176" s="146">
        <f>O175+L176+M176+N176</f>
        <v>-51678.589999999967</v>
      </c>
      <c r="P176" s="149"/>
      <c r="Q176" s="94">
        <f t="shared" si="100"/>
        <v>0</v>
      </c>
      <c r="U176" s="17"/>
      <c r="V176" s="181"/>
      <c r="W176" s="17"/>
      <c r="X176" s="181"/>
    </row>
    <row r="177" spans="1:24">
      <c r="A177" s="92">
        <f t="shared" si="97"/>
        <v>44652</v>
      </c>
      <c r="D177" s="146">
        <f t="shared" si="98"/>
        <v>0</v>
      </c>
      <c r="E177" s="154">
        <v>0</v>
      </c>
      <c r="F177" s="146">
        <f t="shared" ref="F177:F185" si="102">F176+C177+D177+E177</f>
        <v>0</v>
      </c>
      <c r="G177" s="149"/>
      <c r="H177" s="94">
        <f t="shared" si="101"/>
        <v>0</v>
      </c>
      <c r="J177" s="92">
        <f t="shared" si="96"/>
        <v>44652</v>
      </c>
      <c r="M177" s="146">
        <f t="shared" si="99"/>
        <v>0</v>
      </c>
      <c r="N177" s="154">
        <v>51678.59</v>
      </c>
      <c r="O177" s="146">
        <f t="shared" ref="O177:O185" si="103">O176+L177+M177+N177</f>
        <v>0</v>
      </c>
      <c r="P177" s="149"/>
      <c r="Q177" s="94">
        <f t="shared" si="100"/>
        <v>0</v>
      </c>
      <c r="U177" s="17"/>
      <c r="V177" s="181"/>
      <c r="W177" s="17"/>
      <c r="X177" s="181"/>
    </row>
    <row r="178" spans="1:24">
      <c r="A178" s="92">
        <f t="shared" si="97"/>
        <v>44682</v>
      </c>
      <c r="D178" s="146">
        <f t="shared" si="98"/>
        <v>0</v>
      </c>
      <c r="E178" s="154">
        <v>0</v>
      </c>
      <c r="F178" s="146">
        <f t="shared" si="102"/>
        <v>0</v>
      </c>
      <c r="G178" s="149"/>
      <c r="H178" s="94">
        <f t="shared" si="101"/>
        <v>0</v>
      </c>
      <c r="J178" s="92">
        <f t="shared" si="96"/>
        <v>44682</v>
      </c>
      <c r="M178" s="146">
        <f t="shared" si="99"/>
        <v>0</v>
      </c>
      <c r="N178" s="154">
        <v>0</v>
      </c>
      <c r="O178" s="146">
        <f t="shared" si="103"/>
        <v>0</v>
      </c>
      <c r="P178" s="149"/>
      <c r="Q178" s="94">
        <f t="shared" si="100"/>
        <v>0</v>
      </c>
      <c r="U178" s="17"/>
      <c r="V178" s="181"/>
      <c r="W178" s="17"/>
      <c r="X178" s="181"/>
    </row>
    <row r="179" spans="1:24">
      <c r="A179" s="92">
        <f t="shared" si="97"/>
        <v>44713</v>
      </c>
      <c r="D179" s="146">
        <f t="shared" si="98"/>
        <v>0</v>
      </c>
      <c r="E179" s="154">
        <v>0</v>
      </c>
      <c r="F179" s="146">
        <f t="shared" si="102"/>
        <v>0</v>
      </c>
      <c r="G179" s="149"/>
      <c r="H179" s="94">
        <f t="shared" si="101"/>
        <v>0</v>
      </c>
      <c r="J179" s="92">
        <f t="shared" si="96"/>
        <v>44713</v>
      </c>
      <c r="M179" s="146">
        <f t="shared" si="99"/>
        <v>0</v>
      </c>
      <c r="N179" s="154">
        <v>0</v>
      </c>
      <c r="O179" s="146">
        <f t="shared" si="103"/>
        <v>0</v>
      </c>
      <c r="P179" s="149"/>
      <c r="Q179" s="94">
        <f t="shared" si="100"/>
        <v>0</v>
      </c>
    </row>
    <row r="180" spans="1:24">
      <c r="A180" s="92">
        <f t="shared" si="97"/>
        <v>44743</v>
      </c>
      <c r="D180" s="146">
        <f t="shared" si="98"/>
        <v>0</v>
      </c>
      <c r="E180" s="154">
        <v>0</v>
      </c>
      <c r="F180" s="146">
        <f t="shared" si="102"/>
        <v>0</v>
      </c>
      <c r="G180" s="149"/>
      <c r="H180" s="94">
        <f t="shared" si="101"/>
        <v>0</v>
      </c>
      <c r="J180" s="92">
        <f t="shared" si="96"/>
        <v>44743</v>
      </c>
      <c r="M180" s="146">
        <f t="shared" si="99"/>
        <v>0</v>
      </c>
      <c r="N180" s="154">
        <v>0</v>
      </c>
      <c r="O180" s="146">
        <f t="shared" si="103"/>
        <v>0</v>
      </c>
      <c r="P180" s="149"/>
      <c r="Q180" s="94">
        <f t="shared" si="100"/>
        <v>0</v>
      </c>
    </row>
    <row r="181" spans="1:24">
      <c r="A181" s="92">
        <f t="shared" si="97"/>
        <v>44774</v>
      </c>
      <c r="D181" s="146">
        <f t="shared" si="98"/>
        <v>0</v>
      </c>
      <c r="E181" s="154">
        <v>0</v>
      </c>
      <c r="F181" s="146">
        <f t="shared" si="102"/>
        <v>0</v>
      </c>
      <c r="G181" s="149"/>
      <c r="H181" s="94">
        <f t="shared" si="101"/>
        <v>0</v>
      </c>
      <c r="J181" s="92">
        <f t="shared" si="96"/>
        <v>44774</v>
      </c>
      <c r="M181" s="146">
        <f t="shared" si="99"/>
        <v>0</v>
      </c>
      <c r="N181" s="154">
        <v>0</v>
      </c>
      <c r="O181" s="146">
        <f t="shared" si="103"/>
        <v>0</v>
      </c>
      <c r="P181" s="149"/>
      <c r="Q181" s="94">
        <f t="shared" si="100"/>
        <v>0</v>
      </c>
    </row>
    <row r="182" spans="1:24">
      <c r="A182" s="92">
        <f t="shared" si="97"/>
        <v>44805</v>
      </c>
      <c r="D182" s="146">
        <f t="shared" si="98"/>
        <v>0</v>
      </c>
      <c r="E182" s="154">
        <v>0</v>
      </c>
      <c r="F182" s="146">
        <f t="shared" si="102"/>
        <v>0</v>
      </c>
      <c r="G182" s="149"/>
      <c r="H182" s="94">
        <f t="shared" si="101"/>
        <v>0</v>
      </c>
      <c r="J182" s="92">
        <f t="shared" si="96"/>
        <v>44805</v>
      </c>
      <c r="M182" s="146">
        <f t="shared" si="99"/>
        <v>0</v>
      </c>
      <c r="N182" s="154">
        <v>0</v>
      </c>
      <c r="O182" s="146">
        <f t="shared" si="103"/>
        <v>0</v>
      </c>
      <c r="P182" s="149"/>
      <c r="Q182" s="94">
        <f t="shared" si="100"/>
        <v>0</v>
      </c>
    </row>
    <row r="183" spans="1:24">
      <c r="A183" s="92">
        <f t="shared" si="97"/>
        <v>44835</v>
      </c>
      <c r="D183" s="146">
        <f t="shared" si="98"/>
        <v>0</v>
      </c>
      <c r="E183" s="154">
        <v>0</v>
      </c>
      <c r="F183" s="146">
        <f t="shared" si="102"/>
        <v>0</v>
      </c>
      <c r="G183" s="149"/>
      <c r="H183" s="94">
        <f t="shared" si="101"/>
        <v>0</v>
      </c>
      <c r="J183" s="92">
        <f t="shared" si="96"/>
        <v>44835</v>
      </c>
      <c r="M183" s="146">
        <f t="shared" si="99"/>
        <v>0</v>
      </c>
      <c r="N183" s="154">
        <v>0</v>
      </c>
      <c r="O183" s="146">
        <f t="shared" si="103"/>
        <v>0</v>
      </c>
      <c r="P183" s="149"/>
      <c r="Q183" s="94">
        <f t="shared" si="100"/>
        <v>0</v>
      </c>
    </row>
    <row r="184" spans="1:24">
      <c r="A184" s="92">
        <f t="shared" si="97"/>
        <v>44866</v>
      </c>
      <c r="D184" s="146">
        <f t="shared" si="98"/>
        <v>0</v>
      </c>
      <c r="E184" s="154">
        <v>0</v>
      </c>
      <c r="F184" s="146">
        <f t="shared" si="102"/>
        <v>0</v>
      </c>
      <c r="G184" s="149"/>
      <c r="H184" s="94">
        <f t="shared" si="101"/>
        <v>0</v>
      </c>
      <c r="J184" s="92">
        <f t="shared" si="96"/>
        <v>44866</v>
      </c>
      <c r="M184" s="146">
        <f t="shared" si="99"/>
        <v>0</v>
      </c>
      <c r="N184" s="154">
        <v>0</v>
      </c>
      <c r="O184" s="146">
        <f t="shared" si="103"/>
        <v>0</v>
      </c>
      <c r="P184" s="149"/>
      <c r="Q184" s="94">
        <f t="shared" si="100"/>
        <v>0</v>
      </c>
    </row>
    <row r="185" spans="1:24">
      <c r="A185" s="92">
        <f t="shared" si="97"/>
        <v>44896</v>
      </c>
      <c r="D185" s="146">
        <f t="shared" si="98"/>
        <v>0</v>
      </c>
      <c r="E185" s="154">
        <v>0</v>
      </c>
      <c r="F185" s="146">
        <f t="shared" si="102"/>
        <v>0</v>
      </c>
      <c r="H185" s="94">
        <f t="shared" si="101"/>
        <v>0</v>
      </c>
      <c r="J185" s="92">
        <f t="shared" si="96"/>
        <v>44896</v>
      </c>
      <c r="M185" s="146">
        <f t="shared" si="99"/>
        <v>0</v>
      </c>
      <c r="N185" s="154">
        <v>0</v>
      </c>
      <c r="O185" s="146">
        <f t="shared" si="103"/>
        <v>0</v>
      </c>
      <c r="Q185" s="94">
        <f t="shared" si="100"/>
        <v>0</v>
      </c>
    </row>
  </sheetData>
  <mergeCells count="6">
    <mergeCell ref="C71:H71"/>
    <mergeCell ref="C89:H89"/>
    <mergeCell ref="A1:I1"/>
    <mergeCell ref="J1:R1"/>
    <mergeCell ref="L71:Q71"/>
    <mergeCell ref="L89:Q89"/>
  </mergeCells>
  <printOptions horizontalCentered="1"/>
  <pageMargins left="0.25" right="0.25" top="0.9375" bottom="0.75" header="0.3" footer="0.3"/>
  <pageSetup scale="72" fitToWidth="2" fitToHeight="2" orientation="portrait" useFirstPageNumber="1" r:id="rId1"/>
  <headerFooter scaleWithDoc="0">
    <oddHeader>&amp;CAvista Corporation Decoupling Mechanism
Washington Jurisdiction
Quarterly Report for 4th Quarter 2022</oddHeader>
    <oddFooter>&amp;Cfile: &amp;F / &amp;A</oddFooter>
  </headerFooter>
  <rowBreaks count="1" manualBreakCount="1">
    <brk id="90" max="17" man="1"/>
  </rowBreaks>
  <colBreaks count="1" manualBreakCount="1">
    <brk id="9" max="18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39"/>
  <sheetViews>
    <sheetView workbookViewId="0">
      <selection activeCell="I8" sqref="I8"/>
    </sheetView>
  </sheetViews>
  <sheetFormatPr defaultRowHeight="15"/>
  <cols>
    <col min="1" max="1" width="2.85546875" customWidth="1"/>
    <col min="2" max="2" width="24.85546875" customWidth="1"/>
    <col min="3" max="3" width="13.7109375" customWidth="1"/>
    <col min="4" max="4" width="15.28515625" customWidth="1"/>
    <col min="5" max="5" width="10.140625" customWidth="1"/>
    <col min="6" max="6" width="9.28515625" customWidth="1"/>
    <col min="7" max="7" width="8" customWidth="1"/>
    <col min="8" max="8" width="8.28515625" style="53"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19" customFormat="1" ht="14.45" customHeight="1">
      <c r="A2" s="38"/>
      <c r="B2" s="38"/>
      <c r="C2" s="38"/>
      <c r="D2" s="38"/>
      <c r="E2" s="38"/>
      <c r="F2" s="38"/>
      <c r="G2" s="38"/>
      <c r="H2" s="60"/>
      <c r="I2" s="38"/>
      <c r="J2" s="38"/>
      <c r="K2" s="38"/>
    </row>
    <row r="3" spans="1:23" s="19" customFormat="1" ht="74.25" customHeight="1">
      <c r="A3" s="307" t="s">
        <v>307</v>
      </c>
      <c r="B3" s="307"/>
      <c r="C3" s="307"/>
      <c r="D3" s="307"/>
      <c r="E3" s="307"/>
      <c r="F3" s="307"/>
      <c r="G3" s="307"/>
      <c r="H3" s="307"/>
      <c r="I3" s="307"/>
      <c r="J3" s="307"/>
      <c r="K3" s="307"/>
      <c r="M3" s="170"/>
      <c r="N3" s="170"/>
      <c r="O3" s="170"/>
      <c r="P3" s="170"/>
      <c r="Q3" s="170"/>
      <c r="R3" s="170"/>
      <c r="S3" s="170"/>
      <c r="T3" s="170"/>
      <c r="U3" s="170"/>
      <c r="V3" s="170"/>
      <c r="W3" s="170"/>
    </row>
    <row r="4" spans="1:23" ht="14.45" customHeight="1"/>
    <row r="5" spans="1:23" ht="14.45" customHeight="1">
      <c r="A5" s="304" t="s">
        <v>76</v>
      </c>
      <c r="B5" s="304"/>
      <c r="C5" s="304"/>
      <c r="D5" s="304"/>
      <c r="E5" s="304"/>
      <c r="F5" s="304"/>
      <c r="G5" s="304"/>
      <c r="H5" s="304"/>
      <c r="I5" s="304"/>
      <c r="J5" s="304"/>
      <c r="K5" s="304"/>
    </row>
    <row r="6" spans="1:23" s="19" customFormat="1" ht="13.9" customHeight="1">
      <c r="A6" s="304" t="s">
        <v>77</v>
      </c>
      <c r="B6" s="304"/>
      <c r="C6" s="304"/>
      <c r="D6" s="304"/>
      <c r="E6" s="304"/>
      <c r="F6" s="304"/>
      <c r="G6" s="304"/>
      <c r="H6" s="304"/>
      <c r="I6" s="304"/>
      <c r="J6" s="304"/>
      <c r="K6" s="304"/>
    </row>
    <row r="7" spans="1:23" ht="43.5" customHeight="1">
      <c r="A7" s="35"/>
      <c r="B7" s="35"/>
      <c r="C7" s="35"/>
      <c r="E7" s="40" t="s">
        <v>70</v>
      </c>
      <c r="F7" s="40" t="s">
        <v>71</v>
      </c>
      <c r="G7" s="43" t="s">
        <v>80</v>
      </c>
      <c r="H7" s="59" t="s">
        <v>85</v>
      </c>
      <c r="I7" s="76" t="s">
        <v>173</v>
      </c>
      <c r="J7" s="40" t="s">
        <v>72</v>
      </c>
      <c r="K7" s="174" t="s">
        <v>175</v>
      </c>
      <c r="L7" s="35"/>
    </row>
    <row r="8" spans="1:23" ht="14.45" customHeight="1">
      <c r="A8" s="39" t="s">
        <v>68</v>
      </c>
      <c r="B8" s="14"/>
      <c r="C8" s="14"/>
      <c r="E8" s="14"/>
      <c r="F8" s="14"/>
      <c r="G8" s="14"/>
      <c r="H8" s="14"/>
      <c r="I8" s="14"/>
      <c r="J8" s="14"/>
      <c r="K8" s="14"/>
      <c r="L8" s="14"/>
    </row>
    <row r="9" spans="1:23" ht="14.45" customHeight="1">
      <c r="A9" s="36"/>
      <c r="B9" s="36" t="s">
        <v>69</v>
      </c>
      <c r="C9" s="36"/>
      <c r="E9" s="42">
        <v>184</v>
      </c>
      <c r="F9" s="42">
        <v>107</v>
      </c>
      <c r="G9" s="55">
        <v>321</v>
      </c>
      <c r="H9" s="55">
        <v>394</v>
      </c>
      <c r="I9" s="55">
        <v>1006</v>
      </c>
      <c r="J9" s="291">
        <v>9.2999999999999999E-2</v>
      </c>
      <c r="K9" s="36"/>
      <c r="L9" s="36"/>
      <c r="M9" s="230"/>
      <c r="N9" s="230"/>
    </row>
    <row r="10" spans="1:23" ht="14.45" customHeight="1">
      <c r="A10" s="36"/>
      <c r="B10" s="36" t="s">
        <v>78</v>
      </c>
      <c r="C10" s="36"/>
      <c r="E10" s="41">
        <v>25.58</v>
      </c>
      <c r="F10" s="41">
        <v>3.61</v>
      </c>
      <c r="G10" s="56">
        <v>22.77</v>
      </c>
      <c r="H10" s="56">
        <v>19.59</v>
      </c>
      <c r="I10" s="56">
        <v>71.56</v>
      </c>
      <c r="J10" s="291">
        <v>8.3000000000000004E-2</v>
      </c>
      <c r="K10" s="36"/>
      <c r="L10" s="36"/>
      <c r="M10" s="230"/>
    </row>
    <row r="11" spans="1:23">
      <c r="B11" s="19" t="s">
        <v>79</v>
      </c>
      <c r="E11" s="41">
        <v>-25.58</v>
      </c>
      <c r="F11" s="41">
        <v>-3.61</v>
      </c>
      <c r="G11" s="41">
        <v>-22.77</v>
      </c>
      <c r="H11" s="41">
        <v>-23.36</v>
      </c>
      <c r="I11" s="56">
        <v>-75.349999999999994</v>
      </c>
      <c r="J11" s="22"/>
      <c r="K11" s="41">
        <v>-0.05</v>
      </c>
      <c r="M11" s="230"/>
      <c r="N11" s="230"/>
      <c r="O11" s="290"/>
      <c r="P11" s="290"/>
    </row>
    <row r="12" spans="1:23" s="19" customFormat="1" ht="6" customHeight="1">
      <c r="E12" s="41"/>
      <c r="F12" s="41"/>
      <c r="G12" s="56"/>
      <c r="H12" s="56"/>
      <c r="I12" s="56"/>
      <c r="J12" s="22"/>
    </row>
    <row r="13" spans="1:23">
      <c r="A13" s="39" t="s">
        <v>73</v>
      </c>
      <c r="B13" s="14"/>
      <c r="C13" s="14"/>
      <c r="E13" s="14"/>
      <c r="F13" s="14"/>
      <c r="G13" s="57"/>
      <c r="H13" s="57"/>
      <c r="I13" s="57"/>
      <c r="J13" s="57"/>
      <c r="K13" s="37"/>
      <c r="L13" s="37"/>
    </row>
    <row r="14" spans="1:23">
      <c r="A14" s="36"/>
      <c r="B14" s="36" t="s">
        <v>69</v>
      </c>
      <c r="C14" s="36"/>
      <c r="E14" s="42">
        <v>-321</v>
      </c>
      <c r="F14" s="42">
        <v>-788</v>
      </c>
      <c r="G14" s="55">
        <v>20</v>
      </c>
      <c r="H14" s="55">
        <v>712</v>
      </c>
      <c r="I14" s="55">
        <v>-546</v>
      </c>
      <c r="J14" s="291">
        <v>-7.0000000000000001E-3</v>
      </c>
      <c r="K14" s="37"/>
      <c r="L14" s="37"/>
      <c r="M14" s="230"/>
      <c r="N14" s="230"/>
    </row>
    <row r="15" spans="1:23" ht="14.45" customHeight="1">
      <c r="A15" s="36"/>
      <c r="B15" s="36" t="s">
        <v>78</v>
      </c>
      <c r="C15" s="36"/>
      <c r="E15" s="41">
        <v>6.21</v>
      </c>
      <c r="F15" s="41">
        <v>-49.55</v>
      </c>
      <c r="G15" s="56">
        <v>-18.95</v>
      </c>
      <c r="H15" s="56">
        <v>53.1</v>
      </c>
      <c r="I15" s="56">
        <v>-9.42</v>
      </c>
      <c r="J15" s="291">
        <v>-2E-3</v>
      </c>
      <c r="K15" s="37"/>
      <c r="L15" s="37"/>
      <c r="M15" s="230"/>
    </row>
    <row r="16" spans="1:23">
      <c r="B16" s="19" t="s">
        <v>79</v>
      </c>
      <c r="E16" s="41">
        <v>-6.21</v>
      </c>
      <c r="F16" s="41">
        <v>49.55</v>
      </c>
      <c r="G16" s="41">
        <v>18.95</v>
      </c>
      <c r="H16" s="41">
        <v>-52.49</v>
      </c>
      <c r="I16" s="56">
        <v>10.029999999999999</v>
      </c>
      <c r="J16" s="22"/>
      <c r="K16" s="41">
        <v>0.01</v>
      </c>
      <c r="M16" s="230"/>
      <c r="N16" s="230"/>
      <c r="O16" s="290"/>
      <c r="P16" s="290"/>
    </row>
    <row r="17" spans="1:19" s="19" customFormat="1" ht="9" customHeight="1">
      <c r="G17" s="22"/>
      <c r="H17" s="22"/>
      <c r="I17" s="22"/>
      <c r="J17" s="22"/>
    </row>
    <row r="18" spans="1:19" ht="14.45" customHeight="1">
      <c r="A18" s="39" t="s">
        <v>74</v>
      </c>
      <c r="B18" s="14"/>
      <c r="C18" s="14"/>
      <c r="E18" s="14"/>
      <c r="F18" s="14"/>
      <c r="G18" s="57"/>
      <c r="H18" s="57"/>
      <c r="I18" s="57"/>
      <c r="J18" s="57"/>
    </row>
    <row r="19" spans="1:19" ht="14.45" customHeight="1">
      <c r="A19" s="36"/>
      <c r="B19" s="36" t="s">
        <v>69</v>
      </c>
      <c r="C19" s="36"/>
      <c r="E19" s="42">
        <v>6</v>
      </c>
      <c r="F19" s="42">
        <v>22</v>
      </c>
      <c r="G19" s="55">
        <v>-9</v>
      </c>
      <c r="H19" s="55">
        <v>10</v>
      </c>
      <c r="I19" s="55">
        <v>29</v>
      </c>
      <c r="J19" s="291">
        <v>3.6999999999999998E-2</v>
      </c>
      <c r="M19" s="230"/>
      <c r="N19" s="230"/>
    </row>
    <row r="20" spans="1:19">
      <c r="A20" s="36"/>
      <c r="B20" s="36" t="s">
        <v>78</v>
      </c>
      <c r="C20" s="36"/>
      <c r="E20" s="41">
        <v>18.149999999999999</v>
      </c>
      <c r="F20" s="41">
        <v>5.33</v>
      </c>
      <c r="G20" s="56">
        <v>-6.63</v>
      </c>
      <c r="H20" s="56">
        <v>-11.5</v>
      </c>
      <c r="I20" s="56">
        <v>5.36</v>
      </c>
      <c r="J20" s="291">
        <v>1.2999999999999999E-2</v>
      </c>
      <c r="M20" s="230"/>
    </row>
    <row r="21" spans="1:19" s="19" customFormat="1">
      <c r="A21" s="36"/>
      <c r="B21" s="19" t="s">
        <v>79</v>
      </c>
      <c r="C21" s="36"/>
      <c r="E21" s="41">
        <v>-18.149999999999999</v>
      </c>
      <c r="F21" s="41">
        <v>-5.33</v>
      </c>
      <c r="G21" s="41">
        <v>6.63</v>
      </c>
      <c r="H21" s="41">
        <v>10.68</v>
      </c>
      <c r="I21" s="56">
        <v>-6.18</v>
      </c>
      <c r="J21" s="292"/>
      <c r="K21" s="41">
        <v>-0.12</v>
      </c>
      <c r="M21" s="230"/>
      <c r="N21" s="230"/>
      <c r="O21" s="290"/>
      <c r="P21" s="290"/>
    </row>
    <row r="22" spans="1:19" ht="9" customHeight="1">
      <c r="A22" s="19"/>
      <c r="B22" s="19"/>
      <c r="C22" s="19"/>
      <c r="E22" s="19"/>
      <c r="F22" s="19"/>
      <c r="G22" s="22"/>
      <c r="H22" s="22"/>
      <c r="I22" s="22"/>
      <c r="J22" s="22"/>
    </row>
    <row r="23" spans="1:19">
      <c r="A23" s="39" t="s">
        <v>75</v>
      </c>
      <c r="B23" s="14"/>
      <c r="C23" s="14"/>
      <c r="E23" s="14"/>
      <c r="F23" s="14"/>
      <c r="G23" s="57"/>
      <c r="H23" s="57"/>
      <c r="I23" s="57"/>
      <c r="J23" s="57"/>
    </row>
    <row r="24" spans="1:19">
      <c r="A24" s="36"/>
      <c r="B24" s="36" t="s">
        <v>69</v>
      </c>
      <c r="C24" s="36"/>
      <c r="E24" s="42">
        <v>-148</v>
      </c>
      <c r="F24" s="42">
        <v>34</v>
      </c>
      <c r="G24" s="55">
        <v>-503</v>
      </c>
      <c r="H24" s="55">
        <v>162</v>
      </c>
      <c r="I24" s="55">
        <v>-451</v>
      </c>
      <c r="J24" s="291">
        <v>-2.3E-2</v>
      </c>
      <c r="M24" s="230"/>
      <c r="N24" s="230"/>
    </row>
    <row r="25" spans="1:19">
      <c r="A25" s="36"/>
      <c r="B25" s="36" t="s">
        <v>78</v>
      </c>
      <c r="C25" s="36"/>
      <c r="E25" s="41">
        <v>243.98</v>
      </c>
      <c r="F25" s="41">
        <v>36.369999999999997</v>
      </c>
      <c r="G25" s="56">
        <v>-226.98</v>
      </c>
      <c r="H25" s="56">
        <v>-478.99</v>
      </c>
      <c r="I25" s="56">
        <v>-434.38</v>
      </c>
      <c r="J25" s="291">
        <v>-8.4000000000000005E-2</v>
      </c>
      <c r="M25" s="230"/>
    </row>
    <row r="26" spans="1:19">
      <c r="B26" s="19" t="s">
        <v>79</v>
      </c>
      <c r="E26" s="41">
        <v>-243.98</v>
      </c>
      <c r="F26" s="41">
        <v>-36.369999999999997</v>
      </c>
      <c r="G26" s="41">
        <v>226.98</v>
      </c>
      <c r="H26" s="41">
        <v>462.31</v>
      </c>
      <c r="I26" s="56">
        <v>417.46</v>
      </c>
      <c r="J26" s="22"/>
      <c r="K26" s="41">
        <v>-4.07</v>
      </c>
      <c r="M26" s="230"/>
      <c r="N26" s="230"/>
      <c r="O26" s="290"/>
      <c r="P26" s="290"/>
    </row>
    <row r="29" spans="1:19" ht="108.75" customHeight="1">
      <c r="A29" s="302" t="s">
        <v>281</v>
      </c>
      <c r="B29" s="302"/>
      <c r="C29" s="302"/>
      <c r="D29" s="302"/>
      <c r="E29" s="302"/>
      <c r="F29" s="302"/>
      <c r="G29" s="302"/>
      <c r="H29" s="302"/>
      <c r="I29" s="302"/>
      <c r="J29" s="302"/>
      <c r="K29" s="302"/>
      <c r="L29" s="35"/>
      <c r="M29" s="35"/>
      <c r="N29" s="35"/>
      <c r="O29" s="35"/>
      <c r="P29" s="35"/>
      <c r="Q29" s="35"/>
      <c r="R29" s="35"/>
      <c r="S29" s="35"/>
    </row>
    <row r="30" spans="1:19">
      <c r="A30" s="305"/>
      <c r="B30" s="305"/>
      <c r="C30" s="305"/>
      <c r="D30" s="305"/>
      <c r="E30" s="305"/>
      <c r="F30" s="305"/>
      <c r="G30" s="305"/>
      <c r="H30" s="305"/>
      <c r="I30" s="305"/>
      <c r="J30" s="305"/>
      <c r="K30" s="305"/>
      <c r="L30" s="35"/>
      <c r="M30" s="35"/>
      <c r="N30" s="35"/>
      <c r="O30" s="35"/>
      <c r="P30" s="35"/>
      <c r="Q30" s="35"/>
      <c r="R30" s="35"/>
    </row>
    <row r="31" spans="1:19" ht="15" customHeight="1">
      <c r="A31" s="171"/>
      <c r="B31" s="171"/>
      <c r="C31" s="171"/>
      <c r="D31" s="171"/>
      <c r="E31" s="171"/>
      <c r="F31" s="171"/>
      <c r="G31" s="171"/>
      <c r="H31" s="171"/>
      <c r="I31" s="171"/>
      <c r="J31" s="171"/>
      <c r="K31" s="171"/>
      <c r="L31" s="35"/>
      <c r="M31" s="35"/>
      <c r="N31" s="35"/>
      <c r="O31" s="35"/>
      <c r="P31" s="35"/>
      <c r="Q31" s="35"/>
      <c r="R31" s="35"/>
      <c r="S31" s="35"/>
    </row>
    <row r="32" spans="1:19">
      <c r="A32" s="22"/>
      <c r="B32" s="197"/>
      <c r="C32" s="199"/>
      <c r="D32" s="22"/>
      <c r="E32" s="22"/>
      <c r="F32" s="172"/>
      <c r="G32" s="172"/>
      <c r="H32" s="22"/>
      <c r="I32" s="303"/>
      <c r="J32" s="303"/>
      <c r="K32" s="22"/>
      <c r="L32" s="172"/>
      <c r="M32" s="172"/>
      <c r="N32" s="172"/>
      <c r="O32" s="35"/>
      <c r="P32" s="35"/>
      <c r="Q32" s="35"/>
      <c r="R32" s="35"/>
      <c r="S32" s="35"/>
    </row>
    <row r="33" spans="1:20">
      <c r="A33" s="22"/>
      <c r="B33" s="197"/>
      <c r="C33" s="215"/>
      <c r="D33" s="215"/>
      <c r="E33" s="215"/>
      <c r="F33" s="22"/>
      <c r="G33" s="22"/>
      <c r="H33" s="22"/>
      <c r="I33" s="22"/>
      <c r="J33" s="22"/>
      <c r="K33" s="22"/>
      <c r="L33" s="172"/>
      <c r="M33" s="172"/>
      <c r="N33" s="172"/>
      <c r="O33" s="35"/>
      <c r="P33" s="35"/>
      <c r="Q33" s="198"/>
      <c r="R33" s="35"/>
      <c r="S33" s="35"/>
    </row>
    <row r="34" spans="1:20">
      <c r="A34" s="22"/>
      <c r="B34" s="215"/>
      <c r="C34" s="217"/>
      <c r="D34" s="217"/>
      <c r="E34" s="218"/>
      <c r="F34" s="173"/>
      <c r="G34" s="173"/>
      <c r="H34" s="22"/>
      <c r="I34" s="22"/>
      <c r="J34" s="22"/>
      <c r="K34" s="22"/>
      <c r="L34" s="172"/>
      <c r="M34" s="172"/>
      <c r="N34" s="172"/>
      <c r="O34" s="35"/>
      <c r="P34" s="35"/>
      <c r="Q34" s="198"/>
      <c r="R34" s="198"/>
      <c r="S34" s="198"/>
    </row>
    <row r="35" spans="1:20">
      <c r="B35" s="215"/>
      <c r="C35" s="217"/>
      <c r="D35" s="217"/>
      <c r="E35" s="218"/>
      <c r="Q35" s="17"/>
      <c r="R35" s="17"/>
      <c r="S35" s="17"/>
      <c r="T35" s="13"/>
    </row>
    <row r="36" spans="1:20">
      <c r="B36" s="216"/>
      <c r="C36" s="217"/>
      <c r="D36" s="17"/>
      <c r="E36" s="218"/>
      <c r="Q36" s="17"/>
      <c r="R36" s="17"/>
      <c r="S36" s="17"/>
    </row>
    <row r="37" spans="1:20" s="53" customFormat="1">
      <c r="B37" s="216"/>
      <c r="C37" s="217"/>
      <c r="D37" s="17"/>
      <c r="E37" s="218"/>
      <c r="Q37" s="17"/>
      <c r="R37" s="17"/>
      <c r="S37" s="17"/>
    </row>
    <row r="38" spans="1:20">
      <c r="B38" s="219"/>
      <c r="C38" s="217"/>
      <c r="D38" s="17"/>
      <c r="E38" s="218"/>
      <c r="Q38" s="17"/>
    </row>
    <row r="39" spans="1:20">
      <c r="B39" s="219"/>
      <c r="C39" s="217"/>
      <c r="Q39" s="17"/>
    </row>
  </sheetData>
  <mergeCells count="6">
    <mergeCell ref="A3:K3"/>
    <mergeCell ref="A29:K29"/>
    <mergeCell ref="I32:J32"/>
    <mergeCell ref="A5:K5"/>
    <mergeCell ref="A6:K6"/>
    <mergeCell ref="A30:K30"/>
  </mergeCells>
  <printOptions horizontalCentered="1"/>
  <pageMargins left="0.25" right="0.25" top="0.9375" bottom="0.75" header="0.3" footer="0.3"/>
  <pageSetup scale="72" orientation="portrait" useFirstPageNumber="1" r:id="rId1"/>
  <headerFooter scaleWithDoc="0">
    <oddHeader>&amp;CAvista Corporation Decoupling Mechanism
Washington Jurisdiction
Quarterly Report for 4th Quarter 2022</oddHeader>
    <oddFooter>&amp;Cfile: &amp;F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02B-9B8A-4CC8-8D1D-16E5DA83017D}">
  <sheetPr>
    <tabColor rgb="FFFFC000"/>
  </sheetPr>
  <dimension ref="A2:Q54"/>
  <sheetViews>
    <sheetView workbookViewId="0">
      <selection activeCell="H12" sqref="H12"/>
    </sheetView>
  </sheetViews>
  <sheetFormatPr defaultRowHeight="15"/>
  <cols>
    <col min="1" max="1" width="8" style="96" customWidth="1"/>
    <col min="2" max="2" width="31.42578125" style="53" customWidth="1"/>
    <col min="3" max="3" width="13" style="53" customWidth="1"/>
    <col min="4" max="4" width="13.140625" style="53" customWidth="1"/>
    <col min="5" max="5" width="12.5703125" style="53" bestFit="1" customWidth="1"/>
    <col min="6" max="6" width="12.7109375" style="53" customWidth="1"/>
    <col min="7" max="7" width="12.5703125" style="53" customWidth="1"/>
    <col min="8" max="8" width="12.85546875" style="53" customWidth="1"/>
    <col min="9" max="9" width="12.42578125" style="53" customWidth="1"/>
    <col min="10" max="10" width="12.85546875" style="53" customWidth="1"/>
    <col min="11" max="11" width="13.140625" style="53" customWidth="1"/>
    <col min="12" max="12" width="13" style="53" customWidth="1"/>
    <col min="13" max="13" width="12.85546875" style="53" customWidth="1"/>
    <col min="14" max="14" width="13.140625" style="53" customWidth="1"/>
    <col min="15" max="16" width="12.7109375" style="53" customWidth="1"/>
    <col min="17" max="16384" width="9.140625" style="53"/>
  </cols>
  <sheetData>
    <row r="2" spans="1:17" ht="15.75">
      <c r="B2" s="157" t="s">
        <v>192</v>
      </c>
      <c r="C2" s="157"/>
      <c r="D2" s="157"/>
      <c r="E2" s="157"/>
    </row>
    <row r="3" spans="1:17" ht="15.75">
      <c r="B3" s="157" t="s">
        <v>300</v>
      </c>
      <c r="C3" s="157"/>
      <c r="D3" s="157"/>
      <c r="E3" s="157"/>
    </row>
    <row r="5" spans="1:17">
      <c r="P5" s="221">
        <v>2022</v>
      </c>
    </row>
    <row r="6" spans="1:17">
      <c r="A6" s="83" t="s">
        <v>1</v>
      </c>
      <c r="B6" s="83" t="s">
        <v>193</v>
      </c>
      <c r="C6" s="83">
        <v>44562</v>
      </c>
      <c r="D6" s="83">
        <f t="shared" ref="D6:N6" si="0">EDATE(C6,1)</f>
        <v>44593</v>
      </c>
      <c r="E6" s="83">
        <f t="shared" si="0"/>
        <v>44621</v>
      </c>
      <c r="F6" s="83">
        <f t="shared" si="0"/>
        <v>44652</v>
      </c>
      <c r="G6" s="83">
        <f t="shared" si="0"/>
        <v>44682</v>
      </c>
      <c r="H6" s="83">
        <f t="shared" si="0"/>
        <v>44713</v>
      </c>
      <c r="I6" s="83">
        <f t="shared" si="0"/>
        <v>44743</v>
      </c>
      <c r="J6" s="83">
        <f t="shared" si="0"/>
        <v>44774</v>
      </c>
      <c r="K6" s="83">
        <f t="shared" si="0"/>
        <v>44805</v>
      </c>
      <c r="L6" s="83">
        <f t="shared" si="0"/>
        <v>44835</v>
      </c>
      <c r="M6" s="83">
        <f t="shared" si="0"/>
        <v>44866</v>
      </c>
      <c r="N6" s="83">
        <f t="shared" si="0"/>
        <v>44896</v>
      </c>
      <c r="O6" s="83" t="s">
        <v>282</v>
      </c>
      <c r="P6" s="226" t="s">
        <v>194</v>
      </c>
    </row>
    <row r="7" spans="1:17">
      <c r="B7" s="221"/>
      <c r="C7" s="221"/>
      <c r="D7" s="221"/>
      <c r="E7" s="221"/>
    </row>
    <row r="8" spans="1:17" ht="30" customHeight="1">
      <c r="A8" s="96">
        <v>1</v>
      </c>
      <c r="B8" s="227" t="s">
        <v>195</v>
      </c>
      <c r="C8" s="228">
        <f>'Electric Deferral'!D13</f>
        <v>6092</v>
      </c>
      <c r="D8" s="228">
        <f>'Electric Deferral'!E13</f>
        <v>5979</v>
      </c>
      <c r="E8" s="228">
        <f>'Electric Deferral'!F13</f>
        <v>6581</v>
      </c>
      <c r="F8" s="228">
        <f>'Electric Deferral'!G13</f>
        <v>6766</v>
      </c>
      <c r="G8" s="228">
        <f>'Electric Deferral'!H13</f>
        <v>6807</v>
      </c>
      <c r="H8" s="228">
        <f>'Electric Deferral'!I13</f>
        <v>7293</v>
      </c>
      <c r="I8" s="228">
        <f>'Electric Deferral'!J13</f>
        <v>7741</v>
      </c>
      <c r="J8" s="228">
        <f>'Electric Deferral'!K13</f>
        <v>7757</v>
      </c>
      <c r="K8" s="228">
        <f>'Electric Deferral'!L13</f>
        <v>8065</v>
      </c>
      <c r="L8" s="228">
        <f>'Electric Deferral'!M13</f>
        <v>8610</v>
      </c>
      <c r="M8" s="228">
        <f>'Electric Deferral'!N13</f>
        <v>8513</v>
      </c>
      <c r="N8" s="228">
        <f>'Electric Deferral'!O13</f>
        <v>6982</v>
      </c>
      <c r="O8" s="229">
        <f>SUM(C8:N8)</f>
        <v>87186</v>
      </c>
      <c r="P8" s="229">
        <f>O8/12</f>
        <v>7265.5</v>
      </c>
    </row>
    <row r="9" spans="1:17" ht="30" customHeight="1">
      <c r="A9" s="96">
        <v>2</v>
      </c>
      <c r="B9" s="227" t="s">
        <v>196</v>
      </c>
      <c r="C9" s="228">
        <f>'Electric Deferral'!D14</f>
        <v>6690599.9850000003</v>
      </c>
      <c r="D9" s="228">
        <f>'Electric Deferral'!E14</f>
        <v>5966653.227</v>
      </c>
      <c r="E9" s="228">
        <f>'Electric Deferral'!F14</f>
        <v>5382277.3329999996</v>
      </c>
      <c r="F9" s="228">
        <f>'Electric Deferral'!G14</f>
        <v>4504116.16</v>
      </c>
      <c r="G9" s="228">
        <f>'Electric Deferral'!H14</f>
        <v>4066390.9069999997</v>
      </c>
      <c r="H9" s="228">
        <f>'Electric Deferral'!I14</f>
        <v>3357455.7379999999</v>
      </c>
      <c r="I9" s="228">
        <f>'Electric Deferral'!J14</f>
        <v>3676368.3820000002</v>
      </c>
      <c r="J9" s="228">
        <f>'Electric Deferral'!K14</f>
        <v>4956756.1220000004</v>
      </c>
      <c r="K9" s="228">
        <f>'Electric Deferral'!L14</f>
        <v>4566925.0290000001</v>
      </c>
      <c r="L9" s="228">
        <f>'Electric Deferral'!M14</f>
        <v>3815378.9539999999</v>
      </c>
      <c r="M9" s="228">
        <f>'Electric Deferral'!N14</f>
        <v>6192117.0650000004</v>
      </c>
      <c r="N9" s="228">
        <f>'Electric Deferral'!O14</f>
        <v>8787345</v>
      </c>
      <c r="O9" s="229">
        <f>SUM(C9:N9)</f>
        <v>61962383.901999995</v>
      </c>
      <c r="P9" s="229"/>
    </row>
    <row r="10" spans="1:17" ht="30" customHeight="1">
      <c r="A10" s="96">
        <v>3</v>
      </c>
      <c r="B10" s="227" t="s">
        <v>197</v>
      </c>
      <c r="C10" s="228">
        <f>IF(C8&gt;0,C9/C8,0)</f>
        <v>1098.2600106697309</v>
      </c>
      <c r="D10" s="228">
        <f t="shared" ref="D10:M10" si="1">IF(D8&gt;0,D9/D8,0)</f>
        <v>997.93497691921721</v>
      </c>
      <c r="E10" s="228">
        <f t="shared" si="1"/>
        <v>817.850985108646</v>
      </c>
      <c r="F10" s="228">
        <f t="shared" si="1"/>
        <v>665.69851610996159</v>
      </c>
      <c r="G10" s="228">
        <f t="shared" si="1"/>
        <v>597.38370897605398</v>
      </c>
      <c r="H10" s="228">
        <f t="shared" si="1"/>
        <v>460.36689126559713</v>
      </c>
      <c r="I10" s="228">
        <f t="shared" si="1"/>
        <v>474.92163570598115</v>
      </c>
      <c r="J10" s="228">
        <f t="shared" si="1"/>
        <v>639.00426994972293</v>
      </c>
      <c r="K10" s="228">
        <f t="shared" si="1"/>
        <v>566.26472771233728</v>
      </c>
      <c r="L10" s="228">
        <f t="shared" si="1"/>
        <v>443.13344413472703</v>
      </c>
      <c r="M10" s="228">
        <f t="shared" si="1"/>
        <v>727.37190943263249</v>
      </c>
      <c r="N10" s="228">
        <f>IF(N8&gt;0,N9/N8,0)</f>
        <v>1258.5713262675451</v>
      </c>
      <c r="O10" s="228">
        <f>IF(O8&gt;0,O9/O8,0)</f>
        <v>710.69189895166653</v>
      </c>
      <c r="P10" s="229"/>
    </row>
    <row r="11" spans="1:17" ht="30" customHeight="1">
      <c r="A11" s="96">
        <v>4</v>
      </c>
      <c r="B11" s="227" t="s">
        <v>198</v>
      </c>
      <c r="C11" s="228">
        <f>'Electric Deferral'!D41</f>
        <v>1937</v>
      </c>
      <c r="D11" s="228">
        <f>'Electric Deferral'!E41</f>
        <v>1887</v>
      </c>
      <c r="E11" s="228">
        <f>'Electric Deferral'!F41</f>
        <v>2022</v>
      </c>
      <c r="F11" s="228">
        <f>'Electric Deferral'!G41</f>
        <v>2082</v>
      </c>
      <c r="G11" s="228">
        <f>'Electric Deferral'!H41</f>
        <v>2158</v>
      </c>
      <c r="H11" s="228">
        <f>'Electric Deferral'!I41</f>
        <v>2246</v>
      </c>
      <c r="I11" s="228">
        <f>'Electric Deferral'!J41</f>
        <v>2344</v>
      </c>
      <c r="J11" s="228">
        <f>'Electric Deferral'!K41</f>
        <v>2326</v>
      </c>
      <c r="K11" s="228">
        <f>'Electric Deferral'!L41</f>
        <v>2470</v>
      </c>
      <c r="L11" s="228">
        <f>'Electric Deferral'!M41</f>
        <v>2596</v>
      </c>
      <c r="M11" s="228">
        <f>'Electric Deferral'!N41</f>
        <v>2611</v>
      </c>
      <c r="N11" s="228">
        <f>'Electric Deferral'!O41</f>
        <v>2129</v>
      </c>
      <c r="O11" s="229">
        <f>SUM(C11:N11)</f>
        <v>26808</v>
      </c>
      <c r="P11" s="229">
        <f>O11/12</f>
        <v>2234</v>
      </c>
    </row>
    <row r="12" spans="1:17" ht="30" customHeight="1">
      <c r="A12" s="96">
        <v>5</v>
      </c>
      <c r="B12" s="227" t="s">
        <v>199</v>
      </c>
      <c r="C12" s="228">
        <f>'Electric Deferral'!D42</f>
        <v>8873829.3640000019</v>
      </c>
      <c r="D12" s="228">
        <f>'Electric Deferral'!E42</f>
        <v>6284484.1509999996</v>
      </c>
      <c r="E12" s="228">
        <f>'Electric Deferral'!F42</f>
        <v>5640903.7770000007</v>
      </c>
      <c r="F12" s="228">
        <f>'Electric Deferral'!G42</f>
        <v>5606647.3969999999</v>
      </c>
      <c r="G12" s="228">
        <f>'Electric Deferral'!H42</f>
        <v>6138318.4510000004</v>
      </c>
      <c r="H12" s="228">
        <f>'Electric Deferral'!I42</f>
        <v>5626401.2499999991</v>
      </c>
      <c r="I12" s="228">
        <f>'Electric Deferral'!J42</f>
        <v>5938704.1190000009</v>
      </c>
      <c r="J12" s="228">
        <f>'Electric Deferral'!K42</f>
        <v>7662893.3140000002</v>
      </c>
      <c r="K12" s="228">
        <f>'Electric Deferral'!L42</f>
        <v>7458600.4960000012</v>
      </c>
      <c r="L12" s="228">
        <f>'Electric Deferral'!M42</f>
        <v>7426669.1900000004</v>
      </c>
      <c r="M12" s="228">
        <f>'Electric Deferral'!N42</f>
        <v>7484846.7660000008</v>
      </c>
      <c r="N12" s="228">
        <f>'Electric Deferral'!O42</f>
        <v>7087127</v>
      </c>
      <c r="O12" s="229">
        <f>SUM(C12:N12)</f>
        <v>81229425.275000006</v>
      </c>
      <c r="P12" s="229"/>
    </row>
    <row r="13" spans="1:17" ht="30" customHeight="1">
      <c r="A13" s="96">
        <v>6</v>
      </c>
      <c r="B13" s="227" t="s">
        <v>200</v>
      </c>
      <c r="C13" s="228">
        <f t="shared" ref="C13" si="2">IF(C11&gt;0,C12/C11,0)</f>
        <v>4581.2232132163144</v>
      </c>
      <c r="D13" s="228">
        <f t="shared" ref="D13:N13" si="3">IF(D11&gt;0,D12/D11,0)</f>
        <v>3330.4102549019608</v>
      </c>
      <c r="E13" s="228">
        <f t="shared" si="3"/>
        <v>2789.7644792284868</v>
      </c>
      <c r="F13" s="228">
        <f t="shared" si="3"/>
        <v>2692.914215658021</v>
      </c>
      <c r="G13" s="228">
        <f t="shared" si="3"/>
        <v>2844.4478456904544</v>
      </c>
      <c r="H13" s="228">
        <f t="shared" si="3"/>
        <v>2505.0762466607298</v>
      </c>
      <c r="I13" s="228">
        <f t="shared" si="3"/>
        <v>2533.5768425767924</v>
      </c>
      <c r="J13" s="228">
        <f t="shared" si="3"/>
        <v>3294.4511238177129</v>
      </c>
      <c r="K13" s="228">
        <f t="shared" si="3"/>
        <v>3019.6763141700408</v>
      </c>
      <c r="L13" s="228">
        <f t="shared" si="3"/>
        <v>2860.8124768875196</v>
      </c>
      <c r="M13" s="228">
        <f t="shared" si="3"/>
        <v>2866.659044810418</v>
      </c>
      <c r="N13" s="228">
        <f t="shared" si="3"/>
        <v>3328.8525129168625</v>
      </c>
      <c r="O13" s="228">
        <f>IF(O11&gt;0,O12/O11,0)</f>
        <v>3030.0442134810505</v>
      </c>
      <c r="P13" s="229"/>
    </row>
    <row r="14" spans="1:17" ht="12" customHeight="1">
      <c r="B14" s="227"/>
      <c r="C14" s="228"/>
      <c r="D14" s="228"/>
      <c r="E14" s="228"/>
      <c r="F14" s="228"/>
      <c r="G14" s="228"/>
      <c r="H14" s="228"/>
      <c r="I14" s="228"/>
      <c r="J14" s="228"/>
      <c r="K14" s="228"/>
      <c r="L14" s="228"/>
      <c r="M14" s="228"/>
      <c r="N14" s="228"/>
      <c r="O14" s="228"/>
      <c r="P14" s="230"/>
    </row>
    <row r="15" spans="1:17" ht="30">
      <c r="A15" s="96">
        <v>7</v>
      </c>
      <c r="B15" s="227" t="s">
        <v>201</v>
      </c>
      <c r="C15" s="231">
        <f>'Electric Deferral'!D15</f>
        <v>696383.29999999993</v>
      </c>
      <c r="D15" s="231">
        <f>'Electric Deferral'!E15</f>
        <v>621044.6</v>
      </c>
      <c r="E15" s="231">
        <f>'Electric Deferral'!F15</f>
        <v>561826.1100000001</v>
      </c>
      <c r="F15" s="231">
        <f>'Electric Deferral'!G15</f>
        <v>469930.2</v>
      </c>
      <c r="G15" s="231">
        <f>'Electric Deferral'!H15</f>
        <v>426599.63</v>
      </c>
      <c r="H15" s="231">
        <f>'Electric Deferral'!I15</f>
        <v>359723.98</v>
      </c>
      <c r="I15" s="231">
        <f>'Electric Deferral'!J15</f>
        <v>392623.11</v>
      </c>
      <c r="J15" s="231">
        <f>'Electric Deferral'!K15</f>
        <v>514009.98</v>
      </c>
      <c r="K15" s="231">
        <f>'Electric Deferral'!L15</f>
        <v>477865.14999999997</v>
      </c>
      <c r="L15" s="231">
        <f>'Electric Deferral'!M15</f>
        <v>410645.26</v>
      </c>
      <c r="M15" s="231">
        <f>'Electric Deferral'!N15</f>
        <v>643597.42999999993</v>
      </c>
      <c r="N15" s="231">
        <f>'Electric Deferral'!O15</f>
        <v>923716.27419354825</v>
      </c>
      <c r="O15" s="232">
        <f>SUM(C15:N15)</f>
        <v>6497965.0241935477</v>
      </c>
      <c r="P15" s="232">
        <f>O15/P$8</f>
        <v>894.35896004315566</v>
      </c>
      <c r="Q15" s="289"/>
    </row>
    <row r="16" spans="1:17" ht="30" customHeight="1">
      <c r="A16" s="96">
        <v>8</v>
      </c>
      <c r="B16" s="227" t="s">
        <v>202</v>
      </c>
      <c r="C16" s="231">
        <f>'Electric Deferral'!D43</f>
        <v>981335.77999999991</v>
      </c>
      <c r="D16" s="231">
        <f>'Electric Deferral'!E43</f>
        <v>710415.92999999993</v>
      </c>
      <c r="E16" s="231">
        <f>'Electric Deferral'!F43</f>
        <v>662659.22</v>
      </c>
      <c r="F16" s="231">
        <f>'Electric Deferral'!G43</f>
        <v>673347.92</v>
      </c>
      <c r="G16" s="231">
        <f>'Electric Deferral'!H43</f>
        <v>722235.12000000011</v>
      </c>
      <c r="H16" s="231">
        <f>'Electric Deferral'!I43</f>
        <v>675099.61</v>
      </c>
      <c r="I16" s="231">
        <f>'Electric Deferral'!J43</f>
        <v>712237.15</v>
      </c>
      <c r="J16" s="231">
        <f>'Electric Deferral'!K43</f>
        <v>867549.07000000007</v>
      </c>
      <c r="K16" s="231">
        <f>'Electric Deferral'!L43</f>
        <v>856429.06999999983</v>
      </c>
      <c r="L16" s="231">
        <f>'Electric Deferral'!M43</f>
        <v>862763.18</v>
      </c>
      <c r="M16" s="231">
        <f>'Electric Deferral'!N43</f>
        <v>871139.43</v>
      </c>
      <c r="N16" s="231">
        <f>'Electric Deferral'!O43</f>
        <v>810774.49645161291</v>
      </c>
      <c r="O16" s="232">
        <f>SUM(C16:N16)</f>
        <v>9405985.976451613</v>
      </c>
      <c r="P16" s="232">
        <f>O16/P$11</f>
        <v>4210.3786823865767</v>
      </c>
      <c r="Q16" s="289"/>
    </row>
    <row r="17" spans="1:16" ht="18.75" customHeight="1">
      <c r="A17" s="96">
        <v>9</v>
      </c>
      <c r="B17" s="233" t="s">
        <v>203</v>
      </c>
      <c r="C17" s="234">
        <f>C15+C16</f>
        <v>1677719.0799999998</v>
      </c>
      <c r="D17" s="234">
        <f t="shared" ref="D17" si="4">D15+D16</f>
        <v>1331460.5299999998</v>
      </c>
      <c r="E17" s="234">
        <f t="shared" ref="E17:N17" si="5">E15+E16</f>
        <v>1224485.33</v>
      </c>
      <c r="F17" s="234">
        <f t="shared" si="5"/>
        <v>1143278.1200000001</v>
      </c>
      <c r="G17" s="234">
        <f t="shared" si="5"/>
        <v>1148834.75</v>
      </c>
      <c r="H17" s="234">
        <f t="shared" si="5"/>
        <v>1034823.59</v>
      </c>
      <c r="I17" s="234">
        <f t="shared" si="5"/>
        <v>1104860.26</v>
      </c>
      <c r="J17" s="234">
        <f t="shared" si="5"/>
        <v>1381559.05</v>
      </c>
      <c r="K17" s="234">
        <f t="shared" si="5"/>
        <v>1334294.2199999997</v>
      </c>
      <c r="L17" s="234">
        <f t="shared" si="5"/>
        <v>1273408.44</v>
      </c>
      <c r="M17" s="234">
        <f t="shared" si="5"/>
        <v>1514736.8599999999</v>
      </c>
      <c r="N17" s="234">
        <f t="shared" si="5"/>
        <v>1734490.7706451612</v>
      </c>
      <c r="O17" s="234">
        <f>SUM(C17:N17)</f>
        <v>15903951.000645161</v>
      </c>
    </row>
    <row r="18" spans="1:16">
      <c r="B18" s="227"/>
      <c r="C18" s="227"/>
      <c r="D18" s="227"/>
      <c r="E18" s="227"/>
    </row>
    <row r="19" spans="1:16">
      <c r="A19" s="96">
        <v>10</v>
      </c>
      <c r="B19" s="227" t="s">
        <v>204</v>
      </c>
      <c r="C19" s="235">
        <f>(C9+C12)*C44</f>
        <v>211676.23914640004</v>
      </c>
      <c r="D19" s="235">
        <f t="shared" ref="D19:M19" si="6">(D9+D12)*D44</f>
        <v>166615.46834079997</v>
      </c>
      <c r="E19" s="235">
        <f t="shared" si="6"/>
        <v>149915.26309599998</v>
      </c>
      <c r="F19" s="235">
        <f>(F9+F12)*F44</f>
        <v>137506.3843752</v>
      </c>
      <c r="G19" s="235">
        <f t="shared" si="6"/>
        <v>138784.04726879997</v>
      </c>
      <c r="H19" s="235">
        <f t="shared" si="6"/>
        <v>122180.45503679996</v>
      </c>
      <c r="I19" s="235">
        <f t="shared" si="6"/>
        <v>130764.98601360002</v>
      </c>
      <c r="J19" s="235">
        <f t="shared" si="6"/>
        <v>171627.2323296</v>
      </c>
      <c r="K19" s="235">
        <f t="shared" si="6"/>
        <v>163547.14714000002</v>
      </c>
      <c r="L19" s="235">
        <f t="shared" si="6"/>
        <v>152891.8547584</v>
      </c>
      <c r="M19" s="235">
        <f t="shared" si="6"/>
        <v>186006.7081016</v>
      </c>
      <c r="N19" s="235">
        <f>(N9+N12)*N44</f>
        <v>215892.8192</v>
      </c>
      <c r="O19" s="235">
        <f>SUM(C19:N19)</f>
        <v>1947408.6048072001</v>
      </c>
      <c r="P19" s="235"/>
    </row>
    <row r="20" spans="1:16">
      <c r="A20" s="96">
        <v>11</v>
      </c>
      <c r="B20" s="227" t="s">
        <v>205</v>
      </c>
      <c r="C20" s="256">
        <v>120761.29285237771</v>
      </c>
      <c r="D20" s="256">
        <v>125699.65452896104</v>
      </c>
      <c r="E20" s="256">
        <v>130893.02553971107</v>
      </c>
      <c r="F20" s="256">
        <v>136409.75753433607</v>
      </c>
      <c r="G20" s="256">
        <v>142348.63279171108</v>
      </c>
      <c r="H20" s="256">
        <v>147966.96208421109</v>
      </c>
      <c r="I20" s="256">
        <v>152698.00277283607</v>
      </c>
      <c r="J20" s="256">
        <v>158315.52846354438</v>
      </c>
      <c r="K20" s="256">
        <v>165106.05957366942</v>
      </c>
      <c r="L20" s="256">
        <v>172622.52251304442</v>
      </c>
      <c r="M20" s="256">
        <v>182050.12138554442</v>
      </c>
      <c r="N20" s="256">
        <v>190134.91255504443</v>
      </c>
      <c r="O20" s="235">
        <f>SUM(C20:N20)</f>
        <v>1825006.4725949913</v>
      </c>
      <c r="P20" s="235"/>
    </row>
    <row r="21" spans="1:16">
      <c r="A21" s="96">
        <v>12</v>
      </c>
      <c r="B21" s="227" t="s">
        <v>206</v>
      </c>
      <c r="C21" s="256">
        <v>56577.178295089871</v>
      </c>
      <c r="D21" s="256">
        <v>58891.167287673205</v>
      </c>
      <c r="E21" s="256">
        <v>61324.676966273211</v>
      </c>
      <c r="F21" s="256">
        <v>63909.702770123207</v>
      </c>
      <c r="G21" s="256">
        <v>66692.5115530732</v>
      </c>
      <c r="H21" s="256">
        <v>69325.116087773218</v>
      </c>
      <c r="I21" s="256">
        <v>71541.953954023193</v>
      </c>
      <c r="J21" s="256">
        <v>74174.180026606526</v>
      </c>
      <c r="K21" s="256">
        <v>77356.044128106529</v>
      </c>
      <c r="L21" s="256">
        <v>80878.051603456537</v>
      </c>
      <c r="M21" s="256">
        <v>85295.563237656534</v>
      </c>
      <c r="N21" s="256">
        <v>89083.868011056533</v>
      </c>
      <c r="O21" s="235">
        <f>SUM(C21:N21)</f>
        <v>855050.0139209117</v>
      </c>
      <c r="P21" s="235"/>
    </row>
    <row r="22" spans="1:16">
      <c r="A22" s="96">
        <v>13</v>
      </c>
      <c r="B22" s="227" t="s">
        <v>207</v>
      </c>
      <c r="C22" s="235">
        <f>(C8+C11)*C49</f>
        <v>14853.650000000001</v>
      </c>
      <c r="D22" s="235">
        <f t="shared" ref="D22:N22" si="7">(D8+D11)*D49</f>
        <v>14552.1</v>
      </c>
      <c r="E22" s="235">
        <f t="shared" si="7"/>
        <v>15915.550000000001</v>
      </c>
      <c r="F22" s="235">
        <f t="shared" si="7"/>
        <v>16368.800000000001</v>
      </c>
      <c r="G22" s="235">
        <f t="shared" si="7"/>
        <v>16585.25</v>
      </c>
      <c r="H22" s="235">
        <f t="shared" si="7"/>
        <v>17647.150000000001</v>
      </c>
      <c r="I22" s="235">
        <f t="shared" si="7"/>
        <v>18657.25</v>
      </c>
      <c r="J22" s="235">
        <f t="shared" si="7"/>
        <v>18653.55</v>
      </c>
      <c r="K22" s="235">
        <f t="shared" si="7"/>
        <v>19489.75</v>
      </c>
      <c r="L22" s="235">
        <f t="shared" si="7"/>
        <v>20731.100000000002</v>
      </c>
      <c r="M22" s="235">
        <f t="shared" si="7"/>
        <v>20579.400000000001</v>
      </c>
      <c r="N22" s="235">
        <f t="shared" si="7"/>
        <v>16855.350000000002</v>
      </c>
      <c r="O22" s="235">
        <f>SUM(C22:N22)</f>
        <v>210888.9</v>
      </c>
      <c r="P22" s="235"/>
    </row>
    <row r="23" spans="1:16">
      <c r="A23" s="96">
        <v>14</v>
      </c>
      <c r="B23" s="227" t="s">
        <v>208</v>
      </c>
      <c r="C23" s="235">
        <f>(C8+C11)*C50</f>
        <v>2328.41</v>
      </c>
      <c r="D23" s="235">
        <f t="shared" ref="D23:N23" si="8">(D8+D11)*D50</f>
        <v>2281.14</v>
      </c>
      <c r="E23" s="235">
        <f t="shared" si="8"/>
        <v>2494.87</v>
      </c>
      <c r="F23" s="235">
        <f t="shared" si="8"/>
        <v>2565.9199999999996</v>
      </c>
      <c r="G23" s="235">
        <f t="shared" si="8"/>
        <v>2599.85</v>
      </c>
      <c r="H23" s="235">
        <f t="shared" si="8"/>
        <v>2766.31</v>
      </c>
      <c r="I23" s="235">
        <f t="shared" si="8"/>
        <v>2924.6499999999996</v>
      </c>
      <c r="J23" s="235">
        <f t="shared" si="8"/>
        <v>2924.0699999999997</v>
      </c>
      <c r="K23" s="235">
        <f t="shared" si="8"/>
        <v>3055.1499999999996</v>
      </c>
      <c r="L23" s="235">
        <f t="shared" si="8"/>
        <v>3249.74</v>
      </c>
      <c r="M23" s="235">
        <f t="shared" si="8"/>
        <v>3225.9599999999996</v>
      </c>
      <c r="N23" s="235">
        <f t="shared" si="8"/>
        <v>2642.1899999999996</v>
      </c>
      <c r="O23" s="235">
        <f t="shared" ref="O23:O26" si="9">SUM(C23:N23)</f>
        <v>33058.259999999995</v>
      </c>
      <c r="P23" s="235"/>
    </row>
    <row r="24" spans="1:16">
      <c r="A24" s="96">
        <v>15</v>
      </c>
      <c r="B24" s="227" t="s">
        <v>209</v>
      </c>
      <c r="C24" s="235">
        <f>C$17*C45</f>
        <v>64768.345083399996</v>
      </c>
      <c r="D24" s="235">
        <f t="shared" ref="D24:N26" si="10">D$17*D45</f>
        <v>51401.033760649996</v>
      </c>
      <c r="E24" s="235">
        <f t="shared" si="10"/>
        <v>47271.256164650003</v>
      </c>
      <c r="F24" s="235">
        <f t="shared" si="10"/>
        <v>44136.251822600003</v>
      </c>
      <c r="G24" s="235">
        <f t="shared" si="10"/>
        <v>44350.76552375</v>
      </c>
      <c r="H24" s="235">
        <f t="shared" si="10"/>
        <v>39949.364691950002</v>
      </c>
      <c r="I24" s="235">
        <f t="shared" si="10"/>
        <v>42653.130337299997</v>
      </c>
      <c r="J24" s="235">
        <f t="shared" si="10"/>
        <v>53335.08712525</v>
      </c>
      <c r="K24" s="235">
        <f t="shared" si="10"/>
        <v>51510.428363099993</v>
      </c>
      <c r="L24" s="235">
        <f t="shared" si="10"/>
        <v>49159.932826199998</v>
      </c>
      <c r="M24" s="235">
        <f t="shared" si="10"/>
        <v>58476.416480299995</v>
      </c>
      <c r="N24" s="235">
        <f t="shared" si="10"/>
        <v>66960.01620075645</v>
      </c>
      <c r="O24" s="235">
        <f t="shared" si="9"/>
        <v>613972.02837990643</v>
      </c>
      <c r="P24" s="235"/>
    </row>
    <row r="25" spans="1:16">
      <c r="A25" s="96">
        <v>16</v>
      </c>
      <c r="B25" s="227" t="s">
        <v>210</v>
      </c>
      <c r="C25" s="235">
        <f>C$17*C46</f>
        <v>5580.0936600799996</v>
      </c>
      <c r="D25" s="235">
        <f t="shared" si="10"/>
        <v>4428.4377227799996</v>
      </c>
      <c r="E25" s="235">
        <f t="shared" si="10"/>
        <v>4072.6382075800002</v>
      </c>
      <c r="F25" s="235">
        <f t="shared" si="10"/>
        <v>3802.5430271200003</v>
      </c>
      <c r="G25" s="235">
        <f t="shared" si="10"/>
        <v>3821.0243784999998</v>
      </c>
      <c r="H25" s="235">
        <f t="shared" si="10"/>
        <v>3441.8232603399997</v>
      </c>
      <c r="I25" s="235">
        <f t="shared" si="10"/>
        <v>3674.7652247599999</v>
      </c>
      <c r="J25" s="235">
        <f t="shared" si="10"/>
        <v>4595.0654003</v>
      </c>
      <c r="K25" s="235">
        <f t="shared" si="10"/>
        <v>4437.8625757199989</v>
      </c>
      <c r="L25" s="235">
        <f t="shared" si="10"/>
        <v>4235.35647144</v>
      </c>
      <c r="M25" s="235">
        <f t="shared" si="10"/>
        <v>5038.0147963599993</v>
      </c>
      <c r="N25" s="235">
        <f t="shared" si="10"/>
        <v>5768.9163031658063</v>
      </c>
      <c r="O25" s="235">
        <f t="shared" si="9"/>
        <v>52896.541028145803</v>
      </c>
      <c r="P25" s="235"/>
    </row>
    <row r="26" spans="1:16">
      <c r="A26" s="96">
        <v>17</v>
      </c>
      <c r="B26" s="227" t="s">
        <v>211</v>
      </c>
      <c r="C26" s="235">
        <f>C$17*C47</f>
        <v>3355.4381599999997</v>
      </c>
      <c r="D26" s="235">
        <f t="shared" si="10"/>
        <v>2662.9210599999997</v>
      </c>
      <c r="E26" s="235">
        <f t="shared" si="10"/>
        <v>2448.9706600000004</v>
      </c>
      <c r="F26" s="235">
        <f t="shared" si="10"/>
        <v>2286.5562400000003</v>
      </c>
      <c r="G26" s="235">
        <f t="shared" si="10"/>
        <v>2297.6695</v>
      </c>
      <c r="H26" s="235">
        <f t="shared" si="10"/>
        <v>2069.6471799999999</v>
      </c>
      <c r="I26" s="235">
        <f t="shared" si="10"/>
        <v>2209.7205199999999</v>
      </c>
      <c r="J26" s="235">
        <f t="shared" si="10"/>
        <v>2763.1181000000001</v>
      </c>
      <c r="K26" s="235">
        <f t="shared" si="10"/>
        <v>2668.5884399999995</v>
      </c>
      <c r="L26" s="235">
        <f t="shared" si="10"/>
        <v>2546.8168799999999</v>
      </c>
      <c r="M26" s="235">
        <f t="shared" si="10"/>
        <v>3029.47372</v>
      </c>
      <c r="N26" s="235">
        <f t="shared" si="10"/>
        <v>3468.9815412903222</v>
      </c>
      <c r="O26" s="235">
        <f t="shared" si="9"/>
        <v>31807.902001290317</v>
      </c>
      <c r="P26" s="235"/>
    </row>
    <row r="27" spans="1:16" ht="23.25" customHeight="1">
      <c r="A27" s="96">
        <v>18</v>
      </c>
      <c r="B27" s="233" t="s">
        <v>212</v>
      </c>
      <c r="C27" s="234">
        <f>SUM(C20:C26)</f>
        <v>268224.40805094759</v>
      </c>
      <c r="D27" s="234">
        <f>SUM(D20:D26)</f>
        <v>259916.45436006426</v>
      </c>
      <c r="E27" s="234">
        <f>SUM(E20:E26)</f>
        <v>264420.98753821425</v>
      </c>
      <c r="F27" s="234">
        <f>SUM(F19:F26)</f>
        <v>406985.91576937929</v>
      </c>
      <c r="G27" s="234">
        <f t="shared" ref="G27:O27" si="11">SUM(G20:G26)</f>
        <v>278695.70374703431</v>
      </c>
      <c r="H27" s="234">
        <f t="shared" si="11"/>
        <v>283166.37330427428</v>
      </c>
      <c r="I27" s="234">
        <f t="shared" si="11"/>
        <v>294359.47280891921</v>
      </c>
      <c r="J27" s="234">
        <f t="shared" si="11"/>
        <v>314760.59911570098</v>
      </c>
      <c r="K27" s="234">
        <f t="shared" si="11"/>
        <v>323623.88308059599</v>
      </c>
      <c r="L27" s="234">
        <f t="shared" si="11"/>
        <v>333423.52029414091</v>
      </c>
      <c r="M27" s="234">
        <f t="shared" si="11"/>
        <v>357694.94961986103</v>
      </c>
      <c r="N27" s="234">
        <f t="shared" si="11"/>
        <v>374914.2346113135</v>
      </c>
      <c r="O27" s="234">
        <f t="shared" si="11"/>
        <v>3622680.1179252448</v>
      </c>
      <c r="P27" s="235"/>
    </row>
    <row r="28" spans="1:16">
      <c r="B28" s="227"/>
      <c r="C28" s="235"/>
      <c r="D28" s="235"/>
      <c r="E28" s="235"/>
      <c r="F28" s="235"/>
      <c r="G28" s="235"/>
      <c r="H28" s="235"/>
      <c r="I28" s="235"/>
      <c r="J28" s="235"/>
      <c r="K28" s="235"/>
      <c r="L28" s="235"/>
      <c r="M28" s="235"/>
      <c r="N28" s="235"/>
      <c r="O28" s="235"/>
      <c r="P28" s="235"/>
    </row>
    <row r="29" spans="1:16" ht="16.5" customHeight="1">
      <c r="A29" s="96">
        <v>19</v>
      </c>
      <c r="B29" s="227" t="s">
        <v>213</v>
      </c>
      <c r="C29" s="235">
        <f>C17-C27</f>
        <v>1409494.6719490523</v>
      </c>
      <c r="D29" s="235">
        <f t="shared" ref="D29:N29" si="12">D17-D27</f>
        <v>1071544.0756399354</v>
      </c>
      <c r="E29" s="235">
        <f t="shared" si="12"/>
        <v>960064.34246178577</v>
      </c>
      <c r="F29" s="235">
        <f t="shared" si="12"/>
        <v>736292.20423062076</v>
      </c>
      <c r="G29" s="235">
        <f t="shared" si="12"/>
        <v>870139.04625296569</v>
      </c>
      <c r="H29" s="235">
        <f t="shared" si="12"/>
        <v>751657.21669572568</v>
      </c>
      <c r="I29" s="235">
        <f t="shared" si="12"/>
        <v>810500.78719108086</v>
      </c>
      <c r="J29" s="235">
        <f t="shared" si="12"/>
        <v>1066798.4508842991</v>
      </c>
      <c r="K29" s="235">
        <f t="shared" si="12"/>
        <v>1010670.3369194038</v>
      </c>
      <c r="L29" s="235">
        <f t="shared" si="12"/>
        <v>939984.91970585904</v>
      </c>
      <c r="M29" s="235">
        <f t="shared" si="12"/>
        <v>1157041.9103801388</v>
      </c>
      <c r="N29" s="235">
        <f t="shared" si="12"/>
        <v>1359576.5360338476</v>
      </c>
      <c r="O29" s="235">
        <f t="shared" ref="O29:O30" si="13">SUM(C29:N29)</f>
        <v>12143764.498344716</v>
      </c>
      <c r="P29" s="235"/>
    </row>
    <row r="30" spans="1:16">
      <c r="A30" s="96">
        <v>20</v>
      </c>
      <c r="B30" s="227" t="s">
        <v>214</v>
      </c>
      <c r="C30" s="235">
        <f>C29*C48</f>
        <v>295993.88110930094</v>
      </c>
      <c r="D30" s="235">
        <f t="shared" ref="D30:N30" si="14">D29*D48</f>
        <v>225024.25588438642</v>
      </c>
      <c r="E30" s="235">
        <f t="shared" si="14"/>
        <v>201613.511916975</v>
      </c>
      <c r="F30" s="235">
        <f t="shared" si="14"/>
        <v>154621.36288843036</v>
      </c>
      <c r="G30" s="235">
        <f t="shared" si="14"/>
        <v>182729.1997131228</v>
      </c>
      <c r="H30" s="235">
        <f t="shared" si="14"/>
        <v>157848.01550610238</v>
      </c>
      <c r="I30" s="235">
        <f t="shared" si="14"/>
        <v>170205.16531012696</v>
      </c>
      <c r="J30" s="235">
        <f t="shared" si="14"/>
        <v>224027.6746857028</v>
      </c>
      <c r="K30" s="235">
        <f t="shared" si="14"/>
        <v>212240.77075307479</v>
      </c>
      <c r="L30" s="235">
        <f t="shared" si="14"/>
        <v>197396.8331382304</v>
      </c>
      <c r="M30" s="235">
        <f t="shared" si="14"/>
        <v>242978.80117982914</v>
      </c>
      <c r="N30" s="235">
        <f t="shared" si="14"/>
        <v>285511.07256710797</v>
      </c>
      <c r="O30" s="235">
        <f t="shared" si="13"/>
        <v>2550190.5446523903</v>
      </c>
      <c r="P30" s="235"/>
    </row>
    <row r="31" spans="1:16">
      <c r="A31" s="96">
        <v>21</v>
      </c>
      <c r="B31" s="227" t="s">
        <v>215</v>
      </c>
      <c r="C31" s="235">
        <f>(C37*C39*-C48)/12</f>
        <v>-25398.375950904563</v>
      </c>
      <c r="D31" s="235">
        <f t="shared" ref="D31:N31" si="15">(D37*D39*-D48)/12</f>
        <v>-26516.673902148046</v>
      </c>
      <c r="E31" s="235">
        <f t="shared" si="15"/>
        <v>-27499.517466083402</v>
      </c>
      <c r="F31" s="235">
        <f t="shared" si="15"/>
        <v>-28755.932683271221</v>
      </c>
      <c r="G31" s="235">
        <f t="shared" si="15"/>
        <v>-29919.962522527956</v>
      </c>
      <c r="H31" s="235">
        <f t="shared" si="15"/>
        <v>-31031.60831308148</v>
      </c>
      <c r="I31" s="235">
        <f t="shared" si="15"/>
        <v>-31802.57432603449</v>
      </c>
      <c r="J31" s="235">
        <f t="shared" si="15"/>
        <v>-33299.604067175052</v>
      </c>
      <c r="K31" s="235">
        <f t="shared" si="15"/>
        <v>-34580.961555065114</v>
      </c>
      <c r="L31" s="235">
        <f t="shared" si="15"/>
        <v>-36391.501071111663</v>
      </c>
      <c r="M31" s="235">
        <f t="shared" si="15"/>
        <v>-38505.577806885274</v>
      </c>
      <c r="N31" s="235">
        <f t="shared" si="15"/>
        <v>-39225.106755952256</v>
      </c>
      <c r="O31" s="235">
        <f>SUM(C31:N31)</f>
        <v>-382927.39642024052</v>
      </c>
      <c r="P31" s="235"/>
    </row>
    <row r="32" spans="1:16" s="108" customFormat="1">
      <c r="A32" s="236">
        <v>22</v>
      </c>
      <c r="B32" s="237" t="s">
        <v>216</v>
      </c>
      <c r="C32" s="238">
        <f>C29-C30-C31</f>
        <v>1138899.1667906558</v>
      </c>
      <c r="D32" s="238">
        <f t="shared" ref="D32:O32" si="16">D29-D30-D31</f>
        <v>873036.49365769711</v>
      </c>
      <c r="E32" s="238">
        <f t="shared" si="16"/>
        <v>785950.34801089414</v>
      </c>
      <c r="F32" s="238">
        <f t="shared" si="16"/>
        <v>610426.77402546164</v>
      </c>
      <c r="G32" s="238">
        <f t="shared" si="16"/>
        <v>717329.8090623708</v>
      </c>
      <c r="H32" s="238">
        <f t="shared" si="16"/>
        <v>624840.80950270477</v>
      </c>
      <c r="I32" s="238">
        <f t="shared" si="16"/>
        <v>672098.19620698842</v>
      </c>
      <c r="J32" s="238">
        <f t="shared" si="16"/>
        <v>876070.38026577141</v>
      </c>
      <c r="K32" s="238">
        <f t="shared" si="16"/>
        <v>833010.52772139409</v>
      </c>
      <c r="L32" s="238">
        <f t="shared" si="16"/>
        <v>778979.58763874031</v>
      </c>
      <c r="M32" s="238">
        <f t="shared" si="16"/>
        <v>952568.68700719485</v>
      </c>
      <c r="N32" s="238">
        <f t="shared" si="16"/>
        <v>1113290.5702226921</v>
      </c>
      <c r="O32" s="238">
        <f t="shared" si="16"/>
        <v>9976501.3501125649</v>
      </c>
      <c r="P32" s="238"/>
    </row>
    <row r="33" spans="1:16">
      <c r="B33" s="227"/>
      <c r="C33" s="235"/>
      <c r="D33" s="235"/>
      <c r="E33" s="235"/>
      <c r="F33" s="235"/>
      <c r="G33" s="235"/>
      <c r="H33" s="235"/>
      <c r="I33" s="235"/>
      <c r="J33" s="235"/>
      <c r="K33" s="235"/>
      <c r="L33" s="235"/>
      <c r="M33" s="235"/>
      <c r="N33" s="235"/>
      <c r="O33" s="235"/>
      <c r="P33" s="235"/>
    </row>
    <row r="34" spans="1:16" s="240" customFormat="1" ht="30" customHeight="1">
      <c r="A34" s="96">
        <v>23</v>
      </c>
      <c r="B34" s="239" t="s">
        <v>217</v>
      </c>
      <c r="C34" s="254">
        <v>60212279.585529469</v>
      </c>
      <c r="D34" s="254">
        <v>62905143.315529473</v>
      </c>
      <c r="E34" s="254">
        <v>65299756.265529469</v>
      </c>
      <c r="F34" s="254">
        <v>68309378.445529476</v>
      </c>
      <c r="G34" s="254">
        <v>71117474.975529477</v>
      </c>
      <c r="H34" s="254">
        <v>73813081.305529475</v>
      </c>
      <c r="I34" s="254">
        <v>75751979.225529477</v>
      </c>
      <c r="J34" s="254">
        <v>79315992.955529481</v>
      </c>
      <c r="K34" s="254">
        <v>82403959.92552948</v>
      </c>
      <c r="L34" s="254">
        <v>86679074.785529479</v>
      </c>
      <c r="M34" s="254">
        <v>91639175.885529488</v>
      </c>
      <c r="N34" s="254">
        <v>94598875.705529496</v>
      </c>
      <c r="P34" s="232">
        <f>AVERAGE(C34:N34)</f>
        <v>76003847.698029473</v>
      </c>
    </row>
    <row r="35" spans="1:16">
      <c r="A35" s="96">
        <v>24</v>
      </c>
      <c r="B35" s="227" t="s">
        <v>218</v>
      </c>
      <c r="C35" s="255">
        <v>-2599103.621391261</v>
      </c>
      <c r="D35" s="255">
        <v>-2724803.2759202225</v>
      </c>
      <c r="E35" s="255">
        <v>-2855696.3014599336</v>
      </c>
      <c r="F35" s="255">
        <v>-2992106.0589942699</v>
      </c>
      <c r="G35" s="255">
        <v>-3134454.6917859809</v>
      </c>
      <c r="H35" s="255">
        <v>-3282421.6538701924</v>
      </c>
      <c r="I35" s="255">
        <v>-3435119.6566430284</v>
      </c>
      <c r="J35" s="255">
        <v>-3593435.1851065732</v>
      </c>
      <c r="K35" s="255">
        <v>-3758541.2446802421</v>
      </c>
      <c r="L35" s="255">
        <v>-3931163.7671932867</v>
      </c>
      <c r="M35" s="255">
        <v>-4113213.8885788308</v>
      </c>
      <c r="N35" s="255">
        <v>-4303348.8011338748</v>
      </c>
      <c r="P35" s="235">
        <f>AVERAGE(C35:N35)</f>
        <v>-3393617.3455631412</v>
      </c>
    </row>
    <row r="36" spans="1:16" s="240" customFormat="1">
      <c r="A36" s="96">
        <v>25</v>
      </c>
      <c r="B36" s="239" t="s">
        <v>219</v>
      </c>
      <c r="C36" s="254">
        <v>-920372.50229767873</v>
      </c>
      <c r="D36" s="254">
        <v>-991335.7937430864</v>
      </c>
      <c r="E36" s="254">
        <v>-1061208.4772762368</v>
      </c>
      <c r="F36" s="254">
        <v>-1129922.6470905156</v>
      </c>
      <c r="G36" s="254">
        <v>-1197389.6531007455</v>
      </c>
      <c r="H36" s="254">
        <v>-1263676.8099595509</v>
      </c>
      <c r="I36" s="254">
        <v>-1328970.4482737449</v>
      </c>
      <c r="J36" s="254">
        <v>-1393084.4061928899</v>
      </c>
      <c r="K36" s="254">
        <v>-1455772.3525789087</v>
      </c>
      <c r="L36" s="254">
        <v>-1516881.841747659</v>
      </c>
      <c r="M36" s="254">
        <v>-1576011.5351531843</v>
      </c>
      <c r="N36" s="254">
        <v>-1633443.4224131145</v>
      </c>
      <c r="P36" s="232">
        <f>AVERAGE(C36:N36)</f>
        <v>-1289005.8241522762</v>
      </c>
    </row>
    <row r="37" spans="1:16">
      <c r="A37" s="96">
        <v>26</v>
      </c>
      <c r="B37" s="227" t="s">
        <v>220</v>
      </c>
      <c r="C37" s="235">
        <f>SUM(C34:C36)</f>
        <v>56692803.461840533</v>
      </c>
      <c r="D37" s="235">
        <f t="shared" ref="D37:N37" si="17">SUM(D34:D36)</f>
        <v>59189004.245866165</v>
      </c>
      <c r="E37" s="235">
        <f t="shared" si="17"/>
        <v>61382851.486793302</v>
      </c>
      <c r="F37" s="235">
        <f t="shared" si="17"/>
        <v>64187349.739444688</v>
      </c>
      <c r="G37" s="235">
        <f t="shared" si="17"/>
        <v>66785630.630642757</v>
      </c>
      <c r="H37" s="235">
        <f t="shared" si="17"/>
        <v>69266982.841699734</v>
      </c>
      <c r="I37" s="235">
        <f t="shared" si="17"/>
        <v>70987889.120612696</v>
      </c>
      <c r="J37" s="235">
        <f t="shared" si="17"/>
        <v>74329473.364230022</v>
      </c>
      <c r="K37" s="235">
        <f t="shared" si="17"/>
        <v>77189646.328270331</v>
      </c>
      <c r="L37" s="235">
        <f t="shared" si="17"/>
        <v>81231029.176588535</v>
      </c>
      <c r="M37" s="235">
        <f t="shared" si="17"/>
        <v>85949950.461797476</v>
      </c>
      <c r="N37" s="235">
        <f t="shared" si="17"/>
        <v>88662083.481982514</v>
      </c>
      <c r="P37" s="235">
        <f>SUM(P34:P36)</f>
        <v>71321224.528314054</v>
      </c>
    </row>
    <row r="38" spans="1:16">
      <c r="A38" s="96">
        <v>27</v>
      </c>
      <c r="B38" s="227" t="s">
        <v>221</v>
      </c>
      <c r="C38" s="117">
        <v>7.1199999999999999E-2</v>
      </c>
      <c r="D38" s="94">
        <f t="shared" ref="D38:G39" si="18">C38</f>
        <v>7.1199999999999999E-2</v>
      </c>
      <c r="E38" s="94">
        <f t="shared" si="18"/>
        <v>7.1199999999999999E-2</v>
      </c>
      <c r="F38" s="94">
        <f t="shared" si="18"/>
        <v>7.1199999999999999E-2</v>
      </c>
      <c r="G38" s="94">
        <f t="shared" si="18"/>
        <v>7.1199999999999999E-2</v>
      </c>
      <c r="H38" s="94">
        <f t="shared" ref="H38:M39" si="19">G38</f>
        <v>7.1199999999999999E-2</v>
      </c>
      <c r="I38" s="94">
        <f t="shared" si="19"/>
        <v>7.1199999999999999E-2</v>
      </c>
      <c r="J38" s="94">
        <f t="shared" si="19"/>
        <v>7.1199999999999999E-2</v>
      </c>
      <c r="K38" s="94">
        <f t="shared" si="19"/>
        <v>7.1199999999999999E-2</v>
      </c>
      <c r="L38" s="94">
        <f t="shared" si="19"/>
        <v>7.1199999999999999E-2</v>
      </c>
      <c r="M38" s="94">
        <f t="shared" si="19"/>
        <v>7.1199999999999999E-2</v>
      </c>
      <c r="N38" s="252">
        <f>(7.12%/31*20)+(7.03%/31*11)</f>
        <v>7.088064516129032E-2</v>
      </c>
    </row>
    <row r="39" spans="1:16">
      <c r="A39" s="96">
        <v>28</v>
      </c>
      <c r="B39" s="227" t="s">
        <v>222</v>
      </c>
      <c r="C39" s="117">
        <v>2.5600000000000001E-2</v>
      </c>
      <c r="D39" s="94">
        <f t="shared" si="18"/>
        <v>2.5600000000000001E-2</v>
      </c>
      <c r="E39" s="94">
        <f t="shared" si="18"/>
        <v>2.5600000000000001E-2</v>
      </c>
      <c r="F39" s="94">
        <f t="shared" si="18"/>
        <v>2.5600000000000001E-2</v>
      </c>
      <c r="G39" s="94">
        <f t="shared" si="18"/>
        <v>2.5600000000000001E-2</v>
      </c>
      <c r="H39" s="94">
        <f t="shared" si="19"/>
        <v>2.5600000000000001E-2</v>
      </c>
      <c r="I39" s="94">
        <f t="shared" si="19"/>
        <v>2.5600000000000001E-2</v>
      </c>
      <c r="J39" s="94">
        <f t="shared" si="19"/>
        <v>2.5600000000000001E-2</v>
      </c>
      <c r="K39" s="94">
        <f t="shared" si="19"/>
        <v>2.5600000000000001E-2</v>
      </c>
      <c r="L39" s="94">
        <f t="shared" si="19"/>
        <v>2.5600000000000001E-2</v>
      </c>
      <c r="M39" s="94">
        <f t="shared" si="19"/>
        <v>2.5600000000000001E-2</v>
      </c>
      <c r="N39" s="252">
        <f>(2.56%/31*20)+(2.47%/31*11)</f>
        <v>2.5280645161290326E-2</v>
      </c>
    </row>
    <row r="40" spans="1:16" s="108" customFormat="1">
      <c r="A40" s="236">
        <v>29</v>
      </c>
      <c r="B40" s="237" t="s">
        <v>223</v>
      </c>
      <c r="C40" s="238">
        <f>C37*C38/12</f>
        <v>336377.30054025381</v>
      </c>
      <c r="D40" s="238">
        <f t="shared" ref="D40:E40" si="20">D37*D38/12</f>
        <v>351188.09185880591</v>
      </c>
      <c r="E40" s="238">
        <f t="shared" si="20"/>
        <v>364204.91882164025</v>
      </c>
      <c r="F40" s="238">
        <f>F37*F38/12</f>
        <v>380844.94178737182</v>
      </c>
      <c r="G40" s="238">
        <f t="shared" ref="G40:N40" si="21">G37*G38/12</f>
        <v>396261.40840848041</v>
      </c>
      <c r="H40" s="238">
        <f t="shared" si="21"/>
        <v>410984.09819408506</v>
      </c>
      <c r="I40" s="238">
        <f t="shared" si="21"/>
        <v>421194.80878230202</v>
      </c>
      <c r="J40" s="238">
        <f t="shared" si="21"/>
        <v>441021.54196109809</v>
      </c>
      <c r="K40" s="238">
        <f t="shared" si="21"/>
        <v>457991.90154773724</v>
      </c>
      <c r="L40" s="238">
        <f t="shared" si="21"/>
        <v>481970.7731144253</v>
      </c>
      <c r="M40" s="238">
        <f t="shared" si="21"/>
        <v>509969.7060733317</v>
      </c>
      <c r="N40" s="238">
        <f t="shared" si="21"/>
        <v>523702.13987892517</v>
      </c>
      <c r="O40" s="238">
        <f>SUM(C40:N40)</f>
        <v>5075711.6309684562</v>
      </c>
      <c r="P40" s="238"/>
    </row>
    <row r="42" spans="1:16" s="108" customFormat="1">
      <c r="A42" s="236">
        <v>30</v>
      </c>
      <c r="B42" s="237" t="s">
        <v>224</v>
      </c>
      <c r="C42" s="238">
        <f>C32-C40</f>
        <v>802521.86625040206</v>
      </c>
      <c r="D42" s="238">
        <f t="shared" ref="D42:N42" si="22">D32-D40</f>
        <v>521848.40179889119</v>
      </c>
      <c r="E42" s="238">
        <f t="shared" si="22"/>
        <v>421745.42918925389</v>
      </c>
      <c r="F42" s="238">
        <f t="shared" si="22"/>
        <v>229581.83223808982</v>
      </c>
      <c r="G42" s="238">
        <f t="shared" si="22"/>
        <v>321068.40065389039</v>
      </c>
      <c r="H42" s="238">
        <f t="shared" si="22"/>
        <v>213856.71130861971</v>
      </c>
      <c r="I42" s="238">
        <f t="shared" si="22"/>
        <v>250903.3874246864</v>
      </c>
      <c r="J42" s="238">
        <f t="shared" si="22"/>
        <v>435048.83830467332</v>
      </c>
      <c r="K42" s="238">
        <f t="shared" si="22"/>
        <v>375018.62617365684</v>
      </c>
      <c r="L42" s="238">
        <f t="shared" si="22"/>
        <v>297008.81452431501</v>
      </c>
      <c r="M42" s="238">
        <f t="shared" si="22"/>
        <v>442598.98093386315</v>
      </c>
      <c r="N42" s="238">
        <f t="shared" si="22"/>
        <v>589588.43034376693</v>
      </c>
      <c r="O42" s="238">
        <f>SUM(C42:N42)</f>
        <v>4900789.7191441087</v>
      </c>
      <c r="P42" s="238"/>
    </row>
    <row r="44" spans="1:16">
      <c r="A44" s="96">
        <v>31</v>
      </c>
      <c r="B44" s="227" t="s">
        <v>225</v>
      </c>
      <c r="C44" s="241">
        <v>1.3599999999999999E-2</v>
      </c>
      <c r="D44" s="53">
        <f t="shared" ref="D44:G45" si="23">C44</f>
        <v>1.3599999999999999E-2</v>
      </c>
      <c r="E44" s="53">
        <f t="shared" si="23"/>
        <v>1.3599999999999999E-2</v>
      </c>
      <c r="F44" s="53">
        <f t="shared" si="23"/>
        <v>1.3599999999999999E-2</v>
      </c>
      <c r="G44" s="53">
        <f t="shared" si="23"/>
        <v>1.3599999999999999E-2</v>
      </c>
      <c r="H44" s="53">
        <f t="shared" ref="H44:M45" si="24">G44</f>
        <v>1.3599999999999999E-2</v>
      </c>
      <c r="I44" s="53">
        <f t="shared" si="24"/>
        <v>1.3599999999999999E-2</v>
      </c>
      <c r="J44" s="53">
        <f t="shared" si="24"/>
        <v>1.3599999999999999E-2</v>
      </c>
      <c r="K44" s="53">
        <f t="shared" si="24"/>
        <v>1.3599999999999999E-2</v>
      </c>
      <c r="L44" s="53">
        <f t="shared" si="24"/>
        <v>1.3599999999999999E-2</v>
      </c>
      <c r="M44" s="53">
        <f t="shared" si="24"/>
        <v>1.3599999999999999E-2</v>
      </c>
      <c r="N44" s="241">
        <v>1.3599999999999999E-2</v>
      </c>
    </row>
    <row r="45" spans="1:16">
      <c r="A45" s="96">
        <v>32</v>
      </c>
      <c r="B45" s="227" t="s">
        <v>226</v>
      </c>
      <c r="C45" s="241">
        <v>3.8605E-2</v>
      </c>
      <c r="D45" s="53">
        <f t="shared" si="23"/>
        <v>3.8605E-2</v>
      </c>
      <c r="E45" s="53">
        <f t="shared" si="23"/>
        <v>3.8605E-2</v>
      </c>
      <c r="F45" s="53">
        <f t="shared" si="23"/>
        <v>3.8605E-2</v>
      </c>
      <c r="G45" s="53">
        <f t="shared" si="23"/>
        <v>3.8605E-2</v>
      </c>
      <c r="H45" s="53">
        <f t="shared" si="24"/>
        <v>3.8605E-2</v>
      </c>
      <c r="I45" s="53">
        <f t="shared" si="24"/>
        <v>3.8605E-2</v>
      </c>
      <c r="J45" s="53">
        <f t="shared" si="24"/>
        <v>3.8605E-2</v>
      </c>
      <c r="K45" s="53">
        <f t="shared" si="24"/>
        <v>3.8605E-2</v>
      </c>
      <c r="L45" s="53">
        <f t="shared" si="24"/>
        <v>3.8605E-2</v>
      </c>
      <c r="M45" s="53">
        <f t="shared" si="24"/>
        <v>3.8605E-2</v>
      </c>
      <c r="N45" s="241">
        <v>3.8605E-2</v>
      </c>
    </row>
    <row r="46" spans="1:16">
      <c r="A46" s="96">
        <v>33</v>
      </c>
      <c r="B46" s="227" t="s">
        <v>227</v>
      </c>
      <c r="C46" s="241">
        <v>3.326E-3</v>
      </c>
      <c r="D46" s="53">
        <f t="shared" ref="D46:F48" si="25">C46</f>
        <v>3.326E-3</v>
      </c>
      <c r="E46" s="53">
        <f t="shared" si="25"/>
        <v>3.326E-3</v>
      </c>
      <c r="F46" s="53">
        <f t="shared" si="25"/>
        <v>3.326E-3</v>
      </c>
      <c r="G46" s="53">
        <f t="shared" ref="G46:M48" si="26">F46</f>
        <v>3.326E-3</v>
      </c>
      <c r="H46" s="53">
        <f t="shared" si="26"/>
        <v>3.326E-3</v>
      </c>
      <c r="I46" s="53">
        <f t="shared" si="26"/>
        <v>3.326E-3</v>
      </c>
      <c r="J46" s="53">
        <f t="shared" si="26"/>
        <v>3.326E-3</v>
      </c>
      <c r="K46" s="53">
        <f t="shared" si="26"/>
        <v>3.326E-3</v>
      </c>
      <c r="L46" s="53">
        <f t="shared" si="26"/>
        <v>3.326E-3</v>
      </c>
      <c r="M46" s="53">
        <f t="shared" si="26"/>
        <v>3.326E-3</v>
      </c>
      <c r="N46" s="241">
        <v>3.326E-3</v>
      </c>
    </row>
    <row r="47" spans="1:16">
      <c r="A47" s="96">
        <v>34</v>
      </c>
      <c r="B47" s="227" t="s">
        <v>228</v>
      </c>
      <c r="C47" s="242">
        <v>2E-3</v>
      </c>
      <c r="D47" s="243">
        <f t="shared" si="25"/>
        <v>2E-3</v>
      </c>
      <c r="E47" s="243">
        <f t="shared" si="25"/>
        <v>2E-3</v>
      </c>
      <c r="F47" s="243">
        <f t="shared" si="25"/>
        <v>2E-3</v>
      </c>
      <c r="G47" s="243">
        <f t="shared" si="26"/>
        <v>2E-3</v>
      </c>
      <c r="H47" s="243">
        <f t="shared" si="26"/>
        <v>2E-3</v>
      </c>
      <c r="I47" s="243">
        <f t="shared" si="26"/>
        <v>2E-3</v>
      </c>
      <c r="J47" s="243">
        <f t="shared" si="26"/>
        <v>2E-3</v>
      </c>
      <c r="K47" s="243">
        <f t="shared" si="26"/>
        <v>2E-3</v>
      </c>
      <c r="L47" s="243">
        <f t="shared" si="26"/>
        <v>2E-3</v>
      </c>
      <c r="M47" s="243">
        <f t="shared" si="26"/>
        <v>2E-3</v>
      </c>
      <c r="N47" s="242">
        <v>2E-3</v>
      </c>
    </row>
    <row r="48" spans="1:16">
      <c r="A48" s="96">
        <v>35</v>
      </c>
      <c r="B48" s="227" t="s">
        <v>229</v>
      </c>
      <c r="C48" s="244">
        <v>0.21</v>
      </c>
      <c r="D48" s="245">
        <f t="shared" si="25"/>
        <v>0.21</v>
      </c>
      <c r="E48" s="245">
        <f t="shared" si="25"/>
        <v>0.21</v>
      </c>
      <c r="F48" s="245">
        <f t="shared" si="25"/>
        <v>0.21</v>
      </c>
      <c r="G48" s="245">
        <f t="shared" si="26"/>
        <v>0.21</v>
      </c>
      <c r="H48" s="245">
        <f t="shared" si="26"/>
        <v>0.21</v>
      </c>
      <c r="I48" s="245">
        <f t="shared" si="26"/>
        <v>0.21</v>
      </c>
      <c r="J48" s="245">
        <f t="shared" si="26"/>
        <v>0.21</v>
      </c>
      <c r="K48" s="245">
        <f t="shared" si="26"/>
        <v>0.21</v>
      </c>
      <c r="L48" s="245">
        <f t="shared" si="26"/>
        <v>0.21</v>
      </c>
      <c r="M48" s="245">
        <f t="shared" si="26"/>
        <v>0.21</v>
      </c>
      <c r="N48" s="244">
        <v>0.21</v>
      </c>
    </row>
    <row r="49" spans="1:15" ht="15" customHeight="1">
      <c r="A49" s="96">
        <v>36</v>
      </c>
      <c r="B49" s="227" t="s">
        <v>230</v>
      </c>
      <c r="C49" s="253">
        <v>1.85</v>
      </c>
      <c r="D49" s="253">
        <v>1.85</v>
      </c>
      <c r="E49" s="253">
        <v>1.85</v>
      </c>
      <c r="F49" s="253">
        <v>1.85</v>
      </c>
      <c r="G49" s="253">
        <v>1.85</v>
      </c>
      <c r="H49" s="253">
        <v>1.85</v>
      </c>
      <c r="I49" s="253">
        <v>1.85</v>
      </c>
      <c r="J49" s="253">
        <v>1.85</v>
      </c>
      <c r="K49" s="253">
        <v>1.85</v>
      </c>
      <c r="L49" s="253">
        <v>1.85</v>
      </c>
      <c r="M49" s="253">
        <v>1.85</v>
      </c>
      <c r="N49" s="253">
        <v>1.85</v>
      </c>
    </row>
    <row r="50" spans="1:15" ht="15" customHeight="1">
      <c r="A50" s="96">
        <v>37</v>
      </c>
      <c r="B50" s="227" t="s">
        <v>231</v>
      </c>
      <c r="C50" s="253">
        <v>0.28999999999999998</v>
      </c>
      <c r="D50" s="253">
        <v>0.28999999999999998</v>
      </c>
      <c r="E50" s="253">
        <v>0.28999999999999998</v>
      </c>
      <c r="F50" s="253">
        <v>0.28999999999999998</v>
      </c>
      <c r="G50" s="253">
        <v>0.28999999999999998</v>
      </c>
      <c r="H50" s="253">
        <v>0.28999999999999998</v>
      </c>
      <c r="I50" s="253">
        <v>0.28999999999999998</v>
      </c>
      <c r="J50" s="253">
        <v>0.28999999999999998</v>
      </c>
      <c r="K50" s="253">
        <v>0.28999999999999998</v>
      </c>
      <c r="L50" s="253">
        <v>0.28999999999999998</v>
      </c>
      <c r="M50" s="253">
        <v>0.28999999999999998</v>
      </c>
      <c r="N50" s="253">
        <v>0.28999999999999998</v>
      </c>
    </row>
    <row r="51" spans="1:15">
      <c r="B51" s="227"/>
    </row>
    <row r="52" spans="1:15" ht="19.5" customHeight="1">
      <c r="A52" s="39" t="s">
        <v>232</v>
      </c>
      <c r="B52" s="300" t="s">
        <v>233</v>
      </c>
      <c r="C52" s="300"/>
      <c r="D52" s="300"/>
      <c r="E52" s="300"/>
      <c r="F52" s="300"/>
      <c r="G52" s="300"/>
      <c r="H52" s="300"/>
      <c r="I52" s="300"/>
      <c r="J52" s="300"/>
      <c r="K52" s="300"/>
      <c r="L52" s="300"/>
      <c r="M52" s="300"/>
      <c r="N52" s="300"/>
      <c r="O52" s="300"/>
    </row>
    <row r="53" spans="1:15">
      <c r="A53" s="96" t="s">
        <v>234</v>
      </c>
      <c r="B53" s="53" t="s">
        <v>235</v>
      </c>
    </row>
    <row r="54" spans="1:15">
      <c r="A54" s="96" t="s">
        <v>236</v>
      </c>
      <c r="B54" s="53" t="s">
        <v>237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E72-56EC-4869-92FE-946E7099F106}">
  <sheetPr>
    <tabColor rgb="FFFFC000"/>
  </sheetPr>
  <dimension ref="A2:P54"/>
  <sheetViews>
    <sheetView workbookViewId="0">
      <selection activeCell="E13" sqref="E13"/>
    </sheetView>
  </sheetViews>
  <sheetFormatPr defaultRowHeight="15"/>
  <cols>
    <col min="1" max="1" width="8" style="96" customWidth="1"/>
    <col min="2" max="2" width="32" style="53" customWidth="1"/>
    <col min="3" max="3" width="13" style="53" customWidth="1"/>
    <col min="4" max="4" width="13.140625" style="53" customWidth="1"/>
    <col min="5" max="5" width="12.5703125" style="53" bestFit="1" customWidth="1"/>
    <col min="6" max="6" width="12.7109375" style="53" customWidth="1"/>
    <col min="7" max="7" width="12.5703125" style="53" customWidth="1"/>
    <col min="8" max="8" width="12.85546875" style="53" customWidth="1"/>
    <col min="9" max="9" width="12.42578125" style="53" customWidth="1"/>
    <col min="10" max="10" width="12.85546875" style="53" customWidth="1"/>
    <col min="11" max="11" width="13.140625" style="53" customWidth="1"/>
    <col min="12" max="12" width="13" style="53" customWidth="1"/>
    <col min="13" max="13" width="12.85546875" style="53" customWidth="1"/>
    <col min="14" max="14" width="13.140625" style="53" customWidth="1"/>
    <col min="15" max="15" width="12.7109375" style="53" customWidth="1"/>
    <col min="16" max="16" width="12.5703125" style="53" customWidth="1"/>
    <col min="17" max="16384" width="9.140625" style="53"/>
  </cols>
  <sheetData>
    <row r="2" spans="1:16" ht="15.75">
      <c r="B2" s="157" t="s">
        <v>192</v>
      </c>
      <c r="C2" s="157"/>
      <c r="D2" s="157"/>
      <c r="E2" s="157"/>
    </row>
    <row r="3" spans="1:16" ht="15.75">
      <c r="B3" s="157" t="s">
        <v>299</v>
      </c>
      <c r="C3" s="157"/>
      <c r="D3" s="157"/>
      <c r="E3" s="157"/>
    </row>
    <row r="5" spans="1:16">
      <c r="P5" s="221">
        <v>2022</v>
      </c>
    </row>
    <row r="6" spans="1:16">
      <c r="A6" s="83" t="s">
        <v>1</v>
      </c>
      <c r="B6" s="83" t="s">
        <v>193</v>
      </c>
      <c r="C6" s="83">
        <v>44562</v>
      </c>
      <c r="D6" s="83">
        <f t="shared" ref="D6:N6" si="0">EDATE(C6,1)</f>
        <v>44593</v>
      </c>
      <c r="E6" s="83">
        <f t="shared" si="0"/>
        <v>44621</v>
      </c>
      <c r="F6" s="83">
        <f t="shared" si="0"/>
        <v>44652</v>
      </c>
      <c r="G6" s="83">
        <f t="shared" si="0"/>
        <v>44682</v>
      </c>
      <c r="H6" s="83">
        <f t="shared" si="0"/>
        <v>44713</v>
      </c>
      <c r="I6" s="83">
        <f t="shared" si="0"/>
        <v>44743</v>
      </c>
      <c r="J6" s="83">
        <f t="shared" si="0"/>
        <v>44774</v>
      </c>
      <c r="K6" s="83">
        <f t="shared" si="0"/>
        <v>44805</v>
      </c>
      <c r="L6" s="83">
        <f t="shared" si="0"/>
        <v>44835</v>
      </c>
      <c r="M6" s="83">
        <f t="shared" si="0"/>
        <v>44866</v>
      </c>
      <c r="N6" s="83">
        <f t="shared" si="0"/>
        <v>44896</v>
      </c>
      <c r="O6" s="83" t="s">
        <v>282</v>
      </c>
      <c r="P6" s="226" t="s">
        <v>194</v>
      </c>
    </row>
    <row r="7" spans="1:16">
      <c r="B7" s="221"/>
      <c r="C7" s="221"/>
      <c r="D7" s="221"/>
      <c r="E7" s="221"/>
    </row>
    <row r="8" spans="1:16" ht="30" customHeight="1">
      <c r="A8" s="96">
        <v>1</v>
      </c>
      <c r="B8" s="227" t="s">
        <v>195</v>
      </c>
      <c r="C8" s="228">
        <f>'Nat Gas Deferral'!D13</f>
        <v>5027</v>
      </c>
      <c r="D8" s="228">
        <f>'Nat Gas Deferral'!E13</f>
        <v>4919</v>
      </c>
      <c r="E8" s="228">
        <f>'Nat Gas Deferral'!F13</f>
        <v>5319</v>
      </c>
      <c r="F8" s="228">
        <f>'Nat Gas Deferral'!G13</f>
        <v>5486</v>
      </c>
      <c r="G8" s="228">
        <f>'Nat Gas Deferral'!H13</f>
        <v>5626</v>
      </c>
      <c r="H8" s="228">
        <f>'Nat Gas Deferral'!I13</f>
        <v>5909</v>
      </c>
      <c r="I8" s="228">
        <f>'Nat Gas Deferral'!J13</f>
        <v>6020</v>
      </c>
      <c r="J8" s="228">
        <f>'Nat Gas Deferral'!K13</f>
        <v>6131</v>
      </c>
      <c r="K8" s="228">
        <f>'Nat Gas Deferral'!L13</f>
        <v>6263</v>
      </c>
      <c r="L8" s="228">
        <f>'Nat Gas Deferral'!M13</f>
        <v>6507</v>
      </c>
      <c r="M8" s="228">
        <f>'Nat Gas Deferral'!N13</f>
        <v>6548</v>
      </c>
      <c r="N8" s="228">
        <f>'Nat Gas Deferral'!O13</f>
        <v>5495</v>
      </c>
      <c r="O8" s="229">
        <f>SUM(C8:N8)</f>
        <v>69250</v>
      </c>
      <c r="P8" s="229">
        <f>AVERAGE(C8:O8)</f>
        <v>10653.846153846154</v>
      </c>
    </row>
    <row r="9" spans="1:16" ht="30" customHeight="1">
      <c r="A9" s="96">
        <v>2</v>
      </c>
      <c r="B9" s="227" t="s">
        <v>238</v>
      </c>
      <c r="C9" s="228">
        <f>'Nat Gas Deferral'!D14</f>
        <v>733867.36242000002</v>
      </c>
      <c r="D9" s="228">
        <f>'Nat Gas Deferral'!E14</f>
        <v>586309.63888999994</v>
      </c>
      <c r="E9" s="228">
        <f>'Nat Gas Deferral'!F14</f>
        <v>484748.65026999998</v>
      </c>
      <c r="F9" s="228">
        <f>'Nat Gas Deferral'!G14</f>
        <v>359958.57377000002</v>
      </c>
      <c r="G9" s="228">
        <f>'Nat Gas Deferral'!H14</f>
        <v>276700.79408999998</v>
      </c>
      <c r="H9" s="228">
        <f>'Nat Gas Deferral'!I14</f>
        <v>147883</v>
      </c>
      <c r="I9" s="228">
        <f>'Nat Gas Deferral'!J14</f>
        <v>68159.382221000007</v>
      </c>
      <c r="J9" s="228">
        <f>'Nat Gas Deferral'!K14</f>
        <v>46312.418279999998</v>
      </c>
      <c r="K9" s="228">
        <f>'Nat Gas Deferral'!L14</f>
        <v>52211.891150000003</v>
      </c>
      <c r="L9" s="228">
        <f>'Nat Gas Deferral'!M14</f>
        <v>97213.685409999991</v>
      </c>
      <c r="M9" s="228">
        <f>'Nat Gas Deferral'!N14</f>
        <v>418653.3149</v>
      </c>
      <c r="N9" s="228">
        <f>'Nat Gas Deferral'!O14</f>
        <v>704118.00869451603</v>
      </c>
      <c r="O9" s="229">
        <f>SUM(C9:N9)</f>
        <v>3976136.7200955157</v>
      </c>
      <c r="P9" s="229"/>
    </row>
    <row r="10" spans="1:16" ht="30" customHeight="1">
      <c r="A10" s="96">
        <v>3</v>
      </c>
      <c r="B10" s="227" t="s">
        <v>197</v>
      </c>
      <c r="C10" s="228">
        <f t="shared" ref="C10:N10" si="1">IF(C8&gt;0,C9/C8,0)</f>
        <v>145.98515265963795</v>
      </c>
      <c r="D10" s="228">
        <f t="shared" si="1"/>
        <v>119.19285198007724</v>
      </c>
      <c r="E10" s="228">
        <f t="shared" si="1"/>
        <v>91.135298039105095</v>
      </c>
      <c r="F10" s="228">
        <f t="shared" si="1"/>
        <v>65.61403094604448</v>
      </c>
      <c r="G10" s="228">
        <f t="shared" si="1"/>
        <v>49.182508725559899</v>
      </c>
      <c r="H10" s="228">
        <f t="shared" si="1"/>
        <v>25.026738872905739</v>
      </c>
      <c r="I10" s="228">
        <f t="shared" si="1"/>
        <v>11.32215651511628</v>
      </c>
      <c r="J10" s="228">
        <f t="shared" si="1"/>
        <v>7.5538114956777029</v>
      </c>
      <c r="K10" s="228">
        <f t="shared" si="1"/>
        <v>8.3365625339294276</v>
      </c>
      <c r="L10" s="228">
        <f t="shared" si="1"/>
        <v>14.939862518825878</v>
      </c>
      <c r="M10" s="228">
        <f t="shared" si="1"/>
        <v>63.936059086744045</v>
      </c>
      <c r="N10" s="228">
        <f t="shared" si="1"/>
        <v>128.13794516733685</v>
      </c>
      <c r="O10" s="228">
        <f>IF(O8&gt;0,O9/O8,0)</f>
        <v>57.417136752281813</v>
      </c>
      <c r="P10" s="229"/>
    </row>
    <row r="11" spans="1:16" ht="30" customHeight="1">
      <c r="A11" s="96">
        <v>4</v>
      </c>
      <c r="B11" s="227" t="s">
        <v>198</v>
      </c>
      <c r="C11" s="228">
        <f>'Nat Gas Deferral'!D39</f>
        <v>56</v>
      </c>
      <c r="D11" s="228">
        <f>'Nat Gas Deferral'!E39</f>
        <v>55</v>
      </c>
      <c r="E11" s="228">
        <f>'Nat Gas Deferral'!F39</f>
        <v>65</v>
      </c>
      <c r="F11" s="228">
        <f>'Nat Gas Deferral'!G39</f>
        <v>65</v>
      </c>
      <c r="G11" s="228">
        <f>'Nat Gas Deferral'!H39</f>
        <v>70</v>
      </c>
      <c r="H11" s="228">
        <f>'Nat Gas Deferral'!I39</f>
        <v>72</v>
      </c>
      <c r="I11" s="228">
        <f>'Nat Gas Deferral'!J39</f>
        <v>73</v>
      </c>
      <c r="J11" s="228">
        <f>'Nat Gas Deferral'!K39</f>
        <v>74</v>
      </c>
      <c r="K11" s="228">
        <f>'Nat Gas Deferral'!L39</f>
        <v>79</v>
      </c>
      <c r="L11" s="228">
        <f>'Nat Gas Deferral'!M39</f>
        <v>90</v>
      </c>
      <c r="M11" s="228">
        <f>'Nat Gas Deferral'!N39</f>
        <v>87</v>
      </c>
      <c r="N11" s="228">
        <f>'Nat Gas Deferral'!O39</f>
        <v>87</v>
      </c>
      <c r="O11" s="229">
        <f>SUM(C11:N11)</f>
        <v>873</v>
      </c>
      <c r="P11" s="229">
        <f>AVERAGE(C11:O11)</f>
        <v>134.30769230769232</v>
      </c>
    </row>
    <row r="12" spans="1:16" ht="30" customHeight="1">
      <c r="A12" s="96">
        <v>5</v>
      </c>
      <c r="B12" s="227" t="s">
        <v>199</v>
      </c>
      <c r="C12" s="228">
        <f>'Nat Gas Deferral'!D40</f>
        <v>214126.55089000001</v>
      </c>
      <c r="D12" s="228">
        <f>'Nat Gas Deferral'!E40</f>
        <v>170857.27407000001</v>
      </c>
      <c r="E12" s="228">
        <f>'Nat Gas Deferral'!F40</f>
        <v>116645.80035</v>
      </c>
      <c r="F12" s="228">
        <f>'Nat Gas Deferral'!G40</f>
        <v>137699.56843000001</v>
      </c>
      <c r="G12" s="228">
        <f>'Nat Gas Deferral'!H40</f>
        <v>119795.61397999999</v>
      </c>
      <c r="H12" s="228">
        <f>'Nat Gas Deferral'!I40</f>
        <v>95403</v>
      </c>
      <c r="I12" s="228">
        <f>'Nat Gas Deferral'!J40</f>
        <v>91552.888749999998</v>
      </c>
      <c r="J12" s="228">
        <f>'Nat Gas Deferral'!K40</f>
        <v>105932.84945000001</v>
      </c>
      <c r="K12" s="228">
        <f>'Nat Gas Deferral'!L40</f>
        <v>105226.79553999999</v>
      </c>
      <c r="L12" s="228">
        <f>'Nat Gas Deferral'!M40</f>
        <v>168684.48330999998</v>
      </c>
      <c r="M12" s="228">
        <f>'Nat Gas Deferral'!N40</f>
        <v>225347.04377999998</v>
      </c>
      <c r="N12" s="228">
        <f>'Nat Gas Deferral'!O40</f>
        <v>268831.04081354837</v>
      </c>
      <c r="O12" s="229">
        <f>SUM(C12:N12)</f>
        <v>1820102.9093635487</v>
      </c>
      <c r="P12" s="229"/>
    </row>
    <row r="13" spans="1:16" ht="30" customHeight="1">
      <c r="A13" s="96">
        <v>6</v>
      </c>
      <c r="B13" s="227" t="s">
        <v>200</v>
      </c>
      <c r="C13" s="228">
        <f t="shared" ref="C13" si="2">IF(C11&gt;0,C12/C11,0)</f>
        <v>3823.6884087500002</v>
      </c>
      <c r="D13" s="228">
        <f t="shared" ref="D13" si="3">IF(D11&gt;0,D12/D11,0)</f>
        <v>3106.4958921818184</v>
      </c>
      <c r="E13" s="228">
        <f t="shared" ref="E13" si="4">IF(E11&gt;0,E12/E11,0)</f>
        <v>1794.5507746153846</v>
      </c>
      <c r="F13" s="228">
        <f t="shared" ref="F13" si="5">IF(F11&gt;0,F12/F11,0)</f>
        <v>2118.4548989230771</v>
      </c>
      <c r="G13" s="228">
        <f t="shared" ref="G13:N13" si="6">IF(G11&gt;0,G12/G11,0)</f>
        <v>1711.365914</v>
      </c>
      <c r="H13" s="228">
        <f t="shared" si="6"/>
        <v>1325.0416666666667</v>
      </c>
      <c r="I13" s="228">
        <f t="shared" si="6"/>
        <v>1254.1491609589041</v>
      </c>
      <c r="J13" s="228">
        <f t="shared" si="6"/>
        <v>1431.5249925675678</v>
      </c>
      <c r="K13" s="228">
        <f t="shared" si="6"/>
        <v>1331.984753670886</v>
      </c>
      <c r="L13" s="228">
        <f t="shared" si="6"/>
        <v>1874.2720367777777</v>
      </c>
      <c r="M13" s="228">
        <f t="shared" si="6"/>
        <v>2590.195905517241</v>
      </c>
      <c r="N13" s="228">
        <f t="shared" si="6"/>
        <v>3090.0119633741192</v>
      </c>
      <c r="O13" s="228">
        <f>IF(O11&gt;0,O12/O11,0)</f>
        <v>2084.8830576902046</v>
      </c>
      <c r="P13" s="229"/>
    </row>
    <row r="14" spans="1:16" ht="12" customHeight="1">
      <c r="B14" s="227"/>
      <c r="C14" s="228"/>
      <c r="D14" s="228"/>
      <c r="E14" s="228"/>
      <c r="F14" s="228"/>
      <c r="G14" s="228"/>
      <c r="H14" s="228"/>
      <c r="I14" s="228"/>
      <c r="J14" s="228"/>
      <c r="K14" s="228"/>
      <c r="L14" s="228"/>
      <c r="M14" s="228"/>
      <c r="N14" s="228"/>
      <c r="O14" s="228"/>
      <c r="P14" s="230"/>
    </row>
    <row r="15" spans="1:16" ht="30">
      <c r="A15" s="96">
        <v>7</v>
      </c>
      <c r="B15" s="227" t="s">
        <v>201</v>
      </c>
      <c r="C15" s="246">
        <f>'Nat Gas Deferral'!D15</f>
        <v>445830.37</v>
      </c>
      <c r="D15" s="246">
        <f>'Nat Gas Deferral'!E15</f>
        <v>358009.51</v>
      </c>
      <c r="E15" s="246">
        <f>'Nat Gas Deferral'!F15</f>
        <v>300612.57</v>
      </c>
      <c r="F15" s="246">
        <f>'Nat Gas Deferral'!G15</f>
        <v>232206.01</v>
      </c>
      <c r="G15" s="246">
        <f>'Nat Gas Deferral'!H15</f>
        <v>189753.3</v>
      </c>
      <c r="H15" s="246">
        <f>'Nat Gas Deferral'!I15</f>
        <v>127267.78</v>
      </c>
      <c r="I15" s="246">
        <f>'Nat Gas Deferral'!J15</f>
        <v>90170.53</v>
      </c>
      <c r="J15" s="246">
        <f>'Nat Gas Deferral'!K15</f>
        <v>80566.33</v>
      </c>
      <c r="K15" s="246">
        <f>'Nat Gas Deferral'!L15</f>
        <v>84774.29</v>
      </c>
      <c r="L15" s="246">
        <f>'Nat Gas Deferral'!M15</f>
        <v>110000.44</v>
      </c>
      <c r="M15" s="246">
        <f>'Nat Gas Deferral'!N15</f>
        <v>274521.15999999997</v>
      </c>
      <c r="N15" s="246">
        <f>'Nat Gas Deferral'!O15</f>
        <v>433567.24516129028</v>
      </c>
      <c r="O15" s="235">
        <f>SUM(C15:N15)</f>
        <v>2727279.5351612903</v>
      </c>
      <c r="P15" s="235">
        <f>O15/P$8</f>
        <v>255.99013687434493</v>
      </c>
    </row>
    <row r="16" spans="1:16" ht="30" customHeight="1">
      <c r="A16" s="96">
        <v>8</v>
      </c>
      <c r="B16" s="227" t="s">
        <v>202</v>
      </c>
      <c r="C16" s="246">
        <f>'Nat Gas Deferral'!D41</f>
        <v>63655.34</v>
      </c>
      <c r="D16" s="246">
        <f>'Nat Gas Deferral'!E41</f>
        <v>51362.59</v>
      </c>
      <c r="E16" s="246">
        <f>'Nat Gas Deferral'!F41</f>
        <v>39817.46</v>
      </c>
      <c r="F16" s="246">
        <f>'Nat Gas Deferral'!G41</f>
        <v>41739.97</v>
      </c>
      <c r="G16" s="246">
        <f>'Nat Gas Deferral'!H41</f>
        <v>40063.94</v>
      </c>
      <c r="H16" s="246">
        <f>'Nat Gas Deferral'!I41</f>
        <v>31493.58</v>
      </c>
      <c r="I16" s="246">
        <f>'Nat Gas Deferral'!J41</f>
        <v>29303.54</v>
      </c>
      <c r="J16" s="246">
        <f>'Nat Gas Deferral'!K41</f>
        <v>31144.36</v>
      </c>
      <c r="K16" s="246">
        <f>'Nat Gas Deferral'!L41</f>
        <v>31486.489999999998</v>
      </c>
      <c r="L16" s="246">
        <f>'Nat Gas Deferral'!M41</f>
        <v>47995.159999999996</v>
      </c>
      <c r="M16" s="246">
        <f>'Nat Gas Deferral'!N41</f>
        <v>63360.1</v>
      </c>
      <c r="N16" s="246">
        <f>'Nat Gas Deferral'!O41</f>
        <v>81295.222903225804</v>
      </c>
      <c r="O16" s="235">
        <f>SUM(C16:N16)</f>
        <v>552717.75290322572</v>
      </c>
      <c r="P16" s="235">
        <f>O16/P$11</f>
        <v>4115.3097295200077</v>
      </c>
    </row>
    <row r="17" spans="1:16" ht="18.75" customHeight="1">
      <c r="A17" s="96">
        <v>9</v>
      </c>
      <c r="B17" s="233" t="s">
        <v>203</v>
      </c>
      <c r="C17" s="234">
        <f t="shared" ref="C17" si="7">C15+C16</f>
        <v>509485.70999999996</v>
      </c>
      <c r="D17" s="234">
        <f t="shared" ref="D17" si="8">D15+D16</f>
        <v>409372.1</v>
      </c>
      <c r="E17" s="234">
        <f t="shared" ref="E17" si="9">E15+E16</f>
        <v>340430.03</v>
      </c>
      <c r="F17" s="234">
        <f t="shared" ref="F17" si="10">F15+F16</f>
        <v>273945.98</v>
      </c>
      <c r="G17" s="234">
        <f t="shared" ref="G17:N17" si="11">G15+G16</f>
        <v>229817.24</v>
      </c>
      <c r="H17" s="234">
        <f t="shared" si="11"/>
        <v>158761.35999999999</v>
      </c>
      <c r="I17" s="234">
        <f t="shared" si="11"/>
        <v>119474.07</v>
      </c>
      <c r="J17" s="234">
        <f t="shared" si="11"/>
        <v>111710.69</v>
      </c>
      <c r="K17" s="234">
        <f t="shared" si="11"/>
        <v>116260.78</v>
      </c>
      <c r="L17" s="234">
        <f t="shared" si="11"/>
        <v>157995.6</v>
      </c>
      <c r="M17" s="234">
        <f t="shared" si="11"/>
        <v>337881.25999999995</v>
      </c>
      <c r="N17" s="234">
        <f t="shared" si="11"/>
        <v>514862.46806451608</v>
      </c>
      <c r="O17" s="234">
        <f>SUM(C17:N17)</f>
        <v>3279997.2880645161</v>
      </c>
    </row>
    <row r="18" spans="1:16">
      <c r="B18" s="227"/>
      <c r="C18" s="227"/>
      <c r="D18" s="227"/>
      <c r="E18" s="227"/>
    </row>
    <row r="19" spans="1:16">
      <c r="A19" s="96">
        <v>10</v>
      </c>
      <c r="B19" s="227" t="s">
        <v>239</v>
      </c>
      <c r="C19" s="257">
        <f t="shared" ref="C19:N19" si="12">(C9+C12)*C44</f>
        <v>0</v>
      </c>
      <c r="D19" s="257">
        <f t="shared" si="12"/>
        <v>0</v>
      </c>
      <c r="E19" s="257">
        <f t="shared" si="12"/>
        <v>0</v>
      </c>
      <c r="F19" s="257">
        <f t="shared" si="12"/>
        <v>0</v>
      </c>
      <c r="G19" s="257">
        <f t="shared" si="12"/>
        <v>0</v>
      </c>
      <c r="H19" s="257">
        <f t="shared" si="12"/>
        <v>0</v>
      </c>
      <c r="I19" s="257">
        <f t="shared" si="12"/>
        <v>0</v>
      </c>
      <c r="J19" s="257">
        <f t="shared" si="12"/>
        <v>0</v>
      </c>
      <c r="K19" s="257">
        <f t="shared" si="12"/>
        <v>0</v>
      </c>
      <c r="L19" s="257">
        <f t="shared" si="12"/>
        <v>0</v>
      </c>
      <c r="M19" s="257">
        <f t="shared" si="12"/>
        <v>0</v>
      </c>
      <c r="N19" s="257">
        <f t="shared" si="12"/>
        <v>0</v>
      </c>
      <c r="O19" s="235">
        <f>SUM(C19:N19)</f>
        <v>0</v>
      </c>
      <c r="P19" s="235"/>
    </row>
    <row r="20" spans="1:16">
      <c r="A20" s="96">
        <v>11</v>
      </c>
      <c r="B20" s="227" t="s">
        <v>205</v>
      </c>
      <c r="C20" s="256">
        <v>60389.775990947863</v>
      </c>
      <c r="D20" s="256">
        <v>62376.950868572865</v>
      </c>
      <c r="E20" s="256">
        <v>64455.130714572864</v>
      </c>
      <c r="F20" s="256">
        <v>67103.717371197868</v>
      </c>
      <c r="G20" s="256">
        <v>70423.310919697877</v>
      </c>
      <c r="H20" s="256">
        <v>74359.134419072871</v>
      </c>
      <c r="I20" s="256">
        <v>79245.19745982287</v>
      </c>
      <c r="J20" s="256">
        <v>83662.820520572845</v>
      </c>
      <c r="K20" s="256">
        <v>86682.768323197844</v>
      </c>
      <c r="L20" s="256">
        <v>89352.95437969784</v>
      </c>
      <c r="M20" s="256">
        <v>92592.115993947853</v>
      </c>
      <c r="N20" s="256">
        <v>96789.759683697848</v>
      </c>
      <c r="O20" s="235">
        <f>SUM(C20:N20)</f>
        <v>927433.63664499926</v>
      </c>
      <c r="P20" s="235"/>
    </row>
    <row r="21" spans="1:16">
      <c r="A21" s="96">
        <v>12</v>
      </c>
      <c r="B21" s="227" t="s">
        <v>206</v>
      </c>
      <c r="C21" s="256">
        <v>29633.39573419937</v>
      </c>
      <c r="D21" s="256">
        <v>30608.536823936873</v>
      </c>
      <c r="E21" s="256">
        <v>31628.33562600354</v>
      </c>
      <c r="F21" s="256">
        <v>32928.042917841041</v>
      </c>
      <c r="G21" s="256">
        <v>34557.024899657707</v>
      </c>
      <c r="H21" s="256">
        <v>36488.401578886871</v>
      </c>
      <c r="I21" s="256">
        <v>38886.077239811872</v>
      </c>
      <c r="J21" s="256">
        <v>41053.881298736866</v>
      </c>
      <c r="K21" s="256">
        <v>42535.821929307691</v>
      </c>
      <c r="L21" s="256">
        <v>43846.128420324356</v>
      </c>
      <c r="M21" s="256">
        <v>45435.641060566028</v>
      </c>
      <c r="N21" s="256">
        <v>47495.497436591024</v>
      </c>
      <c r="O21" s="235">
        <f>SUM(C21:N21)</f>
        <v>455096.78496586322</v>
      </c>
      <c r="P21" s="235"/>
    </row>
    <row r="22" spans="1:16">
      <c r="A22" s="96">
        <v>13</v>
      </c>
      <c r="B22" s="227" t="s">
        <v>207</v>
      </c>
      <c r="C22" s="257">
        <f>(C8+C11)*C49</f>
        <v>9352.7200000000012</v>
      </c>
      <c r="D22" s="257">
        <f t="shared" ref="D22:M22" si="13">(D8+D11)*D49</f>
        <v>9152.16</v>
      </c>
      <c r="E22" s="257">
        <f t="shared" si="13"/>
        <v>9906.5600000000013</v>
      </c>
      <c r="F22" s="257">
        <f t="shared" si="13"/>
        <v>10213.84</v>
      </c>
      <c r="G22" s="257">
        <f t="shared" si="13"/>
        <v>10480.640000000001</v>
      </c>
      <c r="H22" s="257">
        <f t="shared" si="13"/>
        <v>11005.04</v>
      </c>
      <c r="I22" s="257">
        <f t="shared" si="13"/>
        <v>11211.12</v>
      </c>
      <c r="J22" s="257">
        <f t="shared" si="13"/>
        <v>11417.2</v>
      </c>
      <c r="K22" s="257">
        <f t="shared" si="13"/>
        <v>11669.28</v>
      </c>
      <c r="L22" s="257">
        <f t="shared" si="13"/>
        <v>12138.480000000001</v>
      </c>
      <c r="M22" s="257">
        <f t="shared" si="13"/>
        <v>12208.4</v>
      </c>
      <c r="N22" s="257">
        <f>(N8+N11)*N49</f>
        <v>10270.880000000001</v>
      </c>
      <c r="O22" s="235">
        <f t="shared" ref="O22:O26" si="14">SUM(C22:N22)</f>
        <v>129026.31999999999</v>
      </c>
      <c r="P22" s="235"/>
    </row>
    <row r="23" spans="1:16">
      <c r="A23" s="96">
        <v>14</v>
      </c>
      <c r="B23" s="227" t="s">
        <v>208</v>
      </c>
      <c r="C23" s="257">
        <f>(C8+C11)*C50</f>
        <v>1321.5800000000002</v>
      </c>
      <c r="D23" s="257">
        <f t="shared" ref="D23:N23" si="15">(D8+D11)*D50</f>
        <v>1293.24</v>
      </c>
      <c r="E23" s="257">
        <f t="shared" si="15"/>
        <v>1399.8400000000001</v>
      </c>
      <c r="F23" s="257">
        <f t="shared" si="15"/>
        <v>1443.26</v>
      </c>
      <c r="G23" s="257">
        <f t="shared" si="15"/>
        <v>1480.96</v>
      </c>
      <c r="H23" s="257">
        <f t="shared" si="15"/>
        <v>1555.06</v>
      </c>
      <c r="I23" s="257">
        <f t="shared" si="15"/>
        <v>1584.18</v>
      </c>
      <c r="J23" s="257">
        <f t="shared" si="15"/>
        <v>1613.3</v>
      </c>
      <c r="K23" s="257">
        <f t="shared" si="15"/>
        <v>1648.92</v>
      </c>
      <c r="L23" s="257">
        <f t="shared" si="15"/>
        <v>1715.22</v>
      </c>
      <c r="M23" s="257">
        <f t="shared" si="15"/>
        <v>1725.1000000000001</v>
      </c>
      <c r="N23" s="257">
        <f t="shared" si="15"/>
        <v>1451.32</v>
      </c>
      <c r="O23" s="235">
        <f t="shared" si="14"/>
        <v>18231.98</v>
      </c>
      <c r="P23" s="235"/>
    </row>
    <row r="24" spans="1:16">
      <c r="A24" s="96">
        <v>15</v>
      </c>
      <c r="B24" s="227" t="s">
        <v>209</v>
      </c>
      <c r="C24" s="235">
        <f t="shared" ref="C24:E26" si="16">C$17*C45</f>
        <v>19560.17537832</v>
      </c>
      <c r="D24" s="235">
        <f t="shared" si="16"/>
        <v>15716.6136632</v>
      </c>
      <c r="E24" s="235">
        <f t="shared" si="16"/>
        <v>13069.789711760002</v>
      </c>
      <c r="F24" s="235">
        <f>F$17*F45</f>
        <v>10517.334064160001</v>
      </c>
      <c r="G24" s="235">
        <f t="shared" ref="G24:N26" si="17">G$17*G45</f>
        <v>8823.1434780800009</v>
      </c>
      <c r="H24" s="235">
        <f t="shared" si="17"/>
        <v>6095.1661331200003</v>
      </c>
      <c r="I24" s="235">
        <f t="shared" si="17"/>
        <v>4586.848495440001</v>
      </c>
      <c r="J24" s="235">
        <f t="shared" si="17"/>
        <v>4288.7968104800002</v>
      </c>
      <c r="K24" s="235">
        <f t="shared" si="17"/>
        <v>4463.4838657600003</v>
      </c>
      <c r="L24" s="235">
        <f t="shared" si="17"/>
        <v>6065.7670752000004</v>
      </c>
      <c r="M24" s="235">
        <f t="shared" si="17"/>
        <v>12971.937333919999</v>
      </c>
      <c r="N24" s="235">
        <f t="shared" si="17"/>
        <v>19766.599873932904</v>
      </c>
      <c r="O24" s="235">
        <f t="shared" si="14"/>
        <v>125925.65588337291</v>
      </c>
      <c r="P24" s="235"/>
    </row>
    <row r="25" spans="1:16">
      <c r="A25" s="96">
        <v>16</v>
      </c>
      <c r="B25" s="227" t="s">
        <v>210</v>
      </c>
      <c r="C25" s="235">
        <f t="shared" si="16"/>
        <v>1694.5494714599999</v>
      </c>
      <c r="D25" s="235">
        <f t="shared" si="16"/>
        <v>1361.5716046</v>
      </c>
      <c r="E25" s="235">
        <f t="shared" si="16"/>
        <v>1132.27027978</v>
      </c>
      <c r="F25" s="235">
        <f>F$17*F46</f>
        <v>911.1443294799999</v>
      </c>
      <c r="G25" s="235">
        <f t="shared" si="17"/>
        <v>764.37214023999991</v>
      </c>
      <c r="H25" s="235">
        <f t="shared" si="17"/>
        <v>528.04028335999999</v>
      </c>
      <c r="I25" s="235">
        <f t="shared" si="17"/>
        <v>397.37075682</v>
      </c>
      <c r="J25" s="235">
        <f t="shared" si="17"/>
        <v>371.54975494000001</v>
      </c>
      <c r="K25" s="235">
        <f t="shared" si="17"/>
        <v>386.68335428</v>
      </c>
      <c r="L25" s="235">
        <f t="shared" si="17"/>
        <v>525.49336560000006</v>
      </c>
      <c r="M25" s="235">
        <f t="shared" si="17"/>
        <v>1123.7930707599999</v>
      </c>
      <c r="N25" s="235">
        <f t="shared" si="17"/>
        <v>1712.4325687825806</v>
      </c>
      <c r="O25" s="235">
        <f t="shared" si="14"/>
        <v>10909.270980102579</v>
      </c>
      <c r="P25" s="235"/>
    </row>
    <row r="26" spans="1:16">
      <c r="A26" s="96">
        <v>17</v>
      </c>
      <c r="B26" s="227" t="s">
        <v>211</v>
      </c>
      <c r="C26" s="235">
        <f t="shared" si="16"/>
        <v>1018.97142</v>
      </c>
      <c r="D26" s="235">
        <f t="shared" si="16"/>
        <v>818.74419999999998</v>
      </c>
      <c r="E26" s="235">
        <f t="shared" si="16"/>
        <v>680.86006000000009</v>
      </c>
      <c r="F26" s="235">
        <f>F$17*F47</f>
        <v>547.89195999999993</v>
      </c>
      <c r="G26" s="235">
        <f t="shared" si="17"/>
        <v>459.63448</v>
      </c>
      <c r="H26" s="235">
        <f t="shared" si="17"/>
        <v>317.52271999999999</v>
      </c>
      <c r="I26" s="235">
        <f t="shared" si="17"/>
        <v>238.94814000000002</v>
      </c>
      <c r="J26" s="235">
        <f t="shared" si="17"/>
        <v>223.42138</v>
      </c>
      <c r="K26" s="235">
        <f t="shared" si="17"/>
        <v>232.52155999999999</v>
      </c>
      <c r="L26" s="235">
        <f t="shared" si="17"/>
        <v>315.99119999999999</v>
      </c>
      <c r="M26" s="235">
        <f t="shared" si="17"/>
        <v>675.76251999999988</v>
      </c>
      <c r="N26" s="235">
        <f t="shared" si="17"/>
        <v>1029.7249361290321</v>
      </c>
      <c r="O26" s="235">
        <f t="shared" si="14"/>
        <v>6559.9945761290328</v>
      </c>
      <c r="P26" s="235"/>
    </row>
    <row r="27" spans="1:16" ht="23.25" customHeight="1">
      <c r="A27" s="96">
        <v>18</v>
      </c>
      <c r="B27" s="233" t="s">
        <v>212</v>
      </c>
      <c r="C27" s="234">
        <f>SUM(C20:C26)</f>
        <v>122971.16799492724</v>
      </c>
      <c r="D27" s="234">
        <f>SUM(D20:D26)</f>
        <v>121327.81716030974</v>
      </c>
      <c r="E27" s="234">
        <f>SUM(E20:E26)</f>
        <v>122272.78639211641</v>
      </c>
      <c r="F27" s="234">
        <f>SUM(F19:F26)</f>
        <v>123665.23064267889</v>
      </c>
      <c r="G27" s="234">
        <f t="shared" ref="G27:O27" si="18">SUM(G20:G26)</f>
        <v>126989.08591767559</v>
      </c>
      <c r="H27" s="234">
        <f t="shared" si="18"/>
        <v>130348.36513443972</v>
      </c>
      <c r="I27" s="234">
        <f t="shared" si="18"/>
        <v>136149.7420918947</v>
      </c>
      <c r="J27" s="234">
        <f t="shared" si="18"/>
        <v>142630.96976472973</v>
      </c>
      <c r="K27" s="234">
        <f t="shared" si="18"/>
        <v>147619.47903254553</v>
      </c>
      <c r="L27" s="234">
        <f t="shared" si="18"/>
        <v>153960.03444082223</v>
      </c>
      <c r="M27" s="234">
        <f t="shared" si="18"/>
        <v>166732.74997919388</v>
      </c>
      <c r="N27" s="234">
        <f t="shared" si="18"/>
        <v>178516.21449913341</v>
      </c>
      <c r="O27" s="234">
        <f t="shared" si="18"/>
        <v>1673183.6430504671</v>
      </c>
      <c r="P27" s="235"/>
    </row>
    <row r="28" spans="1:16">
      <c r="B28" s="227"/>
      <c r="C28" s="235"/>
      <c r="D28" s="235"/>
      <c r="E28" s="235"/>
      <c r="F28" s="235"/>
      <c r="G28" s="235"/>
      <c r="H28" s="235"/>
      <c r="I28" s="235"/>
      <c r="J28" s="235"/>
      <c r="K28" s="235"/>
      <c r="L28" s="235"/>
      <c r="M28" s="235"/>
      <c r="N28" s="235"/>
      <c r="O28" s="235"/>
      <c r="P28" s="235"/>
    </row>
    <row r="29" spans="1:16" ht="16.5" customHeight="1">
      <c r="A29" s="96">
        <v>19</v>
      </c>
      <c r="B29" s="227" t="s">
        <v>213</v>
      </c>
      <c r="C29" s="235">
        <f t="shared" ref="C29:N29" si="19">C17-C27</f>
        <v>386514.5420050727</v>
      </c>
      <c r="D29" s="235">
        <f t="shared" si="19"/>
        <v>288044.28283969022</v>
      </c>
      <c r="E29" s="235">
        <f t="shared" si="19"/>
        <v>218157.24360788363</v>
      </c>
      <c r="F29" s="235">
        <f t="shared" si="19"/>
        <v>150280.7493573211</v>
      </c>
      <c r="G29" s="235">
        <f t="shared" si="19"/>
        <v>102828.1540823244</v>
      </c>
      <c r="H29" s="235">
        <f t="shared" si="19"/>
        <v>28412.994865560264</v>
      </c>
      <c r="I29" s="235">
        <f t="shared" si="19"/>
        <v>-16675.672091894696</v>
      </c>
      <c r="J29" s="235">
        <f t="shared" si="19"/>
        <v>-30920.279764729727</v>
      </c>
      <c r="K29" s="235">
        <f t="shared" si="19"/>
        <v>-31358.699032545526</v>
      </c>
      <c r="L29" s="235">
        <f t="shared" si="19"/>
        <v>4035.5655591777759</v>
      </c>
      <c r="M29" s="235">
        <f t="shared" si="19"/>
        <v>171148.51002080608</v>
      </c>
      <c r="N29" s="235">
        <f t="shared" si="19"/>
        <v>336346.25356538268</v>
      </c>
      <c r="O29" s="235">
        <f t="shared" ref="O29:O30" si="20">SUM(C29:N29)</f>
        <v>1606813.6450140486</v>
      </c>
      <c r="P29" s="235"/>
    </row>
    <row r="30" spans="1:16">
      <c r="A30" s="96">
        <v>20</v>
      </c>
      <c r="B30" s="227" t="s">
        <v>214</v>
      </c>
      <c r="C30" s="235">
        <f t="shared" ref="C30:N30" si="21">C29*C48</f>
        <v>81168.053821065259</v>
      </c>
      <c r="D30" s="235">
        <f t="shared" si="21"/>
        <v>60489.299396334944</v>
      </c>
      <c r="E30" s="235">
        <f t="shared" si="21"/>
        <v>45813.021157655559</v>
      </c>
      <c r="F30" s="235">
        <f>F29*F48</f>
        <v>31558.95736503743</v>
      </c>
      <c r="G30" s="235">
        <f t="shared" si="21"/>
        <v>21593.912357288122</v>
      </c>
      <c r="H30" s="235">
        <f t="shared" si="21"/>
        <v>5966.7289217676553</v>
      </c>
      <c r="I30" s="235">
        <f t="shared" si="21"/>
        <v>-3501.8911392978862</v>
      </c>
      <c r="J30" s="235">
        <f t="shared" si="21"/>
        <v>-6493.2587505932424</v>
      </c>
      <c r="K30" s="235">
        <f t="shared" si="21"/>
        <v>-6585.3267968345599</v>
      </c>
      <c r="L30" s="235">
        <f t="shared" si="21"/>
        <v>847.46876742733286</v>
      </c>
      <c r="M30" s="235">
        <f t="shared" si="21"/>
        <v>35941.187104369274</v>
      </c>
      <c r="N30" s="235">
        <f t="shared" si="21"/>
        <v>70632.713248730361</v>
      </c>
      <c r="O30" s="235">
        <f t="shared" si="20"/>
        <v>337430.86545295024</v>
      </c>
      <c r="P30" s="235"/>
    </row>
    <row r="31" spans="1:16">
      <c r="A31" s="96">
        <v>21</v>
      </c>
      <c r="B31" s="227" t="s">
        <v>215</v>
      </c>
      <c r="C31" s="235">
        <f>(C37*C39*-C48)/12</f>
        <v>-13020.253927760359</v>
      </c>
      <c r="D31" s="235">
        <f t="shared" ref="D31:N31" si="22">(D37*D39*-D48)/12</f>
        <v>-13423.75335006941</v>
      </c>
      <c r="E31" s="235">
        <f t="shared" si="22"/>
        <v>-13872.309170807361</v>
      </c>
      <c r="F31" s="235">
        <f>(F37*F39*-F48)/12</f>
        <v>-14532.912659115798</v>
      </c>
      <c r="G31" s="235">
        <f t="shared" si="22"/>
        <v>-15283.77251271555</v>
      </c>
      <c r="H31" s="235">
        <f t="shared" si="22"/>
        <v>-16221.373751662404</v>
      </c>
      <c r="I31" s="235">
        <f t="shared" si="22"/>
        <v>-17400.207377897874</v>
      </c>
      <c r="J31" s="235">
        <f t="shared" si="22"/>
        <v>-18121.998275459686</v>
      </c>
      <c r="K31" s="235">
        <f t="shared" si="22"/>
        <v>-18664.115023815193</v>
      </c>
      <c r="L31" s="235">
        <f t="shared" si="22"/>
        <v>-19225.215347921581</v>
      </c>
      <c r="M31" s="235">
        <f t="shared" si="22"/>
        <v>-20023.36830538946</v>
      </c>
      <c r="N31" s="235">
        <f t="shared" si="22"/>
        <v>-20754.493261777083</v>
      </c>
      <c r="O31" s="235">
        <f>SUM(C31:N31)</f>
        <v>-200543.77296439174</v>
      </c>
      <c r="P31" s="235"/>
    </row>
    <row r="32" spans="1:16" s="108" customFormat="1">
      <c r="A32" s="236">
        <v>22</v>
      </c>
      <c r="B32" s="237" t="s">
        <v>216</v>
      </c>
      <c r="C32" s="238">
        <f>C29-C30-C31</f>
        <v>318366.74211176782</v>
      </c>
      <c r="D32" s="238">
        <f t="shared" ref="D32:O32" si="23">D29-D30-D31</f>
        <v>240978.73679342467</v>
      </c>
      <c r="E32" s="238">
        <f t="shared" si="23"/>
        <v>186216.53162103542</v>
      </c>
      <c r="F32" s="238">
        <f t="shared" si="23"/>
        <v>133254.70465139946</v>
      </c>
      <c r="G32" s="238">
        <f t="shared" si="23"/>
        <v>96518.014237751835</v>
      </c>
      <c r="H32" s="238">
        <f t="shared" si="23"/>
        <v>38667.639695455015</v>
      </c>
      <c r="I32" s="238">
        <f t="shared" si="23"/>
        <v>4226.4264253010642</v>
      </c>
      <c r="J32" s="238">
        <f t="shared" si="23"/>
        <v>-6305.0227386767983</v>
      </c>
      <c r="K32" s="238">
        <f t="shared" si="23"/>
        <v>-6109.2572118957723</v>
      </c>
      <c r="L32" s="238">
        <f t="shared" si="23"/>
        <v>22413.312139672023</v>
      </c>
      <c r="M32" s="238">
        <f t="shared" si="23"/>
        <v>155230.69122182624</v>
      </c>
      <c r="N32" s="238">
        <f t="shared" si="23"/>
        <v>286468.03357842943</v>
      </c>
      <c r="O32" s="238">
        <f t="shared" si="23"/>
        <v>1469926.5525254901</v>
      </c>
      <c r="P32" s="238"/>
    </row>
    <row r="33" spans="1:16">
      <c r="B33" s="227"/>
      <c r="C33" s="235"/>
      <c r="D33" s="235"/>
      <c r="E33" s="235"/>
      <c r="F33" s="235"/>
      <c r="G33" s="235"/>
      <c r="H33" s="235"/>
      <c r="I33" s="235"/>
      <c r="J33" s="235"/>
      <c r="K33" s="235"/>
      <c r="L33" s="235"/>
      <c r="M33" s="235"/>
      <c r="N33" s="235"/>
      <c r="O33" s="235"/>
      <c r="P33" s="235"/>
    </row>
    <row r="34" spans="1:16" s="240" customFormat="1" ht="33" customHeight="1">
      <c r="A34" s="96">
        <v>23</v>
      </c>
      <c r="B34" s="239" t="s">
        <v>217</v>
      </c>
      <c r="C34" s="254">
        <v>31081757.223769773</v>
      </c>
      <c r="D34" s="254">
        <v>32082893.143769775</v>
      </c>
      <c r="E34" s="254">
        <v>33186243.143769775</v>
      </c>
      <c r="F34" s="254">
        <v>34765006.213769771</v>
      </c>
      <c r="G34" s="254">
        <v>36547856.86376977</v>
      </c>
      <c r="H34" s="254">
        <v>38750650.263769768</v>
      </c>
      <c r="I34" s="254">
        <v>41495768.803769767</v>
      </c>
      <c r="J34" s="254">
        <v>43224192.603769764</v>
      </c>
      <c r="K34" s="254">
        <v>44553943.793769762</v>
      </c>
      <c r="L34" s="254">
        <v>45928178.48376976</v>
      </c>
      <c r="M34" s="254">
        <v>47834107.453769758</v>
      </c>
      <c r="N34" s="254">
        <v>50178956.903769761</v>
      </c>
      <c r="P34" s="232">
        <f>AVERAGE(C34:N34)</f>
        <v>39969129.574603103</v>
      </c>
    </row>
    <row r="35" spans="1:16">
      <c r="A35" s="96">
        <v>24</v>
      </c>
      <c r="B35" s="227" t="s">
        <v>218</v>
      </c>
      <c r="C35" s="255">
        <v>-1457481.625132703</v>
      </c>
      <c r="D35" s="255">
        <v>-1519858.5760012758</v>
      </c>
      <c r="E35" s="255">
        <v>-1584313.7067158488</v>
      </c>
      <c r="F35" s="255">
        <v>-1651417.4240870464</v>
      </c>
      <c r="G35" s="255">
        <v>-1721840.7350067443</v>
      </c>
      <c r="H35" s="255">
        <v>-1796199.8694258172</v>
      </c>
      <c r="I35" s="255">
        <v>-1875445.0668856399</v>
      </c>
      <c r="J35" s="255">
        <v>-1959107.8874062127</v>
      </c>
      <c r="K35" s="255">
        <v>-2045790.6557294105</v>
      </c>
      <c r="L35" s="255">
        <v>-2135143.6101091085</v>
      </c>
      <c r="M35" s="255">
        <v>-2227735.7261030562</v>
      </c>
      <c r="N35" s="255">
        <v>-2324525.4857867537</v>
      </c>
      <c r="P35" s="232">
        <f>AVERAGE(C35:N35)</f>
        <v>-1858238.3640324685</v>
      </c>
    </row>
    <row r="36" spans="1:16" s="240" customFormat="1">
      <c r="A36" s="96">
        <v>25</v>
      </c>
      <c r="B36" s="239" t="s">
        <v>219</v>
      </c>
      <c r="C36" s="254">
        <v>-561208.79560055176</v>
      </c>
      <c r="D36" s="254">
        <v>-599299.41136356874</v>
      </c>
      <c r="E36" s="254">
        <v>-636953.60935892561</v>
      </c>
      <c r="F36" s="254">
        <v>-674051.60415639146</v>
      </c>
      <c r="G36" s="254">
        <v>-710452.48430867214</v>
      </c>
      <c r="H36" s="254">
        <v>-746026.84152608411</v>
      </c>
      <c r="I36" s="254">
        <v>-780575.12550493842</v>
      </c>
      <c r="J36" s="254">
        <v>-814195.70864103537</v>
      </c>
      <c r="K36" s="254">
        <v>-847182.10273858102</v>
      </c>
      <c r="L36" s="254">
        <v>-879607.7577642618</v>
      </c>
      <c r="M36" s="254">
        <v>-911353.18885094987</v>
      </c>
      <c r="N36" s="254">
        <v>-942217.11476279062</v>
      </c>
      <c r="P36" s="232">
        <f>AVERAGE(C36:N36)</f>
        <v>-758593.64538139582</v>
      </c>
    </row>
    <row r="37" spans="1:16">
      <c r="A37" s="96">
        <v>26</v>
      </c>
      <c r="B37" s="227" t="s">
        <v>220</v>
      </c>
      <c r="C37" s="235">
        <f t="shared" ref="C37:N37" si="24">SUM(C34:C36)</f>
        <v>29063066.803036518</v>
      </c>
      <c r="D37" s="235">
        <f t="shared" si="24"/>
        <v>29963735.156404931</v>
      </c>
      <c r="E37" s="235">
        <f t="shared" si="24"/>
        <v>30964975.827695001</v>
      </c>
      <c r="F37" s="235">
        <f t="shared" si="24"/>
        <v>32439537.185526334</v>
      </c>
      <c r="G37" s="235">
        <f t="shared" si="24"/>
        <v>34115563.644454353</v>
      </c>
      <c r="H37" s="235">
        <f t="shared" si="24"/>
        <v>36208423.552817866</v>
      </c>
      <c r="I37" s="235">
        <f t="shared" si="24"/>
        <v>38839748.611379184</v>
      </c>
      <c r="J37" s="235">
        <f t="shared" si="24"/>
        <v>40450889.007722512</v>
      </c>
      <c r="K37" s="235">
        <f t="shared" si="24"/>
        <v>41660971.035301767</v>
      </c>
      <c r="L37" s="235">
        <f t="shared" si="24"/>
        <v>42913427.115896389</v>
      </c>
      <c r="M37" s="235">
        <f t="shared" si="24"/>
        <v>44695018.538815759</v>
      </c>
      <c r="N37" s="235">
        <f t="shared" si="24"/>
        <v>46912214.30322022</v>
      </c>
      <c r="P37" s="232">
        <f>AVERAGE(C37:N37)</f>
        <v>37352297.565189235</v>
      </c>
    </row>
    <row r="38" spans="1:16">
      <c r="A38" s="96">
        <v>27</v>
      </c>
      <c r="B38" s="227" t="s">
        <v>221</v>
      </c>
      <c r="C38" s="252">
        <v>7.1199999999999999E-2</v>
      </c>
      <c r="D38" s="94">
        <f t="shared" ref="D38:G39" si="25">C38</f>
        <v>7.1199999999999999E-2</v>
      </c>
      <c r="E38" s="94">
        <f t="shared" si="25"/>
        <v>7.1199999999999999E-2</v>
      </c>
      <c r="F38" s="94">
        <f t="shared" si="25"/>
        <v>7.1199999999999999E-2</v>
      </c>
      <c r="G38" s="94">
        <f t="shared" si="25"/>
        <v>7.1199999999999999E-2</v>
      </c>
      <c r="H38" s="94">
        <f t="shared" ref="H38:M39" si="26">G38</f>
        <v>7.1199999999999999E-2</v>
      </c>
      <c r="I38" s="94">
        <f t="shared" si="26"/>
        <v>7.1199999999999999E-2</v>
      </c>
      <c r="J38" s="94">
        <f t="shared" si="26"/>
        <v>7.1199999999999999E-2</v>
      </c>
      <c r="K38" s="94">
        <f t="shared" si="26"/>
        <v>7.1199999999999999E-2</v>
      </c>
      <c r="L38" s="94">
        <f t="shared" si="26"/>
        <v>7.1199999999999999E-2</v>
      </c>
      <c r="M38" s="94">
        <f t="shared" si="26"/>
        <v>7.1199999999999999E-2</v>
      </c>
      <c r="N38" s="252">
        <f>(7.12%/31*20)+(7.03%/31*11)</f>
        <v>7.088064516129032E-2</v>
      </c>
    </row>
    <row r="39" spans="1:16">
      <c r="A39" s="96">
        <v>28</v>
      </c>
      <c r="B39" s="227" t="s">
        <v>222</v>
      </c>
      <c r="C39" s="252">
        <v>2.5600000000000001E-2</v>
      </c>
      <c r="D39" s="94">
        <f t="shared" si="25"/>
        <v>2.5600000000000001E-2</v>
      </c>
      <c r="E39" s="94">
        <f t="shared" si="25"/>
        <v>2.5600000000000001E-2</v>
      </c>
      <c r="F39" s="94">
        <f t="shared" si="25"/>
        <v>2.5600000000000001E-2</v>
      </c>
      <c r="G39" s="94">
        <f t="shared" si="25"/>
        <v>2.5600000000000001E-2</v>
      </c>
      <c r="H39" s="94">
        <f t="shared" si="26"/>
        <v>2.5600000000000001E-2</v>
      </c>
      <c r="I39" s="94">
        <f t="shared" si="26"/>
        <v>2.5600000000000001E-2</v>
      </c>
      <c r="J39" s="94">
        <f t="shared" si="26"/>
        <v>2.5600000000000001E-2</v>
      </c>
      <c r="K39" s="94">
        <f t="shared" si="26"/>
        <v>2.5600000000000001E-2</v>
      </c>
      <c r="L39" s="94">
        <f t="shared" si="26"/>
        <v>2.5600000000000001E-2</v>
      </c>
      <c r="M39" s="94">
        <f t="shared" si="26"/>
        <v>2.5600000000000001E-2</v>
      </c>
      <c r="N39" s="252">
        <f>(2.56%/31*20)+(2.47%/31*11)</f>
        <v>2.5280645161290326E-2</v>
      </c>
    </row>
    <row r="40" spans="1:16" s="108" customFormat="1">
      <c r="A40" s="236">
        <v>29</v>
      </c>
      <c r="B40" s="237" t="s">
        <v>223</v>
      </c>
      <c r="C40" s="238">
        <f t="shared" ref="C40:E40" si="27">C37*C38/12</f>
        <v>172440.86303134999</v>
      </c>
      <c r="D40" s="238">
        <f t="shared" si="27"/>
        <v>177784.82859466926</v>
      </c>
      <c r="E40" s="238">
        <f t="shared" si="27"/>
        <v>183725.52324432367</v>
      </c>
      <c r="F40" s="238">
        <f>F37*F38/12</f>
        <v>192474.58730078957</v>
      </c>
      <c r="G40" s="238">
        <f t="shared" ref="G40:M40" si="28">G37*G38/12</f>
        <v>202419.0109570958</v>
      </c>
      <c r="H40" s="238">
        <f t="shared" si="28"/>
        <v>214836.64641338601</v>
      </c>
      <c r="I40" s="238">
        <f t="shared" si="28"/>
        <v>230449.17509418316</v>
      </c>
      <c r="J40" s="238">
        <f t="shared" si="28"/>
        <v>240008.60811248689</v>
      </c>
      <c r="K40" s="238">
        <f t="shared" si="28"/>
        <v>247188.42814279048</v>
      </c>
      <c r="L40" s="238">
        <f t="shared" si="28"/>
        <v>254619.66755431856</v>
      </c>
      <c r="M40" s="238">
        <f t="shared" si="28"/>
        <v>265190.44333030685</v>
      </c>
      <c r="N40" s="238">
        <f>N37*N38/12</f>
        <v>277097.33464641339</v>
      </c>
      <c r="O40" s="238">
        <f>SUM(C40:N40)</f>
        <v>2658235.116422114</v>
      </c>
      <c r="P40" s="238"/>
    </row>
    <row r="42" spans="1:16" s="108" customFormat="1">
      <c r="A42" s="236">
        <v>30</v>
      </c>
      <c r="B42" s="237" t="s">
        <v>224</v>
      </c>
      <c r="C42" s="238">
        <f>C32-C40</f>
        <v>145925.87908041783</v>
      </c>
      <c r="D42" s="238">
        <f t="shared" ref="D42:N42" si="29">D32-D40</f>
        <v>63193.908198755409</v>
      </c>
      <c r="E42" s="238">
        <f t="shared" si="29"/>
        <v>2491.0083767117467</v>
      </c>
      <c r="F42" s="238">
        <f t="shared" si="29"/>
        <v>-59219.882649390114</v>
      </c>
      <c r="G42" s="238">
        <f t="shared" si="29"/>
        <v>-105900.99671934397</v>
      </c>
      <c r="H42" s="238">
        <f t="shared" si="29"/>
        <v>-176169.00671793101</v>
      </c>
      <c r="I42" s="238">
        <f t="shared" si="29"/>
        <v>-226222.74866888209</v>
      </c>
      <c r="J42" s="238">
        <f t="shared" si="29"/>
        <v>-246313.6308511637</v>
      </c>
      <c r="K42" s="238">
        <f t="shared" si="29"/>
        <v>-253297.68535468625</v>
      </c>
      <c r="L42" s="238">
        <f t="shared" si="29"/>
        <v>-232206.35541464653</v>
      </c>
      <c r="M42" s="238">
        <f t="shared" si="29"/>
        <v>-109959.75210848061</v>
      </c>
      <c r="N42" s="238">
        <f t="shared" si="29"/>
        <v>9370.6989320160355</v>
      </c>
      <c r="O42" s="238">
        <f>SUM(C42:N42)</f>
        <v>-1188308.5638966232</v>
      </c>
      <c r="P42" s="238"/>
    </row>
    <row r="44" spans="1:16">
      <c r="A44" s="96">
        <v>31</v>
      </c>
      <c r="B44" s="227" t="s">
        <v>240</v>
      </c>
      <c r="C44" s="247">
        <v>0</v>
      </c>
      <c r="D44" s="17">
        <f>C44</f>
        <v>0</v>
      </c>
      <c r="E44" s="17">
        <f>D44</f>
        <v>0</v>
      </c>
      <c r="F44" s="247">
        <v>0</v>
      </c>
      <c r="G44" s="17">
        <f>F44</f>
        <v>0</v>
      </c>
      <c r="H44" s="17">
        <f t="shared" ref="H44:N45" si="30">G44</f>
        <v>0</v>
      </c>
      <c r="I44" s="17">
        <f t="shared" si="30"/>
        <v>0</v>
      </c>
      <c r="J44" s="17">
        <f t="shared" si="30"/>
        <v>0</v>
      </c>
      <c r="K44" s="17">
        <f t="shared" si="30"/>
        <v>0</v>
      </c>
      <c r="L44" s="17">
        <f t="shared" si="30"/>
        <v>0</v>
      </c>
      <c r="M44" s="17">
        <f t="shared" si="30"/>
        <v>0</v>
      </c>
      <c r="N44" s="17">
        <f t="shared" si="30"/>
        <v>0</v>
      </c>
    </row>
    <row r="45" spans="1:16">
      <c r="A45" s="96">
        <v>32</v>
      </c>
      <c r="B45" s="227" t="s">
        <v>226</v>
      </c>
      <c r="C45" s="249">
        <v>3.8392000000000003E-2</v>
      </c>
      <c r="D45" s="53">
        <f>C45</f>
        <v>3.8392000000000003E-2</v>
      </c>
      <c r="E45" s="53">
        <f>D45</f>
        <v>3.8392000000000003E-2</v>
      </c>
      <c r="F45" s="53">
        <f>E45</f>
        <v>3.8392000000000003E-2</v>
      </c>
      <c r="G45" s="53">
        <f>F45</f>
        <v>3.8392000000000003E-2</v>
      </c>
      <c r="H45" s="53">
        <f t="shared" si="30"/>
        <v>3.8392000000000003E-2</v>
      </c>
      <c r="I45" s="53">
        <f t="shared" si="30"/>
        <v>3.8392000000000003E-2</v>
      </c>
      <c r="J45" s="53">
        <f t="shared" si="30"/>
        <v>3.8392000000000003E-2</v>
      </c>
      <c r="K45" s="53">
        <f t="shared" si="30"/>
        <v>3.8392000000000003E-2</v>
      </c>
      <c r="L45" s="53">
        <f t="shared" si="30"/>
        <v>3.8392000000000003E-2</v>
      </c>
      <c r="M45" s="53">
        <f t="shared" si="30"/>
        <v>3.8392000000000003E-2</v>
      </c>
      <c r="N45" s="249">
        <v>3.8392000000000003E-2</v>
      </c>
    </row>
    <row r="46" spans="1:16">
      <c r="A46" s="96">
        <v>33</v>
      </c>
      <c r="B46" s="227" t="s">
        <v>227</v>
      </c>
      <c r="C46" s="249">
        <v>3.326E-3</v>
      </c>
      <c r="D46" s="53">
        <f t="shared" ref="D46:F48" si="31">C46</f>
        <v>3.326E-3</v>
      </c>
      <c r="E46" s="53">
        <f t="shared" si="31"/>
        <v>3.326E-3</v>
      </c>
      <c r="F46" s="53">
        <f t="shared" si="31"/>
        <v>3.326E-3</v>
      </c>
      <c r="G46" s="53">
        <f t="shared" ref="G46:M48" si="32">F46</f>
        <v>3.326E-3</v>
      </c>
      <c r="H46" s="53">
        <f t="shared" si="32"/>
        <v>3.326E-3</v>
      </c>
      <c r="I46" s="53">
        <f t="shared" si="32"/>
        <v>3.326E-3</v>
      </c>
      <c r="J46" s="53">
        <f t="shared" si="32"/>
        <v>3.326E-3</v>
      </c>
      <c r="K46" s="53">
        <f t="shared" si="32"/>
        <v>3.326E-3</v>
      </c>
      <c r="L46" s="53">
        <f t="shared" si="32"/>
        <v>3.326E-3</v>
      </c>
      <c r="M46" s="53">
        <f t="shared" si="32"/>
        <v>3.326E-3</v>
      </c>
      <c r="N46" s="249">
        <v>3.326E-3</v>
      </c>
    </row>
    <row r="47" spans="1:16">
      <c r="A47" s="96">
        <v>34</v>
      </c>
      <c r="B47" s="227" t="s">
        <v>228</v>
      </c>
      <c r="C47" s="250">
        <v>2E-3</v>
      </c>
      <c r="D47" s="243">
        <f t="shared" si="31"/>
        <v>2E-3</v>
      </c>
      <c r="E47" s="243">
        <f t="shared" si="31"/>
        <v>2E-3</v>
      </c>
      <c r="F47" s="243">
        <f t="shared" si="31"/>
        <v>2E-3</v>
      </c>
      <c r="G47" s="243">
        <f t="shared" si="32"/>
        <v>2E-3</v>
      </c>
      <c r="H47" s="243">
        <f t="shared" si="32"/>
        <v>2E-3</v>
      </c>
      <c r="I47" s="243">
        <f t="shared" si="32"/>
        <v>2E-3</v>
      </c>
      <c r="J47" s="243">
        <f t="shared" si="32"/>
        <v>2E-3</v>
      </c>
      <c r="K47" s="243">
        <f t="shared" si="32"/>
        <v>2E-3</v>
      </c>
      <c r="L47" s="243">
        <f t="shared" si="32"/>
        <v>2E-3</v>
      </c>
      <c r="M47" s="243">
        <f t="shared" si="32"/>
        <v>2E-3</v>
      </c>
      <c r="N47" s="250">
        <v>2E-3</v>
      </c>
    </row>
    <row r="48" spans="1:16">
      <c r="A48" s="96">
        <v>35</v>
      </c>
      <c r="B48" s="227" t="s">
        <v>229</v>
      </c>
      <c r="C48" s="251">
        <v>0.21</v>
      </c>
      <c r="D48" s="245">
        <f t="shared" si="31"/>
        <v>0.21</v>
      </c>
      <c r="E48" s="245">
        <f t="shared" si="31"/>
        <v>0.21</v>
      </c>
      <c r="F48" s="245">
        <f t="shared" si="31"/>
        <v>0.21</v>
      </c>
      <c r="G48" s="245">
        <f t="shared" si="32"/>
        <v>0.21</v>
      </c>
      <c r="H48" s="245">
        <f t="shared" si="32"/>
        <v>0.21</v>
      </c>
      <c r="I48" s="245">
        <f t="shared" si="32"/>
        <v>0.21</v>
      </c>
      <c r="J48" s="245">
        <f t="shared" si="32"/>
        <v>0.21</v>
      </c>
      <c r="K48" s="245">
        <f t="shared" si="32"/>
        <v>0.21</v>
      </c>
      <c r="L48" s="245">
        <f t="shared" si="32"/>
        <v>0.21</v>
      </c>
      <c r="M48" s="245">
        <f t="shared" si="32"/>
        <v>0.21</v>
      </c>
      <c r="N48" s="251">
        <v>0.21</v>
      </c>
    </row>
    <row r="49" spans="1:15" ht="15" customHeight="1">
      <c r="A49" s="96">
        <v>36</v>
      </c>
      <c r="B49" s="227" t="s">
        <v>241</v>
      </c>
      <c r="C49" s="253">
        <v>1.84</v>
      </c>
      <c r="D49" s="253">
        <v>1.84</v>
      </c>
      <c r="E49" s="253">
        <v>1.84</v>
      </c>
      <c r="F49" s="253">
        <v>1.84</v>
      </c>
      <c r="G49" s="253">
        <v>1.84</v>
      </c>
      <c r="H49" s="253">
        <v>1.84</v>
      </c>
      <c r="I49" s="253">
        <v>1.84</v>
      </c>
      <c r="J49" s="253">
        <v>1.84</v>
      </c>
      <c r="K49" s="253">
        <v>1.84</v>
      </c>
      <c r="L49" s="253">
        <v>1.84</v>
      </c>
      <c r="M49" s="253">
        <v>1.84</v>
      </c>
      <c r="N49" s="253">
        <v>1.84</v>
      </c>
    </row>
    <row r="50" spans="1:15" ht="15" customHeight="1">
      <c r="A50" s="96">
        <v>37</v>
      </c>
      <c r="B50" s="227" t="s">
        <v>242</v>
      </c>
      <c r="C50" s="253">
        <v>0.26</v>
      </c>
      <c r="D50" s="253">
        <v>0.26</v>
      </c>
      <c r="E50" s="253">
        <v>0.26</v>
      </c>
      <c r="F50" s="253">
        <v>0.26</v>
      </c>
      <c r="G50" s="253">
        <v>0.26</v>
      </c>
      <c r="H50" s="253">
        <v>0.26</v>
      </c>
      <c r="I50" s="253">
        <v>0.26</v>
      </c>
      <c r="J50" s="253">
        <v>0.26</v>
      </c>
      <c r="K50" s="253">
        <v>0.26</v>
      </c>
      <c r="L50" s="253">
        <v>0.26</v>
      </c>
      <c r="M50" s="253">
        <v>0.26</v>
      </c>
      <c r="N50" s="253">
        <v>0.26</v>
      </c>
    </row>
    <row r="51" spans="1:15">
      <c r="B51" s="227"/>
    </row>
    <row r="52" spans="1:15">
      <c r="A52" s="39" t="s">
        <v>232</v>
      </c>
      <c r="B52" s="300" t="s">
        <v>233</v>
      </c>
      <c r="C52" s="300"/>
      <c r="D52" s="300"/>
      <c r="E52" s="300"/>
      <c r="F52" s="300"/>
      <c r="G52" s="300"/>
      <c r="H52" s="300"/>
      <c r="I52" s="300"/>
      <c r="J52" s="300"/>
      <c r="K52" s="300"/>
      <c r="L52" s="300"/>
      <c r="M52" s="300"/>
      <c r="N52" s="300"/>
      <c r="O52" s="300"/>
    </row>
    <row r="53" spans="1:15">
      <c r="A53" s="96" t="s">
        <v>234</v>
      </c>
      <c r="B53" s="53" t="s">
        <v>235</v>
      </c>
    </row>
    <row r="54" spans="1:15">
      <c r="A54" s="96" t="s">
        <v>236</v>
      </c>
      <c r="B54" s="53" t="s">
        <v>237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71E2-886C-4EC7-ABCE-99F078E9F2E2}">
  <sheetPr>
    <tabColor rgb="FF92D050"/>
  </sheetPr>
  <dimension ref="A1:W85"/>
  <sheetViews>
    <sheetView workbookViewId="0">
      <selection activeCell="A3" sqref="A3:O3"/>
    </sheetView>
  </sheetViews>
  <sheetFormatPr defaultRowHeight="15"/>
  <cols>
    <col min="1" max="1" width="7.28515625" style="222" customWidth="1"/>
    <col min="2" max="2" width="39" style="53" customWidth="1"/>
    <col min="3" max="3" width="12.42578125" style="53" customWidth="1"/>
    <col min="4" max="5" width="12.7109375" style="53" customWidth="1"/>
    <col min="6" max="6" width="12.5703125" style="53" customWidth="1"/>
    <col min="7" max="7" width="12.7109375" style="53" customWidth="1"/>
    <col min="8" max="8" width="13" style="53" customWidth="1"/>
    <col min="9" max="9" width="13.28515625" style="53" bestFit="1" customWidth="1"/>
    <col min="10" max="10" width="12.42578125" style="53" customWidth="1"/>
    <col min="11" max="11" width="14" style="53" customWidth="1"/>
    <col min="12" max="12" width="12.5703125" style="53" customWidth="1"/>
    <col min="13" max="13" width="13.140625" style="53" customWidth="1"/>
    <col min="14" max="14" width="12.28515625" style="53" customWidth="1"/>
    <col min="15" max="15" width="13.5703125" style="53" customWidth="1"/>
    <col min="16" max="21" width="9.140625" style="53"/>
    <col min="22" max="22" width="13.42578125" style="53" bestFit="1" customWidth="1"/>
    <col min="23" max="23" width="12.28515625" style="53" bestFit="1" customWidth="1"/>
    <col min="24" max="16384" width="9.140625" style="53"/>
  </cols>
  <sheetData>
    <row r="1" spans="1:20">
      <c r="A1" s="300" t="s">
        <v>243</v>
      </c>
      <c r="B1" s="300"/>
      <c r="C1" s="300"/>
      <c r="D1" s="300"/>
      <c r="E1" s="300"/>
      <c r="F1" s="300"/>
      <c r="G1" s="300"/>
      <c r="H1" s="300"/>
      <c r="I1" s="300"/>
      <c r="J1" s="300"/>
      <c r="K1" s="300"/>
      <c r="L1" s="300"/>
    </row>
    <row r="2" spans="1:20" ht="15.75" customHeight="1">
      <c r="A2" s="306" t="s">
        <v>244</v>
      </c>
      <c r="B2" s="306"/>
      <c r="C2" s="306"/>
      <c r="D2" s="306"/>
      <c r="E2" s="306"/>
      <c r="F2" s="306"/>
      <c r="G2" s="306"/>
      <c r="H2" s="306"/>
      <c r="I2" s="306"/>
      <c r="J2" s="306"/>
      <c r="K2" s="306"/>
      <c r="L2" s="306"/>
    </row>
    <row r="3" spans="1:20" ht="69.75" customHeight="1">
      <c r="A3" s="307" t="s">
        <v>245</v>
      </c>
      <c r="B3" s="307"/>
      <c r="C3" s="307"/>
      <c r="D3" s="307"/>
      <c r="E3" s="307"/>
      <c r="F3" s="307"/>
      <c r="G3" s="307"/>
      <c r="H3" s="307"/>
      <c r="I3" s="307"/>
      <c r="J3" s="307"/>
      <c r="K3" s="307"/>
      <c r="L3" s="307"/>
      <c r="M3" s="307"/>
      <c r="N3" s="307"/>
      <c r="O3" s="307"/>
    </row>
    <row r="4" spans="1:20" ht="60.75" customHeight="1">
      <c r="A4" s="307" t="s">
        <v>306</v>
      </c>
      <c r="B4" s="307"/>
      <c r="C4" s="307"/>
      <c r="D4" s="307"/>
      <c r="E4" s="307"/>
      <c r="F4" s="307"/>
      <c r="G4" s="307"/>
      <c r="H4" s="307"/>
      <c r="I4" s="307"/>
      <c r="J4" s="307"/>
      <c r="K4" s="307"/>
      <c r="L4" s="307"/>
      <c r="M4" s="307"/>
      <c r="N4" s="307"/>
      <c r="O4" s="307"/>
    </row>
    <row r="6" spans="1:20">
      <c r="A6" s="83" t="s">
        <v>1</v>
      </c>
      <c r="B6" s="226" t="s">
        <v>193</v>
      </c>
      <c r="C6" s="83">
        <v>44562</v>
      </c>
      <c r="D6" s="83">
        <f t="shared" ref="D6:N6" si="0">EDATE(C6,1)</f>
        <v>44593</v>
      </c>
      <c r="E6" s="83">
        <f t="shared" si="0"/>
        <v>44621</v>
      </c>
      <c r="F6" s="83">
        <f t="shared" si="0"/>
        <v>44652</v>
      </c>
      <c r="G6" s="83">
        <f t="shared" si="0"/>
        <v>44682</v>
      </c>
      <c r="H6" s="83">
        <f t="shared" si="0"/>
        <v>44713</v>
      </c>
      <c r="I6" s="83">
        <f t="shared" si="0"/>
        <v>44743</v>
      </c>
      <c r="J6" s="83">
        <f t="shared" si="0"/>
        <v>44774</v>
      </c>
      <c r="K6" s="83">
        <f t="shared" si="0"/>
        <v>44805</v>
      </c>
      <c r="L6" s="83">
        <f t="shared" si="0"/>
        <v>44835</v>
      </c>
      <c r="M6" s="83">
        <f t="shared" si="0"/>
        <v>44866</v>
      </c>
      <c r="N6" s="83">
        <f t="shared" si="0"/>
        <v>44896</v>
      </c>
      <c r="O6" s="83" t="s">
        <v>282</v>
      </c>
    </row>
    <row r="8" spans="1:20">
      <c r="A8" s="222">
        <v>1</v>
      </c>
      <c r="B8" s="53" t="s">
        <v>246</v>
      </c>
      <c r="C8" s="293">
        <v>1098</v>
      </c>
      <c r="D8" s="293">
        <v>930</v>
      </c>
      <c r="E8" s="293">
        <v>688</v>
      </c>
      <c r="F8" s="293">
        <v>679</v>
      </c>
      <c r="G8" s="293">
        <v>421</v>
      </c>
      <c r="H8" s="293">
        <v>123</v>
      </c>
      <c r="I8" s="293">
        <v>5</v>
      </c>
      <c r="J8" s="293">
        <v>3</v>
      </c>
      <c r="K8" s="293">
        <v>59</v>
      </c>
      <c r="L8" s="293">
        <v>302</v>
      </c>
      <c r="M8" s="293">
        <v>1090</v>
      </c>
      <c r="N8" s="293">
        <v>1279</v>
      </c>
      <c r="O8" s="230">
        <f>SUM(C8:N8)</f>
        <v>6677</v>
      </c>
      <c r="Q8" s="230">
        <f>SUM(C8:E8)</f>
        <v>2716</v>
      </c>
      <c r="R8" s="230">
        <f>SUM(F8:H8)</f>
        <v>1223</v>
      </c>
      <c r="S8" s="230">
        <f>SUM(I8:K8)</f>
        <v>67</v>
      </c>
      <c r="T8" s="230">
        <f>SUM(L8:N8)</f>
        <v>2671</v>
      </c>
    </row>
    <row r="9" spans="1:20">
      <c r="A9" s="222">
        <v>2</v>
      </c>
      <c r="B9" s="53" t="s">
        <v>247</v>
      </c>
      <c r="C9" s="293">
        <v>0</v>
      </c>
      <c r="D9" s="293">
        <v>0</v>
      </c>
      <c r="E9" s="293">
        <v>0</v>
      </c>
      <c r="F9" s="293">
        <v>0</v>
      </c>
      <c r="G9" s="293">
        <v>0</v>
      </c>
      <c r="H9" s="293">
        <v>37</v>
      </c>
      <c r="I9" s="293">
        <v>294</v>
      </c>
      <c r="J9" s="293">
        <v>353</v>
      </c>
      <c r="K9" s="293">
        <v>80</v>
      </c>
      <c r="L9" s="293">
        <v>1</v>
      </c>
      <c r="M9" s="293">
        <v>0</v>
      </c>
      <c r="N9" s="293">
        <v>0</v>
      </c>
      <c r="O9" s="230">
        <f>SUM(C9:N9)</f>
        <v>765</v>
      </c>
      <c r="Q9" s="230">
        <f>SUM(C11:E11)</f>
        <v>2798</v>
      </c>
      <c r="R9" s="230">
        <f>SUM(F11:H11)</f>
        <v>979</v>
      </c>
      <c r="S9" s="230">
        <f>SUM(I11:K11)</f>
        <v>214</v>
      </c>
      <c r="T9" s="230">
        <f>SUM(L11:N11)</f>
        <v>2518</v>
      </c>
    </row>
    <row r="10" spans="1:20" ht="17.25" customHeight="1">
      <c r="B10" s="221" t="s">
        <v>248</v>
      </c>
      <c r="C10" s="22"/>
      <c r="D10" s="22"/>
      <c r="E10" s="22"/>
      <c r="F10" s="22"/>
      <c r="G10" s="22"/>
      <c r="H10" s="22"/>
      <c r="I10" s="22"/>
      <c r="J10" s="22"/>
      <c r="K10" s="22"/>
      <c r="L10" s="22"/>
      <c r="M10" s="22"/>
      <c r="N10" s="22"/>
      <c r="Q10" s="230">
        <f>Q8-Q9</f>
        <v>-82</v>
      </c>
      <c r="R10" s="230">
        <f>R8-R9</f>
        <v>244</v>
      </c>
      <c r="S10" s="230">
        <f>S8-S9</f>
        <v>-147</v>
      </c>
      <c r="T10" s="230">
        <f>T8-T9</f>
        <v>153</v>
      </c>
    </row>
    <row r="11" spans="1:20">
      <c r="A11" s="222">
        <v>3</v>
      </c>
      <c r="B11" s="53" t="s">
        <v>249</v>
      </c>
      <c r="C11" s="293">
        <v>1096</v>
      </c>
      <c r="D11" s="293">
        <v>927</v>
      </c>
      <c r="E11" s="293">
        <v>775</v>
      </c>
      <c r="F11" s="293">
        <v>548</v>
      </c>
      <c r="G11" s="293">
        <v>298</v>
      </c>
      <c r="H11" s="293">
        <v>133</v>
      </c>
      <c r="I11" s="293">
        <v>25</v>
      </c>
      <c r="J11" s="293">
        <v>27</v>
      </c>
      <c r="K11" s="293">
        <v>162</v>
      </c>
      <c r="L11" s="293">
        <v>533</v>
      </c>
      <c r="M11" s="293">
        <v>861</v>
      </c>
      <c r="N11" s="293">
        <v>1124</v>
      </c>
      <c r="O11" s="230">
        <f>SUM(C11:N11)</f>
        <v>6509</v>
      </c>
    </row>
    <row r="12" spans="1:20">
      <c r="A12" s="222">
        <v>4</v>
      </c>
      <c r="B12" s="53" t="s">
        <v>250</v>
      </c>
      <c r="C12" s="293">
        <v>0</v>
      </c>
      <c r="D12" s="293">
        <v>0</v>
      </c>
      <c r="E12" s="293">
        <v>0</v>
      </c>
      <c r="F12" s="293">
        <v>0</v>
      </c>
      <c r="G12" s="293">
        <v>15</v>
      </c>
      <c r="H12" s="293">
        <v>57</v>
      </c>
      <c r="I12" s="293">
        <v>223</v>
      </c>
      <c r="J12" s="293">
        <v>193</v>
      </c>
      <c r="K12" s="293">
        <v>44</v>
      </c>
      <c r="L12" s="293">
        <v>1</v>
      </c>
      <c r="M12" s="293">
        <v>0</v>
      </c>
      <c r="N12" s="293">
        <v>0</v>
      </c>
      <c r="O12" s="230">
        <f>SUM(C12:N12)</f>
        <v>533</v>
      </c>
    </row>
    <row r="13" spans="1:20" ht="6.75" customHeight="1"/>
    <row r="14" spans="1:20">
      <c r="A14" s="222">
        <v>5</v>
      </c>
      <c r="B14" s="53" t="s">
        <v>251</v>
      </c>
      <c r="C14" s="230">
        <f>C11-C8</f>
        <v>-2</v>
      </c>
      <c r="D14" s="230">
        <f t="shared" ref="D14:N15" si="1">D11-D8</f>
        <v>-3</v>
      </c>
      <c r="E14" s="230">
        <f t="shared" si="1"/>
        <v>87</v>
      </c>
      <c r="F14" s="230">
        <f t="shared" si="1"/>
        <v>-131</v>
      </c>
      <c r="G14" s="230">
        <f t="shared" si="1"/>
        <v>-123</v>
      </c>
      <c r="H14" s="230">
        <f t="shared" si="1"/>
        <v>10</v>
      </c>
      <c r="I14" s="230">
        <f t="shared" si="1"/>
        <v>20</v>
      </c>
      <c r="J14" s="230">
        <f t="shared" si="1"/>
        <v>24</v>
      </c>
      <c r="K14" s="230">
        <f t="shared" si="1"/>
        <v>103</v>
      </c>
      <c r="L14" s="230">
        <f t="shared" si="1"/>
        <v>231</v>
      </c>
      <c r="M14" s="230">
        <f t="shared" si="1"/>
        <v>-229</v>
      </c>
      <c r="N14" s="230">
        <f t="shared" si="1"/>
        <v>-155</v>
      </c>
      <c r="O14" s="230">
        <f t="shared" ref="O14:O15" si="2">SUM(C14:N14)</f>
        <v>-168</v>
      </c>
    </row>
    <row r="15" spans="1:20">
      <c r="A15" s="222">
        <v>6</v>
      </c>
      <c r="B15" s="53" t="s">
        <v>252</v>
      </c>
      <c r="C15" s="230">
        <f>C12-C9</f>
        <v>0</v>
      </c>
      <c r="D15" s="230">
        <f t="shared" si="1"/>
        <v>0</v>
      </c>
      <c r="E15" s="230">
        <f t="shared" si="1"/>
        <v>0</v>
      </c>
      <c r="F15" s="230">
        <f t="shared" si="1"/>
        <v>0</v>
      </c>
      <c r="G15" s="230">
        <f t="shared" si="1"/>
        <v>15</v>
      </c>
      <c r="H15" s="230">
        <f t="shared" si="1"/>
        <v>20</v>
      </c>
      <c r="I15" s="230">
        <f t="shared" si="1"/>
        <v>-71</v>
      </c>
      <c r="J15" s="230">
        <f t="shared" si="1"/>
        <v>-160</v>
      </c>
      <c r="K15" s="230">
        <f t="shared" si="1"/>
        <v>-36</v>
      </c>
      <c r="L15" s="230">
        <f t="shared" si="1"/>
        <v>0</v>
      </c>
      <c r="M15" s="230">
        <f t="shared" si="1"/>
        <v>0</v>
      </c>
      <c r="N15" s="230">
        <f t="shared" si="1"/>
        <v>0</v>
      </c>
      <c r="O15" s="230">
        <f t="shared" si="2"/>
        <v>-232</v>
      </c>
    </row>
    <row r="16" spans="1:20" ht="7.5" customHeight="1"/>
    <row r="17" spans="1:23">
      <c r="A17" s="222">
        <v>7</v>
      </c>
      <c r="B17" s="53" t="s">
        <v>253</v>
      </c>
      <c r="C17" s="293">
        <v>-259983</v>
      </c>
      <c r="D17" s="293">
        <v>-389974</v>
      </c>
      <c r="E17" s="293">
        <v>11309252</v>
      </c>
      <c r="F17" s="293">
        <v>-12119463</v>
      </c>
      <c r="G17" s="293">
        <v>-6774114</v>
      </c>
      <c r="H17" s="293">
        <v>7069351</v>
      </c>
      <c r="I17" s="293">
        <v>-21576000</v>
      </c>
      <c r="J17" s="293">
        <v>-48863497</v>
      </c>
      <c r="K17" s="293">
        <v>-10990709</v>
      </c>
      <c r="L17" s="293">
        <v>21516553</v>
      </c>
      <c r="M17" s="293">
        <v>-21292611</v>
      </c>
      <c r="N17" s="293">
        <v>-20396345</v>
      </c>
      <c r="O17" s="230">
        <f t="shared" ref="O17:O18" si="3">SUM(C17:N17)</f>
        <v>-102767540</v>
      </c>
    </row>
    <row r="18" spans="1:23">
      <c r="A18" s="222">
        <v>8</v>
      </c>
      <c r="B18" s="53" t="s">
        <v>254</v>
      </c>
      <c r="C18" s="293">
        <v>-54563</v>
      </c>
      <c r="D18" s="293">
        <v>-81846</v>
      </c>
      <c r="E18" s="293">
        <v>2373507</v>
      </c>
      <c r="F18" s="293">
        <v>-985931</v>
      </c>
      <c r="G18" s="293">
        <v>877114</v>
      </c>
      <c r="H18" s="293">
        <v>2511594</v>
      </c>
      <c r="I18" s="293">
        <v>-8483215</v>
      </c>
      <c r="J18" s="293">
        <v>-19070901</v>
      </c>
      <c r="K18" s="293">
        <v>-4322117</v>
      </c>
      <c r="L18" s="293">
        <v>1754188</v>
      </c>
      <c r="M18" s="293">
        <v>-1660424</v>
      </c>
      <c r="N18" s="293">
        <v>-4263949</v>
      </c>
      <c r="O18" s="230">
        <f t="shared" si="3"/>
        <v>-31406543</v>
      </c>
    </row>
    <row r="20" spans="1:23">
      <c r="B20" s="221" t="s">
        <v>255</v>
      </c>
      <c r="C20" s="108"/>
      <c r="T20" s="53" t="s">
        <v>277</v>
      </c>
      <c r="U20" s="53" t="s">
        <v>278</v>
      </c>
      <c r="V20" s="53" t="s">
        <v>279</v>
      </c>
      <c r="W20" s="53" t="s">
        <v>280</v>
      </c>
    </row>
    <row r="21" spans="1:23">
      <c r="A21" s="222">
        <v>9</v>
      </c>
      <c r="B21" s="53" t="s">
        <v>256</v>
      </c>
      <c r="C21" s="294">
        <v>-23024</v>
      </c>
      <c r="D21" s="294">
        <v>-34536</v>
      </c>
      <c r="E21" s="294">
        <v>1001547</v>
      </c>
      <c r="F21" s="294">
        <v>-1073299</v>
      </c>
      <c r="G21" s="294">
        <v>-599915</v>
      </c>
      <c r="H21" s="294">
        <v>626062</v>
      </c>
      <c r="I21" s="294">
        <v>-1910770</v>
      </c>
      <c r="J21" s="294">
        <v>-4327351</v>
      </c>
      <c r="K21" s="294">
        <v>-973337</v>
      </c>
      <c r="L21" s="294">
        <v>1905506</v>
      </c>
      <c r="M21" s="294">
        <v>-1885673</v>
      </c>
      <c r="N21" s="294">
        <v>-1893679</v>
      </c>
      <c r="O21" s="235">
        <f>SUM(C21:N21)</f>
        <v>-9188469</v>
      </c>
      <c r="S21" s="53">
        <v>30</v>
      </c>
      <c r="T21" s="261">
        <f>O11</f>
        <v>6509</v>
      </c>
      <c r="U21" s="230">
        <f>O12</f>
        <v>533</v>
      </c>
      <c r="V21" s="230">
        <f>O17</f>
        <v>-102767540</v>
      </c>
      <c r="W21" s="230">
        <f>O18</f>
        <v>-31406543</v>
      </c>
    </row>
    <row r="22" spans="1:23">
      <c r="A22" s="222">
        <v>10</v>
      </c>
      <c r="B22" s="53" t="s">
        <v>257</v>
      </c>
      <c r="C22" s="257">
        <f>C23-C21</f>
        <v>-2946103.8833931647</v>
      </c>
      <c r="D22" s="257">
        <f t="shared" ref="D22:E22" si="4">D23-D21</f>
        <v>-2712132.0836846791</v>
      </c>
      <c r="E22" s="257">
        <f t="shared" si="4"/>
        <v>-909458.18366090581</v>
      </c>
      <c r="F22" s="257">
        <f>F23-F21</f>
        <v>-934869.21318023279</v>
      </c>
      <c r="G22" s="257">
        <f t="shared" ref="G22:N22" si="5">G23-G21</f>
        <v>1371936.6899450701</v>
      </c>
      <c r="H22" s="257">
        <f t="shared" si="5"/>
        <v>-183225.09532137029</v>
      </c>
      <c r="I22" s="257">
        <f t="shared" si="5"/>
        <v>1697031.3502371963</v>
      </c>
      <c r="J22" s="257">
        <f t="shared" si="5"/>
        <v>-349814.30619846471</v>
      </c>
      <c r="K22" s="257">
        <f t="shared" si="5"/>
        <v>874384.00346872583</v>
      </c>
      <c r="L22" s="257">
        <f t="shared" si="5"/>
        <v>-9063.5742228254676</v>
      </c>
      <c r="M22" s="257">
        <f t="shared" si="5"/>
        <v>-1013213.2448790856</v>
      </c>
      <c r="N22" s="257">
        <f t="shared" si="5"/>
        <v>-2245578.6670690402</v>
      </c>
      <c r="O22" s="235">
        <f>SUM(C22:N22)</f>
        <v>-7360106.2079587765</v>
      </c>
      <c r="S22" s="53">
        <v>20</v>
      </c>
      <c r="T22" s="230">
        <f>O30</f>
        <v>6401</v>
      </c>
      <c r="U22" s="230">
        <f>O31</f>
        <v>598</v>
      </c>
      <c r="V22" s="230">
        <f>O36</f>
        <v>-91713224</v>
      </c>
      <c r="W22" s="230">
        <f>O37</f>
        <v>-24843367</v>
      </c>
    </row>
    <row r="23" spans="1:23">
      <c r="A23" s="222">
        <v>11</v>
      </c>
      <c r="B23" s="53" t="s">
        <v>258</v>
      </c>
      <c r="C23" s="259">
        <f>'Electric Deferral'!D29</f>
        <v>-2969127.8833931647</v>
      </c>
      <c r="D23" s="259">
        <f>'Electric Deferral'!E29</f>
        <v>-2746668.0836846791</v>
      </c>
      <c r="E23" s="259">
        <f>'Electric Deferral'!F29</f>
        <v>92088.816339094192</v>
      </c>
      <c r="F23" s="259">
        <f>'Electric Deferral'!G29</f>
        <v>-2008168.2131802328</v>
      </c>
      <c r="G23" s="259">
        <f>'Electric Deferral'!H29</f>
        <v>772021.68994507007</v>
      </c>
      <c r="H23" s="259">
        <f>'Electric Deferral'!I29</f>
        <v>442836.90467862971</v>
      </c>
      <c r="I23" s="259">
        <f>'Electric Deferral'!J29</f>
        <v>-213738.64976280369</v>
      </c>
      <c r="J23" s="259">
        <f>'Electric Deferral'!K29</f>
        <v>-4677165.3061984647</v>
      </c>
      <c r="K23" s="259">
        <f>'Electric Deferral'!L29</f>
        <v>-98952.99653127417</v>
      </c>
      <c r="L23" s="259">
        <f>'Electric Deferral'!M29</f>
        <v>1896442.4257771745</v>
      </c>
      <c r="M23" s="259">
        <f>'Electric Deferral'!N29</f>
        <v>-2898886.2448790856</v>
      </c>
      <c r="N23" s="259">
        <f>'Electric Deferral'!O29</f>
        <v>-4139257.6670690402</v>
      </c>
      <c r="O23" s="248">
        <f t="shared" ref="O23" si="6">SUM(O21:O22)</f>
        <v>-16548575.207958777</v>
      </c>
      <c r="S23" s="53">
        <v>15</v>
      </c>
      <c r="T23" s="230">
        <f>O49</f>
        <v>6396</v>
      </c>
      <c r="U23" s="230">
        <f>O50</f>
        <v>617</v>
      </c>
      <c r="V23" s="230">
        <f>O55</f>
        <v>-83904681</v>
      </c>
      <c r="W23" s="230">
        <f>O56</f>
        <v>-21877433</v>
      </c>
    </row>
    <row r="24" spans="1:23">
      <c r="S24" s="53">
        <v>10</v>
      </c>
      <c r="T24" s="230">
        <f>O68</f>
        <v>6213</v>
      </c>
      <c r="U24" s="261">
        <f>O69</f>
        <v>682</v>
      </c>
      <c r="V24" s="261">
        <f>O74</f>
        <v>-82437359</v>
      </c>
      <c r="W24" s="261">
        <f>O75</f>
        <v>-16546392</v>
      </c>
    </row>
    <row r="25" spans="1:23">
      <c r="A25" s="222">
        <v>12</v>
      </c>
      <c r="B25" s="53" t="s">
        <v>259</v>
      </c>
      <c r="C25" s="294">
        <v>-3644</v>
      </c>
      <c r="D25" s="294">
        <v>-5467</v>
      </c>
      <c r="E25" s="294">
        <v>158537</v>
      </c>
      <c r="F25" s="294">
        <v>-71243</v>
      </c>
      <c r="G25" s="294">
        <v>47836</v>
      </c>
      <c r="H25" s="294">
        <v>160509</v>
      </c>
      <c r="I25" s="294">
        <v>-540042</v>
      </c>
      <c r="J25" s="294">
        <v>-1214295</v>
      </c>
      <c r="K25" s="294">
        <v>-275124</v>
      </c>
      <c r="L25" s="294">
        <v>126788</v>
      </c>
      <c r="M25" s="294">
        <v>-120230</v>
      </c>
      <c r="N25" s="294">
        <v>-285865</v>
      </c>
      <c r="O25" s="235">
        <f>SUM(C25:N25)</f>
        <v>-2022240</v>
      </c>
    </row>
    <row r="26" spans="1:23">
      <c r="A26" s="222">
        <v>13</v>
      </c>
      <c r="B26" s="53" t="s">
        <v>260</v>
      </c>
      <c r="C26" s="257">
        <f>C27-C25</f>
        <v>-224372.69814329408</v>
      </c>
      <c r="D26" s="257">
        <f t="shared" ref="D26:E26" si="7">D27-D25</f>
        <v>516016.93570553325</v>
      </c>
      <c r="E26" s="257">
        <f t="shared" si="7"/>
        <v>-667464.13643795624</v>
      </c>
      <c r="F26" s="257">
        <f>F27-F25</f>
        <v>-900783.88063676469</v>
      </c>
      <c r="G26" s="257">
        <f t="shared" ref="G26:N26" si="8">G27-G25</f>
        <v>1615587.9754786827</v>
      </c>
      <c r="H26" s="257">
        <f t="shared" si="8"/>
        <v>954057.31772167608</v>
      </c>
      <c r="I26" s="257">
        <f t="shared" si="8"/>
        <v>769739.65638708323</v>
      </c>
      <c r="J26" s="257">
        <f t="shared" si="8"/>
        <v>1362905.0828756802</v>
      </c>
      <c r="K26" s="257">
        <f t="shared" si="8"/>
        <v>582586.63166747615</v>
      </c>
      <c r="L26" s="257">
        <f t="shared" si="8"/>
        <v>295741.12537157908</v>
      </c>
      <c r="M26" s="257">
        <f t="shared" si="8"/>
        <v>-1424063.4857112113</v>
      </c>
      <c r="N26" s="257">
        <f t="shared" si="8"/>
        <v>-493263.3455197569</v>
      </c>
      <c r="O26" s="235">
        <f>SUM(C26:N26)</f>
        <v>2386687.1787587274</v>
      </c>
      <c r="T26" s="230">
        <f>MAX(T21:T24)</f>
        <v>6509</v>
      </c>
      <c r="U26" s="230">
        <f>MAX(U21:U24)</f>
        <v>682</v>
      </c>
      <c r="V26" s="230">
        <f>MAX(V21:V24)</f>
        <v>-82437359</v>
      </c>
      <c r="W26" s="230">
        <f>MAX(W21:W24)</f>
        <v>-16546392</v>
      </c>
    </row>
    <row r="27" spans="1:23">
      <c r="A27" s="222">
        <v>14</v>
      </c>
      <c r="B27" s="53" t="s">
        <v>261</v>
      </c>
      <c r="C27" s="259">
        <f>'Electric Deferral'!D57</f>
        <v>-228016.69814329408</v>
      </c>
      <c r="D27" s="259">
        <f>'Electric Deferral'!E57</f>
        <v>510549.93570553325</v>
      </c>
      <c r="E27" s="259">
        <f>'Electric Deferral'!F57</f>
        <v>-508927.13643795624</v>
      </c>
      <c r="F27" s="259">
        <f>'Electric Deferral'!G57</f>
        <v>-972026.88063676469</v>
      </c>
      <c r="G27" s="259">
        <f>'Electric Deferral'!H57</f>
        <v>1663423.9754786827</v>
      </c>
      <c r="H27" s="259">
        <f>'Electric Deferral'!I57</f>
        <v>1114566.3177216761</v>
      </c>
      <c r="I27" s="259">
        <f>'Electric Deferral'!J57</f>
        <v>229697.65638708323</v>
      </c>
      <c r="J27" s="259">
        <f>'Electric Deferral'!K57</f>
        <v>148610.08287568018</v>
      </c>
      <c r="K27" s="259">
        <f>'Electric Deferral'!L57</f>
        <v>307462.63166747615</v>
      </c>
      <c r="L27" s="259">
        <f>'Electric Deferral'!M57</f>
        <v>422529.12537157908</v>
      </c>
      <c r="M27" s="259">
        <f>'Electric Deferral'!N57</f>
        <v>-1544293.4857112113</v>
      </c>
      <c r="N27" s="259">
        <f>'Electric Deferral'!O57</f>
        <v>-779128.3455197569</v>
      </c>
      <c r="O27" s="248">
        <f t="shared" ref="O27" si="9">SUM(O25:O26)</f>
        <v>364447.17875872739</v>
      </c>
      <c r="T27" s="230">
        <f>MIN(T21:T24)</f>
        <v>6213</v>
      </c>
      <c r="U27" s="230">
        <f>MIN(U21:U24)</f>
        <v>533</v>
      </c>
    </row>
    <row r="29" spans="1:23">
      <c r="B29" s="221" t="s">
        <v>262</v>
      </c>
    </row>
    <row r="30" spans="1:23">
      <c r="A30" s="222">
        <v>15</v>
      </c>
      <c r="B30" s="53" t="s">
        <v>263</v>
      </c>
      <c r="C30" s="293">
        <v>1091</v>
      </c>
      <c r="D30" s="293">
        <v>923</v>
      </c>
      <c r="E30" s="293">
        <v>762</v>
      </c>
      <c r="F30" s="293">
        <v>540</v>
      </c>
      <c r="G30" s="293">
        <v>283</v>
      </c>
      <c r="H30" s="293">
        <v>122</v>
      </c>
      <c r="I30" s="293">
        <v>14</v>
      </c>
      <c r="J30" s="293">
        <v>19</v>
      </c>
      <c r="K30" s="293">
        <v>155</v>
      </c>
      <c r="L30" s="293">
        <v>522</v>
      </c>
      <c r="M30" s="293">
        <v>855</v>
      </c>
      <c r="N30" s="293">
        <v>1115</v>
      </c>
      <c r="O30" s="230">
        <f>SUM(C30:N30)</f>
        <v>6401</v>
      </c>
    </row>
    <row r="31" spans="1:23">
      <c r="A31" s="222">
        <v>16</v>
      </c>
      <c r="B31" s="53" t="s">
        <v>264</v>
      </c>
      <c r="C31" s="293">
        <v>0</v>
      </c>
      <c r="D31" s="293">
        <v>0</v>
      </c>
      <c r="E31" s="293">
        <v>0</v>
      </c>
      <c r="F31" s="293">
        <v>0</v>
      </c>
      <c r="G31" s="293">
        <v>16</v>
      </c>
      <c r="H31" s="293">
        <v>71</v>
      </c>
      <c r="I31" s="293">
        <v>249</v>
      </c>
      <c r="J31" s="293">
        <v>214</v>
      </c>
      <c r="K31" s="293">
        <v>47</v>
      </c>
      <c r="L31" s="293">
        <v>1</v>
      </c>
      <c r="M31" s="293">
        <v>0</v>
      </c>
      <c r="N31" s="293">
        <v>0</v>
      </c>
      <c r="O31" s="230">
        <f>SUM(C31:N31)</f>
        <v>598</v>
      </c>
    </row>
    <row r="33" spans="1:15">
      <c r="A33" s="222">
        <v>17</v>
      </c>
      <c r="B33" s="53" t="s">
        <v>251</v>
      </c>
      <c r="C33" s="230">
        <f>C30-C8</f>
        <v>-7</v>
      </c>
      <c r="D33" s="230">
        <f t="shared" ref="D33:N34" si="10">D30-D8</f>
        <v>-7</v>
      </c>
      <c r="E33" s="230">
        <f t="shared" si="10"/>
        <v>74</v>
      </c>
      <c r="F33" s="230">
        <f t="shared" si="10"/>
        <v>-139</v>
      </c>
      <c r="G33" s="230">
        <f t="shared" si="10"/>
        <v>-138</v>
      </c>
      <c r="H33" s="230">
        <f t="shared" si="10"/>
        <v>-1</v>
      </c>
      <c r="I33" s="230">
        <f t="shared" si="10"/>
        <v>9</v>
      </c>
      <c r="J33" s="230">
        <f t="shared" si="10"/>
        <v>16</v>
      </c>
      <c r="K33" s="230">
        <f t="shared" si="10"/>
        <v>96</v>
      </c>
      <c r="L33" s="230">
        <f t="shared" si="10"/>
        <v>220</v>
      </c>
      <c r="M33" s="230">
        <f t="shared" si="10"/>
        <v>-235</v>
      </c>
      <c r="N33" s="230">
        <f t="shared" si="10"/>
        <v>-164</v>
      </c>
      <c r="O33" s="230">
        <f t="shared" ref="O33:O34" si="11">SUM(C33:N33)</f>
        <v>-276</v>
      </c>
    </row>
    <row r="34" spans="1:15">
      <c r="A34" s="222">
        <v>18</v>
      </c>
      <c r="B34" s="53" t="s">
        <v>252</v>
      </c>
      <c r="C34" s="230">
        <f>C31-C9</f>
        <v>0</v>
      </c>
      <c r="D34" s="230">
        <f t="shared" si="10"/>
        <v>0</v>
      </c>
      <c r="E34" s="230">
        <f t="shared" si="10"/>
        <v>0</v>
      </c>
      <c r="F34" s="230">
        <f t="shared" si="10"/>
        <v>0</v>
      </c>
      <c r="G34" s="230">
        <f t="shared" si="10"/>
        <v>16</v>
      </c>
      <c r="H34" s="230">
        <f t="shared" si="10"/>
        <v>34</v>
      </c>
      <c r="I34" s="230">
        <f t="shared" si="10"/>
        <v>-45</v>
      </c>
      <c r="J34" s="230">
        <f t="shared" si="10"/>
        <v>-139</v>
      </c>
      <c r="K34" s="230">
        <f t="shared" si="10"/>
        <v>-33</v>
      </c>
      <c r="L34" s="230">
        <f t="shared" si="10"/>
        <v>0</v>
      </c>
      <c r="M34" s="230">
        <f t="shared" si="10"/>
        <v>0</v>
      </c>
      <c r="N34" s="230">
        <f t="shared" si="10"/>
        <v>0</v>
      </c>
      <c r="O34" s="230">
        <f t="shared" si="11"/>
        <v>-167</v>
      </c>
    </row>
    <row r="36" spans="1:15">
      <c r="A36" s="222">
        <v>19</v>
      </c>
      <c r="B36" s="53" t="s">
        <v>265</v>
      </c>
      <c r="C36" s="293">
        <v>-909940</v>
      </c>
      <c r="D36" s="293">
        <v>-909940</v>
      </c>
      <c r="E36" s="293">
        <v>9619364</v>
      </c>
      <c r="F36" s="293">
        <v>-12859582</v>
      </c>
      <c r="G36" s="293">
        <v>-7850354</v>
      </c>
      <c r="H36" s="293">
        <v>10336328</v>
      </c>
      <c r="I36" s="293">
        <v>-13674930</v>
      </c>
      <c r="J36" s="293">
        <v>-42450163</v>
      </c>
      <c r="K36" s="293">
        <v>-10074817</v>
      </c>
      <c r="L36" s="293">
        <v>20491955</v>
      </c>
      <c r="M36" s="293">
        <v>-21850496</v>
      </c>
      <c r="N36" s="293">
        <v>-21580649</v>
      </c>
      <c r="O36" s="230">
        <f t="shared" ref="O36:O37" si="12">SUM(C36:N36)</f>
        <v>-91713224</v>
      </c>
    </row>
    <row r="37" spans="1:15">
      <c r="A37" s="222">
        <v>20</v>
      </c>
      <c r="B37" s="53" t="s">
        <v>266</v>
      </c>
      <c r="C37" s="293">
        <v>-190972</v>
      </c>
      <c r="D37" s="293">
        <v>-190972</v>
      </c>
      <c r="E37" s="293">
        <v>2018845</v>
      </c>
      <c r="F37" s="293">
        <v>-1046140</v>
      </c>
      <c r="G37" s="293">
        <v>884739</v>
      </c>
      <c r="H37" s="293">
        <v>4132413</v>
      </c>
      <c r="I37" s="293">
        <v>-5376686</v>
      </c>
      <c r="J37" s="293">
        <v>-16567846</v>
      </c>
      <c r="K37" s="293">
        <v>-3961942</v>
      </c>
      <c r="L37" s="293">
        <v>1670655</v>
      </c>
      <c r="M37" s="293">
        <v>-1703928</v>
      </c>
      <c r="N37" s="293">
        <v>-4511533</v>
      </c>
      <c r="O37" s="230">
        <f t="shared" si="12"/>
        <v>-24843367</v>
      </c>
    </row>
    <row r="39" spans="1:15">
      <c r="B39" s="221" t="s">
        <v>255</v>
      </c>
      <c r="C39" s="108"/>
    </row>
    <row r="40" spans="1:15">
      <c r="A40" s="222">
        <v>21</v>
      </c>
      <c r="B40" s="53" t="s">
        <v>256</v>
      </c>
      <c r="C40" s="294">
        <v>-80584</v>
      </c>
      <c r="D40" s="294">
        <v>-80584</v>
      </c>
      <c r="E40" s="294">
        <v>851891</v>
      </c>
      <c r="F40" s="294">
        <v>-1138845</v>
      </c>
      <c r="G40" s="294">
        <v>-695227</v>
      </c>
      <c r="H40" s="294">
        <v>915385</v>
      </c>
      <c r="I40" s="294">
        <v>-1211052</v>
      </c>
      <c r="J40" s="294">
        <v>-3759387</v>
      </c>
      <c r="K40" s="294">
        <v>-892225</v>
      </c>
      <c r="L40" s="294">
        <v>1814767</v>
      </c>
      <c r="M40" s="294">
        <v>-1935080</v>
      </c>
      <c r="N40" s="294">
        <v>-2003634</v>
      </c>
      <c r="O40" s="257">
        <f>SUM(C40:N40)</f>
        <v>-8214575</v>
      </c>
    </row>
    <row r="41" spans="1:15">
      <c r="A41" s="222">
        <v>22</v>
      </c>
      <c r="B41" s="53" t="s">
        <v>257</v>
      </c>
      <c r="C41" s="257">
        <f>C42-C40</f>
        <v>-2888543.8833931647</v>
      </c>
      <c r="D41" s="257">
        <f t="shared" ref="D41:E41" si="13">D42-D40</f>
        <v>-2666084.0836846791</v>
      </c>
      <c r="E41" s="257">
        <f t="shared" si="13"/>
        <v>-759802.18366090581</v>
      </c>
      <c r="F41" s="257">
        <f>F42-F40</f>
        <v>-869323.21318023279</v>
      </c>
      <c r="G41" s="257">
        <f t="shared" ref="G41:N41" si="14">G42-G40</f>
        <v>1467248.6899450701</v>
      </c>
      <c r="H41" s="257">
        <f t="shared" si="14"/>
        <v>-472548.09532137029</v>
      </c>
      <c r="I41" s="257">
        <f t="shared" si="14"/>
        <v>997313.35023719631</v>
      </c>
      <c r="J41" s="257">
        <f t="shared" si="14"/>
        <v>-917778.30619846471</v>
      </c>
      <c r="K41" s="257">
        <f t="shared" si="14"/>
        <v>793272.00346872583</v>
      </c>
      <c r="L41" s="257">
        <f t="shared" si="14"/>
        <v>81675.425777174532</v>
      </c>
      <c r="M41" s="257">
        <f t="shared" si="14"/>
        <v>-963806.24487908557</v>
      </c>
      <c r="N41" s="257">
        <f t="shared" si="14"/>
        <v>-2135623.6670690402</v>
      </c>
      <c r="O41" s="257">
        <f>SUM(C41:N41)</f>
        <v>-8334000.2079587765</v>
      </c>
    </row>
    <row r="42" spans="1:15">
      <c r="A42" s="222">
        <v>23</v>
      </c>
      <c r="B42" s="53" t="s">
        <v>258</v>
      </c>
      <c r="C42" s="248">
        <f>C23</f>
        <v>-2969127.8833931647</v>
      </c>
      <c r="D42" s="248">
        <f t="shared" ref="D42:N42" si="15">D23</f>
        <v>-2746668.0836846791</v>
      </c>
      <c r="E42" s="248">
        <f t="shared" si="15"/>
        <v>92088.816339094192</v>
      </c>
      <c r="F42" s="248">
        <f t="shared" si="15"/>
        <v>-2008168.2131802328</v>
      </c>
      <c r="G42" s="248">
        <f t="shared" si="15"/>
        <v>772021.68994507007</v>
      </c>
      <c r="H42" s="248">
        <f t="shared" si="15"/>
        <v>442836.90467862971</v>
      </c>
      <c r="I42" s="248">
        <f t="shared" si="15"/>
        <v>-213738.64976280369</v>
      </c>
      <c r="J42" s="248">
        <f t="shared" si="15"/>
        <v>-4677165.3061984647</v>
      </c>
      <c r="K42" s="248">
        <f t="shared" si="15"/>
        <v>-98952.99653127417</v>
      </c>
      <c r="L42" s="248">
        <f t="shared" si="15"/>
        <v>1896442.4257771745</v>
      </c>
      <c r="M42" s="248">
        <f t="shared" si="15"/>
        <v>-2898886.2448790856</v>
      </c>
      <c r="N42" s="248">
        <f t="shared" si="15"/>
        <v>-4139257.6670690402</v>
      </c>
      <c r="O42" s="235">
        <f>SUM(C42:N42)</f>
        <v>-16548575.207958777</v>
      </c>
    </row>
    <row r="44" spans="1:15">
      <c r="A44" s="222">
        <v>24</v>
      </c>
      <c r="B44" s="53" t="s">
        <v>259</v>
      </c>
      <c r="C44" s="294">
        <v>-12755</v>
      </c>
      <c r="D44" s="294">
        <v>-12755</v>
      </c>
      <c r="E44" s="294">
        <v>134847</v>
      </c>
      <c r="F44" s="294">
        <v>-75595</v>
      </c>
      <c r="G44" s="294">
        <v>47352</v>
      </c>
      <c r="H44" s="294">
        <v>262940</v>
      </c>
      <c r="I44" s="294">
        <v>-342281</v>
      </c>
      <c r="J44" s="294">
        <v>-1054919</v>
      </c>
      <c r="K44" s="294">
        <v>-252198</v>
      </c>
      <c r="L44" s="294">
        <v>120751</v>
      </c>
      <c r="M44" s="294">
        <v>-123380</v>
      </c>
      <c r="N44" s="294">
        <v>-302464</v>
      </c>
      <c r="O44" s="235">
        <f>SUM(C44:N44)</f>
        <v>-1610457</v>
      </c>
    </row>
    <row r="45" spans="1:15">
      <c r="A45" s="222">
        <v>25</v>
      </c>
      <c r="B45" s="53" t="s">
        <v>260</v>
      </c>
      <c r="C45" s="235">
        <f>C46-C44</f>
        <v>-215261.69814329408</v>
      </c>
      <c r="D45" s="235">
        <f t="shared" ref="D45:N45" si="16">D46-D44</f>
        <v>523304.93570553325</v>
      </c>
      <c r="E45" s="235">
        <f t="shared" si="16"/>
        <v>-643774.13643795624</v>
      </c>
      <c r="F45" s="235">
        <f t="shared" si="16"/>
        <v>-896431.88063676469</v>
      </c>
      <c r="G45" s="235">
        <f t="shared" si="16"/>
        <v>1616071.9754786827</v>
      </c>
      <c r="H45" s="235">
        <f t="shared" si="16"/>
        <v>851626.31772167608</v>
      </c>
      <c r="I45" s="235">
        <f t="shared" si="16"/>
        <v>571978.65638708323</v>
      </c>
      <c r="J45" s="235">
        <f t="shared" si="16"/>
        <v>1203529.0828756802</v>
      </c>
      <c r="K45" s="235">
        <f t="shared" si="16"/>
        <v>559660.63166747615</v>
      </c>
      <c r="L45" s="235">
        <f t="shared" si="16"/>
        <v>301778.12537157908</v>
      </c>
      <c r="M45" s="235">
        <f t="shared" si="16"/>
        <v>-1420913.4857112113</v>
      </c>
      <c r="N45" s="235">
        <f t="shared" si="16"/>
        <v>-476664.3455197569</v>
      </c>
      <c r="O45" s="235">
        <f>SUM(C45:N45)</f>
        <v>1974904.1787587274</v>
      </c>
    </row>
    <row r="46" spans="1:15">
      <c r="A46" s="222">
        <v>26</v>
      </c>
      <c r="B46" s="53" t="s">
        <v>261</v>
      </c>
      <c r="C46" s="248">
        <f>C27</f>
        <v>-228016.69814329408</v>
      </c>
      <c r="D46" s="248">
        <f t="shared" ref="D46:N46" si="17">D27</f>
        <v>510549.93570553325</v>
      </c>
      <c r="E46" s="248">
        <f t="shared" si="17"/>
        <v>-508927.13643795624</v>
      </c>
      <c r="F46" s="248">
        <f t="shared" si="17"/>
        <v>-972026.88063676469</v>
      </c>
      <c r="G46" s="248">
        <f t="shared" si="17"/>
        <v>1663423.9754786827</v>
      </c>
      <c r="H46" s="248">
        <f t="shared" si="17"/>
        <v>1114566.3177216761</v>
      </c>
      <c r="I46" s="248">
        <f t="shared" si="17"/>
        <v>229697.65638708323</v>
      </c>
      <c r="J46" s="248">
        <f t="shared" si="17"/>
        <v>148610.08287568018</v>
      </c>
      <c r="K46" s="248">
        <f t="shared" si="17"/>
        <v>307462.63166747615</v>
      </c>
      <c r="L46" s="248">
        <f t="shared" si="17"/>
        <v>422529.12537157908</v>
      </c>
      <c r="M46" s="248">
        <f t="shared" si="17"/>
        <v>-1544293.4857112113</v>
      </c>
      <c r="N46" s="248">
        <f t="shared" si="17"/>
        <v>-779128.3455197569</v>
      </c>
      <c r="O46" s="235">
        <f>SUM(C46:N46)</f>
        <v>364447.17875872739</v>
      </c>
    </row>
    <row r="48" spans="1:15">
      <c r="B48" s="221" t="s">
        <v>267</v>
      </c>
    </row>
    <row r="49" spans="1:15">
      <c r="A49" s="222">
        <v>27</v>
      </c>
      <c r="B49" s="53" t="s">
        <v>268</v>
      </c>
      <c r="C49" s="293">
        <v>1092</v>
      </c>
      <c r="D49" s="293">
        <v>932</v>
      </c>
      <c r="E49" s="293">
        <v>775</v>
      </c>
      <c r="F49" s="293">
        <v>545</v>
      </c>
      <c r="G49" s="293">
        <v>277</v>
      </c>
      <c r="H49" s="293">
        <v>120</v>
      </c>
      <c r="I49" s="293">
        <v>14</v>
      </c>
      <c r="J49" s="293">
        <v>18</v>
      </c>
      <c r="K49" s="293">
        <v>142</v>
      </c>
      <c r="L49" s="293">
        <v>521</v>
      </c>
      <c r="M49" s="293">
        <v>837</v>
      </c>
      <c r="N49" s="293">
        <v>1123</v>
      </c>
      <c r="O49" s="230">
        <f>SUM(C49:N49)</f>
        <v>6396</v>
      </c>
    </row>
    <row r="50" spans="1:15">
      <c r="A50" s="222">
        <v>28</v>
      </c>
      <c r="B50" s="53" t="s">
        <v>269</v>
      </c>
      <c r="C50" s="293">
        <v>0</v>
      </c>
      <c r="D50" s="293">
        <v>0</v>
      </c>
      <c r="E50" s="293">
        <v>0</v>
      </c>
      <c r="F50" s="293">
        <v>1</v>
      </c>
      <c r="G50" s="293">
        <v>17</v>
      </c>
      <c r="H50" s="293">
        <v>75</v>
      </c>
      <c r="I50" s="293">
        <v>245</v>
      </c>
      <c r="J50" s="293">
        <v>227</v>
      </c>
      <c r="K50" s="293">
        <v>51</v>
      </c>
      <c r="L50" s="293">
        <v>1</v>
      </c>
      <c r="M50" s="293">
        <v>0</v>
      </c>
      <c r="N50" s="293">
        <v>0</v>
      </c>
      <c r="O50" s="230">
        <f>SUM(C50:N50)</f>
        <v>617</v>
      </c>
    </row>
    <row r="52" spans="1:15">
      <c r="A52" s="222">
        <v>29</v>
      </c>
      <c r="B52" s="53" t="s">
        <v>251</v>
      </c>
      <c r="C52" s="230">
        <f>C49-C8</f>
        <v>-6</v>
      </c>
      <c r="D52" s="230">
        <f t="shared" ref="D52:N53" si="18">D49-D8</f>
        <v>2</v>
      </c>
      <c r="E52" s="230">
        <f t="shared" si="18"/>
        <v>87</v>
      </c>
      <c r="F52" s="230">
        <f t="shared" si="18"/>
        <v>-134</v>
      </c>
      <c r="G52" s="230">
        <f t="shared" si="18"/>
        <v>-144</v>
      </c>
      <c r="H52" s="230">
        <f t="shared" si="18"/>
        <v>-3</v>
      </c>
      <c r="I52" s="230">
        <f t="shared" si="18"/>
        <v>9</v>
      </c>
      <c r="J52" s="230">
        <f t="shared" si="18"/>
        <v>15</v>
      </c>
      <c r="K52" s="230">
        <f t="shared" si="18"/>
        <v>83</v>
      </c>
      <c r="L52" s="230">
        <f t="shared" si="18"/>
        <v>219</v>
      </c>
      <c r="M52" s="230">
        <f t="shared" si="18"/>
        <v>-253</v>
      </c>
      <c r="N52" s="230">
        <f t="shared" si="18"/>
        <v>-156</v>
      </c>
      <c r="O52" s="230">
        <f t="shared" ref="O52:O53" si="19">SUM(C52:N52)</f>
        <v>-281</v>
      </c>
    </row>
    <row r="53" spans="1:15">
      <c r="A53" s="222">
        <v>30</v>
      </c>
      <c r="B53" s="53" t="s">
        <v>252</v>
      </c>
      <c r="C53" s="230">
        <f>C50-C9</f>
        <v>0</v>
      </c>
      <c r="D53" s="230">
        <f t="shared" si="18"/>
        <v>0</v>
      </c>
      <c r="E53" s="230">
        <f t="shared" si="18"/>
        <v>0</v>
      </c>
      <c r="F53" s="230">
        <f t="shared" si="18"/>
        <v>1</v>
      </c>
      <c r="G53" s="230">
        <f t="shared" si="18"/>
        <v>17</v>
      </c>
      <c r="H53" s="230">
        <f t="shared" si="18"/>
        <v>38</v>
      </c>
      <c r="I53" s="230">
        <f t="shared" si="18"/>
        <v>-49</v>
      </c>
      <c r="J53" s="230">
        <f t="shared" si="18"/>
        <v>-126</v>
      </c>
      <c r="K53" s="230">
        <f t="shared" si="18"/>
        <v>-29</v>
      </c>
      <c r="L53" s="230">
        <f t="shared" si="18"/>
        <v>0</v>
      </c>
      <c r="M53" s="230">
        <f t="shared" si="18"/>
        <v>0</v>
      </c>
      <c r="N53" s="230">
        <f t="shared" si="18"/>
        <v>0</v>
      </c>
      <c r="O53" s="230">
        <f t="shared" si="19"/>
        <v>-148</v>
      </c>
    </row>
    <row r="55" spans="1:15">
      <c r="A55" s="222">
        <v>31</v>
      </c>
      <c r="B55" s="53" t="s">
        <v>270</v>
      </c>
      <c r="C55" s="293">
        <v>-779948</v>
      </c>
      <c r="D55" s="293">
        <v>259983</v>
      </c>
      <c r="E55" s="293">
        <v>11309252</v>
      </c>
      <c r="F55" s="293">
        <v>-12093224</v>
      </c>
      <c r="G55" s="293">
        <v>-8099874</v>
      </c>
      <c r="H55" s="293">
        <v>11376516</v>
      </c>
      <c r="I55" s="293">
        <v>-14890479</v>
      </c>
      <c r="J55" s="293">
        <v>-38480004</v>
      </c>
      <c r="K55" s="293">
        <v>-8853627</v>
      </c>
      <c r="L55" s="293">
        <v>20398810</v>
      </c>
      <c r="M55" s="293">
        <v>-23524151</v>
      </c>
      <c r="N55" s="293">
        <v>-20527935</v>
      </c>
      <c r="O55" s="260">
        <f t="shared" ref="O55:O56" si="20">SUM(C55:N55)</f>
        <v>-83904681</v>
      </c>
    </row>
    <row r="56" spans="1:15">
      <c r="A56" s="222">
        <v>32</v>
      </c>
      <c r="B56" s="53" t="s">
        <v>271</v>
      </c>
      <c r="C56" s="293">
        <v>-163690</v>
      </c>
      <c r="D56" s="293">
        <v>54563</v>
      </c>
      <c r="E56" s="293">
        <v>2373507</v>
      </c>
      <c r="F56" s="293">
        <v>-888212</v>
      </c>
      <c r="G56" s="293">
        <v>959665</v>
      </c>
      <c r="H56" s="293">
        <v>4604223</v>
      </c>
      <c r="I56" s="293">
        <v>-5854612</v>
      </c>
      <c r="J56" s="293">
        <v>-15018333</v>
      </c>
      <c r="K56" s="293">
        <v>-3481706</v>
      </c>
      <c r="L56" s="293">
        <v>1663062</v>
      </c>
      <c r="M56" s="293">
        <v>-1834442</v>
      </c>
      <c r="N56" s="293">
        <v>-4291458</v>
      </c>
      <c r="O56" s="260">
        <f t="shared" si="20"/>
        <v>-21877433</v>
      </c>
    </row>
    <row r="57" spans="1:15">
      <c r="C57" s="22"/>
      <c r="D57" s="22"/>
      <c r="E57" s="22"/>
      <c r="F57" s="22"/>
      <c r="G57" s="22"/>
      <c r="H57" s="22"/>
      <c r="I57" s="22"/>
      <c r="J57" s="22"/>
      <c r="K57" s="22"/>
      <c r="L57" s="22"/>
      <c r="M57" s="22"/>
      <c r="N57" s="22"/>
      <c r="O57" s="22"/>
    </row>
    <row r="58" spans="1:15">
      <c r="B58" s="221" t="s">
        <v>255</v>
      </c>
      <c r="C58" s="34"/>
      <c r="D58" s="22"/>
      <c r="E58" s="22"/>
      <c r="F58" s="22"/>
      <c r="G58" s="22"/>
      <c r="H58" s="22"/>
      <c r="I58" s="22"/>
      <c r="J58" s="22"/>
      <c r="K58" s="22"/>
      <c r="L58" s="22"/>
      <c r="M58" s="22"/>
      <c r="N58" s="22"/>
      <c r="O58" s="22"/>
    </row>
    <row r="59" spans="1:15">
      <c r="A59" s="222">
        <v>33</v>
      </c>
      <c r="B59" s="53" t="s">
        <v>256</v>
      </c>
      <c r="C59" s="294">
        <v>-69072</v>
      </c>
      <c r="D59" s="294">
        <v>23024</v>
      </c>
      <c r="E59" s="294">
        <v>1001547</v>
      </c>
      <c r="F59" s="294">
        <v>-1070976</v>
      </c>
      <c r="G59" s="294">
        <v>-717325</v>
      </c>
      <c r="H59" s="294">
        <v>1007504</v>
      </c>
      <c r="I59" s="294">
        <v>-1318700</v>
      </c>
      <c r="J59" s="294">
        <v>-3407789</v>
      </c>
      <c r="K59" s="294">
        <v>-784078</v>
      </c>
      <c r="L59" s="294">
        <v>1806518</v>
      </c>
      <c r="M59" s="294">
        <v>-2083299</v>
      </c>
      <c r="N59" s="294">
        <v>-1905896</v>
      </c>
      <c r="O59" s="257">
        <f>SUM(C59:N59)</f>
        <v>-7518542</v>
      </c>
    </row>
    <row r="60" spans="1:15">
      <c r="A60" s="222">
        <v>34</v>
      </c>
      <c r="B60" s="53" t="s">
        <v>257</v>
      </c>
      <c r="C60" s="257">
        <f>C61-C59</f>
        <v>-2900055.8833931647</v>
      </c>
      <c r="D60" s="257">
        <f t="shared" ref="D60:E60" si="21">D61-D59</f>
        <v>-2769692.0836846791</v>
      </c>
      <c r="E60" s="257">
        <f t="shared" si="21"/>
        <v>-909458.18366090581</v>
      </c>
      <c r="F60" s="257">
        <f>F61-F59</f>
        <v>-937192.21318023279</v>
      </c>
      <c r="G60" s="257">
        <f t="shared" ref="G60:N60" si="22">G61-G59</f>
        <v>1489346.6899450701</v>
      </c>
      <c r="H60" s="257">
        <f t="shared" si="22"/>
        <v>-564667.09532137029</v>
      </c>
      <c r="I60" s="257">
        <f t="shared" si="22"/>
        <v>1104961.3502371963</v>
      </c>
      <c r="J60" s="257">
        <f t="shared" si="22"/>
        <v>-1269376.3061984647</v>
      </c>
      <c r="K60" s="257">
        <f t="shared" si="22"/>
        <v>685125.00346872583</v>
      </c>
      <c r="L60" s="257">
        <f t="shared" si="22"/>
        <v>89924.425777174532</v>
      </c>
      <c r="M60" s="257">
        <f t="shared" si="22"/>
        <v>-815587.24487908557</v>
      </c>
      <c r="N60" s="257">
        <f t="shared" si="22"/>
        <v>-2233361.6670690402</v>
      </c>
      <c r="O60" s="257">
        <f>SUM(C60:N60)</f>
        <v>-9030033.2079587765</v>
      </c>
    </row>
    <row r="61" spans="1:15">
      <c r="A61" s="222">
        <v>35</v>
      </c>
      <c r="B61" s="53" t="s">
        <v>258</v>
      </c>
      <c r="C61" s="258">
        <f>C23</f>
        <v>-2969127.8833931647</v>
      </c>
      <c r="D61" s="258">
        <f t="shared" ref="D61:N61" si="23">D23</f>
        <v>-2746668.0836846791</v>
      </c>
      <c r="E61" s="258">
        <f t="shared" si="23"/>
        <v>92088.816339094192</v>
      </c>
      <c r="F61" s="258">
        <f t="shared" si="23"/>
        <v>-2008168.2131802328</v>
      </c>
      <c r="G61" s="258">
        <f t="shared" si="23"/>
        <v>772021.68994507007</v>
      </c>
      <c r="H61" s="258">
        <f t="shared" si="23"/>
        <v>442836.90467862971</v>
      </c>
      <c r="I61" s="258">
        <f t="shared" si="23"/>
        <v>-213738.64976280369</v>
      </c>
      <c r="J61" s="258">
        <f t="shared" si="23"/>
        <v>-4677165.3061984647</v>
      </c>
      <c r="K61" s="258">
        <f t="shared" si="23"/>
        <v>-98952.99653127417</v>
      </c>
      <c r="L61" s="258">
        <f t="shared" si="23"/>
        <v>1896442.4257771745</v>
      </c>
      <c r="M61" s="258">
        <f t="shared" si="23"/>
        <v>-2898886.2448790856</v>
      </c>
      <c r="N61" s="258">
        <f t="shared" si="23"/>
        <v>-4139257.6670690402</v>
      </c>
      <c r="O61" s="257">
        <f>SUM(C61:N61)</f>
        <v>-16548575.207958777</v>
      </c>
    </row>
    <row r="62" spans="1:15">
      <c r="C62" s="22"/>
      <c r="D62" s="22"/>
      <c r="E62" s="22"/>
      <c r="F62" s="22"/>
      <c r="G62" s="22"/>
      <c r="H62" s="22"/>
      <c r="I62" s="22"/>
      <c r="J62" s="22"/>
      <c r="K62" s="22"/>
      <c r="L62" s="22"/>
      <c r="M62" s="22"/>
      <c r="N62" s="22"/>
      <c r="O62" s="22"/>
    </row>
    <row r="63" spans="1:15">
      <c r="A63" s="222">
        <v>36</v>
      </c>
      <c r="B63" s="53" t="s">
        <v>259</v>
      </c>
      <c r="C63" s="294">
        <v>-10934</v>
      </c>
      <c r="D63" s="294">
        <v>3644</v>
      </c>
      <c r="E63" s="294">
        <v>158537</v>
      </c>
      <c r="F63" s="294">
        <v>-65223</v>
      </c>
      <c r="G63" s="294">
        <v>51729</v>
      </c>
      <c r="H63" s="294">
        <v>292837</v>
      </c>
      <c r="I63" s="294">
        <v>-372706</v>
      </c>
      <c r="J63" s="294">
        <v>-956257</v>
      </c>
      <c r="K63" s="294">
        <v>-221629</v>
      </c>
      <c r="L63" s="294">
        <v>120201</v>
      </c>
      <c r="M63" s="294">
        <v>-132830</v>
      </c>
      <c r="N63" s="294">
        <v>-287709</v>
      </c>
      <c r="O63" s="257">
        <f>SUM(C63:N63)</f>
        <v>-1420340</v>
      </c>
    </row>
    <row r="64" spans="1:15">
      <c r="A64" s="222">
        <v>37</v>
      </c>
      <c r="B64" s="53" t="s">
        <v>260</v>
      </c>
      <c r="C64" s="257">
        <f>C65-C63</f>
        <v>-217082.69814329408</v>
      </c>
      <c r="D64" s="257">
        <f t="shared" ref="D64:N64" si="24">D65-D63</f>
        <v>506905.93570553325</v>
      </c>
      <c r="E64" s="257">
        <f t="shared" si="24"/>
        <v>-667464.13643795624</v>
      </c>
      <c r="F64" s="257">
        <f t="shared" si="24"/>
        <v>-906803.88063676469</v>
      </c>
      <c r="G64" s="257">
        <f t="shared" si="24"/>
        <v>1611694.9754786827</v>
      </c>
      <c r="H64" s="257">
        <f t="shared" si="24"/>
        <v>821729.31772167608</v>
      </c>
      <c r="I64" s="257">
        <f t="shared" si="24"/>
        <v>602403.65638708323</v>
      </c>
      <c r="J64" s="257">
        <f t="shared" si="24"/>
        <v>1104867.0828756802</v>
      </c>
      <c r="K64" s="257">
        <f t="shared" si="24"/>
        <v>529091.63166747615</v>
      </c>
      <c r="L64" s="257">
        <f t="shared" si="24"/>
        <v>302328.12537157908</v>
      </c>
      <c r="M64" s="257">
        <f t="shared" si="24"/>
        <v>-1411463.4857112113</v>
      </c>
      <c r="N64" s="257">
        <f t="shared" si="24"/>
        <v>-491419.3455197569</v>
      </c>
      <c r="O64" s="257">
        <f>SUM(C64:N64)</f>
        <v>1784787.1787587274</v>
      </c>
    </row>
    <row r="65" spans="1:15">
      <c r="A65" s="222">
        <v>38</v>
      </c>
      <c r="B65" s="53" t="s">
        <v>261</v>
      </c>
      <c r="C65" s="258">
        <f>C27</f>
        <v>-228016.69814329408</v>
      </c>
      <c r="D65" s="258">
        <f t="shared" ref="D65:N65" si="25">D27</f>
        <v>510549.93570553325</v>
      </c>
      <c r="E65" s="258">
        <f t="shared" si="25"/>
        <v>-508927.13643795624</v>
      </c>
      <c r="F65" s="258">
        <f t="shared" si="25"/>
        <v>-972026.88063676469</v>
      </c>
      <c r="G65" s="258">
        <f t="shared" si="25"/>
        <v>1663423.9754786827</v>
      </c>
      <c r="H65" s="258">
        <f t="shared" si="25"/>
        <v>1114566.3177216761</v>
      </c>
      <c r="I65" s="258">
        <f t="shared" si="25"/>
        <v>229697.65638708323</v>
      </c>
      <c r="J65" s="258">
        <f t="shared" si="25"/>
        <v>148610.08287568018</v>
      </c>
      <c r="K65" s="258">
        <f t="shared" si="25"/>
        <v>307462.63166747615</v>
      </c>
      <c r="L65" s="258">
        <f t="shared" si="25"/>
        <v>422529.12537157908</v>
      </c>
      <c r="M65" s="258">
        <f t="shared" si="25"/>
        <v>-1544293.4857112113</v>
      </c>
      <c r="N65" s="258">
        <f t="shared" si="25"/>
        <v>-779128.3455197569</v>
      </c>
      <c r="O65" s="257">
        <f>SUM(C65:N65)</f>
        <v>364447.17875872739</v>
      </c>
    </row>
    <row r="66" spans="1:15">
      <c r="C66" s="22"/>
      <c r="D66" s="22"/>
      <c r="E66" s="22"/>
      <c r="F66" s="22"/>
      <c r="G66" s="22"/>
      <c r="H66" s="22"/>
      <c r="I66" s="22"/>
      <c r="J66" s="22"/>
      <c r="K66" s="22"/>
      <c r="L66" s="22"/>
      <c r="M66" s="22"/>
      <c r="N66" s="22"/>
      <c r="O66" s="22"/>
    </row>
    <row r="67" spans="1:15">
      <c r="B67" s="221" t="s">
        <v>272</v>
      </c>
    </row>
    <row r="68" spans="1:15">
      <c r="A68" s="222">
        <v>39</v>
      </c>
      <c r="B68" s="53" t="s">
        <v>273</v>
      </c>
      <c r="C68" s="293">
        <v>1084</v>
      </c>
      <c r="D68" s="293">
        <v>939</v>
      </c>
      <c r="E68" s="293">
        <v>747</v>
      </c>
      <c r="F68" s="293">
        <v>518</v>
      </c>
      <c r="G68" s="293">
        <v>241</v>
      </c>
      <c r="H68" s="293">
        <v>98</v>
      </c>
      <c r="I68" s="293">
        <v>10</v>
      </c>
      <c r="J68" s="293">
        <v>11</v>
      </c>
      <c r="K68" s="293">
        <v>144</v>
      </c>
      <c r="L68" s="293">
        <v>508</v>
      </c>
      <c r="M68" s="293">
        <v>820</v>
      </c>
      <c r="N68" s="293">
        <v>1093</v>
      </c>
      <c r="O68" s="230">
        <f>SUM(C68:N68)</f>
        <v>6213</v>
      </c>
    </row>
    <row r="69" spans="1:15">
      <c r="A69" s="222">
        <v>40</v>
      </c>
      <c r="B69" s="53" t="s">
        <v>274</v>
      </c>
      <c r="C69" s="293">
        <v>0</v>
      </c>
      <c r="D69" s="293">
        <v>0</v>
      </c>
      <c r="E69" s="293">
        <v>0</v>
      </c>
      <c r="F69" s="293">
        <v>1</v>
      </c>
      <c r="G69" s="293">
        <v>18</v>
      </c>
      <c r="H69" s="293">
        <v>96</v>
      </c>
      <c r="I69" s="293">
        <v>271</v>
      </c>
      <c r="J69" s="293">
        <v>244</v>
      </c>
      <c r="K69" s="293">
        <v>51</v>
      </c>
      <c r="L69" s="293">
        <v>1</v>
      </c>
      <c r="M69" s="293">
        <v>0</v>
      </c>
      <c r="N69" s="293">
        <v>0</v>
      </c>
      <c r="O69" s="230">
        <f>SUM(C69:N69)</f>
        <v>682</v>
      </c>
    </row>
    <row r="71" spans="1:15">
      <c r="A71" s="222">
        <v>41</v>
      </c>
      <c r="B71" s="53" t="s">
        <v>251</v>
      </c>
      <c r="C71" s="230">
        <f>C68-C8</f>
        <v>-14</v>
      </c>
      <c r="D71" s="230">
        <f t="shared" ref="D71:N72" si="26">D68-D8</f>
        <v>9</v>
      </c>
      <c r="E71" s="230">
        <f t="shared" si="26"/>
        <v>59</v>
      </c>
      <c r="F71" s="230">
        <f t="shared" si="26"/>
        <v>-161</v>
      </c>
      <c r="G71" s="230">
        <f t="shared" si="26"/>
        <v>-180</v>
      </c>
      <c r="H71" s="230">
        <f t="shared" si="26"/>
        <v>-25</v>
      </c>
      <c r="I71" s="230">
        <f t="shared" si="26"/>
        <v>5</v>
      </c>
      <c r="J71" s="230">
        <f t="shared" si="26"/>
        <v>8</v>
      </c>
      <c r="K71" s="230">
        <f t="shared" si="26"/>
        <v>85</v>
      </c>
      <c r="L71" s="230">
        <f t="shared" si="26"/>
        <v>206</v>
      </c>
      <c r="M71" s="230">
        <f t="shared" si="26"/>
        <v>-270</v>
      </c>
      <c r="N71" s="230">
        <f t="shared" si="26"/>
        <v>-186</v>
      </c>
      <c r="O71" s="230">
        <f t="shared" ref="O71:O72" si="27">SUM(C71:N71)</f>
        <v>-464</v>
      </c>
    </row>
    <row r="72" spans="1:15">
      <c r="A72" s="222">
        <v>42</v>
      </c>
      <c r="B72" s="53" t="s">
        <v>252</v>
      </c>
      <c r="C72" s="230">
        <f>C69-C9</f>
        <v>0</v>
      </c>
      <c r="D72" s="230">
        <f t="shared" si="26"/>
        <v>0</v>
      </c>
      <c r="E72" s="230">
        <f t="shared" si="26"/>
        <v>0</v>
      </c>
      <c r="F72" s="230">
        <f t="shared" si="26"/>
        <v>1</v>
      </c>
      <c r="G72" s="230">
        <f t="shared" si="26"/>
        <v>18</v>
      </c>
      <c r="H72" s="230">
        <f t="shared" si="26"/>
        <v>59</v>
      </c>
      <c r="I72" s="230">
        <f t="shared" si="26"/>
        <v>-23</v>
      </c>
      <c r="J72" s="230">
        <f t="shared" si="26"/>
        <v>-109</v>
      </c>
      <c r="K72" s="230">
        <f t="shared" si="26"/>
        <v>-29</v>
      </c>
      <c r="L72" s="230">
        <f t="shared" si="26"/>
        <v>0</v>
      </c>
      <c r="M72" s="230">
        <f t="shared" si="26"/>
        <v>0</v>
      </c>
      <c r="N72" s="230">
        <f t="shared" si="26"/>
        <v>0</v>
      </c>
      <c r="O72" s="230">
        <f t="shared" si="27"/>
        <v>-83</v>
      </c>
    </row>
    <row r="74" spans="1:15">
      <c r="A74" s="222">
        <v>43</v>
      </c>
      <c r="B74" s="53" t="s">
        <v>275</v>
      </c>
      <c r="C74" s="293">
        <v>-1819880</v>
      </c>
      <c r="D74" s="293">
        <v>1169923</v>
      </c>
      <c r="E74" s="293">
        <v>7669493</v>
      </c>
      <c r="F74" s="293">
        <v>-14591128</v>
      </c>
      <c r="G74" s="293">
        <v>-11105127</v>
      </c>
      <c r="H74" s="293">
        <v>15763169</v>
      </c>
      <c r="I74" s="293">
        <v>-6989408</v>
      </c>
      <c r="J74" s="293">
        <v>-33288257</v>
      </c>
      <c r="K74" s="293">
        <v>-8853627</v>
      </c>
      <c r="L74" s="293">
        <v>19187922</v>
      </c>
      <c r="M74" s="293">
        <v>-25104825</v>
      </c>
      <c r="N74" s="293">
        <v>-24475614</v>
      </c>
      <c r="O74" s="230">
        <f t="shared" ref="O74:O75" si="28">SUM(C74:N74)</f>
        <v>-82437359</v>
      </c>
    </row>
    <row r="75" spans="1:15">
      <c r="A75" s="222">
        <v>44</v>
      </c>
      <c r="B75" s="22" t="s">
        <v>276</v>
      </c>
      <c r="C75" s="293">
        <v>-381943</v>
      </c>
      <c r="D75" s="293">
        <v>245535</v>
      </c>
      <c r="E75" s="293">
        <v>1609620</v>
      </c>
      <c r="F75" s="293">
        <v>-1091418</v>
      </c>
      <c r="G75" s="293">
        <v>810255</v>
      </c>
      <c r="H75" s="293">
        <v>6993502</v>
      </c>
      <c r="I75" s="293">
        <v>-2748083</v>
      </c>
      <c r="J75" s="293">
        <v>-12992051</v>
      </c>
      <c r="K75" s="293">
        <v>-3481706</v>
      </c>
      <c r="L75" s="293">
        <v>1564341</v>
      </c>
      <c r="M75" s="293">
        <v>-1957705</v>
      </c>
      <c r="N75" s="293">
        <v>-5116739</v>
      </c>
      <c r="O75" s="260">
        <f t="shared" si="28"/>
        <v>-16546392</v>
      </c>
    </row>
    <row r="76" spans="1:15">
      <c r="B76" s="22"/>
      <c r="C76" s="22"/>
      <c r="D76" s="22"/>
      <c r="E76" s="22"/>
      <c r="F76" s="22"/>
      <c r="G76" s="22"/>
      <c r="H76" s="22"/>
      <c r="I76" s="22"/>
      <c r="J76" s="22"/>
      <c r="K76" s="22"/>
      <c r="L76" s="22"/>
      <c r="M76" s="22"/>
      <c r="N76" s="22"/>
      <c r="O76" s="22"/>
    </row>
    <row r="77" spans="1:15">
      <c r="B77" s="110" t="s">
        <v>255</v>
      </c>
      <c r="C77" s="34"/>
      <c r="D77" s="22"/>
      <c r="E77" s="22"/>
      <c r="F77" s="22"/>
      <c r="G77" s="22"/>
      <c r="H77" s="22"/>
      <c r="I77" s="22"/>
      <c r="J77" s="22"/>
      <c r="K77" s="22"/>
      <c r="L77" s="22"/>
      <c r="M77" s="22"/>
      <c r="N77" s="22"/>
      <c r="O77" s="22"/>
    </row>
    <row r="78" spans="1:15">
      <c r="A78" s="222">
        <v>45</v>
      </c>
      <c r="B78" s="22" t="s">
        <v>256</v>
      </c>
      <c r="C78" s="294">
        <v>-25512</v>
      </c>
      <c r="D78" s="294">
        <v>16400</v>
      </c>
      <c r="E78" s="294">
        <v>107514</v>
      </c>
      <c r="F78" s="294">
        <v>-79908</v>
      </c>
      <c r="G78" s="294">
        <v>39898</v>
      </c>
      <c r="H78" s="294">
        <v>443452</v>
      </c>
      <c r="I78" s="294">
        <v>-174944</v>
      </c>
      <c r="J78" s="294">
        <v>-827241</v>
      </c>
      <c r="K78" s="294">
        <v>-221629</v>
      </c>
      <c r="L78" s="294">
        <v>113067</v>
      </c>
      <c r="M78" s="294">
        <v>-141754</v>
      </c>
      <c r="N78" s="294">
        <v>-343038</v>
      </c>
      <c r="O78" s="257">
        <f>SUM(C78:N78)</f>
        <v>-1093695</v>
      </c>
    </row>
    <row r="79" spans="1:15">
      <c r="A79" s="222">
        <v>46</v>
      </c>
      <c r="B79" s="22" t="s">
        <v>257</v>
      </c>
      <c r="C79" s="257">
        <f>C80-C78</f>
        <v>-2943615.8833931647</v>
      </c>
      <c r="D79" s="257">
        <f t="shared" ref="D79:E79" si="29">D80-D78</f>
        <v>-2763068.0836846791</v>
      </c>
      <c r="E79" s="257">
        <f t="shared" si="29"/>
        <v>-15425.183660905808</v>
      </c>
      <c r="F79" s="257">
        <f>F80-F78</f>
        <v>-1928260.2131802328</v>
      </c>
      <c r="G79" s="257">
        <f t="shared" ref="G79:N79" si="30">G80-G78</f>
        <v>732123.68994507007</v>
      </c>
      <c r="H79" s="257">
        <f t="shared" si="30"/>
        <v>-615.09532137028873</v>
      </c>
      <c r="I79" s="257">
        <f t="shared" si="30"/>
        <v>-38794.649762803689</v>
      </c>
      <c r="J79" s="257">
        <f t="shared" si="30"/>
        <v>-3849924.3061984647</v>
      </c>
      <c r="K79" s="257">
        <f t="shared" si="30"/>
        <v>122676.00346872583</v>
      </c>
      <c r="L79" s="257">
        <f t="shared" si="30"/>
        <v>1783375.4257771745</v>
      </c>
      <c r="M79" s="257">
        <f t="shared" si="30"/>
        <v>-2757132.2448790856</v>
      </c>
      <c r="N79" s="257">
        <f t="shared" si="30"/>
        <v>-3796219.6670690402</v>
      </c>
      <c r="O79" s="257">
        <f>SUM(C79:N79)</f>
        <v>-15454880.207958777</v>
      </c>
    </row>
    <row r="80" spans="1:15">
      <c r="A80" s="222">
        <v>47</v>
      </c>
      <c r="B80" s="22" t="s">
        <v>258</v>
      </c>
      <c r="C80" s="258">
        <f>C23</f>
        <v>-2969127.8833931647</v>
      </c>
      <c r="D80" s="258">
        <f t="shared" ref="D80:N80" si="31">D23</f>
        <v>-2746668.0836846791</v>
      </c>
      <c r="E80" s="258">
        <f t="shared" si="31"/>
        <v>92088.816339094192</v>
      </c>
      <c r="F80" s="258">
        <f t="shared" si="31"/>
        <v>-2008168.2131802328</v>
      </c>
      <c r="G80" s="258">
        <f t="shared" si="31"/>
        <v>772021.68994507007</v>
      </c>
      <c r="H80" s="258">
        <f t="shared" si="31"/>
        <v>442836.90467862971</v>
      </c>
      <c r="I80" s="258">
        <f t="shared" si="31"/>
        <v>-213738.64976280369</v>
      </c>
      <c r="J80" s="258">
        <f t="shared" si="31"/>
        <v>-4677165.3061984647</v>
      </c>
      <c r="K80" s="258">
        <f t="shared" si="31"/>
        <v>-98952.99653127417</v>
      </c>
      <c r="L80" s="258">
        <f t="shared" si="31"/>
        <v>1896442.4257771745</v>
      </c>
      <c r="M80" s="258">
        <f t="shared" si="31"/>
        <v>-2898886.2448790856</v>
      </c>
      <c r="N80" s="258">
        <f t="shared" si="31"/>
        <v>-4139257.6670690402</v>
      </c>
      <c r="O80" s="257">
        <f>SUM(C80:N80)</f>
        <v>-16548575.207958777</v>
      </c>
    </row>
    <row r="81" spans="1:15">
      <c r="B81" s="22"/>
      <c r="C81" s="22"/>
      <c r="D81" s="22"/>
      <c r="E81" s="22"/>
      <c r="F81" s="22"/>
      <c r="G81" s="22"/>
      <c r="H81" s="22"/>
      <c r="I81" s="22"/>
      <c r="J81" s="22"/>
      <c r="K81" s="22"/>
      <c r="L81" s="22"/>
      <c r="M81" s="22"/>
      <c r="N81" s="22"/>
      <c r="O81" s="22"/>
    </row>
    <row r="82" spans="1:15">
      <c r="A82" s="222">
        <v>48</v>
      </c>
      <c r="B82" s="22" t="s">
        <v>259</v>
      </c>
      <c r="C82" s="294">
        <v>-161169</v>
      </c>
      <c r="D82" s="294">
        <v>103608</v>
      </c>
      <c r="E82" s="294">
        <v>679210</v>
      </c>
      <c r="F82" s="294">
        <v>-1292191</v>
      </c>
      <c r="G82" s="294">
        <v>-983470</v>
      </c>
      <c r="H82" s="294">
        <v>1395986</v>
      </c>
      <c r="I82" s="294">
        <v>-618982</v>
      </c>
      <c r="J82" s="294">
        <v>-2948008</v>
      </c>
      <c r="K82" s="294">
        <v>-784078</v>
      </c>
      <c r="L82" s="294">
        <v>1699282</v>
      </c>
      <c r="M82" s="294">
        <v>-2223283</v>
      </c>
      <c r="N82" s="294">
        <v>-2272413</v>
      </c>
      <c r="O82" s="257">
        <f>SUM(C82:N82)</f>
        <v>-7405508</v>
      </c>
    </row>
    <row r="83" spans="1:15">
      <c r="A83" s="222">
        <v>49</v>
      </c>
      <c r="B83" s="53" t="s">
        <v>260</v>
      </c>
      <c r="C83" s="257">
        <f>C84-C82</f>
        <v>-66847.698143294081</v>
      </c>
      <c r="D83" s="257">
        <f t="shared" ref="D83:N83" si="32">D84-D82</f>
        <v>406941.93570553325</v>
      </c>
      <c r="E83" s="257">
        <f t="shared" si="32"/>
        <v>-1188137.1364379562</v>
      </c>
      <c r="F83" s="257">
        <f t="shared" si="32"/>
        <v>320164.11936323531</v>
      </c>
      <c r="G83" s="257">
        <f t="shared" si="32"/>
        <v>2646893.9754786827</v>
      </c>
      <c r="H83" s="257">
        <f t="shared" si="32"/>
        <v>-281419.68227832392</v>
      </c>
      <c r="I83" s="257">
        <f t="shared" si="32"/>
        <v>848679.65638708323</v>
      </c>
      <c r="J83" s="257">
        <f t="shared" si="32"/>
        <v>3096618.0828756802</v>
      </c>
      <c r="K83" s="257">
        <f t="shared" si="32"/>
        <v>1091540.6316674761</v>
      </c>
      <c r="L83" s="257">
        <f t="shared" si="32"/>
        <v>-1276752.8746284209</v>
      </c>
      <c r="M83" s="257">
        <f t="shared" si="32"/>
        <v>678989.51428878866</v>
      </c>
      <c r="N83" s="257">
        <f t="shared" si="32"/>
        <v>1493284.6544802431</v>
      </c>
      <c r="O83" s="235">
        <f>SUM(C83:N83)</f>
        <v>7769955.1787587274</v>
      </c>
    </row>
    <row r="84" spans="1:15">
      <c r="A84" s="222">
        <v>50</v>
      </c>
      <c r="B84" s="53" t="s">
        <v>261</v>
      </c>
      <c r="C84" s="258">
        <f>C27</f>
        <v>-228016.69814329408</v>
      </c>
      <c r="D84" s="258">
        <f t="shared" ref="D84:N84" si="33">D27</f>
        <v>510549.93570553325</v>
      </c>
      <c r="E84" s="258">
        <f t="shared" si="33"/>
        <v>-508927.13643795624</v>
      </c>
      <c r="F84" s="258">
        <f t="shared" si="33"/>
        <v>-972026.88063676469</v>
      </c>
      <c r="G84" s="258">
        <f t="shared" si="33"/>
        <v>1663423.9754786827</v>
      </c>
      <c r="H84" s="258">
        <f t="shared" si="33"/>
        <v>1114566.3177216761</v>
      </c>
      <c r="I84" s="258">
        <f t="shared" si="33"/>
        <v>229697.65638708323</v>
      </c>
      <c r="J84" s="258">
        <f t="shared" si="33"/>
        <v>148610.08287568018</v>
      </c>
      <c r="K84" s="258">
        <f t="shared" si="33"/>
        <v>307462.63166747615</v>
      </c>
      <c r="L84" s="258">
        <f t="shared" si="33"/>
        <v>422529.12537157908</v>
      </c>
      <c r="M84" s="258">
        <f t="shared" si="33"/>
        <v>-1544293.4857112113</v>
      </c>
      <c r="N84" s="258">
        <f t="shared" si="33"/>
        <v>-779128.3455197569</v>
      </c>
      <c r="O84" s="235">
        <f>SUM(C84:N84)</f>
        <v>364447.17875872739</v>
      </c>
    </row>
    <row r="85" spans="1:15">
      <c r="C85" s="22"/>
      <c r="D85" s="22"/>
      <c r="E85" s="22"/>
      <c r="F85" s="22"/>
      <c r="G85" s="22"/>
      <c r="H85" s="22"/>
      <c r="I85" s="22"/>
      <c r="J85" s="22"/>
      <c r="K85" s="22"/>
      <c r="L85" s="22"/>
      <c r="M85" s="22"/>
      <c r="N85" s="22"/>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64F-02BF-4EB1-868B-D925C5C9BB1C}">
  <sheetPr>
    <tabColor rgb="FF92D050"/>
  </sheetPr>
  <dimension ref="A1:W87"/>
  <sheetViews>
    <sheetView workbookViewId="0">
      <selection activeCell="F24" sqref="F24"/>
    </sheetView>
  </sheetViews>
  <sheetFormatPr defaultRowHeight="15"/>
  <cols>
    <col min="1" max="1" width="7.28515625" style="222" customWidth="1"/>
    <col min="2" max="2" width="39" style="53" customWidth="1"/>
    <col min="3" max="3" width="12.42578125" style="53" customWidth="1"/>
    <col min="4" max="5" width="12.7109375" style="53" customWidth="1"/>
    <col min="6" max="6" width="12.5703125" style="53" customWidth="1"/>
    <col min="7" max="7" width="12.7109375" style="53" customWidth="1"/>
    <col min="8" max="8" width="13" style="53" customWidth="1"/>
    <col min="9" max="9" width="13.28515625" style="53" bestFit="1" customWidth="1"/>
    <col min="10" max="10" width="12.42578125" style="53" customWidth="1"/>
    <col min="11" max="11" width="14" style="53" customWidth="1"/>
    <col min="12" max="12" width="12.5703125" style="53" customWidth="1"/>
    <col min="13" max="13" width="13.140625" style="53" customWidth="1"/>
    <col min="14" max="14" width="12.28515625" style="53" customWidth="1"/>
    <col min="15" max="15" width="13.5703125" style="53" customWidth="1"/>
    <col min="16" max="21" width="9.140625" style="53"/>
    <col min="22" max="23" width="11.28515625" style="53" bestFit="1" customWidth="1"/>
    <col min="24" max="16384" width="9.140625" style="53"/>
  </cols>
  <sheetData>
    <row r="1" spans="1:15">
      <c r="A1" s="300" t="s">
        <v>243</v>
      </c>
      <c r="B1" s="300"/>
      <c r="C1" s="300"/>
      <c r="D1" s="300"/>
      <c r="E1" s="300"/>
      <c r="F1" s="300"/>
      <c r="G1" s="300"/>
      <c r="H1" s="300"/>
      <c r="I1" s="300"/>
      <c r="J1" s="300"/>
      <c r="K1" s="300"/>
      <c r="L1" s="300"/>
    </row>
    <row r="2" spans="1:15" ht="15.75" customHeight="1">
      <c r="A2" s="306" t="s">
        <v>244</v>
      </c>
      <c r="B2" s="306"/>
      <c r="C2" s="306"/>
      <c r="D2" s="306"/>
      <c r="E2" s="306"/>
      <c r="F2" s="306"/>
      <c r="G2" s="306"/>
      <c r="H2" s="306"/>
      <c r="I2" s="306"/>
      <c r="J2" s="306"/>
      <c r="K2" s="306"/>
      <c r="L2" s="306"/>
    </row>
    <row r="3" spans="1:15" ht="69.75" customHeight="1">
      <c r="A3" s="307" t="s">
        <v>245</v>
      </c>
      <c r="B3" s="307"/>
      <c r="C3" s="307"/>
      <c r="D3" s="307"/>
      <c r="E3" s="307"/>
      <c r="F3" s="307"/>
      <c r="G3" s="307"/>
      <c r="H3" s="307"/>
      <c r="I3" s="307"/>
      <c r="J3" s="307"/>
      <c r="K3" s="307"/>
      <c r="L3" s="307"/>
      <c r="M3" s="307"/>
      <c r="N3" s="307"/>
      <c r="O3" s="307"/>
    </row>
    <row r="4" spans="1:15" ht="60.75" customHeight="1">
      <c r="A4" s="307" t="s">
        <v>298</v>
      </c>
      <c r="B4" s="307"/>
      <c r="C4" s="307"/>
      <c r="D4" s="307"/>
      <c r="E4" s="307"/>
      <c r="F4" s="307"/>
      <c r="G4" s="307"/>
      <c r="H4" s="307"/>
      <c r="I4" s="307"/>
      <c r="J4" s="307"/>
      <c r="K4" s="307"/>
      <c r="L4" s="307"/>
      <c r="M4" s="307"/>
      <c r="N4" s="307"/>
      <c r="O4" s="307"/>
    </row>
    <row r="6" spans="1:15">
      <c r="A6" s="83" t="s">
        <v>1</v>
      </c>
      <c r="B6" s="226" t="s">
        <v>193</v>
      </c>
      <c r="C6" s="83">
        <v>44562</v>
      </c>
      <c r="D6" s="83">
        <f t="shared" ref="D6:N6" si="0">EDATE(C6,1)</f>
        <v>44593</v>
      </c>
      <c r="E6" s="83">
        <f t="shared" si="0"/>
        <v>44621</v>
      </c>
      <c r="F6" s="83">
        <f t="shared" si="0"/>
        <v>44652</v>
      </c>
      <c r="G6" s="83">
        <f t="shared" si="0"/>
        <v>44682</v>
      </c>
      <c r="H6" s="83">
        <f t="shared" si="0"/>
        <v>44713</v>
      </c>
      <c r="I6" s="83">
        <f t="shared" si="0"/>
        <v>44743</v>
      </c>
      <c r="J6" s="83">
        <f t="shared" si="0"/>
        <v>44774</v>
      </c>
      <c r="K6" s="83">
        <f t="shared" si="0"/>
        <v>44805</v>
      </c>
      <c r="L6" s="83">
        <f t="shared" si="0"/>
        <v>44835</v>
      </c>
      <c r="M6" s="83">
        <f t="shared" si="0"/>
        <v>44866</v>
      </c>
      <c r="N6" s="83">
        <f t="shared" si="0"/>
        <v>44896</v>
      </c>
      <c r="O6" s="83" t="s">
        <v>282</v>
      </c>
    </row>
    <row r="8" spans="1:15">
      <c r="A8" s="222">
        <v>1</v>
      </c>
      <c r="B8" s="53" t="s">
        <v>246</v>
      </c>
      <c r="C8" s="293">
        <f>'Electric Weather Component'!C8</f>
        <v>1098</v>
      </c>
      <c r="D8" s="293">
        <f>'Electric Weather Component'!D8</f>
        <v>930</v>
      </c>
      <c r="E8" s="293">
        <f>'Electric Weather Component'!E8</f>
        <v>688</v>
      </c>
      <c r="F8" s="293">
        <f>'Electric Weather Component'!F8</f>
        <v>679</v>
      </c>
      <c r="G8" s="293">
        <f>'Electric Weather Component'!G8</f>
        <v>421</v>
      </c>
      <c r="H8" s="293">
        <f>'Electric Weather Component'!H8</f>
        <v>123</v>
      </c>
      <c r="I8" s="293">
        <f>'Electric Weather Component'!I8</f>
        <v>5</v>
      </c>
      <c r="J8" s="293">
        <f>'Electric Weather Component'!J8</f>
        <v>3</v>
      </c>
      <c r="K8" s="293">
        <f>'Electric Weather Component'!K8</f>
        <v>59</v>
      </c>
      <c r="L8" s="293">
        <f>'Electric Weather Component'!L8</f>
        <v>302</v>
      </c>
      <c r="M8" s="293">
        <f>'Electric Weather Component'!M8</f>
        <v>1090</v>
      </c>
      <c r="N8" s="293">
        <f>'Electric Weather Component'!N8</f>
        <v>1279</v>
      </c>
      <c r="O8" s="230">
        <f>SUM(C8:N8)</f>
        <v>6677</v>
      </c>
    </row>
    <row r="9" spans="1:15">
      <c r="A9" s="222">
        <v>2</v>
      </c>
      <c r="B9" s="53" t="s">
        <v>247</v>
      </c>
      <c r="C9" s="293">
        <f>'Electric Weather Component'!C9</f>
        <v>0</v>
      </c>
      <c r="D9" s="293">
        <f>'Electric Weather Component'!D9</f>
        <v>0</v>
      </c>
      <c r="E9" s="293">
        <f>'Electric Weather Component'!E9</f>
        <v>0</v>
      </c>
      <c r="F9" s="293">
        <f>'Electric Weather Component'!F9</f>
        <v>0</v>
      </c>
      <c r="G9" s="293">
        <f>'Electric Weather Component'!G9</f>
        <v>0</v>
      </c>
      <c r="H9" s="293">
        <f>'Electric Weather Component'!H9</f>
        <v>37</v>
      </c>
      <c r="I9" s="293">
        <f>'Electric Weather Component'!I9</f>
        <v>294</v>
      </c>
      <c r="J9" s="293">
        <f>'Electric Weather Component'!J9</f>
        <v>353</v>
      </c>
      <c r="K9" s="293">
        <f>'Electric Weather Component'!K9</f>
        <v>80</v>
      </c>
      <c r="L9" s="293">
        <f>'Electric Weather Component'!L9</f>
        <v>1</v>
      </c>
      <c r="M9" s="293">
        <f>'Electric Weather Component'!M9</f>
        <v>0</v>
      </c>
      <c r="N9" s="293">
        <f>'Electric Weather Component'!N9</f>
        <v>0</v>
      </c>
      <c r="O9" s="230">
        <f>SUM(C9:N9)</f>
        <v>765</v>
      </c>
    </row>
    <row r="10" spans="1:15" ht="17.25" customHeight="1">
      <c r="B10" s="221" t="s">
        <v>248</v>
      </c>
    </row>
    <row r="11" spans="1:15">
      <c r="A11" s="222">
        <v>3</v>
      </c>
      <c r="B11" s="53" t="s">
        <v>249</v>
      </c>
      <c r="C11" s="293">
        <f>'Electric Weather Component'!C11</f>
        <v>1096</v>
      </c>
      <c r="D11" s="293">
        <f>'Electric Weather Component'!D11</f>
        <v>927</v>
      </c>
      <c r="E11" s="293">
        <f>'Electric Weather Component'!E11</f>
        <v>775</v>
      </c>
      <c r="F11" s="293">
        <f>'Electric Weather Component'!F11</f>
        <v>548</v>
      </c>
      <c r="G11" s="293">
        <f>'Electric Weather Component'!G11</f>
        <v>298</v>
      </c>
      <c r="H11" s="293">
        <f>'Electric Weather Component'!H11</f>
        <v>133</v>
      </c>
      <c r="I11" s="293">
        <f>'Electric Weather Component'!I11</f>
        <v>25</v>
      </c>
      <c r="J11" s="293">
        <f>'Electric Weather Component'!J11</f>
        <v>27</v>
      </c>
      <c r="K11" s="293">
        <f>'Electric Weather Component'!K11</f>
        <v>162</v>
      </c>
      <c r="L11" s="293">
        <f>'Electric Weather Component'!L11</f>
        <v>533</v>
      </c>
      <c r="M11" s="293">
        <f>'Electric Weather Component'!M11</f>
        <v>861</v>
      </c>
      <c r="N11" s="293">
        <f>'Electric Weather Component'!N11</f>
        <v>1124</v>
      </c>
      <c r="O11" s="230">
        <f>SUM(C11:N11)</f>
        <v>6509</v>
      </c>
    </row>
    <row r="12" spans="1:15">
      <c r="A12" s="222">
        <v>4</v>
      </c>
      <c r="B12" s="53" t="s">
        <v>250</v>
      </c>
      <c r="C12" s="293">
        <f>'Electric Weather Component'!C12</f>
        <v>0</v>
      </c>
      <c r="D12" s="293">
        <f>'Electric Weather Component'!D12</f>
        <v>0</v>
      </c>
      <c r="E12" s="293">
        <f>'Electric Weather Component'!E12</f>
        <v>0</v>
      </c>
      <c r="F12" s="293">
        <f>'Electric Weather Component'!F12</f>
        <v>0</v>
      </c>
      <c r="G12" s="293">
        <f>'Electric Weather Component'!G12</f>
        <v>15</v>
      </c>
      <c r="H12" s="293">
        <f>'Electric Weather Component'!H12</f>
        <v>57</v>
      </c>
      <c r="I12" s="293">
        <f>'Electric Weather Component'!I12</f>
        <v>223</v>
      </c>
      <c r="J12" s="293">
        <f>'Electric Weather Component'!J12</f>
        <v>193</v>
      </c>
      <c r="K12" s="293">
        <f>'Electric Weather Component'!K12</f>
        <v>44</v>
      </c>
      <c r="L12" s="293">
        <f>'Electric Weather Component'!L12</f>
        <v>1</v>
      </c>
      <c r="M12" s="293">
        <f>'Electric Weather Component'!M12</f>
        <v>0</v>
      </c>
      <c r="N12" s="293">
        <f>'Electric Weather Component'!N12</f>
        <v>0</v>
      </c>
      <c r="O12" s="230">
        <f>SUM(C12:N12)</f>
        <v>533</v>
      </c>
    </row>
    <row r="13" spans="1:15" ht="6.75" customHeight="1"/>
    <row r="14" spans="1:15">
      <c r="A14" s="222">
        <v>5</v>
      </c>
      <c r="B14" s="53" t="s">
        <v>251</v>
      </c>
      <c r="C14" s="230">
        <f>C11-C8</f>
        <v>-2</v>
      </c>
      <c r="D14" s="230">
        <f t="shared" ref="D14:N15" si="1">D11-D8</f>
        <v>-3</v>
      </c>
      <c r="E14" s="230">
        <f t="shared" si="1"/>
        <v>87</v>
      </c>
      <c r="F14" s="230">
        <f t="shared" si="1"/>
        <v>-131</v>
      </c>
      <c r="G14" s="230">
        <f t="shared" si="1"/>
        <v>-123</v>
      </c>
      <c r="H14" s="230">
        <f t="shared" si="1"/>
        <v>10</v>
      </c>
      <c r="I14" s="230">
        <f t="shared" si="1"/>
        <v>20</v>
      </c>
      <c r="J14" s="230">
        <f t="shared" si="1"/>
        <v>24</v>
      </c>
      <c r="K14" s="230">
        <f t="shared" si="1"/>
        <v>103</v>
      </c>
      <c r="L14" s="230">
        <f t="shared" si="1"/>
        <v>231</v>
      </c>
      <c r="M14" s="230">
        <f t="shared" si="1"/>
        <v>-229</v>
      </c>
      <c r="N14" s="230">
        <f t="shared" si="1"/>
        <v>-155</v>
      </c>
      <c r="O14" s="230">
        <f t="shared" ref="O14:O15" si="2">SUM(C14:N14)</f>
        <v>-168</v>
      </c>
    </row>
    <row r="15" spans="1:15">
      <c r="A15" s="222">
        <v>6</v>
      </c>
      <c r="B15" s="53" t="s">
        <v>252</v>
      </c>
      <c r="C15" s="230">
        <f>C12-C9</f>
        <v>0</v>
      </c>
      <c r="D15" s="230">
        <f t="shared" si="1"/>
        <v>0</v>
      </c>
      <c r="E15" s="230">
        <f t="shared" si="1"/>
        <v>0</v>
      </c>
      <c r="F15" s="230">
        <f t="shared" si="1"/>
        <v>0</v>
      </c>
      <c r="G15" s="230">
        <f t="shared" si="1"/>
        <v>15</v>
      </c>
      <c r="H15" s="230">
        <f t="shared" si="1"/>
        <v>20</v>
      </c>
      <c r="I15" s="230">
        <f t="shared" si="1"/>
        <v>-71</v>
      </c>
      <c r="J15" s="230">
        <f t="shared" si="1"/>
        <v>-160</v>
      </c>
      <c r="K15" s="230">
        <f t="shared" si="1"/>
        <v>-36</v>
      </c>
      <c r="L15" s="230">
        <f t="shared" si="1"/>
        <v>0</v>
      </c>
      <c r="M15" s="230">
        <f t="shared" si="1"/>
        <v>0</v>
      </c>
      <c r="N15" s="230">
        <f t="shared" si="1"/>
        <v>0</v>
      </c>
      <c r="O15" s="230">
        <f t="shared" si="2"/>
        <v>-232</v>
      </c>
    </row>
    <row r="16" spans="1:15" ht="7.5" customHeight="1"/>
    <row r="17" spans="1:23">
      <c r="A17" s="222">
        <v>7</v>
      </c>
      <c r="B17" s="53" t="s">
        <v>253</v>
      </c>
      <c r="C17" s="293">
        <v>-39193</v>
      </c>
      <c r="D17" s="293">
        <v>-58790</v>
      </c>
      <c r="E17" s="293">
        <v>1704915</v>
      </c>
      <c r="F17" s="293">
        <v>-2318315</v>
      </c>
      <c r="G17" s="293">
        <v>-2163654</v>
      </c>
      <c r="H17" s="293">
        <v>178673</v>
      </c>
      <c r="I17" s="293">
        <v>412933</v>
      </c>
      <c r="J17" s="293">
        <v>498076</v>
      </c>
      <c r="K17" s="293">
        <v>2133409</v>
      </c>
      <c r="L17" s="293">
        <v>4117683</v>
      </c>
      <c r="M17" s="293">
        <v>-4068980</v>
      </c>
      <c r="N17" s="293">
        <v>-3063106</v>
      </c>
      <c r="O17" s="230">
        <f t="shared" ref="O17:O18" si="3">SUM(C17:N17)</f>
        <v>-2666349</v>
      </c>
    </row>
    <row r="18" spans="1:23">
      <c r="A18" s="222">
        <v>8</v>
      </c>
      <c r="B18" s="53" t="s">
        <v>254</v>
      </c>
      <c r="C18" s="293">
        <v>-13594</v>
      </c>
      <c r="D18" s="293">
        <v>-20392</v>
      </c>
      <c r="E18" s="293">
        <v>591355</v>
      </c>
      <c r="F18" s="293">
        <v>-789683</v>
      </c>
      <c r="G18" s="293">
        <v>-740912</v>
      </c>
      <c r="H18" s="293">
        <v>61732</v>
      </c>
      <c r="I18" s="293">
        <v>158879</v>
      </c>
      <c r="J18" s="293">
        <v>193107</v>
      </c>
      <c r="K18" s="293">
        <v>826553</v>
      </c>
      <c r="L18" s="293">
        <v>1414494</v>
      </c>
      <c r="M18" s="293">
        <v>-1412963</v>
      </c>
      <c r="N18" s="293">
        <v>-1110413</v>
      </c>
      <c r="O18" s="230">
        <f t="shared" si="3"/>
        <v>-841837</v>
      </c>
    </row>
    <row r="20" spans="1:23">
      <c r="B20" s="221" t="s">
        <v>255</v>
      </c>
      <c r="C20" s="108"/>
      <c r="T20" s="53" t="s">
        <v>277</v>
      </c>
      <c r="U20" s="53" t="s">
        <v>278</v>
      </c>
      <c r="V20" s="53" t="s">
        <v>279</v>
      </c>
      <c r="W20" s="53" t="s">
        <v>280</v>
      </c>
    </row>
    <row r="21" spans="1:23">
      <c r="A21" s="222">
        <v>9</v>
      </c>
      <c r="B21" s="53" t="s">
        <v>256</v>
      </c>
      <c r="C21" s="294">
        <v>-20200</v>
      </c>
      <c r="D21" s="294">
        <v>-30300</v>
      </c>
      <c r="E21" s="294">
        <v>878696</v>
      </c>
      <c r="F21" s="294">
        <v>-1194836</v>
      </c>
      <c r="G21" s="294">
        <v>-1115126</v>
      </c>
      <c r="H21" s="294">
        <v>92086</v>
      </c>
      <c r="I21" s="294">
        <v>212822</v>
      </c>
      <c r="J21" s="294">
        <v>256703</v>
      </c>
      <c r="K21" s="294">
        <v>1099538</v>
      </c>
      <c r="L21" s="294">
        <v>2122213</v>
      </c>
      <c r="M21" s="294">
        <v>-2097112</v>
      </c>
      <c r="N21" s="294">
        <v>-1712001</v>
      </c>
      <c r="O21" s="235">
        <f>SUM(C21:N21)</f>
        <v>-1507517</v>
      </c>
      <c r="S21" s="53">
        <v>30</v>
      </c>
      <c r="T21" s="261">
        <f>O11</f>
        <v>6509</v>
      </c>
      <c r="U21" s="261">
        <f>O12</f>
        <v>533</v>
      </c>
      <c r="V21" s="261">
        <f>O17</f>
        <v>-2666349</v>
      </c>
      <c r="W21" s="261">
        <f>O18</f>
        <v>-841837</v>
      </c>
    </row>
    <row r="22" spans="1:23">
      <c r="A22" s="222">
        <v>10</v>
      </c>
      <c r="B22" s="53" t="s">
        <v>257</v>
      </c>
      <c r="C22" s="257">
        <f>C23-C21</f>
        <v>-2873849.8757738974</v>
      </c>
      <c r="D22" s="257">
        <f t="shared" ref="D22:N22" si="4">D23-D21</f>
        <v>-940630.57595048659</v>
      </c>
      <c r="E22" s="257">
        <f t="shared" si="4"/>
        <v>-40891.347547561862</v>
      </c>
      <c r="F22" s="257">
        <f t="shared" si="4"/>
        <v>246125.98916043621</v>
      </c>
      <c r="G22" s="257">
        <f t="shared" si="4"/>
        <v>858856.29715363728</v>
      </c>
      <c r="H22" s="257">
        <f t="shared" si="4"/>
        <v>225751.77730860189</v>
      </c>
      <c r="I22" s="257">
        <f t="shared" si="4"/>
        <v>145041.90379398479</v>
      </c>
      <c r="J22" s="257">
        <f t="shared" si="4"/>
        <v>340908.79758527805</v>
      </c>
      <c r="K22" s="257">
        <f t="shared" si="4"/>
        <v>-952969.17875510035</v>
      </c>
      <c r="L22" s="257">
        <f t="shared" si="4"/>
        <v>806173.7830787627</v>
      </c>
      <c r="M22" s="257">
        <f t="shared" si="4"/>
        <v>2885490.5638888665</v>
      </c>
      <c r="N22" s="257">
        <f t="shared" si="4"/>
        <v>-221388.44191427343</v>
      </c>
      <c r="O22" s="235">
        <f>SUM(C22:N22)</f>
        <v>478619.69202824775</v>
      </c>
      <c r="S22" s="53">
        <v>20</v>
      </c>
      <c r="T22" s="230">
        <f>O30</f>
        <v>6401</v>
      </c>
      <c r="U22" s="230">
        <f>O31</f>
        <v>598</v>
      </c>
      <c r="V22" s="230">
        <f>O36</f>
        <v>-4718131</v>
      </c>
      <c r="W22" s="230">
        <f>O37</f>
        <v>-1574635</v>
      </c>
    </row>
    <row r="23" spans="1:23">
      <c r="A23" s="222">
        <v>11</v>
      </c>
      <c r="B23" s="53" t="s">
        <v>258</v>
      </c>
      <c r="C23" s="258">
        <f>'Nat Gas Deferral'!D$27</f>
        <v>-2894049.8757738974</v>
      </c>
      <c r="D23" s="258">
        <f>'Nat Gas Deferral'!E$27</f>
        <v>-970930.57595048659</v>
      </c>
      <c r="E23" s="258">
        <f>'Nat Gas Deferral'!F$27</f>
        <v>837804.65245243814</v>
      </c>
      <c r="F23" s="258">
        <f>'Nat Gas Deferral'!G$27</f>
        <v>-948710.01083956379</v>
      </c>
      <c r="G23" s="258">
        <f>'Nat Gas Deferral'!H$27</f>
        <v>-256269.70284636272</v>
      </c>
      <c r="H23" s="258">
        <f>'Nat Gas Deferral'!I$27</f>
        <v>317837.77730860189</v>
      </c>
      <c r="I23" s="258">
        <f>'Nat Gas Deferral'!J$27</f>
        <v>357863.90379398479</v>
      </c>
      <c r="J23" s="258">
        <f>'Nat Gas Deferral'!K$27</f>
        <v>597611.79758527805</v>
      </c>
      <c r="K23" s="258">
        <f>'Nat Gas Deferral'!L$27</f>
        <v>146568.82124489965</v>
      </c>
      <c r="L23" s="258">
        <f>'Nat Gas Deferral'!M$27</f>
        <v>2928386.7830787627</v>
      </c>
      <c r="M23" s="258">
        <f>'Nat Gas Deferral'!N$27</f>
        <v>788378.56388886645</v>
      </c>
      <c r="N23" s="258">
        <f>'Nat Gas Deferral'!O$27</f>
        <v>-1933389.4419142734</v>
      </c>
      <c r="O23" s="235">
        <f>SUM(C23:N23)</f>
        <v>-1028897.3079717527</v>
      </c>
      <c r="S23" s="53">
        <v>15</v>
      </c>
      <c r="T23" s="230">
        <f>O49</f>
        <v>6396</v>
      </c>
      <c r="U23" s="230">
        <f>O50</f>
        <v>617</v>
      </c>
      <c r="V23" s="230">
        <f>O55</f>
        <v>-4789779</v>
      </c>
      <c r="W23" s="230">
        <f>O56</f>
        <v>-1608894</v>
      </c>
    </row>
    <row r="24" spans="1:23">
      <c r="C24" s="22"/>
      <c r="D24" s="22"/>
      <c r="E24" s="22"/>
      <c r="F24" s="22"/>
      <c r="G24" s="22"/>
      <c r="H24" s="22"/>
      <c r="I24" s="22"/>
      <c r="J24" s="22"/>
      <c r="K24" s="22"/>
      <c r="L24" s="22"/>
      <c r="M24" s="22"/>
      <c r="N24" s="22"/>
      <c r="S24" s="53">
        <v>10</v>
      </c>
      <c r="T24" s="261">
        <f>O68</f>
        <v>6213</v>
      </c>
      <c r="U24" s="261">
        <f>O69</f>
        <v>682</v>
      </c>
      <c r="V24" s="261">
        <f>O74</f>
        <v>-8175340</v>
      </c>
      <c r="W24" s="261">
        <f>O75</f>
        <v>-2792897</v>
      </c>
    </row>
    <row r="25" spans="1:23">
      <c r="A25" s="222">
        <v>12</v>
      </c>
      <c r="B25" s="53" t="s">
        <v>259</v>
      </c>
      <c r="C25" s="294">
        <v>-3731</v>
      </c>
      <c r="D25" s="294">
        <v>-5596</v>
      </c>
      <c r="E25" s="294">
        <v>162291</v>
      </c>
      <c r="F25" s="294">
        <v>-216721</v>
      </c>
      <c r="G25" s="294">
        <v>-203336</v>
      </c>
      <c r="H25" s="294">
        <v>16942</v>
      </c>
      <c r="I25" s="294">
        <v>43603</v>
      </c>
      <c r="J25" s="294">
        <v>52996</v>
      </c>
      <c r="K25" s="294">
        <v>226839</v>
      </c>
      <c r="L25" s="294">
        <v>388194</v>
      </c>
      <c r="M25" s="294">
        <v>-387774</v>
      </c>
      <c r="N25" s="294">
        <v>-323874</v>
      </c>
      <c r="O25" s="235">
        <f>SUM(C25:N25)</f>
        <v>-250167</v>
      </c>
    </row>
    <row r="26" spans="1:23">
      <c r="A26" s="222">
        <v>13</v>
      </c>
      <c r="B26" s="53" t="s">
        <v>260</v>
      </c>
      <c r="C26" s="235">
        <f>C27-C25</f>
        <v>-326760.57460752409</v>
      </c>
      <c r="D26" s="235">
        <f t="shared" ref="D26:N26" si="5">D27-D25</f>
        <v>-287151.14300333778</v>
      </c>
      <c r="E26" s="235">
        <f t="shared" si="5"/>
        <v>-331268.6247677498</v>
      </c>
      <c r="F26" s="235">
        <f t="shared" si="5"/>
        <v>158590.14224466076</v>
      </c>
      <c r="G26" s="235">
        <f t="shared" si="5"/>
        <v>37626.771872354671</v>
      </c>
      <c r="H26" s="235">
        <f t="shared" si="5"/>
        <v>88327.637663808069</v>
      </c>
      <c r="I26" s="235">
        <f t="shared" si="5"/>
        <v>166607.97848785535</v>
      </c>
      <c r="J26" s="235">
        <f t="shared" si="5"/>
        <v>164478.09059265768</v>
      </c>
      <c r="K26" s="235">
        <f t="shared" si="5"/>
        <v>87186.044076585618</v>
      </c>
      <c r="L26" s="235">
        <f t="shared" si="5"/>
        <v>356095.53105915303</v>
      </c>
      <c r="M26" s="235">
        <f t="shared" si="5"/>
        <v>1442297.8998033588</v>
      </c>
      <c r="N26" s="235">
        <f t="shared" si="5"/>
        <v>61014.735207510181</v>
      </c>
      <c r="O26" s="235">
        <f>SUM(C26:N26)</f>
        <v>1617044.4886293325</v>
      </c>
      <c r="T26" s="261">
        <f>MAX(T21:T24)</f>
        <v>6509</v>
      </c>
      <c r="U26" s="261">
        <f>MAX(U21:U24)</f>
        <v>682</v>
      </c>
      <c r="V26" s="261">
        <f>MAX(V21:V24)</f>
        <v>-2666349</v>
      </c>
      <c r="W26" s="261">
        <f>MAX(W21:W24)</f>
        <v>-841837</v>
      </c>
    </row>
    <row r="27" spans="1:23">
      <c r="A27" s="222">
        <v>14</v>
      </c>
      <c r="B27" s="53" t="s">
        <v>261</v>
      </c>
      <c r="C27" s="248">
        <f>'Nat Gas Deferral'!D$53</f>
        <v>-330491.57460752409</v>
      </c>
      <c r="D27" s="248">
        <f>'Nat Gas Deferral'!E$53</f>
        <v>-292747.14300333778</v>
      </c>
      <c r="E27" s="248">
        <f>'Nat Gas Deferral'!F$53</f>
        <v>-168977.6247677498</v>
      </c>
      <c r="F27" s="248">
        <f>'Nat Gas Deferral'!G$53</f>
        <v>-58130.857755339239</v>
      </c>
      <c r="G27" s="248">
        <f>'Nat Gas Deferral'!H$53</f>
        <v>-165709.22812764533</v>
      </c>
      <c r="H27" s="248">
        <f>'Nat Gas Deferral'!I$53</f>
        <v>105269.63766380807</v>
      </c>
      <c r="I27" s="248">
        <f>'Nat Gas Deferral'!J$53</f>
        <v>210210.97848785535</v>
      </c>
      <c r="J27" s="248">
        <f>'Nat Gas Deferral'!K$53</f>
        <v>217474.09059265768</v>
      </c>
      <c r="K27" s="248">
        <f>'Nat Gas Deferral'!L$53</f>
        <v>314025.04407658562</v>
      </c>
      <c r="L27" s="248">
        <f>'Nat Gas Deferral'!M$53</f>
        <v>744289.53105915303</v>
      </c>
      <c r="M27" s="248">
        <f>'Nat Gas Deferral'!N$53</f>
        <v>1054523.8998033588</v>
      </c>
      <c r="N27" s="248">
        <f>'Nat Gas Deferral'!O$53</f>
        <v>-262859.26479248982</v>
      </c>
      <c r="O27" s="235">
        <f>SUM(C27:N27)</f>
        <v>1366877.4886293325</v>
      </c>
      <c r="T27" s="261">
        <f>MIN(T21:T24)</f>
        <v>6213</v>
      </c>
      <c r="U27" s="261">
        <f>MIN(U21:U24)</f>
        <v>533</v>
      </c>
      <c r="V27" s="261">
        <f>MIN(V21:V24)</f>
        <v>-8175340</v>
      </c>
      <c r="W27" s="261">
        <f>MIN(W21:W24)</f>
        <v>-2792897</v>
      </c>
    </row>
    <row r="29" spans="1:23">
      <c r="B29" s="221" t="s">
        <v>262</v>
      </c>
    </row>
    <row r="30" spans="1:23">
      <c r="A30" s="222">
        <v>15</v>
      </c>
      <c r="B30" s="53" t="s">
        <v>263</v>
      </c>
      <c r="C30" s="293">
        <f>'Electric Weather Component'!C30</f>
        <v>1091</v>
      </c>
      <c r="D30" s="293">
        <f>'Electric Weather Component'!D30</f>
        <v>923</v>
      </c>
      <c r="E30" s="293">
        <f>'Electric Weather Component'!E30</f>
        <v>762</v>
      </c>
      <c r="F30" s="293">
        <f>'Electric Weather Component'!F30</f>
        <v>540</v>
      </c>
      <c r="G30" s="293">
        <f>'Electric Weather Component'!G30</f>
        <v>283</v>
      </c>
      <c r="H30" s="293">
        <f>'Electric Weather Component'!H30</f>
        <v>122</v>
      </c>
      <c r="I30" s="293">
        <f>'Electric Weather Component'!I30</f>
        <v>14</v>
      </c>
      <c r="J30" s="293">
        <f>'Electric Weather Component'!J30</f>
        <v>19</v>
      </c>
      <c r="K30" s="293">
        <f>'Electric Weather Component'!K30</f>
        <v>155</v>
      </c>
      <c r="L30" s="293">
        <f>'Electric Weather Component'!L30</f>
        <v>522</v>
      </c>
      <c r="M30" s="293">
        <f>'Electric Weather Component'!M30</f>
        <v>855</v>
      </c>
      <c r="N30" s="293">
        <f>'Electric Weather Component'!N30</f>
        <v>1115</v>
      </c>
      <c r="O30" s="230">
        <f>SUM(C30:N30)</f>
        <v>6401</v>
      </c>
    </row>
    <row r="31" spans="1:23">
      <c r="A31" s="222">
        <v>16</v>
      </c>
      <c r="B31" s="53" t="s">
        <v>264</v>
      </c>
      <c r="C31" s="293">
        <f>'Electric Weather Component'!C31</f>
        <v>0</v>
      </c>
      <c r="D31" s="293">
        <f>'Electric Weather Component'!D31</f>
        <v>0</v>
      </c>
      <c r="E31" s="293">
        <f>'Electric Weather Component'!E31</f>
        <v>0</v>
      </c>
      <c r="F31" s="293">
        <f>'Electric Weather Component'!F31</f>
        <v>0</v>
      </c>
      <c r="G31" s="293">
        <f>'Electric Weather Component'!G31</f>
        <v>16</v>
      </c>
      <c r="H31" s="293">
        <f>'Electric Weather Component'!H31</f>
        <v>71</v>
      </c>
      <c r="I31" s="293">
        <f>'Electric Weather Component'!I31</f>
        <v>249</v>
      </c>
      <c r="J31" s="293">
        <f>'Electric Weather Component'!J31</f>
        <v>214</v>
      </c>
      <c r="K31" s="293">
        <f>'Electric Weather Component'!K31</f>
        <v>47</v>
      </c>
      <c r="L31" s="293">
        <f>'Electric Weather Component'!L31</f>
        <v>1</v>
      </c>
      <c r="M31" s="293">
        <f>'Electric Weather Component'!M31</f>
        <v>0</v>
      </c>
      <c r="N31" s="293">
        <f>'Electric Weather Component'!N31</f>
        <v>0</v>
      </c>
      <c r="O31" s="230">
        <f>SUM(C31:N31)</f>
        <v>598</v>
      </c>
    </row>
    <row r="33" spans="1:15">
      <c r="A33" s="222">
        <v>17</v>
      </c>
      <c r="B33" s="53" t="s">
        <v>251</v>
      </c>
      <c r="C33" s="230">
        <f>C30-C8</f>
        <v>-7</v>
      </c>
      <c r="D33" s="230">
        <f t="shared" ref="D33:N34" si="6">D30-D8</f>
        <v>-7</v>
      </c>
      <c r="E33" s="230">
        <f t="shared" si="6"/>
        <v>74</v>
      </c>
      <c r="F33" s="230">
        <f t="shared" si="6"/>
        <v>-139</v>
      </c>
      <c r="G33" s="230">
        <f t="shared" si="6"/>
        <v>-138</v>
      </c>
      <c r="H33" s="230">
        <f t="shared" si="6"/>
        <v>-1</v>
      </c>
      <c r="I33" s="230">
        <f t="shared" si="6"/>
        <v>9</v>
      </c>
      <c r="J33" s="230">
        <f t="shared" si="6"/>
        <v>16</v>
      </c>
      <c r="K33" s="230">
        <f t="shared" si="6"/>
        <v>96</v>
      </c>
      <c r="L33" s="230">
        <f t="shared" si="6"/>
        <v>220</v>
      </c>
      <c r="M33" s="230">
        <f t="shared" si="6"/>
        <v>-235</v>
      </c>
      <c r="N33" s="230">
        <f t="shared" si="6"/>
        <v>-164</v>
      </c>
      <c r="O33" s="230">
        <f t="shared" ref="O33:O34" si="7">SUM(C33:N33)</f>
        <v>-276</v>
      </c>
    </row>
    <row r="34" spans="1:15">
      <c r="A34" s="222">
        <v>18</v>
      </c>
      <c r="B34" s="53" t="s">
        <v>252</v>
      </c>
      <c r="C34" s="230">
        <f>C31-C9</f>
        <v>0</v>
      </c>
      <c r="D34" s="230">
        <f t="shared" si="6"/>
        <v>0</v>
      </c>
      <c r="E34" s="230">
        <f t="shared" si="6"/>
        <v>0</v>
      </c>
      <c r="F34" s="230">
        <f t="shared" si="6"/>
        <v>0</v>
      </c>
      <c r="G34" s="230">
        <f t="shared" si="6"/>
        <v>16</v>
      </c>
      <c r="H34" s="230">
        <f t="shared" si="6"/>
        <v>34</v>
      </c>
      <c r="I34" s="230">
        <f t="shared" si="6"/>
        <v>-45</v>
      </c>
      <c r="J34" s="230">
        <f t="shared" si="6"/>
        <v>-139</v>
      </c>
      <c r="K34" s="230">
        <f t="shared" si="6"/>
        <v>-33</v>
      </c>
      <c r="L34" s="230">
        <f t="shared" si="6"/>
        <v>0</v>
      </c>
      <c r="M34" s="230">
        <f t="shared" si="6"/>
        <v>0</v>
      </c>
      <c r="N34" s="230">
        <f t="shared" si="6"/>
        <v>0</v>
      </c>
      <c r="O34" s="230">
        <f t="shared" si="7"/>
        <v>-167</v>
      </c>
    </row>
    <row r="36" spans="1:15">
      <c r="A36" s="222">
        <v>19</v>
      </c>
      <c r="B36" s="53" t="s">
        <v>265</v>
      </c>
      <c r="C36" s="293">
        <v>-137177</v>
      </c>
      <c r="D36" s="293">
        <v>-137177</v>
      </c>
      <c r="E36" s="293">
        <v>1450158</v>
      </c>
      <c r="F36" s="293">
        <v>-2459892</v>
      </c>
      <c r="G36" s="293">
        <v>-2427513</v>
      </c>
      <c r="H36" s="293">
        <v>-17868</v>
      </c>
      <c r="I36" s="293">
        <v>185820</v>
      </c>
      <c r="J36" s="293">
        <v>332050</v>
      </c>
      <c r="K36" s="293">
        <v>1988420</v>
      </c>
      <c r="L36" s="293">
        <v>3921603</v>
      </c>
      <c r="M36" s="293">
        <v>-4175591</v>
      </c>
      <c r="N36" s="293">
        <v>-3240964</v>
      </c>
      <c r="O36" s="230">
        <f t="shared" ref="O36:O37" si="8">SUM(C36:N36)</f>
        <v>-4718131</v>
      </c>
    </row>
    <row r="37" spans="1:15">
      <c r="A37" s="222">
        <v>20</v>
      </c>
      <c r="B37" s="53" t="s">
        <v>266</v>
      </c>
      <c r="C37" s="293">
        <v>-47580</v>
      </c>
      <c r="D37" s="293">
        <v>-47580</v>
      </c>
      <c r="E37" s="293">
        <v>502992</v>
      </c>
      <c r="F37" s="293">
        <v>-837907</v>
      </c>
      <c r="G37" s="293">
        <v>-831268</v>
      </c>
      <c r="H37" s="293">
        <v>-6173</v>
      </c>
      <c r="I37" s="293">
        <v>71496</v>
      </c>
      <c r="J37" s="293">
        <v>128739</v>
      </c>
      <c r="K37" s="293">
        <v>770379</v>
      </c>
      <c r="L37" s="293">
        <v>1347138</v>
      </c>
      <c r="M37" s="293">
        <v>-1449982</v>
      </c>
      <c r="N37" s="293">
        <v>-1174889</v>
      </c>
      <c r="O37" s="230">
        <f t="shared" si="8"/>
        <v>-1574635</v>
      </c>
    </row>
    <row r="38" spans="1:15">
      <c r="C38" s="22"/>
      <c r="D38" s="22"/>
      <c r="E38" s="22"/>
      <c r="F38" s="22"/>
      <c r="G38" s="22"/>
      <c r="H38" s="22"/>
      <c r="I38" s="22"/>
      <c r="J38" s="22"/>
      <c r="K38" s="22"/>
      <c r="L38" s="22"/>
      <c r="M38" s="22"/>
      <c r="N38" s="22"/>
    </row>
    <row r="39" spans="1:15">
      <c r="B39" s="221" t="s">
        <v>255</v>
      </c>
      <c r="C39" s="34"/>
      <c r="D39" s="22"/>
      <c r="E39" s="22"/>
      <c r="F39" s="22"/>
      <c r="G39" s="22"/>
      <c r="H39" s="22"/>
      <c r="I39" s="22"/>
      <c r="J39" s="22"/>
      <c r="K39" s="22"/>
      <c r="L39" s="22"/>
      <c r="M39" s="22"/>
      <c r="N39" s="22"/>
      <c r="O39" s="22"/>
    </row>
    <row r="40" spans="1:15">
      <c r="A40" s="222">
        <v>21</v>
      </c>
      <c r="B40" s="53" t="s">
        <v>256</v>
      </c>
      <c r="C40" s="294">
        <v>-70700</v>
      </c>
      <c r="D40" s="294">
        <v>-70700</v>
      </c>
      <c r="E40" s="294">
        <v>747397</v>
      </c>
      <c r="F40" s="294">
        <v>-1267804</v>
      </c>
      <c r="G40" s="294">
        <v>-1251116</v>
      </c>
      <c r="H40" s="294">
        <v>-9209</v>
      </c>
      <c r="I40" s="294">
        <v>95770</v>
      </c>
      <c r="J40" s="294">
        <v>171135</v>
      </c>
      <c r="K40" s="294">
        <v>1024812</v>
      </c>
      <c r="L40" s="294">
        <v>2021155</v>
      </c>
      <c r="M40" s="294">
        <v>-2152058</v>
      </c>
      <c r="N40" s="294">
        <v>-1811407</v>
      </c>
      <c r="O40" s="257">
        <f>SUM(C40:N40)</f>
        <v>-2572725</v>
      </c>
    </row>
    <row r="41" spans="1:15">
      <c r="A41" s="222">
        <v>22</v>
      </c>
      <c r="B41" s="53" t="s">
        <v>257</v>
      </c>
      <c r="C41" s="257">
        <f>C42-C40</f>
        <v>-2823349.8757738974</v>
      </c>
      <c r="D41" s="257">
        <f t="shared" ref="D41:E41" si="9">D42-D40</f>
        <v>-900230.57595048659</v>
      </c>
      <c r="E41" s="257">
        <f t="shared" si="9"/>
        <v>90407.652452438138</v>
      </c>
      <c r="F41" s="257">
        <f>F42-F40</f>
        <v>319093.98916043621</v>
      </c>
      <c r="G41" s="257">
        <f t="shared" ref="G41:N41" si="10">G42-G40</f>
        <v>994846.29715363728</v>
      </c>
      <c r="H41" s="257">
        <f t="shared" si="10"/>
        <v>327046.77730860189</v>
      </c>
      <c r="I41" s="257">
        <f t="shared" si="10"/>
        <v>262093.90379398479</v>
      </c>
      <c r="J41" s="257">
        <f t="shared" si="10"/>
        <v>426476.79758527805</v>
      </c>
      <c r="K41" s="257">
        <f t="shared" si="10"/>
        <v>-878243.17875510035</v>
      </c>
      <c r="L41" s="257">
        <f t="shared" si="10"/>
        <v>907231.7830787627</v>
      </c>
      <c r="M41" s="257">
        <f t="shared" si="10"/>
        <v>2940436.5638888665</v>
      </c>
      <c r="N41" s="257">
        <f t="shared" si="10"/>
        <v>-121982.44191427343</v>
      </c>
      <c r="O41" s="257">
        <f>SUM(C41:N41)</f>
        <v>1543827.6920282478</v>
      </c>
    </row>
    <row r="42" spans="1:15">
      <c r="A42" s="222">
        <v>23</v>
      </c>
      <c r="B42" s="53" t="s">
        <v>258</v>
      </c>
      <c r="C42" s="258">
        <f>C$23</f>
        <v>-2894049.8757738974</v>
      </c>
      <c r="D42" s="258">
        <f t="shared" ref="D42:N42" si="11">D$23</f>
        <v>-970930.57595048659</v>
      </c>
      <c r="E42" s="258">
        <f t="shared" si="11"/>
        <v>837804.65245243814</v>
      </c>
      <c r="F42" s="258">
        <f t="shared" si="11"/>
        <v>-948710.01083956379</v>
      </c>
      <c r="G42" s="258">
        <f t="shared" si="11"/>
        <v>-256269.70284636272</v>
      </c>
      <c r="H42" s="258">
        <f t="shared" si="11"/>
        <v>317837.77730860189</v>
      </c>
      <c r="I42" s="258">
        <f t="shared" si="11"/>
        <v>357863.90379398479</v>
      </c>
      <c r="J42" s="258">
        <f t="shared" si="11"/>
        <v>597611.79758527805</v>
      </c>
      <c r="K42" s="258">
        <f t="shared" si="11"/>
        <v>146568.82124489965</v>
      </c>
      <c r="L42" s="258">
        <f t="shared" si="11"/>
        <v>2928386.7830787627</v>
      </c>
      <c r="M42" s="258">
        <f t="shared" si="11"/>
        <v>788378.56388886645</v>
      </c>
      <c r="N42" s="258">
        <f t="shared" si="11"/>
        <v>-1933389.4419142734</v>
      </c>
      <c r="O42" s="257">
        <f>SUM(C42:N42)</f>
        <v>-1028897.3079717527</v>
      </c>
    </row>
    <row r="43" spans="1:15">
      <c r="C43" s="22"/>
      <c r="D43" s="22"/>
      <c r="E43" s="22"/>
      <c r="F43" s="22"/>
      <c r="G43" s="22"/>
      <c r="H43" s="22"/>
      <c r="I43" s="22"/>
      <c r="J43" s="22"/>
      <c r="K43" s="22"/>
      <c r="L43" s="22"/>
      <c r="M43" s="22"/>
      <c r="N43" s="22"/>
      <c r="O43" s="22"/>
    </row>
    <row r="44" spans="1:15">
      <c r="A44" s="222">
        <v>24</v>
      </c>
      <c r="B44" s="53" t="s">
        <v>259</v>
      </c>
      <c r="C44" s="294">
        <v>-13058</v>
      </c>
      <c r="D44" s="294">
        <v>-13058</v>
      </c>
      <c r="E44" s="294">
        <v>138041</v>
      </c>
      <c r="F44" s="294">
        <v>-229955</v>
      </c>
      <c r="G44" s="294">
        <v>-228133</v>
      </c>
      <c r="H44" s="294">
        <v>-1694</v>
      </c>
      <c r="I44" s="294">
        <v>19621</v>
      </c>
      <c r="J44" s="294">
        <v>35331</v>
      </c>
      <c r="K44" s="294">
        <v>211423</v>
      </c>
      <c r="L44" s="294">
        <v>369709</v>
      </c>
      <c r="M44" s="294">
        <v>-397933</v>
      </c>
      <c r="N44" s="294">
        <v>-342680</v>
      </c>
      <c r="O44" s="235">
        <f>SUM(C44:N44)</f>
        <v>-452386</v>
      </c>
    </row>
    <row r="45" spans="1:15">
      <c r="A45" s="222">
        <v>25</v>
      </c>
      <c r="B45" s="53" t="s">
        <v>260</v>
      </c>
      <c r="C45" s="235">
        <f>C46-C44</f>
        <v>-317433.57460752409</v>
      </c>
      <c r="D45" s="235">
        <f t="shared" ref="D45:N45" si="12">D46-D44</f>
        <v>-279689.14300333778</v>
      </c>
      <c r="E45" s="235">
        <f t="shared" si="12"/>
        <v>-307018.6247677498</v>
      </c>
      <c r="F45" s="235">
        <f t="shared" si="12"/>
        <v>171824.14224466076</v>
      </c>
      <c r="G45" s="235">
        <f t="shared" si="12"/>
        <v>62423.771872354671</v>
      </c>
      <c r="H45" s="235">
        <f t="shared" si="12"/>
        <v>106963.63766380807</v>
      </c>
      <c r="I45" s="235">
        <f t="shared" si="12"/>
        <v>190589.97848785535</v>
      </c>
      <c r="J45" s="235">
        <f t="shared" si="12"/>
        <v>182143.09059265768</v>
      </c>
      <c r="K45" s="235">
        <f t="shared" si="12"/>
        <v>102602.04407658562</v>
      </c>
      <c r="L45" s="235">
        <f t="shared" si="12"/>
        <v>374580.53105915303</v>
      </c>
      <c r="M45" s="235">
        <f t="shared" si="12"/>
        <v>1452456.8998033588</v>
      </c>
      <c r="N45" s="235">
        <f t="shared" si="12"/>
        <v>79820.735207510181</v>
      </c>
      <c r="O45" s="235">
        <f>SUM(C45:N45)</f>
        <v>1819263.4886293325</v>
      </c>
    </row>
    <row r="46" spans="1:15">
      <c r="A46" s="222">
        <v>26</v>
      </c>
      <c r="B46" s="53" t="s">
        <v>261</v>
      </c>
      <c r="C46" s="248">
        <f>C$27</f>
        <v>-330491.57460752409</v>
      </c>
      <c r="D46" s="248">
        <f t="shared" ref="D46:N46" si="13">D$27</f>
        <v>-292747.14300333778</v>
      </c>
      <c r="E46" s="248">
        <f t="shared" si="13"/>
        <v>-168977.6247677498</v>
      </c>
      <c r="F46" s="248">
        <f t="shared" si="13"/>
        <v>-58130.857755339239</v>
      </c>
      <c r="G46" s="248">
        <f t="shared" si="13"/>
        <v>-165709.22812764533</v>
      </c>
      <c r="H46" s="248">
        <f t="shared" si="13"/>
        <v>105269.63766380807</v>
      </c>
      <c r="I46" s="248">
        <f t="shared" si="13"/>
        <v>210210.97848785535</v>
      </c>
      <c r="J46" s="248">
        <f t="shared" si="13"/>
        <v>217474.09059265768</v>
      </c>
      <c r="K46" s="248">
        <f t="shared" si="13"/>
        <v>314025.04407658562</v>
      </c>
      <c r="L46" s="248">
        <f t="shared" si="13"/>
        <v>744289.53105915303</v>
      </c>
      <c r="M46" s="248">
        <f t="shared" si="13"/>
        <v>1054523.8998033588</v>
      </c>
      <c r="N46" s="248">
        <f t="shared" si="13"/>
        <v>-262859.26479248982</v>
      </c>
      <c r="O46" s="235">
        <f>SUM(C46:N46)</f>
        <v>1366877.4886293325</v>
      </c>
    </row>
    <row r="48" spans="1:15">
      <c r="B48" s="221" t="s">
        <v>267</v>
      </c>
    </row>
    <row r="49" spans="1:15">
      <c r="A49" s="222">
        <v>27</v>
      </c>
      <c r="B49" s="53" t="s">
        <v>268</v>
      </c>
      <c r="C49" s="293">
        <f>'Electric Weather Component'!C49</f>
        <v>1092</v>
      </c>
      <c r="D49" s="293">
        <f>'Electric Weather Component'!D49</f>
        <v>932</v>
      </c>
      <c r="E49" s="293">
        <f>'Electric Weather Component'!E49</f>
        <v>775</v>
      </c>
      <c r="F49" s="293">
        <f>'Electric Weather Component'!F49</f>
        <v>545</v>
      </c>
      <c r="G49" s="293">
        <f>'Electric Weather Component'!G49</f>
        <v>277</v>
      </c>
      <c r="H49" s="293">
        <f>'Electric Weather Component'!H49</f>
        <v>120</v>
      </c>
      <c r="I49" s="293">
        <f>'Electric Weather Component'!I49</f>
        <v>14</v>
      </c>
      <c r="J49" s="293">
        <f>'Electric Weather Component'!J49</f>
        <v>18</v>
      </c>
      <c r="K49" s="293">
        <f>'Electric Weather Component'!K49</f>
        <v>142</v>
      </c>
      <c r="L49" s="293">
        <f>'Electric Weather Component'!L49</f>
        <v>521</v>
      </c>
      <c r="M49" s="293">
        <f>'Electric Weather Component'!M49</f>
        <v>837</v>
      </c>
      <c r="N49" s="293">
        <f>'Electric Weather Component'!N49</f>
        <v>1123</v>
      </c>
      <c r="O49" s="260">
        <f>SUM(C49:N49)</f>
        <v>6396</v>
      </c>
    </row>
    <row r="50" spans="1:15">
      <c r="A50" s="222">
        <v>28</v>
      </c>
      <c r="B50" s="53" t="s">
        <v>269</v>
      </c>
      <c r="C50" s="293">
        <f>'Electric Weather Component'!C50</f>
        <v>0</v>
      </c>
      <c r="D50" s="293">
        <f>'Electric Weather Component'!D50</f>
        <v>0</v>
      </c>
      <c r="E50" s="293">
        <f>'Electric Weather Component'!E50</f>
        <v>0</v>
      </c>
      <c r="F50" s="293">
        <f>'Electric Weather Component'!F50</f>
        <v>1</v>
      </c>
      <c r="G50" s="293">
        <f>'Electric Weather Component'!G50</f>
        <v>17</v>
      </c>
      <c r="H50" s="293">
        <f>'Electric Weather Component'!H50</f>
        <v>75</v>
      </c>
      <c r="I50" s="293">
        <f>'Electric Weather Component'!I50</f>
        <v>245</v>
      </c>
      <c r="J50" s="293">
        <f>'Electric Weather Component'!J50</f>
        <v>227</v>
      </c>
      <c r="K50" s="293">
        <f>'Electric Weather Component'!K50</f>
        <v>51</v>
      </c>
      <c r="L50" s="293">
        <f>'Electric Weather Component'!L50</f>
        <v>1</v>
      </c>
      <c r="M50" s="293">
        <f>'Electric Weather Component'!M50</f>
        <v>0</v>
      </c>
      <c r="N50" s="293">
        <f>'Electric Weather Component'!N50</f>
        <v>0</v>
      </c>
      <c r="O50" s="260">
        <f>SUM(C50:N50)</f>
        <v>617</v>
      </c>
    </row>
    <row r="52" spans="1:15">
      <c r="A52" s="222">
        <v>29</v>
      </c>
      <c r="B52" s="53" t="s">
        <v>251</v>
      </c>
      <c r="C52" s="230">
        <f>C49-C8</f>
        <v>-6</v>
      </c>
      <c r="D52" s="230">
        <f t="shared" ref="D52:N53" si="14">D49-D8</f>
        <v>2</v>
      </c>
      <c r="E52" s="230">
        <f t="shared" si="14"/>
        <v>87</v>
      </c>
      <c r="F52" s="230">
        <f t="shared" si="14"/>
        <v>-134</v>
      </c>
      <c r="G52" s="230">
        <f t="shared" si="14"/>
        <v>-144</v>
      </c>
      <c r="H52" s="230">
        <f t="shared" si="14"/>
        <v>-3</v>
      </c>
      <c r="I52" s="230">
        <f t="shared" si="14"/>
        <v>9</v>
      </c>
      <c r="J52" s="230">
        <f t="shared" si="14"/>
        <v>15</v>
      </c>
      <c r="K52" s="230">
        <f t="shared" si="14"/>
        <v>83</v>
      </c>
      <c r="L52" s="230">
        <f t="shared" si="14"/>
        <v>219</v>
      </c>
      <c r="M52" s="230">
        <f t="shared" si="14"/>
        <v>-253</v>
      </c>
      <c r="N52" s="230">
        <f t="shared" si="14"/>
        <v>-156</v>
      </c>
      <c r="O52" s="230">
        <f t="shared" ref="O52:O53" si="15">SUM(C52:N52)</f>
        <v>-281</v>
      </c>
    </row>
    <row r="53" spans="1:15">
      <c r="A53" s="222">
        <v>30</v>
      </c>
      <c r="B53" s="53" t="s">
        <v>252</v>
      </c>
      <c r="C53" s="230">
        <f>C50-C9</f>
        <v>0</v>
      </c>
      <c r="D53" s="230">
        <f t="shared" si="14"/>
        <v>0</v>
      </c>
      <c r="E53" s="230">
        <f t="shared" si="14"/>
        <v>0</v>
      </c>
      <c r="F53" s="230">
        <f t="shared" si="14"/>
        <v>1</v>
      </c>
      <c r="G53" s="230">
        <f t="shared" si="14"/>
        <v>17</v>
      </c>
      <c r="H53" s="230">
        <f t="shared" si="14"/>
        <v>38</v>
      </c>
      <c r="I53" s="230">
        <f t="shared" si="14"/>
        <v>-49</v>
      </c>
      <c r="J53" s="230">
        <f t="shared" si="14"/>
        <v>-126</v>
      </c>
      <c r="K53" s="230">
        <f t="shared" si="14"/>
        <v>-29</v>
      </c>
      <c r="L53" s="230">
        <f t="shared" si="14"/>
        <v>0</v>
      </c>
      <c r="M53" s="230">
        <f t="shared" si="14"/>
        <v>0</v>
      </c>
      <c r="N53" s="230">
        <f t="shared" si="14"/>
        <v>0</v>
      </c>
      <c r="O53" s="230">
        <f t="shared" si="15"/>
        <v>-148</v>
      </c>
    </row>
    <row r="54" spans="1:15">
      <c r="C54" s="22"/>
      <c r="D54" s="22"/>
      <c r="E54" s="22"/>
      <c r="F54" s="22"/>
      <c r="G54" s="22"/>
      <c r="H54" s="22"/>
      <c r="I54" s="22"/>
      <c r="J54" s="22"/>
      <c r="K54" s="22"/>
      <c r="L54" s="22"/>
      <c r="M54" s="22"/>
      <c r="N54" s="22"/>
      <c r="O54" s="22"/>
    </row>
    <row r="55" spans="1:15">
      <c r="A55" s="222">
        <v>31</v>
      </c>
      <c r="B55" s="53" t="s">
        <v>270</v>
      </c>
      <c r="C55" s="293">
        <v>-117580</v>
      </c>
      <c r="D55" s="293">
        <v>39193</v>
      </c>
      <c r="E55" s="293">
        <v>1704915</v>
      </c>
      <c r="F55" s="293">
        <v>-2371406</v>
      </c>
      <c r="G55" s="293">
        <v>-2533057</v>
      </c>
      <c r="H55" s="293">
        <v>-53603</v>
      </c>
      <c r="I55" s="293">
        <v>185820</v>
      </c>
      <c r="J55" s="293">
        <v>311297</v>
      </c>
      <c r="K55" s="293">
        <v>1719155</v>
      </c>
      <c r="L55" s="293">
        <v>3903778</v>
      </c>
      <c r="M55" s="293">
        <v>-4495423</v>
      </c>
      <c r="N55" s="293">
        <v>-3082868</v>
      </c>
      <c r="O55" s="260">
        <f t="shared" ref="O55:O56" si="16">SUM(C55:N55)</f>
        <v>-4789779</v>
      </c>
    </row>
    <row r="56" spans="1:15">
      <c r="A56" s="222">
        <v>32</v>
      </c>
      <c r="B56" s="53" t="s">
        <v>271</v>
      </c>
      <c r="C56" s="293">
        <v>-40783</v>
      </c>
      <c r="D56" s="293">
        <v>13594</v>
      </c>
      <c r="E56" s="293">
        <v>591355</v>
      </c>
      <c r="F56" s="293">
        <v>-807768</v>
      </c>
      <c r="G56" s="293">
        <v>-867410</v>
      </c>
      <c r="H56" s="293">
        <v>-18519</v>
      </c>
      <c r="I56" s="293">
        <v>71496</v>
      </c>
      <c r="J56" s="293">
        <v>120692</v>
      </c>
      <c r="K56" s="293">
        <v>666057</v>
      </c>
      <c r="L56" s="293">
        <v>1341015</v>
      </c>
      <c r="M56" s="293">
        <v>-1561045</v>
      </c>
      <c r="N56" s="293">
        <v>-1117578</v>
      </c>
      <c r="O56" s="260">
        <f t="shared" si="16"/>
        <v>-1608894</v>
      </c>
    </row>
    <row r="57" spans="1:15">
      <c r="C57" s="22"/>
      <c r="D57" s="22"/>
      <c r="E57" s="22"/>
      <c r="F57" s="22"/>
      <c r="G57" s="22"/>
      <c r="H57" s="22"/>
      <c r="I57" s="22"/>
      <c r="J57" s="22"/>
      <c r="K57" s="22"/>
      <c r="L57" s="22"/>
      <c r="M57" s="22"/>
      <c r="N57" s="22"/>
      <c r="O57" s="22"/>
    </row>
    <row r="58" spans="1:15">
      <c r="B58" s="221" t="s">
        <v>255</v>
      </c>
      <c r="C58" s="34"/>
      <c r="D58" s="22"/>
      <c r="E58" s="22"/>
      <c r="F58" s="22"/>
      <c r="G58" s="22"/>
      <c r="H58" s="22"/>
      <c r="I58" s="22"/>
      <c r="J58" s="22"/>
      <c r="K58" s="22"/>
      <c r="L58" s="22"/>
      <c r="M58" s="22"/>
      <c r="N58" s="22"/>
      <c r="O58" s="22"/>
    </row>
    <row r="59" spans="1:15">
      <c r="A59" s="222">
        <v>33</v>
      </c>
      <c r="B59" s="53" t="s">
        <v>256</v>
      </c>
      <c r="C59" s="294">
        <v>-60600</v>
      </c>
      <c r="D59" s="294">
        <v>20200</v>
      </c>
      <c r="E59" s="294">
        <v>878696</v>
      </c>
      <c r="F59" s="294">
        <v>-1222199</v>
      </c>
      <c r="G59" s="294">
        <v>-1305512</v>
      </c>
      <c r="H59" s="294">
        <v>-27626</v>
      </c>
      <c r="I59" s="294">
        <v>95770</v>
      </c>
      <c r="J59" s="294">
        <v>160439</v>
      </c>
      <c r="K59" s="294">
        <v>886035</v>
      </c>
      <c r="L59" s="294">
        <v>2011968</v>
      </c>
      <c r="M59" s="294">
        <v>-2316896</v>
      </c>
      <c r="N59" s="294">
        <v>-1723046</v>
      </c>
      <c r="O59" s="257">
        <f>SUM(C59:N59)</f>
        <v>-2602771</v>
      </c>
    </row>
    <row r="60" spans="1:15">
      <c r="A60" s="222">
        <v>34</v>
      </c>
      <c r="B60" s="53" t="s">
        <v>257</v>
      </c>
      <c r="C60" s="257">
        <f>C61-C59</f>
        <v>-2833449.8757738974</v>
      </c>
      <c r="D60" s="257">
        <f t="shared" ref="D60:E60" si="17">D61-D59</f>
        <v>-991130.57595048659</v>
      </c>
      <c r="E60" s="257">
        <f t="shared" si="17"/>
        <v>-40891.347547561862</v>
      </c>
      <c r="F60" s="257">
        <f>F61-F59</f>
        <v>273488.98916043621</v>
      </c>
      <c r="G60" s="257">
        <f t="shared" ref="G60:N60" si="18">G61-G59</f>
        <v>1049242.2971536373</v>
      </c>
      <c r="H60" s="257">
        <f t="shared" si="18"/>
        <v>345463.77730860189</v>
      </c>
      <c r="I60" s="257">
        <f t="shared" si="18"/>
        <v>262093.90379398479</v>
      </c>
      <c r="J60" s="257">
        <f t="shared" si="18"/>
        <v>437172.79758527805</v>
      </c>
      <c r="K60" s="257">
        <f t="shared" si="18"/>
        <v>-739466.17875510035</v>
      </c>
      <c r="L60" s="257">
        <f t="shared" si="18"/>
        <v>916418.7830787627</v>
      </c>
      <c r="M60" s="257">
        <f t="shared" si="18"/>
        <v>3105274.5638888665</v>
      </c>
      <c r="N60" s="257">
        <f t="shared" si="18"/>
        <v>-210343.44191427343</v>
      </c>
      <c r="O60" s="257">
        <f>SUM(C60:N60)</f>
        <v>1573873.6920282478</v>
      </c>
    </row>
    <row r="61" spans="1:15">
      <c r="A61" s="222">
        <v>35</v>
      </c>
      <c r="B61" s="53" t="s">
        <v>258</v>
      </c>
      <c r="C61" s="258">
        <f t="shared" ref="C61:N61" si="19">C$23</f>
        <v>-2894049.8757738974</v>
      </c>
      <c r="D61" s="258">
        <f t="shared" si="19"/>
        <v>-970930.57595048659</v>
      </c>
      <c r="E61" s="258">
        <f t="shared" si="19"/>
        <v>837804.65245243814</v>
      </c>
      <c r="F61" s="258">
        <f t="shared" si="19"/>
        <v>-948710.01083956379</v>
      </c>
      <c r="G61" s="258">
        <f t="shared" si="19"/>
        <v>-256269.70284636272</v>
      </c>
      <c r="H61" s="258">
        <f t="shared" si="19"/>
        <v>317837.77730860189</v>
      </c>
      <c r="I61" s="258">
        <f t="shared" si="19"/>
        <v>357863.90379398479</v>
      </c>
      <c r="J61" s="258">
        <f t="shared" si="19"/>
        <v>597611.79758527805</v>
      </c>
      <c r="K61" s="258">
        <f t="shared" si="19"/>
        <v>146568.82124489965</v>
      </c>
      <c r="L61" s="258">
        <f t="shared" si="19"/>
        <v>2928386.7830787627</v>
      </c>
      <c r="M61" s="258">
        <f t="shared" si="19"/>
        <v>788378.56388886645</v>
      </c>
      <c r="N61" s="258">
        <f t="shared" si="19"/>
        <v>-1933389.4419142734</v>
      </c>
      <c r="O61" s="257">
        <f>SUM(C61:N61)</f>
        <v>-1028897.3079717527</v>
      </c>
    </row>
    <row r="62" spans="1:15">
      <c r="C62" s="22"/>
      <c r="D62" s="22"/>
      <c r="E62" s="22"/>
      <c r="F62" s="22"/>
      <c r="G62" s="22"/>
      <c r="H62" s="22"/>
      <c r="I62" s="22"/>
      <c r="J62" s="22"/>
      <c r="K62" s="22"/>
      <c r="L62" s="22"/>
      <c r="M62" s="22"/>
      <c r="N62" s="22"/>
      <c r="O62" s="22"/>
    </row>
    <row r="63" spans="1:15">
      <c r="A63" s="222">
        <v>36</v>
      </c>
      <c r="B63" s="53" t="s">
        <v>259</v>
      </c>
      <c r="C63" s="294">
        <v>-11192</v>
      </c>
      <c r="D63" s="294">
        <v>3731</v>
      </c>
      <c r="E63" s="294">
        <v>162291</v>
      </c>
      <c r="F63" s="294">
        <v>-221684</v>
      </c>
      <c r="G63" s="294">
        <v>-238052</v>
      </c>
      <c r="H63" s="294">
        <v>-5082</v>
      </c>
      <c r="I63" s="294">
        <v>19621</v>
      </c>
      <c r="J63" s="294">
        <v>33123</v>
      </c>
      <c r="K63" s="294">
        <v>182793</v>
      </c>
      <c r="L63" s="294">
        <v>368028</v>
      </c>
      <c r="M63" s="294">
        <v>-428413</v>
      </c>
      <c r="N63" s="294">
        <v>-325964</v>
      </c>
      <c r="O63" s="257">
        <f>SUM(C63:N63)</f>
        <v>-460800</v>
      </c>
    </row>
    <row r="64" spans="1:15">
      <c r="A64" s="222">
        <v>37</v>
      </c>
      <c r="B64" s="53" t="s">
        <v>260</v>
      </c>
      <c r="C64" s="257">
        <f>C65-C63</f>
        <v>-319299.57460752409</v>
      </c>
      <c r="D64" s="257">
        <f t="shared" ref="D64:N64" si="20">D65-D63</f>
        <v>-296478.14300333778</v>
      </c>
      <c r="E64" s="257">
        <f t="shared" si="20"/>
        <v>-331268.6247677498</v>
      </c>
      <c r="F64" s="257">
        <f t="shared" si="20"/>
        <v>163553.14224466076</v>
      </c>
      <c r="G64" s="257">
        <f t="shared" si="20"/>
        <v>72342.771872354671</v>
      </c>
      <c r="H64" s="257">
        <f t="shared" si="20"/>
        <v>110351.63766380807</v>
      </c>
      <c r="I64" s="257">
        <f t="shared" si="20"/>
        <v>190589.97848785535</v>
      </c>
      <c r="J64" s="257">
        <f t="shared" si="20"/>
        <v>184351.09059265768</v>
      </c>
      <c r="K64" s="257">
        <f t="shared" si="20"/>
        <v>131232.04407658562</v>
      </c>
      <c r="L64" s="257">
        <f t="shared" si="20"/>
        <v>376261.53105915303</v>
      </c>
      <c r="M64" s="257">
        <f t="shared" si="20"/>
        <v>1482936.8998033588</v>
      </c>
      <c r="N64" s="257">
        <f t="shared" si="20"/>
        <v>63104.735207510181</v>
      </c>
      <c r="O64" s="257">
        <f>SUM(C64:N64)</f>
        <v>1827677.4886293325</v>
      </c>
    </row>
    <row r="65" spans="1:15">
      <c r="A65" s="222">
        <v>38</v>
      </c>
      <c r="B65" s="53" t="s">
        <v>261</v>
      </c>
      <c r="C65" s="258">
        <f>C$27</f>
        <v>-330491.57460752409</v>
      </c>
      <c r="D65" s="258">
        <f t="shared" ref="D65:N65" si="21">D$27</f>
        <v>-292747.14300333778</v>
      </c>
      <c r="E65" s="258">
        <f t="shared" si="21"/>
        <v>-168977.6247677498</v>
      </c>
      <c r="F65" s="258">
        <f t="shared" si="21"/>
        <v>-58130.857755339239</v>
      </c>
      <c r="G65" s="258">
        <f t="shared" si="21"/>
        <v>-165709.22812764533</v>
      </c>
      <c r="H65" s="258">
        <f t="shared" si="21"/>
        <v>105269.63766380807</v>
      </c>
      <c r="I65" s="258">
        <f t="shared" si="21"/>
        <v>210210.97848785535</v>
      </c>
      <c r="J65" s="258">
        <f t="shared" si="21"/>
        <v>217474.09059265768</v>
      </c>
      <c r="K65" s="258">
        <f t="shared" si="21"/>
        <v>314025.04407658562</v>
      </c>
      <c r="L65" s="258">
        <f t="shared" si="21"/>
        <v>744289.53105915303</v>
      </c>
      <c r="M65" s="258">
        <f t="shared" si="21"/>
        <v>1054523.8998033588</v>
      </c>
      <c r="N65" s="258">
        <f t="shared" si="21"/>
        <v>-262859.26479248982</v>
      </c>
      <c r="O65" s="257">
        <f>SUM(C65:N65)</f>
        <v>1366877.4886293325</v>
      </c>
    </row>
    <row r="66" spans="1:15">
      <c r="C66" s="22"/>
      <c r="D66" s="22"/>
      <c r="E66" s="22"/>
      <c r="F66" s="22"/>
      <c r="G66" s="22"/>
      <c r="H66" s="22"/>
      <c r="I66" s="22"/>
      <c r="J66" s="22"/>
      <c r="K66" s="22"/>
      <c r="L66" s="22"/>
      <c r="M66" s="22"/>
      <c r="N66" s="22"/>
      <c r="O66" s="22"/>
    </row>
    <row r="67" spans="1:15">
      <c r="B67" s="221" t="s">
        <v>272</v>
      </c>
      <c r="C67" s="22"/>
      <c r="D67" s="22"/>
      <c r="E67" s="22"/>
      <c r="F67" s="22"/>
      <c r="G67" s="22"/>
      <c r="H67" s="22"/>
      <c r="I67" s="22"/>
      <c r="J67" s="22"/>
      <c r="K67" s="22"/>
      <c r="L67" s="22"/>
      <c r="M67" s="22"/>
      <c r="N67" s="22"/>
      <c r="O67" s="22"/>
    </row>
    <row r="68" spans="1:15">
      <c r="A68" s="222">
        <v>39</v>
      </c>
      <c r="B68" s="53" t="s">
        <v>273</v>
      </c>
      <c r="C68" s="293">
        <f>'Electric Weather Component'!C68</f>
        <v>1084</v>
      </c>
      <c r="D68" s="293">
        <f>'Electric Weather Component'!D68</f>
        <v>939</v>
      </c>
      <c r="E68" s="293">
        <f>'Electric Weather Component'!E68</f>
        <v>747</v>
      </c>
      <c r="F68" s="293">
        <f>'Electric Weather Component'!F68</f>
        <v>518</v>
      </c>
      <c r="G68" s="293">
        <f>'Electric Weather Component'!G68</f>
        <v>241</v>
      </c>
      <c r="H68" s="293">
        <f>'Electric Weather Component'!H68</f>
        <v>98</v>
      </c>
      <c r="I68" s="293">
        <f>'Electric Weather Component'!I68</f>
        <v>10</v>
      </c>
      <c r="J68" s="293">
        <f>'Electric Weather Component'!J68</f>
        <v>11</v>
      </c>
      <c r="K68" s="293">
        <f>'Electric Weather Component'!K68</f>
        <v>144</v>
      </c>
      <c r="L68" s="293">
        <f>'Electric Weather Component'!L68</f>
        <v>508</v>
      </c>
      <c r="M68" s="293">
        <f>'Electric Weather Component'!M68</f>
        <v>820</v>
      </c>
      <c r="N68" s="293">
        <f>'Electric Weather Component'!N68</f>
        <v>1093</v>
      </c>
      <c r="O68" s="260">
        <f>SUM(C68:N68)</f>
        <v>6213</v>
      </c>
    </row>
    <row r="69" spans="1:15">
      <c r="A69" s="222">
        <v>40</v>
      </c>
      <c r="B69" s="53" t="s">
        <v>274</v>
      </c>
      <c r="C69" s="293">
        <f>'Electric Weather Component'!C69</f>
        <v>0</v>
      </c>
      <c r="D69" s="293">
        <f>'Electric Weather Component'!D69</f>
        <v>0</v>
      </c>
      <c r="E69" s="293">
        <f>'Electric Weather Component'!E69</f>
        <v>0</v>
      </c>
      <c r="F69" s="293">
        <f>'Electric Weather Component'!F69</f>
        <v>1</v>
      </c>
      <c r="G69" s="293">
        <f>'Electric Weather Component'!G69</f>
        <v>18</v>
      </c>
      <c r="H69" s="293">
        <f>'Electric Weather Component'!H69</f>
        <v>96</v>
      </c>
      <c r="I69" s="293">
        <f>'Electric Weather Component'!I69</f>
        <v>271</v>
      </c>
      <c r="J69" s="293">
        <f>'Electric Weather Component'!J69</f>
        <v>244</v>
      </c>
      <c r="K69" s="293">
        <f>'Electric Weather Component'!K69</f>
        <v>51</v>
      </c>
      <c r="L69" s="293">
        <f>'Electric Weather Component'!L69</f>
        <v>1</v>
      </c>
      <c r="M69" s="293">
        <f>'Electric Weather Component'!M69</f>
        <v>0</v>
      </c>
      <c r="N69" s="293">
        <f>'Electric Weather Component'!N69</f>
        <v>0</v>
      </c>
      <c r="O69" s="260">
        <f>SUM(C69:N69)</f>
        <v>682</v>
      </c>
    </row>
    <row r="70" spans="1:15">
      <c r="C70" s="22"/>
      <c r="D70" s="22"/>
      <c r="E70" s="22"/>
      <c r="F70" s="22"/>
      <c r="G70" s="22"/>
      <c r="H70" s="22"/>
      <c r="I70" s="22"/>
      <c r="J70" s="22"/>
      <c r="K70" s="22"/>
      <c r="L70" s="22"/>
      <c r="M70" s="22"/>
      <c r="N70" s="22"/>
      <c r="O70" s="22"/>
    </row>
    <row r="71" spans="1:15">
      <c r="A71" s="222">
        <v>41</v>
      </c>
      <c r="B71" s="53" t="s">
        <v>251</v>
      </c>
      <c r="C71" s="260">
        <f>C68-C8</f>
        <v>-14</v>
      </c>
      <c r="D71" s="260">
        <f t="shared" ref="D71:N72" si="22">D68-D8</f>
        <v>9</v>
      </c>
      <c r="E71" s="260">
        <f t="shared" si="22"/>
        <v>59</v>
      </c>
      <c r="F71" s="260">
        <f t="shared" si="22"/>
        <v>-161</v>
      </c>
      <c r="G71" s="260">
        <f t="shared" si="22"/>
        <v>-180</v>
      </c>
      <c r="H71" s="260">
        <f t="shared" si="22"/>
        <v>-25</v>
      </c>
      <c r="I71" s="260">
        <f t="shared" si="22"/>
        <v>5</v>
      </c>
      <c r="J71" s="260">
        <f t="shared" si="22"/>
        <v>8</v>
      </c>
      <c r="K71" s="260">
        <f t="shared" si="22"/>
        <v>85</v>
      </c>
      <c r="L71" s="260">
        <f t="shared" si="22"/>
        <v>206</v>
      </c>
      <c r="M71" s="260">
        <f t="shared" si="22"/>
        <v>-270</v>
      </c>
      <c r="N71" s="260">
        <f t="shared" si="22"/>
        <v>-186</v>
      </c>
      <c r="O71" s="260">
        <f t="shared" ref="O71:O72" si="23">SUM(C71:N71)</f>
        <v>-464</v>
      </c>
    </row>
    <row r="72" spans="1:15">
      <c r="A72" s="222">
        <v>42</v>
      </c>
      <c r="B72" s="53" t="s">
        <v>252</v>
      </c>
      <c r="C72" s="260">
        <f>C69-C9</f>
        <v>0</v>
      </c>
      <c r="D72" s="260">
        <f t="shared" si="22"/>
        <v>0</v>
      </c>
      <c r="E72" s="260">
        <f t="shared" si="22"/>
        <v>0</v>
      </c>
      <c r="F72" s="260">
        <f t="shared" si="22"/>
        <v>1</v>
      </c>
      <c r="G72" s="260">
        <f t="shared" si="22"/>
        <v>18</v>
      </c>
      <c r="H72" s="260">
        <f t="shared" si="22"/>
        <v>59</v>
      </c>
      <c r="I72" s="260">
        <f t="shared" si="22"/>
        <v>-23</v>
      </c>
      <c r="J72" s="260">
        <f t="shared" si="22"/>
        <v>-109</v>
      </c>
      <c r="K72" s="260">
        <f t="shared" si="22"/>
        <v>-29</v>
      </c>
      <c r="L72" s="260">
        <f t="shared" si="22"/>
        <v>0</v>
      </c>
      <c r="M72" s="260">
        <f t="shared" si="22"/>
        <v>0</v>
      </c>
      <c r="N72" s="260">
        <f t="shared" si="22"/>
        <v>0</v>
      </c>
      <c r="O72" s="260">
        <f t="shared" si="23"/>
        <v>-83</v>
      </c>
    </row>
    <row r="73" spans="1:15">
      <c r="C73" s="22"/>
      <c r="D73" s="22"/>
      <c r="E73" s="22"/>
      <c r="F73" s="22"/>
      <c r="G73" s="22"/>
      <c r="H73" s="22"/>
      <c r="I73" s="22"/>
      <c r="J73" s="22"/>
      <c r="K73" s="22"/>
      <c r="L73" s="22"/>
      <c r="M73" s="22"/>
      <c r="N73" s="22"/>
      <c r="O73" s="22"/>
    </row>
    <row r="74" spans="1:15">
      <c r="A74" s="222">
        <v>43</v>
      </c>
      <c r="B74" s="53" t="s">
        <v>275</v>
      </c>
      <c r="C74" s="293">
        <v>-274354</v>
      </c>
      <c r="D74" s="293">
        <v>176371</v>
      </c>
      <c r="E74" s="293">
        <v>1156206</v>
      </c>
      <c r="F74" s="293">
        <v>-2849228</v>
      </c>
      <c r="G74" s="293">
        <v>-3166321</v>
      </c>
      <c r="H74" s="293">
        <v>-446685</v>
      </c>
      <c r="I74" s="293">
        <v>103233</v>
      </c>
      <c r="J74" s="293">
        <v>166026</v>
      </c>
      <c r="K74" s="293">
        <v>1760581</v>
      </c>
      <c r="L74" s="293">
        <v>3672045</v>
      </c>
      <c r="M74" s="293">
        <v>-4797487</v>
      </c>
      <c r="N74" s="293">
        <v>-3675727</v>
      </c>
      <c r="O74" s="260">
        <f t="shared" ref="O74:O75" si="24">SUM(C74:N74)</f>
        <v>-8175340</v>
      </c>
    </row>
    <row r="75" spans="1:15">
      <c r="A75" s="222">
        <v>44</v>
      </c>
      <c r="B75" s="53" t="s">
        <v>276</v>
      </c>
      <c r="C75" s="293">
        <v>-95161</v>
      </c>
      <c r="D75" s="293">
        <v>61175</v>
      </c>
      <c r="E75" s="293">
        <v>401034</v>
      </c>
      <c r="F75" s="293">
        <v>-970527</v>
      </c>
      <c r="G75" s="293">
        <v>-1084263</v>
      </c>
      <c r="H75" s="293">
        <v>-154328</v>
      </c>
      <c r="I75" s="293">
        <v>39719</v>
      </c>
      <c r="J75" s="293">
        <v>64369</v>
      </c>
      <c r="K75" s="293">
        <v>682106</v>
      </c>
      <c r="L75" s="293">
        <v>1261412</v>
      </c>
      <c r="M75" s="293">
        <v>-1665937</v>
      </c>
      <c r="N75" s="293">
        <v>-1332496</v>
      </c>
      <c r="O75" s="260">
        <f t="shared" si="24"/>
        <v>-2792897</v>
      </c>
    </row>
    <row r="76" spans="1:15">
      <c r="C76" s="22"/>
      <c r="D76" s="22"/>
      <c r="E76" s="22"/>
      <c r="F76" s="22"/>
      <c r="G76" s="22"/>
      <c r="H76" s="22"/>
      <c r="I76" s="22"/>
      <c r="J76" s="22"/>
      <c r="K76" s="22"/>
      <c r="L76" s="22"/>
      <c r="M76" s="22"/>
      <c r="N76" s="22"/>
      <c r="O76" s="22"/>
    </row>
    <row r="77" spans="1:15">
      <c r="B77" s="221" t="s">
        <v>255</v>
      </c>
      <c r="C77" s="34"/>
      <c r="D77" s="22"/>
      <c r="E77" s="22"/>
      <c r="F77" s="22"/>
      <c r="G77" s="22"/>
      <c r="H77" s="22"/>
      <c r="I77" s="22"/>
      <c r="J77" s="22"/>
      <c r="K77" s="22"/>
      <c r="L77" s="22"/>
      <c r="M77" s="22"/>
      <c r="N77" s="22"/>
      <c r="O77" s="22"/>
    </row>
    <row r="78" spans="1:15">
      <c r="A78" s="222">
        <v>45</v>
      </c>
      <c r="B78" s="53" t="s">
        <v>256</v>
      </c>
      <c r="C78" s="294">
        <v>-141399</v>
      </c>
      <c r="D78" s="294">
        <v>90900</v>
      </c>
      <c r="E78" s="294">
        <v>595897</v>
      </c>
      <c r="F78" s="294">
        <v>-1468464</v>
      </c>
      <c r="G78" s="294">
        <v>-1631890</v>
      </c>
      <c r="H78" s="294">
        <v>-230217</v>
      </c>
      <c r="I78" s="294">
        <v>53205</v>
      </c>
      <c r="J78" s="294">
        <v>85568</v>
      </c>
      <c r="K78" s="294">
        <v>907386</v>
      </c>
      <c r="L78" s="294">
        <v>1892535</v>
      </c>
      <c r="M78" s="294">
        <v>-2472577</v>
      </c>
      <c r="N78" s="294">
        <v>-2054401</v>
      </c>
      <c r="O78" s="257">
        <f>SUM(C78:N78)</f>
        <v>-4373457</v>
      </c>
    </row>
    <row r="79" spans="1:15">
      <c r="A79" s="222">
        <v>46</v>
      </c>
      <c r="B79" s="53" t="s">
        <v>257</v>
      </c>
      <c r="C79" s="257">
        <f>C80-C78</f>
        <v>-2752650.8757738974</v>
      </c>
      <c r="D79" s="257">
        <f t="shared" ref="D79:E79" si="25">D80-D78</f>
        <v>-1061830.5759504866</v>
      </c>
      <c r="E79" s="257">
        <f t="shared" si="25"/>
        <v>241907.65245243814</v>
      </c>
      <c r="F79" s="257">
        <f>F80-F78</f>
        <v>519753.98916043621</v>
      </c>
      <c r="G79" s="257">
        <f t="shared" ref="G79:N79" si="26">G80-G78</f>
        <v>1375620.2971536373</v>
      </c>
      <c r="H79" s="257">
        <f t="shared" si="26"/>
        <v>548054.77730860189</v>
      </c>
      <c r="I79" s="257">
        <f t="shared" si="26"/>
        <v>304658.90379398479</v>
      </c>
      <c r="J79" s="257">
        <f t="shared" si="26"/>
        <v>512043.79758527805</v>
      </c>
      <c r="K79" s="257">
        <f t="shared" si="26"/>
        <v>-760817.17875510035</v>
      </c>
      <c r="L79" s="257">
        <f t="shared" si="26"/>
        <v>1035851.7830787627</v>
      </c>
      <c r="M79" s="257">
        <f t="shared" si="26"/>
        <v>3260955.5638888665</v>
      </c>
      <c r="N79" s="257">
        <f t="shared" si="26"/>
        <v>121011.55808572657</v>
      </c>
      <c r="O79" s="257">
        <f>SUM(C79:N79)</f>
        <v>3344559.6920282478</v>
      </c>
    </row>
    <row r="80" spans="1:15">
      <c r="A80" s="222">
        <v>47</v>
      </c>
      <c r="B80" s="53" t="s">
        <v>258</v>
      </c>
      <c r="C80" s="258">
        <f t="shared" ref="C80:N80" si="27">C$23</f>
        <v>-2894049.8757738974</v>
      </c>
      <c r="D80" s="258">
        <f t="shared" si="27"/>
        <v>-970930.57595048659</v>
      </c>
      <c r="E80" s="258">
        <f t="shared" si="27"/>
        <v>837804.65245243814</v>
      </c>
      <c r="F80" s="258">
        <f t="shared" si="27"/>
        <v>-948710.01083956379</v>
      </c>
      <c r="G80" s="258">
        <f t="shared" si="27"/>
        <v>-256269.70284636272</v>
      </c>
      <c r="H80" s="258">
        <f t="shared" si="27"/>
        <v>317837.77730860189</v>
      </c>
      <c r="I80" s="258">
        <f t="shared" si="27"/>
        <v>357863.90379398479</v>
      </c>
      <c r="J80" s="258">
        <f t="shared" si="27"/>
        <v>597611.79758527805</v>
      </c>
      <c r="K80" s="258">
        <f t="shared" si="27"/>
        <v>146568.82124489965</v>
      </c>
      <c r="L80" s="258">
        <f t="shared" si="27"/>
        <v>2928386.7830787627</v>
      </c>
      <c r="M80" s="258">
        <f t="shared" si="27"/>
        <v>788378.56388886645</v>
      </c>
      <c r="N80" s="258">
        <f t="shared" si="27"/>
        <v>-1933389.4419142734</v>
      </c>
      <c r="O80" s="257">
        <f>SUM(C80:N80)</f>
        <v>-1028897.3079717527</v>
      </c>
    </row>
    <row r="81" spans="1:15">
      <c r="C81" s="22"/>
      <c r="D81" s="22"/>
      <c r="E81" s="22"/>
      <c r="F81" s="22"/>
      <c r="G81" s="22"/>
      <c r="H81" s="22"/>
      <c r="I81" s="22"/>
      <c r="J81" s="22"/>
      <c r="K81" s="22"/>
      <c r="L81" s="22"/>
      <c r="M81" s="22"/>
      <c r="N81" s="22"/>
      <c r="O81" s="22"/>
    </row>
    <row r="82" spans="1:15">
      <c r="A82" s="222">
        <v>48</v>
      </c>
      <c r="B82" s="53" t="s">
        <v>259</v>
      </c>
      <c r="C82" s="294">
        <v>-26116</v>
      </c>
      <c r="D82" s="294">
        <v>16789</v>
      </c>
      <c r="E82" s="294">
        <v>110060</v>
      </c>
      <c r="F82" s="294">
        <v>-266351</v>
      </c>
      <c r="G82" s="294">
        <v>-297565</v>
      </c>
      <c r="H82" s="294">
        <v>-42354</v>
      </c>
      <c r="I82" s="294">
        <v>10900</v>
      </c>
      <c r="J82" s="294">
        <v>17665</v>
      </c>
      <c r="K82" s="294">
        <v>187197</v>
      </c>
      <c r="L82" s="294">
        <v>346182</v>
      </c>
      <c r="M82" s="294">
        <v>-457200</v>
      </c>
      <c r="N82" s="294">
        <v>-388649</v>
      </c>
      <c r="O82" s="257">
        <f>SUM(C82:N82)</f>
        <v>-789442</v>
      </c>
    </row>
    <row r="83" spans="1:15">
      <c r="A83" s="222">
        <v>49</v>
      </c>
      <c r="B83" s="53" t="s">
        <v>260</v>
      </c>
      <c r="C83" s="257">
        <f>C84-C82</f>
        <v>-304375.57460752409</v>
      </c>
      <c r="D83" s="257">
        <f t="shared" ref="D83:N83" si="28">D84-D82</f>
        <v>-309536.14300333778</v>
      </c>
      <c r="E83" s="257">
        <f t="shared" si="28"/>
        <v>-279037.6247677498</v>
      </c>
      <c r="F83" s="257">
        <f t="shared" si="28"/>
        <v>208220.14224466076</v>
      </c>
      <c r="G83" s="257">
        <f t="shared" si="28"/>
        <v>131855.77187235467</v>
      </c>
      <c r="H83" s="257">
        <f t="shared" si="28"/>
        <v>147623.63766380807</v>
      </c>
      <c r="I83" s="257">
        <f t="shared" si="28"/>
        <v>199310.97848785535</v>
      </c>
      <c r="J83" s="257">
        <f t="shared" si="28"/>
        <v>199809.09059265768</v>
      </c>
      <c r="K83" s="257">
        <f t="shared" si="28"/>
        <v>126828.04407658562</v>
      </c>
      <c r="L83" s="257">
        <f t="shared" si="28"/>
        <v>398107.53105915303</v>
      </c>
      <c r="M83" s="257">
        <f t="shared" si="28"/>
        <v>1511723.8998033588</v>
      </c>
      <c r="N83" s="257">
        <f t="shared" si="28"/>
        <v>125789.73520751018</v>
      </c>
      <c r="O83" s="257">
        <f>SUM(C83:N83)</f>
        <v>2156319.4886293327</v>
      </c>
    </row>
    <row r="84" spans="1:15">
      <c r="A84" s="222">
        <v>50</v>
      </c>
      <c r="B84" s="53" t="s">
        <v>261</v>
      </c>
      <c r="C84" s="258">
        <f>C$27</f>
        <v>-330491.57460752409</v>
      </c>
      <c r="D84" s="258">
        <f t="shared" ref="D84:N84" si="29">D$27</f>
        <v>-292747.14300333778</v>
      </c>
      <c r="E84" s="258">
        <f t="shared" si="29"/>
        <v>-168977.6247677498</v>
      </c>
      <c r="F84" s="258">
        <f t="shared" si="29"/>
        <v>-58130.857755339239</v>
      </c>
      <c r="G84" s="258">
        <f t="shared" si="29"/>
        <v>-165709.22812764533</v>
      </c>
      <c r="H84" s="258">
        <f t="shared" si="29"/>
        <v>105269.63766380807</v>
      </c>
      <c r="I84" s="258">
        <f t="shared" si="29"/>
        <v>210210.97848785535</v>
      </c>
      <c r="J84" s="258">
        <f t="shared" si="29"/>
        <v>217474.09059265768</v>
      </c>
      <c r="K84" s="258">
        <f t="shared" si="29"/>
        <v>314025.04407658562</v>
      </c>
      <c r="L84" s="258">
        <f t="shared" si="29"/>
        <v>744289.53105915303</v>
      </c>
      <c r="M84" s="258">
        <f t="shared" si="29"/>
        <v>1054523.8998033588</v>
      </c>
      <c r="N84" s="258">
        <f t="shared" si="29"/>
        <v>-262859.26479248982</v>
      </c>
      <c r="O84" s="257">
        <f>SUM(C84:N84)</f>
        <v>1366877.4886293325</v>
      </c>
    </row>
    <row r="85" spans="1:15">
      <c r="C85" s="22"/>
      <c r="D85" s="22"/>
      <c r="E85" s="22"/>
      <c r="F85" s="22"/>
      <c r="G85" s="22"/>
      <c r="H85" s="22"/>
      <c r="I85" s="22"/>
      <c r="J85" s="22"/>
      <c r="K85" s="22"/>
      <c r="L85" s="22"/>
      <c r="M85" s="22"/>
      <c r="N85" s="22"/>
      <c r="O85" s="22"/>
    </row>
    <row r="86" spans="1:15">
      <c r="C86" s="22"/>
      <c r="D86" s="22"/>
      <c r="E86" s="22"/>
      <c r="F86" s="22"/>
      <c r="G86" s="22"/>
      <c r="H86" s="22"/>
      <c r="I86" s="22"/>
      <c r="J86" s="22"/>
      <c r="K86" s="22"/>
      <c r="L86" s="22"/>
      <c r="M86" s="22"/>
      <c r="N86" s="22"/>
      <c r="O86" s="22"/>
    </row>
    <row r="87" spans="1:15">
      <c r="C87" s="22"/>
      <c r="D87" s="22"/>
      <c r="E87" s="22"/>
      <c r="F87" s="22"/>
      <c r="G87" s="22"/>
      <c r="H87" s="22"/>
      <c r="I87" s="22"/>
      <c r="J87" s="22"/>
      <c r="K87" s="22"/>
      <c r="L87" s="22"/>
      <c r="M87" s="22"/>
      <c r="N87" s="22"/>
      <c r="O87" s="22"/>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2023-02-27T08:00:00+00:00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D83F214C-8515-44E5-B785-D383298A8674}"/>
</file>

<file path=customXml/itemProps2.xml><?xml version="1.0" encoding="utf-8"?>
<ds:datastoreItem xmlns:ds="http://schemas.openxmlformats.org/officeDocument/2006/customXml" ds:itemID="{EDC9D902-FE61-4F2B-8E0B-4C405991D715}"/>
</file>

<file path=customXml/itemProps3.xml><?xml version="1.0" encoding="utf-8"?>
<ds:datastoreItem xmlns:ds="http://schemas.openxmlformats.org/officeDocument/2006/customXml" ds:itemID="{08E9A896-1D3B-4485-9361-0EA4E3994DFF}"/>
</file>

<file path=customXml/itemProps4.xml><?xml version="1.0" encoding="utf-8"?>
<ds:datastoreItem xmlns:ds="http://schemas.openxmlformats.org/officeDocument/2006/customXml" ds:itemID="{EE658B71-F432-49EC-A37A-20305B989A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Electric Deferral</vt:lpstr>
      <vt:lpstr>Nat Gas Deferral</vt:lpstr>
      <vt:lpstr>Accounting Balances</vt:lpstr>
      <vt:lpstr>Interest Reconciliation</vt:lpstr>
      <vt:lpstr>Notes</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'Electric Weather Component'!Print_Area</vt:lpstr>
      <vt:lpstr>'Interest Reconciliation'!Print_Area</vt:lpstr>
      <vt:lpstr>'Nat Gas Deferral'!Print_Area</vt:lpstr>
      <vt:lpstr>'Natural Gas New Customer Status'!Print_Area</vt:lpstr>
      <vt:lpstr>'Natural Gas Weather Component'!Print_Area</vt:lpstr>
      <vt:lpstr>Notes!Print_Area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2023-02-24T01:52:58Z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