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2114B083-F8C5-4F90-A74C-1E134975934D}" xr6:coauthVersionLast="46" xr6:coauthVersionMax="46" xr10:uidLastSave="{00000000-0000-0000-0000-000000000000}"/>
  <bookViews>
    <workbookView xWindow="28680" yWindow="-120" windowWidth="29040" windowHeight="15840" xr2:uid="{82FAFE66-003C-4C08-BAB5-950C067F8BB1}"/>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externalReferences>
    <externalReference r:id="rId7"/>
    <externalReference r:id="rId8"/>
  </externalReferences>
  <definedNames>
    <definedName name="Current_Month">[1]Summary!$K$1</definedName>
    <definedName name="_xlnm.Print_Area" localSheetId="3">'Accounting Balances'!$A$1:$H$358</definedName>
    <definedName name="_xlnm.Print_Area" localSheetId="0">'Electric Deferral'!$A$1:$U$64</definedName>
    <definedName name="_xlnm.Print_Area" localSheetId="4">'Interest Reconciliation'!$A$1:$R$188</definedName>
    <definedName name="_xlnm.Print_Area" localSheetId="2">'Nat Gas Deferral'!$A$1:$U$61</definedName>
    <definedName name="_xlnm.Print_Area" localSheetId="5">Notes!$A$1:$K$29</definedName>
    <definedName name="_xlnm.Print_Titles" localSheetId="0">'Electric Deferral'!$1:$7</definedName>
    <definedName name="_xlnm.Print_Titles" localSheetId="4">'Interest Reconciliation'!$1:$2</definedName>
    <definedName name="_xlnm.Print_Titles" localSheetId="2">'Nat Gas Deferral'!$1:$7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0" i="1" l="1"/>
  <c r="F341" i="3" l="1"/>
  <c r="F323" i="3"/>
  <c r="F298" i="3"/>
  <c r="F300" i="3"/>
  <c r="E300" i="3"/>
  <c r="E299" i="3"/>
  <c r="F280" i="3"/>
  <c r="F183" i="3"/>
  <c r="F143" i="3"/>
  <c r="F122" i="3"/>
  <c r="F104" i="3"/>
  <c r="F81" i="3"/>
  <c r="F80" i="3"/>
  <c r="F63" i="3"/>
  <c r="F41" i="3"/>
  <c r="F23" i="3"/>
  <c r="F357" i="3"/>
  <c r="F356" i="3"/>
  <c r="F349" i="3"/>
  <c r="F348" i="3"/>
  <c r="F339" i="3"/>
  <c r="F338" i="3"/>
  <c r="F331" i="3"/>
  <c r="F330" i="3"/>
  <c r="F340" i="3" s="1"/>
  <c r="F321" i="3"/>
  <c r="F320" i="3"/>
  <c r="F313" i="3"/>
  <c r="F312" i="3"/>
  <c r="F322" i="3" s="1"/>
  <c r="F296" i="3"/>
  <c r="F295" i="3"/>
  <c r="F288" i="3"/>
  <c r="F287" i="3"/>
  <c r="F297" i="3" s="1"/>
  <c r="F278" i="3"/>
  <c r="F277" i="3"/>
  <c r="F270" i="3"/>
  <c r="F269" i="3"/>
  <c r="F279" i="3" s="1"/>
  <c r="F299" i="3" s="1"/>
  <c r="F257" i="3"/>
  <c r="F256" i="3"/>
  <c r="F249" i="3"/>
  <c r="F248" i="3"/>
  <c r="F241" i="3"/>
  <c r="F240" i="3"/>
  <c r="F233" i="3"/>
  <c r="F232" i="3"/>
  <c r="F221" i="3"/>
  <c r="F220" i="3"/>
  <c r="F213" i="3"/>
  <c r="F212" i="3"/>
  <c r="F205" i="3"/>
  <c r="F204" i="3"/>
  <c r="F197" i="3"/>
  <c r="F196" i="3"/>
  <c r="F181" i="3"/>
  <c r="F180" i="3"/>
  <c r="F173" i="3"/>
  <c r="F172" i="3"/>
  <c r="F182" i="3" s="1"/>
  <c r="F159" i="3"/>
  <c r="F161" i="3" s="1"/>
  <c r="F158" i="3"/>
  <c r="F151" i="3"/>
  <c r="F150" i="3"/>
  <c r="F160" i="3" s="1"/>
  <c r="F141" i="3"/>
  <c r="F140" i="3"/>
  <c r="F133" i="3"/>
  <c r="F132" i="3"/>
  <c r="F142" i="3" s="1"/>
  <c r="F120" i="3"/>
  <c r="F119" i="3"/>
  <c r="F112" i="3"/>
  <c r="F111" i="3"/>
  <c r="F121" i="3" s="1"/>
  <c r="F102" i="3"/>
  <c r="F101" i="3"/>
  <c r="F94" i="3"/>
  <c r="F93" i="3"/>
  <c r="F79" i="3"/>
  <c r="F78" i="3"/>
  <c r="F71" i="3"/>
  <c r="F70" i="3"/>
  <c r="F61" i="3"/>
  <c r="F60" i="3"/>
  <c r="F53" i="3"/>
  <c r="F52" i="3"/>
  <c r="F62" i="3" s="1"/>
  <c r="F39" i="3"/>
  <c r="F38" i="3"/>
  <c r="F31" i="3"/>
  <c r="F30" i="3"/>
  <c r="F40" i="3" s="1"/>
  <c r="F21" i="3"/>
  <c r="F20" i="3"/>
  <c r="F13" i="3"/>
  <c r="F103" i="3" l="1"/>
  <c r="F12" i="3"/>
  <c r="F22" i="3" s="1"/>
  <c r="B110" i="3"/>
  <c r="B109" i="3"/>
  <c r="C108" i="3"/>
  <c r="B108" i="3"/>
  <c r="J177" i="3"/>
  <c r="K177" i="3" s="1"/>
  <c r="J178" i="3"/>
  <c r="K178" i="3" s="1"/>
  <c r="J179" i="3"/>
  <c r="K179" i="3" s="1"/>
  <c r="J169" i="3"/>
  <c r="K169" i="3" s="1"/>
  <c r="J170" i="3"/>
  <c r="K170" i="3" s="1"/>
  <c r="J171" i="3"/>
  <c r="K171" i="3" s="1"/>
  <c r="J166" i="3" l="1"/>
  <c r="K166" i="3" s="1"/>
  <c r="O46" i="2" l="1"/>
  <c r="D44" i="2"/>
  <c r="E44" i="2"/>
  <c r="F44" i="2"/>
  <c r="G44" i="2"/>
  <c r="G46" i="2" s="1"/>
  <c r="H44" i="2"/>
  <c r="H46" i="2" s="1"/>
  <c r="I44" i="2"/>
  <c r="I46" i="2" s="1"/>
  <c r="J44" i="2"/>
  <c r="J46" i="2" s="1"/>
  <c r="K44" i="2"/>
  <c r="K46" i="2" s="1"/>
  <c r="L44" i="2"/>
  <c r="M44" i="2"/>
  <c r="N44" i="2"/>
  <c r="O44" i="2"/>
  <c r="D46" i="2"/>
  <c r="E46" i="2"/>
  <c r="F46" i="2"/>
  <c r="L46" i="2"/>
  <c r="M46" i="2"/>
  <c r="N46" i="2"/>
  <c r="D48" i="2"/>
  <c r="E48" i="2"/>
  <c r="F48" i="2"/>
  <c r="G48" i="2"/>
  <c r="H48" i="2"/>
  <c r="I48" i="2"/>
  <c r="J48" i="2"/>
  <c r="K48" i="2"/>
  <c r="L48" i="2"/>
  <c r="M48" i="2"/>
  <c r="N48" i="2"/>
  <c r="O48" i="2"/>
  <c r="D49" i="2"/>
  <c r="E49" i="2"/>
  <c r="F49" i="2"/>
  <c r="G49" i="2"/>
  <c r="H49" i="2"/>
  <c r="I49" i="2"/>
  <c r="J49" i="2"/>
  <c r="K49" i="2"/>
  <c r="L49" i="2"/>
  <c r="M49" i="2"/>
  <c r="N49" i="2"/>
  <c r="N51" i="2" s="1"/>
  <c r="O49" i="2"/>
  <c r="O51" i="2" s="1"/>
  <c r="D50" i="2"/>
  <c r="E50" i="2"/>
  <c r="F50" i="2"/>
  <c r="G50" i="2"/>
  <c r="H50" i="2"/>
  <c r="I50" i="2"/>
  <c r="J50" i="2"/>
  <c r="J51" i="2" s="1"/>
  <c r="K50" i="2"/>
  <c r="K51" i="2" s="1"/>
  <c r="L50" i="2"/>
  <c r="M50" i="2"/>
  <c r="N50" i="2"/>
  <c r="O50" i="2"/>
  <c r="D51" i="2"/>
  <c r="E51" i="2"/>
  <c r="F51" i="2"/>
  <c r="G51" i="2"/>
  <c r="L51" i="2"/>
  <c r="M51" i="2"/>
  <c r="O20" i="2"/>
  <c r="A2" i="2"/>
  <c r="I51" i="2" l="1"/>
  <c r="H51" i="2"/>
  <c r="E59" i="1"/>
  <c r="F59" i="1"/>
  <c r="G59" i="1"/>
  <c r="H59" i="1"/>
  <c r="I59" i="1"/>
  <c r="J59" i="1"/>
  <c r="K59" i="1"/>
  <c r="L59" i="1"/>
  <c r="M59" i="1"/>
  <c r="N59" i="1"/>
  <c r="O59" i="1"/>
  <c r="D59" i="1"/>
  <c r="E57" i="1"/>
  <c r="F57" i="1"/>
  <c r="J57" i="1"/>
  <c r="K57" i="1"/>
  <c r="L57" i="1"/>
  <c r="M57" i="1"/>
  <c r="N57" i="1"/>
  <c r="O57" i="1"/>
  <c r="D57" i="1"/>
  <c r="E53" i="1"/>
  <c r="F53" i="1"/>
  <c r="G53" i="1"/>
  <c r="H53" i="1"/>
  <c r="I53" i="1"/>
  <c r="J53" i="1"/>
  <c r="K53" i="1"/>
  <c r="L53" i="1"/>
  <c r="M53" i="1"/>
  <c r="N53" i="1"/>
  <c r="O53" i="1"/>
  <c r="D53" i="1"/>
  <c r="E48" i="1"/>
  <c r="F48" i="1"/>
  <c r="G48" i="1"/>
  <c r="H48" i="1"/>
  <c r="J48" i="1"/>
  <c r="K48" i="1"/>
  <c r="L48" i="1"/>
  <c r="M48" i="1"/>
  <c r="N48" i="1"/>
  <c r="O48" i="1"/>
  <c r="D48" i="1"/>
  <c r="O51" i="1"/>
  <c r="M51" i="1"/>
  <c r="J51" i="1"/>
  <c r="H51" i="1"/>
  <c r="G51" i="1"/>
  <c r="E51" i="1"/>
  <c r="N50" i="1"/>
  <c r="L50" i="1"/>
  <c r="K50" i="1"/>
  <c r="I50" i="1"/>
  <c r="F50" i="1"/>
  <c r="D50" i="1"/>
  <c r="O44" i="1"/>
  <c r="N44" i="1"/>
  <c r="M44" i="1"/>
  <c r="L44" i="1"/>
  <c r="K44" i="1"/>
  <c r="J44" i="1"/>
  <c r="O43" i="1"/>
  <c r="N43" i="1"/>
  <c r="M43" i="1"/>
  <c r="L43" i="1"/>
  <c r="K43" i="1"/>
  <c r="J43" i="1"/>
  <c r="O42" i="1"/>
  <c r="N42" i="1"/>
  <c r="M42" i="1"/>
  <c r="L42" i="1"/>
  <c r="K42" i="1"/>
  <c r="J42" i="1"/>
  <c r="O41" i="1"/>
  <c r="N41" i="1"/>
  <c r="M41" i="1"/>
  <c r="L41" i="1"/>
  <c r="K41" i="1"/>
  <c r="J41" i="1"/>
  <c r="O40" i="1"/>
  <c r="N40" i="1"/>
  <c r="N51" i="1" s="1"/>
  <c r="M40" i="1"/>
  <c r="L40" i="1"/>
  <c r="L51" i="1" s="1"/>
  <c r="K40" i="1"/>
  <c r="K51" i="1" s="1"/>
  <c r="J40" i="1"/>
  <c r="I51" i="1"/>
  <c r="F51" i="1"/>
  <c r="D51" i="1"/>
  <c r="O39" i="1"/>
  <c r="O50" i="1" s="1"/>
  <c r="O55" i="1" s="1"/>
  <c r="N39" i="1"/>
  <c r="M39" i="1"/>
  <c r="M50" i="1" s="1"/>
  <c r="L39" i="1"/>
  <c r="K39" i="1"/>
  <c r="J39" i="1"/>
  <c r="J50" i="1" s="1"/>
  <c r="H50" i="1"/>
  <c r="G50" i="1"/>
  <c r="E50" i="1"/>
  <c r="O38" i="1"/>
  <c r="O52" i="1" s="1"/>
  <c r="O54" i="1" s="1"/>
  <c r="N38" i="1"/>
  <c r="N52" i="1" s="1"/>
  <c r="N54" i="1" s="1"/>
  <c r="M38" i="1"/>
  <c r="M52" i="1" s="1"/>
  <c r="M54" i="1" s="1"/>
  <c r="L38" i="1"/>
  <c r="L52" i="1" s="1"/>
  <c r="K38" i="1"/>
  <c r="K52" i="1" s="1"/>
  <c r="J38" i="1"/>
  <c r="J52" i="1" s="1"/>
  <c r="J54" i="1" s="1"/>
  <c r="I52" i="1"/>
  <c r="I54" i="1" s="1"/>
  <c r="H52" i="1"/>
  <c r="H54" i="1" s="1"/>
  <c r="G52" i="1"/>
  <c r="G54" i="1" s="1"/>
  <c r="F52" i="1"/>
  <c r="F54" i="1" s="1"/>
  <c r="E52" i="1"/>
  <c r="E54" i="1" s="1"/>
  <c r="D52" i="1"/>
  <c r="D54" i="1" s="1"/>
  <c r="O37" i="1"/>
  <c r="O46" i="1" s="1"/>
  <c r="N37" i="1"/>
  <c r="N46" i="1" s="1"/>
  <c r="M37" i="1"/>
  <c r="M46" i="1" s="1"/>
  <c r="L37" i="1"/>
  <c r="L46" i="1" s="1"/>
  <c r="K37" i="1"/>
  <c r="K46" i="1" s="1"/>
  <c r="J37" i="1"/>
  <c r="J46" i="1" s="1"/>
  <c r="I46" i="1"/>
  <c r="I48" i="1" s="1"/>
  <c r="H46" i="1"/>
  <c r="G46" i="1"/>
  <c r="F46" i="1"/>
  <c r="E46" i="1"/>
  <c r="D46" i="1"/>
  <c r="F25" i="1"/>
  <c r="G25" i="1"/>
  <c r="H25" i="1" s="1"/>
  <c r="I25" i="1" s="1"/>
  <c r="J25" i="1" s="1"/>
  <c r="K25" i="1" s="1"/>
  <c r="L25" i="1" s="1"/>
  <c r="M25" i="1" s="1"/>
  <c r="N25" i="1" s="1"/>
  <c r="O25" i="1" s="1"/>
  <c r="E25" i="1"/>
  <c r="D29" i="1"/>
  <c r="D22" i="1"/>
  <c r="E31" i="1"/>
  <c r="L23" i="1"/>
  <c r="I23" i="1"/>
  <c r="M22" i="1"/>
  <c r="E22" i="1"/>
  <c r="O16" i="1"/>
  <c r="N16" i="1"/>
  <c r="M16" i="1"/>
  <c r="L16" i="1"/>
  <c r="K16" i="1"/>
  <c r="J16" i="1"/>
  <c r="O15" i="1"/>
  <c r="N15" i="1"/>
  <c r="M15" i="1"/>
  <c r="L15" i="1"/>
  <c r="K15" i="1"/>
  <c r="J15" i="1"/>
  <c r="O14" i="1"/>
  <c r="N14" i="1"/>
  <c r="M14" i="1"/>
  <c r="L14" i="1"/>
  <c r="K14" i="1"/>
  <c r="J14" i="1"/>
  <c r="O13" i="1"/>
  <c r="N13" i="1"/>
  <c r="M13" i="1"/>
  <c r="L13" i="1"/>
  <c r="K13" i="1"/>
  <c r="J13" i="1"/>
  <c r="O12" i="1"/>
  <c r="O23" i="1" s="1"/>
  <c r="N12" i="1"/>
  <c r="N23" i="1" s="1"/>
  <c r="M12" i="1"/>
  <c r="M23" i="1" s="1"/>
  <c r="L12" i="1"/>
  <c r="K12" i="1"/>
  <c r="K23" i="1" s="1"/>
  <c r="J12" i="1"/>
  <c r="J23" i="1" s="1"/>
  <c r="H23" i="1"/>
  <c r="G23" i="1"/>
  <c r="F23" i="1"/>
  <c r="E23" i="1"/>
  <c r="D23" i="1"/>
  <c r="O11" i="1"/>
  <c r="O22" i="1" s="1"/>
  <c r="N11" i="1"/>
  <c r="N22" i="1" s="1"/>
  <c r="M11" i="1"/>
  <c r="L11" i="1"/>
  <c r="L22" i="1" s="1"/>
  <c r="K11" i="1"/>
  <c r="K22" i="1" s="1"/>
  <c r="J11" i="1"/>
  <c r="J22" i="1" s="1"/>
  <c r="I22" i="1"/>
  <c r="H22" i="1"/>
  <c r="G22" i="1"/>
  <c r="F22" i="1"/>
  <c r="D27" i="1"/>
  <c r="O10" i="1"/>
  <c r="O24" i="1" s="1"/>
  <c r="N10" i="1"/>
  <c r="N24" i="1" s="1"/>
  <c r="M10" i="1"/>
  <c r="M24" i="1" s="1"/>
  <c r="L10" i="1"/>
  <c r="L24" i="1" s="1"/>
  <c r="K10" i="1"/>
  <c r="K24" i="1" s="1"/>
  <c r="J10" i="1"/>
  <c r="J24" i="1" s="1"/>
  <c r="I24" i="1"/>
  <c r="H24" i="1"/>
  <c r="G24" i="1"/>
  <c r="F24" i="1"/>
  <c r="F26" i="1" s="1"/>
  <c r="E24" i="1"/>
  <c r="D24" i="1"/>
  <c r="D26" i="1" s="1"/>
  <c r="O9" i="1"/>
  <c r="O18" i="1" s="1"/>
  <c r="O20" i="1" s="1"/>
  <c r="N9" i="1"/>
  <c r="N18" i="1" s="1"/>
  <c r="N20" i="1" s="1"/>
  <c r="M9" i="1"/>
  <c r="M18" i="1" s="1"/>
  <c r="M20" i="1" s="1"/>
  <c r="L9" i="1"/>
  <c r="L18" i="1" s="1"/>
  <c r="L20" i="1" s="1"/>
  <c r="K9" i="1"/>
  <c r="K18" i="1" s="1"/>
  <c r="K20" i="1" s="1"/>
  <c r="J9" i="1"/>
  <c r="J18" i="1" s="1"/>
  <c r="J20" i="1" s="1"/>
  <c r="I18" i="1"/>
  <c r="I20" i="1" s="1"/>
  <c r="H18" i="1"/>
  <c r="H20" i="1" s="1"/>
  <c r="G18" i="1"/>
  <c r="G20" i="1" s="1"/>
  <c r="F18" i="1"/>
  <c r="F20" i="1" s="1"/>
  <c r="E18" i="1"/>
  <c r="E20" i="1" s="1"/>
  <c r="D18" i="1"/>
  <c r="D20" i="1" s="1"/>
  <c r="G55" i="1" l="1"/>
  <c r="K54" i="1"/>
  <c r="K55" i="1" s="1"/>
  <c r="K56" i="1" s="1"/>
  <c r="L54" i="1"/>
  <c r="L55" i="1" s="1"/>
  <c r="L56" i="1" s="1"/>
  <c r="N55" i="1"/>
  <c r="M55" i="1"/>
  <c r="E55" i="1"/>
  <c r="E56" i="1" s="1"/>
  <c r="M56" i="1"/>
  <c r="N56" i="1"/>
  <c r="O56" i="1"/>
  <c r="H55" i="1"/>
  <c r="D55" i="1"/>
  <c r="D56" i="1" s="1"/>
  <c r="F55" i="1"/>
  <c r="F56" i="1" s="1"/>
  <c r="J55" i="1"/>
  <c r="J56" i="1" s="1"/>
  <c r="I55" i="1"/>
  <c r="I56" i="1" s="1"/>
  <c r="D60" i="1"/>
  <c r="D61" i="1" s="1"/>
  <c r="N26" i="1"/>
  <c r="G26" i="1"/>
  <c r="G27" i="1" s="1"/>
  <c r="O26" i="1"/>
  <c r="O27" i="1" s="1"/>
  <c r="H26" i="1"/>
  <c r="H27" i="1" s="1"/>
  <c r="I26" i="1"/>
  <c r="J26" i="1"/>
  <c r="J27" i="1" s="1"/>
  <c r="K26" i="1"/>
  <c r="K27" i="1" s="1"/>
  <c r="D28" i="1"/>
  <c r="N27" i="1"/>
  <c r="L26" i="1"/>
  <c r="L27" i="1" s="1"/>
  <c r="F27" i="1"/>
  <c r="E26" i="1"/>
  <c r="E27" i="1" s="1"/>
  <c r="M26" i="1"/>
  <c r="I27" i="1"/>
  <c r="M27" i="1"/>
  <c r="D32" i="1"/>
  <c r="D33" i="1" s="1"/>
  <c r="G56" i="1" l="1"/>
  <c r="G57" i="1"/>
  <c r="H56" i="1"/>
  <c r="H57" i="1"/>
  <c r="I57" i="1"/>
  <c r="D62" i="1"/>
  <c r="O28" i="1"/>
  <c r="O29" i="1"/>
  <c r="G28" i="1"/>
  <c r="G29" i="1"/>
  <c r="N28" i="1"/>
  <c r="N29" i="1"/>
  <c r="I28" i="1"/>
  <c r="I29" i="1"/>
  <c r="F28" i="1"/>
  <c r="F29" i="1"/>
  <c r="K28" i="1"/>
  <c r="K29" i="1"/>
  <c r="H28" i="1"/>
  <c r="H29" i="1"/>
  <c r="M28" i="1"/>
  <c r="M29" i="1"/>
  <c r="J28" i="1"/>
  <c r="J29" i="1"/>
  <c r="L28" i="1"/>
  <c r="L29" i="1"/>
  <c r="E28" i="1"/>
  <c r="E29" i="1"/>
  <c r="D34" i="1"/>
  <c r="D64" i="1" l="1"/>
  <c r="E60" i="1"/>
  <c r="E61" i="1" s="1"/>
  <c r="E32" i="1"/>
  <c r="E33" i="1" s="1"/>
  <c r="E62" i="1" l="1"/>
  <c r="E34" i="1"/>
  <c r="F32" i="1" l="1"/>
  <c r="F33" i="1" s="1"/>
  <c r="E64" i="1"/>
  <c r="F60" i="1"/>
  <c r="F61" i="1" s="1"/>
  <c r="F34" i="1"/>
  <c r="F62" i="1" l="1"/>
  <c r="F64" i="1" s="1"/>
  <c r="G32" i="1"/>
  <c r="G33" i="1" s="1"/>
  <c r="G60" i="1" l="1"/>
  <c r="G61" i="1" s="1"/>
  <c r="G34" i="1"/>
  <c r="H32" i="1" l="1"/>
  <c r="H33" i="1" s="1"/>
  <c r="G62" i="1"/>
  <c r="G64" i="1" s="1"/>
  <c r="H34" i="1"/>
  <c r="I32" i="1" l="1"/>
  <c r="I33" i="1" s="1"/>
  <c r="H60" i="1"/>
  <c r="H61" i="1" s="1"/>
  <c r="I34" i="1"/>
  <c r="H62" i="1" l="1"/>
  <c r="J32" i="1"/>
  <c r="J33" i="1" s="1"/>
  <c r="I60" i="1" l="1"/>
  <c r="I61" i="1" s="1"/>
  <c r="H64" i="1"/>
  <c r="I62" i="1"/>
  <c r="I64" i="1" s="1"/>
  <c r="J34" i="1"/>
  <c r="K32" i="1" l="1"/>
  <c r="K33" i="1" s="1"/>
  <c r="J60" i="1"/>
  <c r="J61" i="1" s="1"/>
  <c r="K34" i="1"/>
  <c r="L32" i="1" l="1"/>
  <c r="L33" i="1" s="1"/>
  <c r="J62" i="1"/>
  <c r="J64" i="1" s="1"/>
  <c r="L34" i="1"/>
  <c r="K60" i="1" l="1"/>
  <c r="K61" i="1" s="1"/>
  <c r="M32" i="1"/>
  <c r="M33" i="1" s="1"/>
  <c r="K62" i="1" l="1"/>
  <c r="K64" i="1" s="1"/>
  <c r="M34" i="1"/>
  <c r="N32" i="1" l="1"/>
  <c r="N33" i="1" s="1"/>
  <c r="L60" i="1"/>
  <c r="L61" i="1" s="1"/>
  <c r="N34" i="1"/>
  <c r="L62" i="1" l="1"/>
  <c r="L64" i="1" s="1"/>
  <c r="O32" i="1"/>
  <c r="O33" i="1" s="1"/>
  <c r="M60" i="1" l="1"/>
  <c r="M61" i="1" s="1"/>
  <c r="O34" i="1"/>
  <c r="M62" i="1" l="1"/>
  <c r="M64" i="1" s="1"/>
  <c r="N60" i="1" l="1"/>
  <c r="N61" i="1" s="1"/>
  <c r="N62" i="1" l="1"/>
  <c r="N64" i="1" s="1"/>
  <c r="O60" i="1" l="1"/>
  <c r="O61" i="1" s="1"/>
  <c r="O62" i="1" l="1"/>
  <c r="O64" i="1" s="1"/>
  <c r="J176" i="3" l="1"/>
  <c r="J175" i="3"/>
  <c r="J174" i="3"/>
  <c r="J168" i="3"/>
  <c r="J167" i="3"/>
  <c r="K176" i="3" l="1"/>
  <c r="K175" i="3"/>
  <c r="K174" i="3"/>
  <c r="K168" i="3"/>
  <c r="K167" i="3"/>
  <c r="S54" i="1" l="1"/>
  <c r="R54" i="1"/>
  <c r="Q54" i="1"/>
  <c r="Q52" i="1"/>
  <c r="Q51" i="1"/>
  <c r="Q50" i="1"/>
  <c r="S26" i="1"/>
  <c r="R26" i="1"/>
  <c r="Q26" i="1"/>
  <c r="Q24" i="1"/>
  <c r="Q23" i="1"/>
  <c r="Q22" i="1"/>
  <c r="U9" i="1" l="1"/>
  <c r="R9" i="1"/>
  <c r="F8" i="7" l="1"/>
  <c r="H177" i="7" l="1"/>
  <c r="Q177" i="7" s="1"/>
  <c r="Q176" i="7"/>
  <c r="M176" i="7" s="1"/>
  <c r="O176" i="7" s="1"/>
  <c r="D176" i="7"/>
  <c r="F176" i="7" s="1"/>
  <c r="J174" i="7"/>
  <c r="J173" i="7"/>
  <c r="H161" i="7"/>
  <c r="H162" i="7" s="1"/>
  <c r="H163" i="7" s="1"/>
  <c r="H164" i="7" s="1"/>
  <c r="H165" i="7" s="1"/>
  <c r="H166" i="7" s="1"/>
  <c r="Q160" i="7"/>
  <c r="M160" i="7" s="1"/>
  <c r="O160" i="7" s="1"/>
  <c r="D160" i="7"/>
  <c r="F160" i="7" s="1"/>
  <c r="J158" i="7"/>
  <c r="J157" i="7"/>
  <c r="H144" i="7"/>
  <c r="Q144" i="7" s="1"/>
  <c r="M144" i="7" s="1"/>
  <c r="J142" i="7"/>
  <c r="J141" i="7"/>
  <c r="H128" i="7"/>
  <c r="Q128" i="7" s="1"/>
  <c r="M128" i="7" s="1"/>
  <c r="J126" i="7"/>
  <c r="J125" i="7"/>
  <c r="H112" i="7"/>
  <c r="Q112" i="7" s="1"/>
  <c r="M112" i="7" s="1"/>
  <c r="J110" i="7"/>
  <c r="J109" i="7"/>
  <c r="H96" i="7"/>
  <c r="Q96" i="7" s="1"/>
  <c r="M96" i="7" s="1"/>
  <c r="J94" i="7"/>
  <c r="J93" i="7"/>
  <c r="H79" i="7"/>
  <c r="Q79" i="7" s="1"/>
  <c r="M79" i="7" s="1"/>
  <c r="A78" i="7"/>
  <c r="J78" i="7" s="1"/>
  <c r="J76" i="7"/>
  <c r="J75" i="7"/>
  <c r="H61" i="7"/>
  <c r="Q61" i="7" s="1"/>
  <c r="M61" i="7" s="1"/>
  <c r="J60" i="7"/>
  <c r="J58" i="7"/>
  <c r="J57" i="7"/>
  <c r="H42" i="7"/>
  <c r="J40" i="7"/>
  <c r="J39" i="7"/>
  <c r="H27" i="7"/>
  <c r="H43" i="7" s="1"/>
  <c r="Q43" i="7" s="1"/>
  <c r="Q26" i="7"/>
  <c r="M26" i="7" s="1"/>
  <c r="D26" i="7"/>
  <c r="A26" i="7"/>
  <c r="A42" i="7" s="1"/>
  <c r="J42" i="7" s="1"/>
  <c r="A25" i="7"/>
  <c r="A59" i="7" s="1"/>
  <c r="J59" i="7" s="1"/>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O7" i="7"/>
  <c r="F7" i="7"/>
  <c r="O6" i="7"/>
  <c r="F6" i="7"/>
  <c r="A6" i="7"/>
  <c r="A27" i="7" s="1"/>
  <c r="O5" i="7"/>
  <c r="J5" i="7"/>
  <c r="F5" i="7"/>
  <c r="Q4" i="7"/>
  <c r="Q164" i="7" l="1"/>
  <c r="D144" i="7"/>
  <c r="F144" i="7" s="1"/>
  <c r="Q165" i="7"/>
  <c r="D112" i="7"/>
  <c r="F112" i="7" s="1"/>
  <c r="J105" i="3" s="1"/>
  <c r="D61" i="7"/>
  <c r="F61" i="7" s="1"/>
  <c r="J46" i="3" s="1"/>
  <c r="Q161" i="7"/>
  <c r="F18" i="7"/>
  <c r="A41" i="7"/>
  <c r="J41" i="7" s="1"/>
  <c r="J25" i="7"/>
  <c r="A143" i="7"/>
  <c r="J143" i="7" s="1"/>
  <c r="F26" i="7"/>
  <c r="O26" i="7"/>
  <c r="J14" i="3" s="1"/>
  <c r="Q162" i="7"/>
  <c r="Q163" i="7"/>
  <c r="O128" i="7"/>
  <c r="O96" i="7"/>
  <c r="J95" i="3" s="1"/>
  <c r="O61" i="7"/>
  <c r="J54" i="3" s="1"/>
  <c r="O112" i="7"/>
  <c r="J113" i="3" s="1"/>
  <c r="O79" i="7"/>
  <c r="J72" i="3" s="1"/>
  <c r="O20" i="7"/>
  <c r="F19" i="7"/>
  <c r="O144" i="7"/>
  <c r="F17" i="7"/>
  <c r="O19" i="7"/>
  <c r="D128" i="7"/>
  <c r="O17" i="7"/>
  <c r="D79" i="7"/>
  <c r="F21" i="7"/>
  <c r="D96" i="7"/>
  <c r="O18" i="7"/>
  <c r="F20" i="7"/>
  <c r="A161" i="7"/>
  <c r="J161" i="7" s="1"/>
  <c r="A113" i="7"/>
  <c r="J113" i="7" s="1"/>
  <c r="A129" i="7"/>
  <c r="J129" i="7" s="1"/>
  <c r="A177" i="7"/>
  <c r="J177" i="7" s="1"/>
  <c r="A97" i="7"/>
  <c r="J97" i="7" s="1"/>
  <c r="A145" i="7"/>
  <c r="J145" i="7" s="1"/>
  <c r="A80" i="7"/>
  <c r="J80" i="7" s="1"/>
  <c r="J27" i="7"/>
  <c r="A62" i="7"/>
  <c r="J62" i="7" s="1"/>
  <c r="A43" i="7"/>
  <c r="J43" i="7" s="1"/>
  <c r="O21" i="7"/>
  <c r="M161" i="7"/>
  <c r="O161" i="7" s="1"/>
  <c r="J6" i="7"/>
  <c r="A7" i="7"/>
  <c r="H145" i="7"/>
  <c r="H113" i="7"/>
  <c r="Q113" i="7" s="1"/>
  <c r="H129" i="7"/>
  <c r="Q129" i="7" s="1"/>
  <c r="H97" i="7"/>
  <c r="Q97" i="7" s="1"/>
  <c r="H62" i="7"/>
  <c r="Q62" i="7" s="1"/>
  <c r="H28" i="7"/>
  <c r="H80" i="7"/>
  <c r="Q80" i="7" s="1"/>
  <c r="Q27" i="7"/>
  <c r="D177" i="7"/>
  <c r="F177" i="7" s="1"/>
  <c r="D42" i="7"/>
  <c r="Q42" i="7"/>
  <c r="M42" i="7" s="1"/>
  <c r="A95" i="7"/>
  <c r="J95" i="7" s="1"/>
  <c r="A77" i="7"/>
  <c r="J77" i="7" s="1"/>
  <c r="A111" i="7"/>
  <c r="J111" i="7" s="1"/>
  <c r="A127" i="7"/>
  <c r="J127" i="7" s="1"/>
  <c r="A175" i="7"/>
  <c r="J175" i="7" s="1"/>
  <c r="A159" i="7"/>
  <c r="J159" i="7" s="1"/>
  <c r="D161" i="7"/>
  <c r="F161" i="7" s="1"/>
  <c r="A176" i="7"/>
  <c r="J176" i="7" s="1"/>
  <c r="A112" i="7"/>
  <c r="J112" i="7" s="1"/>
  <c r="A128" i="7"/>
  <c r="J128" i="7" s="1"/>
  <c r="A160" i="7"/>
  <c r="J160" i="7" s="1"/>
  <c r="A96" i="7"/>
  <c r="J96" i="7" s="1"/>
  <c r="A61" i="7"/>
  <c r="J61" i="7" s="1"/>
  <c r="A144" i="7"/>
  <c r="J144" i="7" s="1"/>
  <c r="M177" i="7"/>
  <c r="O177" i="7" s="1"/>
  <c r="J26" i="7"/>
  <c r="A79" i="7"/>
  <c r="J79" i="7" s="1"/>
  <c r="H167" i="7"/>
  <c r="Q166" i="7"/>
  <c r="H178" i="7"/>
  <c r="D27" i="7" l="1"/>
  <c r="I7" i="3" s="1"/>
  <c r="J6" i="3"/>
  <c r="C5" i="7"/>
  <c r="M113" i="7"/>
  <c r="M80" i="7"/>
  <c r="M129" i="7"/>
  <c r="O129" i="7" s="1"/>
  <c r="M97" i="7"/>
  <c r="M27" i="7"/>
  <c r="F128" i="7"/>
  <c r="F27" i="7"/>
  <c r="J7" i="3" s="1"/>
  <c r="M62" i="7"/>
  <c r="I55" i="3" s="1"/>
  <c r="F96" i="7"/>
  <c r="J87" i="3" s="1"/>
  <c r="O42" i="7"/>
  <c r="J32" i="3" s="1"/>
  <c r="F79" i="7"/>
  <c r="D113" i="7"/>
  <c r="I106" i="3" s="1"/>
  <c r="H114" i="7"/>
  <c r="Q114" i="7" s="1"/>
  <c r="H81" i="7"/>
  <c r="Q81" i="7" s="1"/>
  <c r="H130" i="7"/>
  <c r="Q130" i="7" s="1"/>
  <c r="H98" i="7"/>
  <c r="Q98" i="7" s="1"/>
  <c r="H63" i="7"/>
  <c r="Q63" i="7" s="1"/>
  <c r="H44" i="7"/>
  <c r="Q44" i="7" s="1"/>
  <c r="H146" i="7"/>
  <c r="Q146" i="7" s="1"/>
  <c r="Q28" i="7"/>
  <c r="A28" i="7"/>
  <c r="J7" i="7"/>
  <c r="A8" i="7"/>
  <c r="F42" i="7"/>
  <c r="J24" i="3" s="1"/>
  <c r="H168" i="7"/>
  <c r="Q167" i="7"/>
  <c r="D62" i="7"/>
  <c r="I47" i="3" s="1"/>
  <c r="Q178" i="7"/>
  <c r="H179" i="7"/>
  <c r="Q145" i="7"/>
  <c r="M145" i="7" s="1"/>
  <c r="D145" i="7"/>
  <c r="L5" i="7"/>
  <c r="O97" i="7" l="1"/>
  <c r="J96" i="3" s="1"/>
  <c r="I96" i="3"/>
  <c r="O27" i="7"/>
  <c r="J15" i="3" s="1"/>
  <c r="I15" i="3"/>
  <c r="O80" i="7"/>
  <c r="J73" i="3" s="1"/>
  <c r="I73" i="3"/>
  <c r="D80" i="7"/>
  <c r="I65" i="3" s="1"/>
  <c r="J64" i="3"/>
  <c r="O113" i="7"/>
  <c r="J114" i="3" s="1"/>
  <c r="I114" i="3"/>
  <c r="D129" i="7"/>
  <c r="I127" i="3" s="1"/>
  <c r="J126" i="3"/>
  <c r="M81" i="7"/>
  <c r="D97" i="7"/>
  <c r="F97" i="7" s="1"/>
  <c r="J88" i="3" s="1"/>
  <c r="O145" i="7"/>
  <c r="F113" i="7"/>
  <c r="J106" i="3" s="1"/>
  <c r="F145" i="7"/>
  <c r="F62" i="7"/>
  <c r="M43" i="7"/>
  <c r="I33" i="3" s="1"/>
  <c r="O62" i="7"/>
  <c r="A162" i="7"/>
  <c r="A178" i="7"/>
  <c r="A114" i="7"/>
  <c r="A98" i="7"/>
  <c r="J28" i="7"/>
  <c r="A130" i="7"/>
  <c r="A63" i="7"/>
  <c r="J63" i="7" s="1"/>
  <c r="A146" i="7"/>
  <c r="A81" i="7"/>
  <c r="J81" i="7" s="1"/>
  <c r="A44" i="7"/>
  <c r="D43" i="7"/>
  <c r="I25" i="3" s="1"/>
  <c r="H115" i="7"/>
  <c r="Q115" i="7" s="1"/>
  <c r="H99" i="7"/>
  <c r="Q99" i="7" s="1"/>
  <c r="H82" i="7"/>
  <c r="Q82" i="7" s="1"/>
  <c r="H131" i="7"/>
  <c r="Q131" i="7" s="1"/>
  <c r="H147" i="7"/>
  <c r="Q147" i="7" s="1"/>
  <c r="H64" i="7"/>
  <c r="Q64" i="7" s="1"/>
  <c r="H30" i="7"/>
  <c r="Q29" i="7"/>
  <c r="H45" i="7"/>
  <c r="Q5" i="7"/>
  <c r="H5" i="7"/>
  <c r="H169" i="7"/>
  <c r="Q168" i="7"/>
  <c r="Q179" i="7"/>
  <c r="H180" i="7"/>
  <c r="A29" i="7"/>
  <c r="J8" i="7"/>
  <c r="A9" i="7"/>
  <c r="F80" i="7" l="1"/>
  <c r="O81" i="7"/>
  <c r="J74" i="3" s="1"/>
  <c r="I74" i="3"/>
  <c r="F129" i="7"/>
  <c r="J127" i="3" s="1"/>
  <c r="M63" i="7"/>
  <c r="I56" i="3" s="1"/>
  <c r="J55" i="3"/>
  <c r="D63" i="7"/>
  <c r="I48" i="3" s="1"/>
  <c r="J47" i="3"/>
  <c r="Q45" i="7"/>
  <c r="C6" i="7"/>
  <c r="H6" i="7" s="1"/>
  <c r="O43" i="7"/>
  <c r="J33" i="3" s="1"/>
  <c r="L6" i="7"/>
  <c r="Q6" i="7" s="1"/>
  <c r="D28" i="7"/>
  <c r="I8" i="3" s="1"/>
  <c r="H116" i="7"/>
  <c r="Q116" i="7" s="1"/>
  <c r="H83" i="7"/>
  <c r="Q83" i="7" s="1"/>
  <c r="H132" i="7"/>
  <c r="Q132" i="7" s="1"/>
  <c r="H100" i="7"/>
  <c r="Q100" i="7" s="1"/>
  <c r="Q30" i="7"/>
  <c r="H65" i="7"/>
  <c r="Q65" i="7" s="1"/>
  <c r="H148" i="7"/>
  <c r="Q148" i="7" s="1"/>
  <c r="H46" i="7"/>
  <c r="Q46" i="7" s="1"/>
  <c r="H31" i="7"/>
  <c r="J146" i="7"/>
  <c r="M146" i="7" s="1"/>
  <c r="D146" i="7"/>
  <c r="J162" i="7"/>
  <c r="H170" i="7"/>
  <c r="Q169" i="7"/>
  <c r="A30" i="7"/>
  <c r="J9" i="7"/>
  <c r="A10" i="7"/>
  <c r="F43" i="7"/>
  <c r="J25" i="3" s="1"/>
  <c r="J130" i="7"/>
  <c r="M130" i="7" s="1"/>
  <c r="M28" i="7"/>
  <c r="I16" i="3" s="1"/>
  <c r="J98" i="7"/>
  <c r="M98" i="7" s="1"/>
  <c r="I97" i="3" s="1"/>
  <c r="D98" i="7"/>
  <c r="A179" i="7"/>
  <c r="A163" i="7"/>
  <c r="A115" i="7"/>
  <c r="A131" i="7"/>
  <c r="A99" i="7"/>
  <c r="A64" i="7"/>
  <c r="J64" i="7" s="1"/>
  <c r="A147" i="7"/>
  <c r="A82" i="7"/>
  <c r="J82" i="7" s="1"/>
  <c r="A45" i="7"/>
  <c r="J29" i="7"/>
  <c r="Q180" i="7"/>
  <c r="H181" i="7"/>
  <c r="J44" i="7"/>
  <c r="D114" i="7"/>
  <c r="I107" i="3" s="1"/>
  <c r="J114" i="7"/>
  <c r="M114" i="7" s="1"/>
  <c r="I115" i="3" s="1"/>
  <c r="J178" i="7"/>
  <c r="M178" i="7" s="1"/>
  <c r="O178" i="7" s="1"/>
  <c r="D178" i="7"/>
  <c r="F178" i="7" s="1"/>
  <c r="D130" i="7" l="1"/>
  <c r="I128" i="3" s="1"/>
  <c r="O63" i="7"/>
  <c r="J56" i="3" s="1"/>
  <c r="F63" i="7"/>
  <c r="M82" i="7"/>
  <c r="I75" i="3" s="1"/>
  <c r="J65" i="3"/>
  <c r="D81" i="7"/>
  <c r="O146" i="7"/>
  <c r="F98" i="7"/>
  <c r="F146" i="7"/>
  <c r="O28" i="7"/>
  <c r="J16" i="3" s="1"/>
  <c r="F28" i="7"/>
  <c r="F130" i="7"/>
  <c r="J128" i="3" s="1"/>
  <c r="F114" i="7"/>
  <c r="J107" i="3" s="1"/>
  <c r="M64" i="7"/>
  <c r="I57" i="3" s="1"/>
  <c r="O130" i="7"/>
  <c r="O114" i="7"/>
  <c r="J115" i="3" s="1"/>
  <c r="O98" i="7"/>
  <c r="J97" i="3" s="1"/>
  <c r="H117" i="7"/>
  <c r="Q117" i="7" s="1"/>
  <c r="H84" i="7"/>
  <c r="Q84" i="7" s="1"/>
  <c r="H133" i="7"/>
  <c r="Q133" i="7" s="1"/>
  <c r="H66" i="7"/>
  <c r="Q66" i="7" s="1"/>
  <c r="H149" i="7"/>
  <c r="Q149" i="7" s="1"/>
  <c r="Q31" i="7"/>
  <c r="H101" i="7"/>
  <c r="Q101" i="7" s="1"/>
  <c r="H47" i="7"/>
  <c r="Q47" i="7" s="1"/>
  <c r="J131" i="7"/>
  <c r="J115" i="7"/>
  <c r="J45" i="7"/>
  <c r="J163" i="7"/>
  <c r="D44" i="7"/>
  <c r="I26" i="3" s="1"/>
  <c r="Q170" i="7"/>
  <c r="H171" i="7"/>
  <c r="Q171" i="7" s="1"/>
  <c r="D179" i="7"/>
  <c r="F179" i="7" s="1"/>
  <c r="J179" i="7"/>
  <c r="M179" i="7" s="1"/>
  <c r="O179" i="7" s="1"/>
  <c r="M162" i="7"/>
  <c r="O162" i="7" s="1"/>
  <c r="A11" i="7"/>
  <c r="J10" i="7"/>
  <c r="A31" i="7"/>
  <c r="A164" i="7"/>
  <c r="A148" i="7"/>
  <c r="A180" i="7"/>
  <c r="A100" i="7"/>
  <c r="A132" i="7"/>
  <c r="A46" i="7"/>
  <c r="A65" i="7"/>
  <c r="J65" i="7" s="1"/>
  <c r="J30" i="7"/>
  <c r="A83" i="7"/>
  <c r="J83" i="7" s="1"/>
  <c r="A116" i="7"/>
  <c r="D162" i="7"/>
  <c r="F162" i="7" s="1"/>
  <c r="J147" i="7"/>
  <c r="M44" i="7"/>
  <c r="I34" i="3" s="1"/>
  <c r="Q181" i="7"/>
  <c r="H182" i="7"/>
  <c r="J99" i="7"/>
  <c r="O82" i="7" l="1"/>
  <c r="J48" i="3"/>
  <c r="D64" i="7"/>
  <c r="D99" i="7"/>
  <c r="F99" i="7" s="1"/>
  <c r="J89" i="3"/>
  <c r="D29" i="7"/>
  <c r="J8" i="3"/>
  <c r="I66" i="3"/>
  <c r="F81" i="7"/>
  <c r="M29" i="7"/>
  <c r="I17" i="3" s="1"/>
  <c r="M99" i="7"/>
  <c r="O64" i="7"/>
  <c r="J57" i="3" s="1"/>
  <c r="M115" i="7"/>
  <c r="I116" i="3" s="1"/>
  <c r="D131" i="7"/>
  <c r="I129" i="3" s="1"/>
  <c r="D115" i="7"/>
  <c r="I108" i="3" s="1"/>
  <c r="D147" i="7"/>
  <c r="M147" i="7"/>
  <c r="M131" i="7"/>
  <c r="O44" i="7"/>
  <c r="F44" i="7"/>
  <c r="C7" i="7"/>
  <c r="H7" i="7" s="1"/>
  <c r="L7" i="7"/>
  <c r="Q7" i="7" s="1"/>
  <c r="D163" i="7"/>
  <c r="F163" i="7" s="1"/>
  <c r="J46" i="7"/>
  <c r="Q182" i="7"/>
  <c r="H183" i="7"/>
  <c r="H118" i="7"/>
  <c r="Q118" i="7" s="1"/>
  <c r="H85" i="7"/>
  <c r="Q85" i="7" s="1"/>
  <c r="H134" i="7"/>
  <c r="Q134" i="7" s="1"/>
  <c r="H150" i="7"/>
  <c r="Q150" i="7" s="1"/>
  <c r="H67" i="7"/>
  <c r="Q67" i="7" s="1"/>
  <c r="H48" i="7"/>
  <c r="Q48" i="7" s="1"/>
  <c r="Q32" i="7"/>
  <c r="H102" i="7"/>
  <c r="Q102" i="7" s="1"/>
  <c r="H33" i="7"/>
  <c r="A149" i="7"/>
  <c r="A181" i="7"/>
  <c r="A101" i="7"/>
  <c r="A133" i="7"/>
  <c r="A117" i="7"/>
  <c r="A84" i="7"/>
  <c r="J84" i="7" s="1"/>
  <c r="A165" i="7"/>
  <c r="A66" i="7"/>
  <c r="J66" i="7" s="1"/>
  <c r="J31" i="7"/>
  <c r="A47" i="7"/>
  <c r="J100" i="7"/>
  <c r="J116" i="7"/>
  <c r="A12" i="7"/>
  <c r="A32" i="7"/>
  <c r="J11" i="7"/>
  <c r="J132" i="7"/>
  <c r="J180" i="7"/>
  <c r="M180" i="7" s="1"/>
  <c r="O180" i="7" s="1"/>
  <c r="D180" i="7"/>
  <c r="F180" i="7" s="1"/>
  <c r="J148" i="7"/>
  <c r="J164" i="7"/>
  <c r="M163" i="7"/>
  <c r="O163" i="7" s="1"/>
  <c r="D100" i="7" l="1"/>
  <c r="F100" i="7" s="1"/>
  <c r="J91" i="3" s="1"/>
  <c r="J90" i="3"/>
  <c r="O99" i="7"/>
  <c r="J98" i="3" s="1"/>
  <c r="I98" i="3"/>
  <c r="F64" i="7"/>
  <c r="I49" i="3"/>
  <c r="M83" i="7"/>
  <c r="J75" i="3"/>
  <c r="F29" i="7"/>
  <c r="J9" i="3" s="1"/>
  <c r="I9" i="3"/>
  <c r="M45" i="7"/>
  <c r="J34" i="3"/>
  <c r="D45" i="7"/>
  <c r="J26" i="3"/>
  <c r="J66" i="3"/>
  <c r="D82" i="7"/>
  <c r="O29" i="7"/>
  <c r="F115" i="7"/>
  <c r="J108" i="3" s="1"/>
  <c r="F131" i="7"/>
  <c r="J129" i="3" s="1"/>
  <c r="O115" i="7"/>
  <c r="J116" i="3" s="1"/>
  <c r="O131" i="7"/>
  <c r="M132" i="7" s="1"/>
  <c r="M65" i="7"/>
  <c r="I58" i="3" s="1"/>
  <c r="O147" i="7"/>
  <c r="F147" i="7"/>
  <c r="L17" i="7"/>
  <c r="Q17" i="7" s="1"/>
  <c r="C17" i="7"/>
  <c r="H17" i="7" s="1"/>
  <c r="D164" i="7"/>
  <c r="F164" i="7" s="1"/>
  <c r="J165" i="7"/>
  <c r="H119" i="7"/>
  <c r="Q119" i="7" s="1"/>
  <c r="H86" i="7"/>
  <c r="Q86" i="7" s="1"/>
  <c r="H135" i="7"/>
  <c r="Q135" i="7" s="1"/>
  <c r="H103" i="7"/>
  <c r="Q103" i="7" s="1"/>
  <c r="H68" i="7"/>
  <c r="Q68" i="7" s="1"/>
  <c r="H34" i="7"/>
  <c r="H49" i="7"/>
  <c r="Q49" i="7" s="1"/>
  <c r="Q33" i="7"/>
  <c r="H151" i="7"/>
  <c r="Q151" i="7" s="1"/>
  <c r="H184" i="7"/>
  <c r="Q183" i="7"/>
  <c r="J117" i="7"/>
  <c r="A166" i="7"/>
  <c r="A150" i="7"/>
  <c r="A182" i="7"/>
  <c r="A102" i="7"/>
  <c r="J32" i="7"/>
  <c r="A134" i="7"/>
  <c r="A67" i="7"/>
  <c r="J67" i="7" s="1"/>
  <c r="A85" i="7"/>
  <c r="J85" i="7" s="1"/>
  <c r="A118" i="7"/>
  <c r="A48" i="7"/>
  <c r="J133" i="7"/>
  <c r="J101" i="7"/>
  <c r="A13" i="7"/>
  <c r="A33" i="7"/>
  <c r="J12" i="7"/>
  <c r="M164" i="7"/>
  <c r="O164" i="7" s="1"/>
  <c r="J47" i="7"/>
  <c r="D181" i="7"/>
  <c r="F181" i="7" s="1"/>
  <c r="J181" i="7"/>
  <c r="M181" i="7" s="1"/>
  <c r="O181" i="7" s="1"/>
  <c r="J149" i="7"/>
  <c r="M100" i="7" l="1"/>
  <c r="I99" i="3" s="1"/>
  <c r="I76" i="3"/>
  <c r="O83" i="7"/>
  <c r="F82" i="7"/>
  <c r="I67" i="3"/>
  <c r="D65" i="7"/>
  <c r="J49" i="3"/>
  <c r="F45" i="7"/>
  <c r="J27" i="3" s="1"/>
  <c r="I27" i="3"/>
  <c r="O45" i="7"/>
  <c r="J35" i="3" s="1"/>
  <c r="I35" i="3"/>
  <c r="L8" i="7"/>
  <c r="M30" i="7"/>
  <c r="I18" i="3" s="1"/>
  <c r="J17" i="3"/>
  <c r="C8" i="7"/>
  <c r="M116" i="7"/>
  <c r="I117" i="3" s="1"/>
  <c r="O65" i="7"/>
  <c r="J58" i="3" s="1"/>
  <c r="D132" i="7"/>
  <c r="I130" i="3" s="1"/>
  <c r="D101" i="7"/>
  <c r="M148" i="7"/>
  <c r="O132" i="7"/>
  <c r="D148" i="7"/>
  <c r="D116" i="7"/>
  <c r="I109" i="3" s="1"/>
  <c r="M165" i="7"/>
  <c r="O165" i="7" s="1"/>
  <c r="D165" i="7"/>
  <c r="F165" i="7" s="1"/>
  <c r="J134" i="7"/>
  <c r="H120" i="7"/>
  <c r="Q120" i="7" s="1"/>
  <c r="H136" i="7"/>
  <c r="Q136" i="7" s="1"/>
  <c r="H104" i="7"/>
  <c r="Q104" i="7" s="1"/>
  <c r="Q34" i="7"/>
  <c r="H152" i="7"/>
  <c r="Q152" i="7" s="1"/>
  <c r="H87" i="7"/>
  <c r="Q87" i="7" s="1"/>
  <c r="H69" i="7"/>
  <c r="Q69" i="7" s="1"/>
  <c r="H50" i="7"/>
  <c r="Q50" i="7" s="1"/>
  <c r="J102" i="7"/>
  <c r="Q184" i="7"/>
  <c r="H185" i="7"/>
  <c r="A34" i="7"/>
  <c r="A14" i="7"/>
  <c r="J13" i="7"/>
  <c r="J118" i="7"/>
  <c r="J150" i="7"/>
  <c r="A151" i="7"/>
  <c r="A103" i="7"/>
  <c r="A183" i="7"/>
  <c r="A135" i="7"/>
  <c r="A68" i="7"/>
  <c r="J68" i="7" s="1"/>
  <c r="A167" i="7"/>
  <c r="A86" i="7"/>
  <c r="J86" i="7" s="1"/>
  <c r="A49" i="7"/>
  <c r="J33" i="7"/>
  <c r="A119" i="7"/>
  <c r="J48" i="7"/>
  <c r="J182" i="7"/>
  <c r="M182" i="7" s="1"/>
  <c r="O182" i="7" s="1"/>
  <c r="D182" i="7"/>
  <c r="F182" i="7" s="1"/>
  <c r="J166" i="7"/>
  <c r="O100" i="7" l="1"/>
  <c r="J99" i="3" s="1"/>
  <c r="O30" i="7"/>
  <c r="J18" i="3" s="1"/>
  <c r="F65" i="7"/>
  <c r="I50" i="3"/>
  <c r="M101" i="7"/>
  <c r="I100" i="3" s="1"/>
  <c r="D83" i="7"/>
  <c r="J67" i="3"/>
  <c r="J76" i="3"/>
  <c r="M84" i="7"/>
  <c r="M133" i="7"/>
  <c r="O133" i="7" s="1"/>
  <c r="Q8" i="7"/>
  <c r="O148" i="7"/>
  <c r="M66" i="7"/>
  <c r="I59" i="3" s="1"/>
  <c r="H8" i="7"/>
  <c r="F148" i="7"/>
  <c r="D30" i="7"/>
  <c r="I10" i="3" s="1"/>
  <c r="F101" i="7"/>
  <c r="J92" i="3" s="1"/>
  <c r="O116" i="7"/>
  <c r="J117" i="3" s="1"/>
  <c r="F132" i="7"/>
  <c r="J130" i="3" s="1"/>
  <c r="F116" i="7"/>
  <c r="J109" i="3" s="1"/>
  <c r="D166" i="7"/>
  <c r="F166" i="7" s="1"/>
  <c r="J103" i="7"/>
  <c r="J49" i="7"/>
  <c r="J151" i="7"/>
  <c r="A168" i="7"/>
  <c r="A104" i="7"/>
  <c r="A87" i="7"/>
  <c r="J87" i="7" s="1"/>
  <c r="A184" i="7"/>
  <c r="A120" i="7"/>
  <c r="A50" i="7"/>
  <c r="A152" i="7"/>
  <c r="J34" i="7"/>
  <c r="A69" i="7"/>
  <c r="J69" i="7" s="1"/>
  <c r="A136" i="7"/>
  <c r="J14" i="7"/>
  <c r="A15" i="7"/>
  <c r="A35" i="7"/>
  <c r="H121" i="7"/>
  <c r="Q121" i="7" s="1"/>
  <c r="H137" i="7"/>
  <c r="Q137" i="7" s="1"/>
  <c r="H105" i="7"/>
  <c r="Q105" i="7" s="1"/>
  <c r="H70" i="7"/>
  <c r="Q70" i="7" s="1"/>
  <c r="H36" i="7"/>
  <c r="H153" i="7"/>
  <c r="Q153" i="7" s="1"/>
  <c r="H88" i="7"/>
  <c r="Q88" i="7" s="1"/>
  <c r="H51" i="7"/>
  <c r="Q51" i="7" s="1"/>
  <c r="Q35" i="7"/>
  <c r="J167" i="7"/>
  <c r="M166" i="7"/>
  <c r="O166" i="7" s="1"/>
  <c r="H186" i="7"/>
  <c r="Q185" i="7"/>
  <c r="J135" i="7"/>
  <c r="J119" i="7"/>
  <c r="D183" i="7"/>
  <c r="F183" i="7" s="1"/>
  <c r="J183" i="7"/>
  <c r="M183" i="7" s="1"/>
  <c r="O183" i="7" s="1"/>
  <c r="O101" i="7" l="1"/>
  <c r="J100" i="3" s="1"/>
  <c r="I77" i="3"/>
  <c r="O84" i="7"/>
  <c r="I68" i="3"/>
  <c r="F83" i="7"/>
  <c r="J50" i="3"/>
  <c r="D66" i="7"/>
  <c r="F30" i="7"/>
  <c r="J10" i="3" s="1"/>
  <c r="M134" i="7"/>
  <c r="O134" i="7" s="1"/>
  <c r="O66" i="7"/>
  <c r="J59" i="3" s="1"/>
  <c r="D133" i="7"/>
  <c r="I131" i="3" s="1"/>
  <c r="M117" i="7"/>
  <c r="I118" i="3" s="1"/>
  <c r="M31" i="7"/>
  <c r="I19" i="3" s="1"/>
  <c r="D149" i="7"/>
  <c r="D46" i="7"/>
  <c r="I28" i="3" s="1"/>
  <c r="M46" i="7"/>
  <c r="I36" i="3" s="1"/>
  <c r="D117" i="7"/>
  <c r="I110" i="3" s="1"/>
  <c r="D102" i="7"/>
  <c r="F102" i="7" s="1"/>
  <c r="M149" i="7"/>
  <c r="M167" i="7"/>
  <c r="O167" i="7" s="1"/>
  <c r="M184" i="7"/>
  <c r="O184" i="7" s="1"/>
  <c r="D167" i="7"/>
  <c r="F167" i="7" s="1"/>
  <c r="J184" i="7"/>
  <c r="D184" i="7"/>
  <c r="F184" i="7" s="1"/>
  <c r="J136" i="7"/>
  <c r="J104" i="7"/>
  <c r="Q186" i="7"/>
  <c r="H187" i="7"/>
  <c r="Q187" i="7" s="1"/>
  <c r="J168" i="7"/>
  <c r="J50" i="7"/>
  <c r="J152" i="7"/>
  <c r="A105" i="7"/>
  <c r="A88" i="7"/>
  <c r="J88" i="7" s="1"/>
  <c r="A121" i="7"/>
  <c r="A169" i="7"/>
  <c r="A153" i="7"/>
  <c r="A185" i="7"/>
  <c r="A70" i="7"/>
  <c r="J70" i="7" s="1"/>
  <c r="A51" i="7"/>
  <c r="A137" i="7"/>
  <c r="J35" i="7"/>
  <c r="H122" i="7"/>
  <c r="Q122" i="7" s="1"/>
  <c r="H138" i="7"/>
  <c r="Q138" i="7" s="1"/>
  <c r="H89" i="7"/>
  <c r="Q89" i="7" s="1"/>
  <c r="H71" i="7"/>
  <c r="Q71" i="7" s="1"/>
  <c r="H52" i="7"/>
  <c r="Q52" i="7" s="1"/>
  <c r="Q36" i="7"/>
  <c r="H154" i="7"/>
  <c r="Q154" i="7" s="1"/>
  <c r="H106" i="7"/>
  <c r="Q106" i="7" s="1"/>
  <c r="H37" i="7"/>
  <c r="J15" i="7"/>
  <c r="A36" i="7"/>
  <c r="A16" i="7"/>
  <c r="J120" i="7"/>
  <c r="M102" i="7" l="1"/>
  <c r="O102" i="7" s="1"/>
  <c r="F66" i="7"/>
  <c r="I51" i="3"/>
  <c r="J68" i="3"/>
  <c r="D84" i="7"/>
  <c r="J77" i="3"/>
  <c r="M85" i="7"/>
  <c r="O85" i="7" s="1"/>
  <c r="L86" i="7"/>
  <c r="L150" i="7" s="1"/>
  <c r="O46" i="7"/>
  <c r="L9" i="7"/>
  <c r="Q9" i="7" s="1"/>
  <c r="F149" i="7"/>
  <c r="C9" i="7"/>
  <c r="H9" i="7" s="1"/>
  <c r="O149" i="7"/>
  <c r="O117" i="7"/>
  <c r="J118" i="3" s="1"/>
  <c r="M67" i="7"/>
  <c r="D31" i="7"/>
  <c r="I11" i="3" s="1"/>
  <c r="F117" i="7"/>
  <c r="J110" i="3" s="1"/>
  <c r="F46" i="7"/>
  <c r="J28" i="3" s="1"/>
  <c r="F133" i="7"/>
  <c r="J131" i="3" s="1"/>
  <c r="D168" i="7"/>
  <c r="F168" i="7" s="1"/>
  <c r="J121" i="7"/>
  <c r="M168" i="7"/>
  <c r="O168" i="7" s="1"/>
  <c r="H123" i="7"/>
  <c r="Q123" i="7" s="1"/>
  <c r="H139" i="7"/>
  <c r="Q139" i="7" s="1"/>
  <c r="H72" i="7"/>
  <c r="Q72" i="7" s="1"/>
  <c r="H107" i="7"/>
  <c r="Q107" i="7" s="1"/>
  <c r="H53" i="7"/>
  <c r="Q53" i="7" s="1"/>
  <c r="Q37" i="7"/>
  <c r="H155" i="7"/>
  <c r="Q155" i="7" s="1"/>
  <c r="H90" i="7"/>
  <c r="Q90" i="7" s="1"/>
  <c r="J137" i="7"/>
  <c r="J105" i="7"/>
  <c r="J51" i="7"/>
  <c r="A37" i="7"/>
  <c r="J16" i="7"/>
  <c r="J185" i="7"/>
  <c r="M185" i="7" s="1"/>
  <c r="O185" i="7" s="1"/>
  <c r="D185" i="7"/>
  <c r="F185" i="7" s="1"/>
  <c r="A170" i="7"/>
  <c r="A154" i="7"/>
  <c r="A106" i="7"/>
  <c r="A89" i="7"/>
  <c r="J89" i="7" s="1"/>
  <c r="A138" i="7"/>
  <c r="J36" i="7"/>
  <c r="A122" i="7"/>
  <c r="A186" i="7"/>
  <c r="A52" i="7"/>
  <c r="A71" i="7"/>
  <c r="J71" i="7" s="1"/>
  <c r="J153" i="7"/>
  <c r="J169" i="7"/>
  <c r="I69" i="3" l="1"/>
  <c r="F84" i="7"/>
  <c r="J51" i="3"/>
  <c r="D67" i="7"/>
  <c r="F67" i="7" s="1"/>
  <c r="M47" i="7"/>
  <c r="I37" i="3" s="1"/>
  <c r="J36" i="3"/>
  <c r="M86" i="7"/>
  <c r="O86" i="7" s="1"/>
  <c r="M87" i="7" s="1"/>
  <c r="L118" i="7"/>
  <c r="O67" i="7"/>
  <c r="D118" i="7"/>
  <c r="M118" i="7"/>
  <c r="O118" i="7" s="1"/>
  <c r="D150" i="7"/>
  <c r="F150" i="7" s="1"/>
  <c r="D134" i="7"/>
  <c r="F134" i="7" s="1"/>
  <c r="M150" i="7"/>
  <c r="O150" i="7" s="1"/>
  <c r="F31" i="7"/>
  <c r="J11" i="3" s="1"/>
  <c r="O31" i="7"/>
  <c r="D47" i="7"/>
  <c r="I29" i="3" s="1"/>
  <c r="D169" i="7"/>
  <c r="F169" i="7" s="1"/>
  <c r="M169" i="7"/>
  <c r="O169" i="7" s="1"/>
  <c r="A155" i="7"/>
  <c r="A107" i="7"/>
  <c r="A90" i="7"/>
  <c r="J90" i="7" s="1"/>
  <c r="A139" i="7"/>
  <c r="A187" i="7"/>
  <c r="A171" i="7"/>
  <c r="A72" i="7"/>
  <c r="J72" i="7" s="1"/>
  <c r="A123" i="7"/>
  <c r="J37" i="7"/>
  <c r="A53" i="7"/>
  <c r="J138" i="7"/>
  <c r="J52" i="7"/>
  <c r="J154" i="7"/>
  <c r="J170" i="7"/>
  <c r="J106" i="7"/>
  <c r="J186" i="7"/>
  <c r="M186" i="7" s="1"/>
  <c r="O186" i="7" s="1"/>
  <c r="D186" i="7"/>
  <c r="F186" i="7" s="1"/>
  <c r="J122" i="7"/>
  <c r="L10" i="7" l="1"/>
  <c r="Q10" i="7" s="1"/>
  <c r="O47" i="7"/>
  <c r="J37" i="3" s="1"/>
  <c r="C68" i="7"/>
  <c r="D68" i="7"/>
  <c r="F68" i="7" s="1"/>
  <c r="J69" i="3"/>
  <c r="D85" i="7"/>
  <c r="F85" i="7" s="1"/>
  <c r="C86" i="7" s="1"/>
  <c r="D86" i="7" s="1"/>
  <c r="F86" i="7" s="1"/>
  <c r="M32" i="7"/>
  <c r="J19" i="3"/>
  <c r="F118" i="7"/>
  <c r="L68" i="7"/>
  <c r="O87" i="7"/>
  <c r="M48" i="7"/>
  <c r="L151" i="7"/>
  <c r="F47" i="7"/>
  <c r="J29" i="3" s="1"/>
  <c r="D32" i="7"/>
  <c r="C10" i="7"/>
  <c r="M170" i="7"/>
  <c r="O170" i="7" s="1"/>
  <c r="D187" i="7"/>
  <c r="F187" i="7" s="1"/>
  <c r="J139" i="7"/>
  <c r="D170" i="7"/>
  <c r="F170" i="7" s="1"/>
  <c r="J53" i="7"/>
  <c r="J107" i="7"/>
  <c r="J155" i="7"/>
  <c r="J123" i="7"/>
  <c r="J171" i="7"/>
  <c r="J187" i="7"/>
  <c r="M187" i="7" s="1"/>
  <c r="O187" i="7" s="1"/>
  <c r="L18" i="7" l="1"/>
  <c r="Q18" i="7" s="1"/>
  <c r="D69" i="7"/>
  <c r="F69" i="7"/>
  <c r="D70" i="7" s="1"/>
  <c r="C134" i="7"/>
  <c r="C102" i="7"/>
  <c r="C118" i="7"/>
  <c r="C150" i="7"/>
  <c r="C151" i="7" s="1"/>
  <c r="M151" i="7"/>
  <c r="O151" i="7" s="1"/>
  <c r="O48" i="7"/>
  <c r="F32" i="7"/>
  <c r="M68" i="7"/>
  <c r="O68" i="7" s="1"/>
  <c r="D87" i="7"/>
  <c r="L102" i="7"/>
  <c r="M88" i="7"/>
  <c r="L134" i="7"/>
  <c r="L135" i="7" s="1"/>
  <c r="L103" i="7" s="1"/>
  <c r="L119" i="7"/>
  <c r="L11" i="7"/>
  <c r="Q11" i="7" s="1"/>
  <c r="C18" i="7"/>
  <c r="H18" i="7" s="1"/>
  <c r="H10" i="7"/>
  <c r="D48" i="7"/>
  <c r="O32" i="7"/>
  <c r="M33" i="7" s="1"/>
  <c r="M171" i="7"/>
  <c r="O171" i="7" s="1"/>
  <c r="D171" i="7"/>
  <c r="F171" i="7" s="1"/>
  <c r="M103" i="7" l="1"/>
  <c r="O103" i="7" s="1"/>
  <c r="M104" i="7" s="1"/>
  <c r="O88" i="7"/>
  <c r="F70" i="7"/>
  <c r="M119" i="7"/>
  <c r="O119" i="7" s="1"/>
  <c r="M49" i="7"/>
  <c r="M135" i="7"/>
  <c r="M152" i="7"/>
  <c r="F48" i="7"/>
  <c r="C119" i="7"/>
  <c r="D151" i="7"/>
  <c r="F151" i="7" s="1"/>
  <c r="F87" i="7"/>
  <c r="D33" i="7"/>
  <c r="M69" i="7"/>
  <c r="C11" i="7"/>
  <c r="H11" i="7" s="1"/>
  <c r="O104" i="7" l="1"/>
  <c r="M105" i="7" s="1"/>
  <c r="D71" i="7"/>
  <c r="M89" i="7"/>
  <c r="O135" i="7"/>
  <c r="M136" i="7" s="1"/>
  <c r="O136" i="7" s="1"/>
  <c r="O152" i="7"/>
  <c r="D152" i="7"/>
  <c r="D88" i="7"/>
  <c r="O69" i="7"/>
  <c r="D119" i="7"/>
  <c r="F119" i="7" s="1"/>
  <c r="O49" i="7"/>
  <c r="L12" i="7"/>
  <c r="Q12" i="7" s="1"/>
  <c r="F33" i="7"/>
  <c r="D49" i="7"/>
  <c r="M120" i="7"/>
  <c r="O33" i="7"/>
  <c r="M34" i="7" s="1"/>
  <c r="F88" i="7" l="1"/>
  <c r="O89" i="7"/>
  <c r="O105" i="7"/>
  <c r="F71" i="7"/>
  <c r="O120" i="7"/>
  <c r="M50" i="7"/>
  <c r="D120" i="7"/>
  <c r="F49" i="7"/>
  <c r="F152" i="7"/>
  <c r="D34" i="7"/>
  <c r="M70" i="7"/>
  <c r="M153" i="7"/>
  <c r="M137" i="7"/>
  <c r="M90" i="7" l="1"/>
  <c r="O70" i="7"/>
  <c r="M106" i="7"/>
  <c r="O137" i="7"/>
  <c r="O153" i="7"/>
  <c r="D72" i="7"/>
  <c r="D89" i="7"/>
  <c r="D153" i="7"/>
  <c r="D50" i="7"/>
  <c r="F120" i="7"/>
  <c r="F34" i="7"/>
  <c r="M121" i="7"/>
  <c r="L13" i="7"/>
  <c r="Q13" i="7" s="1"/>
  <c r="O50" i="7"/>
  <c r="O34" i="7"/>
  <c r="M35" i="7" s="1"/>
  <c r="O121" i="7" l="1"/>
  <c r="F89" i="7"/>
  <c r="O106" i="7"/>
  <c r="F72" i="7"/>
  <c r="M71" i="7"/>
  <c r="F153" i="7"/>
  <c r="M138" i="7"/>
  <c r="M154" i="7"/>
  <c r="O90" i="7"/>
  <c r="L19" i="7"/>
  <c r="Q19" i="7" s="1"/>
  <c r="D121" i="7"/>
  <c r="D35" i="7"/>
  <c r="M51" i="7"/>
  <c r="F50" i="7"/>
  <c r="O138" i="7" l="1"/>
  <c r="M107" i="7"/>
  <c r="O154" i="7"/>
  <c r="F121" i="7"/>
  <c r="D154" i="7"/>
  <c r="D90" i="7"/>
  <c r="F35" i="7"/>
  <c r="O51" i="7"/>
  <c r="O71" i="7"/>
  <c r="M122" i="7"/>
  <c r="D51" i="7"/>
  <c r="L14" i="7"/>
  <c r="Q14" i="7" s="1"/>
  <c r="O35" i="7"/>
  <c r="M36" i="7" l="1"/>
  <c r="M155" i="7"/>
  <c r="M72" i="7"/>
  <c r="M52" i="7"/>
  <c r="D122" i="7"/>
  <c r="F51" i="7"/>
  <c r="F90" i="7"/>
  <c r="O107" i="7"/>
  <c r="O122" i="7"/>
  <c r="D36" i="7"/>
  <c r="F154" i="7"/>
  <c r="M139" i="7"/>
  <c r="L15" i="7" l="1"/>
  <c r="Q15" i="7" s="1"/>
  <c r="M123" i="7"/>
  <c r="F122" i="7"/>
  <c r="O139" i="7"/>
  <c r="O72" i="7"/>
  <c r="O52" i="7"/>
  <c r="D155" i="7"/>
  <c r="F155" i="7" s="1"/>
  <c r="F36" i="7"/>
  <c r="D52" i="7"/>
  <c r="O155" i="7"/>
  <c r="O36" i="7"/>
  <c r="M37" i="7" l="1"/>
  <c r="D123" i="7"/>
  <c r="M53" i="7"/>
  <c r="O123" i="7"/>
  <c r="D37" i="7"/>
  <c r="F52" i="7"/>
  <c r="D24" i="2"/>
  <c r="D23" i="2"/>
  <c r="D22" i="2"/>
  <c r="E24" i="2"/>
  <c r="E23" i="2"/>
  <c r="E22" i="2"/>
  <c r="F24" i="2"/>
  <c r="F23" i="2"/>
  <c r="F22" i="2"/>
  <c r="D18" i="2"/>
  <c r="E18" i="2"/>
  <c r="F18" i="2"/>
  <c r="O53" i="7" l="1"/>
  <c r="V40" i="7" s="1"/>
  <c r="L16" i="7"/>
  <c r="Q16" i="7" s="1"/>
  <c r="D53" i="7"/>
  <c r="F123" i="7"/>
  <c r="F37" i="7"/>
  <c r="U26" i="7" s="1"/>
  <c r="O37" i="7"/>
  <c r="V26" i="7" s="1"/>
  <c r="L21" i="7" l="1"/>
  <c r="Q21" i="7" s="1"/>
  <c r="L20" i="7"/>
  <c r="Q20" i="7" s="1"/>
  <c r="F53" i="7"/>
  <c r="U40" i="7" s="1"/>
  <c r="U11" i="2"/>
  <c r="Q38"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24" i="2"/>
  <c r="N24" i="2"/>
  <c r="M24" i="2"/>
  <c r="L24" i="2"/>
  <c r="K24" i="2"/>
  <c r="J24" i="2"/>
  <c r="I24" i="2"/>
  <c r="H24" i="2"/>
  <c r="G24" i="2"/>
  <c r="O23" i="2"/>
  <c r="N23" i="2"/>
  <c r="M23" i="2"/>
  <c r="L23" i="2"/>
  <c r="K23" i="2"/>
  <c r="J23" i="2"/>
  <c r="I23" i="2"/>
  <c r="H23" i="2"/>
  <c r="G23" i="2"/>
  <c r="O22" i="2"/>
  <c r="N22" i="2"/>
  <c r="M22" i="2"/>
  <c r="L22" i="2"/>
  <c r="K22" i="2"/>
  <c r="J22" i="2"/>
  <c r="I22" i="2"/>
  <c r="H22" i="2"/>
  <c r="G22" i="2"/>
  <c r="O18" i="2"/>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R49" i="2" l="1"/>
  <c r="R23" i="2"/>
  <c r="S50" i="2"/>
  <c r="T48" i="2"/>
  <c r="R50" i="2"/>
  <c r="T23" i="2"/>
  <c r="R24" i="2"/>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U44" i="1" l="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S10" i="1"/>
  <c r="T10" i="1"/>
  <c r="T9" i="1"/>
  <c r="S9" i="1"/>
  <c r="Q9" i="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Q46" i="1"/>
  <c r="T24" i="1" l="1"/>
  <c r="R51" i="1"/>
  <c r="U38" i="1"/>
  <c r="U11" i="1"/>
  <c r="Q48" i="1"/>
  <c r="Q47" i="1" s="1"/>
  <c r="U12" i="1"/>
  <c r="T50" i="1"/>
  <c r="T51" i="1"/>
  <c r="T52" i="1"/>
  <c r="T22" i="1"/>
  <c r="T23" i="1"/>
  <c r="U50" i="1"/>
  <c r="U51" i="1"/>
  <c r="S50" i="1"/>
  <c r="S51" i="1"/>
  <c r="S22" i="1"/>
  <c r="S23" i="1"/>
  <c r="U24" i="1"/>
  <c r="S24" i="1"/>
  <c r="R22" i="1"/>
  <c r="R24" i="1"/>
  <c r="Q11" i="1"/>
  <c r="U22" i="1"/>
  <c r="R23" i="1"/>
  <c r="R50" i="1"/>
  <c r="R52" i="1"/>
  <c r="Q20" i="1"/>
  <c r="Q19" i="1" s="1"/>
  <c r="S52" i="1"/>
  <c r="A48" i="1"/>
  <c r="Q40" i="1"/>
  <c r="U10" i="1"/>
  <c r="U23" i="1"/>
  <c r="U52" i="1"/>
  <c r="Q10" i="1"/>
  <c r="Q12" i="1"/>
  <c r="Q39" i="1"/>
  <c r="U40" i="1"/>
  <c r="U39" i="1"/>
  <c r="Q38" i="1"/>
  <c r="U37" i="1"/>
  <c r="Q37" i="1"/>
  <c r="A53" i="1"/>
  <c r="A54" i="1" s="1"/>
  <c r="A55" i="1" s="1"/>
  <c r="Q55" i="1"/>
  <c r="Q56" i="1" s="1"/>
  <c r="Q27" i="1"/>
  <c r="Q28" i="1" s="1"/>
  <c r="U54" i="1" l="1"/>
  <c r="T54" i="1"/>
  <c r="U26" i="1"/>
  <c r="T26" i="1"/>
  <c r="C54" i="1"/>
  <c r="Q57" i="1"/>
  <c r="C57" i="1"/>
  <c r="C56" i="1"/>
  <c r="C55" i="1"/>
  <c r="Q29" i="1"/>
  <c r="Q30" i="1" l="1"/>
  <c r="Q58" i="1"/>
  <c r="Q60" i="1" l="1"/>
  <c r="Q32" i="1"/>
  <c r="Q33" i="1" s="1"/>
  <c r="Q63" i="1" l="1"/>
  <c r="Q61" i="1"/>
  <c r="U18" i="2" l="1"/>
  <c r="U18" i="1" l="1"/>
  <c r="T18" i="1" l="1"/>
  <c r="G55" i="2" l="1"/>
  <c r="D55" i="2"/>
  <c r="O52" i="2"/>
  <c r="N52" i="2"/>
  <c r="L52" i="2"/>
  <c r="I52" i="2"/>
  <c r="H52" i="2"/>
  <c r="G52" i="2"/>
  <c r="F52" i="2"/>
  <c r="E52" i="2"/>
  <c r="D52" i="2"/>
  <c r="U44" i="2"/>
  <c r="T44" i="2"/>
  <c r="S44" i="2"/>
  <c r="R44" i="2"/>
  <c r="Q44" i="2"/>
  <c r="H55" i="2"/>
  <c r="O25" i="2"/>
  <c r="N25" i="2"/>
  <c r="N26" i="2" s="1"/>
  <c r="M25" i="2"/>
  <c r="M26" i="2" s="1"/>
  <c r="L25" i="2"/>
  <c r="K25" i="2"/>
  <c r="K26" i="2" s="1"/>
  <c r="J25" i="2"/>
  <c r="J26" i="2" s="1"/>
  <c r="I25" i="2"/>
  <c r="I26" i="2" s="1"/>
  <c r="H25" i="2"/>
  <c r="G25" i="2"/>
  <c r="G26" i="2" s="1"/>
  <c r="F25" i="2"/>
  <c r="F26" i="2" s="1"/>
  <c r="E25" i="2"/>
  <c r="E26" i="2" s="1"/>
  <c r="D25" i="2"/>
  <c r="N20" i="2"/>
  <c r="M20" i="2"/>
  <c r="L20" i="2"/>
  <c r="L27" i="2" s="1"/>
  <c r="K20" i="2"/>
  <c r="J20" i="2"/>
  <c r="I20" i="2"/>
  <c r="H20" i="2"/>
  <c r="G20" i="2"/>
  <c r="F20" i="2"/>
  <c r="E20" i="2"/>
  <c r="D20" i="2"/>
  <c r="T18" i="2"/>
  <c r="S18" i="2"/>
  <c r="R18" i="2"/>
  <c r="Q18" i="2"/>
  <c r="E6" i="2"/>
  <c r="F6" i="2" s="1"/>
  <c r="G6" i="2" s="1"/>
  <c r="H6" i="2" s="1"/>
  <c r="I6" i="2" s="1"/>
  <c r="J6" i="2" s="1"/>
  <c r="K6" i="2" s="1"/>
  <c r="L6" i="2" s="1"/>
  <c r="M6" i="2" s="1"/>
  <c r="N6" i="2" s="1"/>
  <c r="O6" i="2" s="1"/>
  <c r="U46" i="1"/>
  <c r="T46" i="1"/>
  <c r="S46" i="1"/>
  <c r="R46" i="1"/>
  <c r="S18" i="1"/>
  <c r="R18" i="1"/>
  <c r="E27" i="2" l="1"/>
  <c r="D53" i="2"/>
  <c r="K27" i="2"/>
  <c r="H27" i="2"/>
  <c r="F27" i="2"/>
  <c r="G27" i="2"/>
  <c r="J27" i="2"/>
  <c r="M27" i="2"/>
  <c r="N27" i="2"/>
  <c r="O27" i="2"/>
  <c r="U20" i="1"/>
  <c r="I27" i="2"/>
  <c r="S20" i="2"/>
  <c r="S19" i="2" s="1"/>
  <c r="Q25" i="2"/>
  <c r="Q26" i="2" s="1"/>
  <c r="E53" i="2"/>
  <c r="T46" i="2"/>
  <c r="T45" i="2" s="1"/>
  <c r="T20" i="2"/>
  <c r="T19" i="2" s="1"/>
  <c r="N53" i="2"/>
  <c r="D26" i="2"/>
  <c r="L53" i="2"/>
  <c r="K53" i="2"/>
  <c r="F53" i="2"/>
  <c r="Q51" i="2"/>
  <c r="Q52" i="2" s="1"/>
  <c r="D27" i="2"/>
  <c r="Q20" i="2"/>
  <c r="Q19" i="2" s="1"/>
  <c r="F55" i="2"/>
  <c r="E55" i="2"/>
  <c r="U46" i="2"/>
  <c r="U45" i="2" s="1"/>
  <c r="Q46" i="2"/>
  <c r="Q45" i="2" s="1"/>
  <c r="S51" i="2"/>
  <c r="S52" i="2" s="1"/>
  <c r="J52" i="2"/>
  <c r="J53" i="2"/>
  <c r="K52" i="2"/>
  <c r="H26" i="2"/>
  <c r="R46" i="2"/>
  <c r="R45" i="2" s="1"/>
  <c r="M53" i="2"/>
  <c r="M52" i="2"/>
  <c r="G53" i="2"/>
  <c r="R48" i="1"/>
  <c r="R47" i="1" s="1"/>
  <c r="R20" i="1"/>
  <c r="R19" i="1" s="1"/>
  <c r="O53" i="2"/>
  <c r="T51" i="2"/>
  <c r="T52" i="2" s="1"/>
  <c r="O26" i="2"/>
  <c r="T25" i="2"/>
  <c r="T26" i="2" s="1"/>
  <c r="U51" i="2"/>
  <c r="U52" i="2" s="1"/>
  <c r="S46" i="2"/>
  <c r="S45" i="2" s="1"/>
  <c r="L26" i="2"/>
  <c r="S25" i="2"/>
  <c r="S26" i="2" s="1"/>
  <c r="U20" i="2"/>
  <c r="U19" i="2" s="1"/>
  <c r="S20" i="1"/>
  <c r="S19" i="1" s="1"/>
  <c r="R51" i="2"/>
  <c r="R52" i="2" s="1"/>
  <c r="I53" i="2"/>
  <c r="H53" i="2"/>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R28" i="2" l="1"/>
  <c r="Q28" i="2"/>
  <c r="T57" i="1"/>
  <c r="T58" i="1"/>
  <c r="Q53" i="2"/>
  <c r="R27" i="2"/>
  <c r="S53" i="2"/>
  <c r="S27" i="2"/>
  <c r="T53" i="2"/>
  <c r="D56" i="2"/>
  <c r="D58" i="2" s="1"/>
  <c r="Q27" i="2"/>
  <c r="T29" i="1"/>
  <c r="T27" i="2"/>
  <c r="U27" i="2"/>
  <c r="U53" i="2"/>
  <c r="R53" i="2"/>
  <c r="I55" i="2"/>
  <c r="U19" i="1"/>
  <c r="U55" i="1"/>
  <c r="U56" i="1" s="1"/>
  <c r="S29" i="1"/>
  <c r="T30" i="1"/>
  <c r="U48" i="1"/>
  <c r="U47" i="1" s="1"/>
  <c r="R57" i="1"/>
  <c r="S57" i="1"/>
  <c r="R29" i="1"/>
  <c r="T54" i="2" l="1"/>
  <c r="R54" i="2"/>
  <c r="Q54" i="2"/>
  <c r="S54" i="2"/>
  <c r="T28" i="2"/>
  <c r="S28" i="2"/>
  <c r="U54" i="2"/>
  <c r="U28" i="2"/>
  <c r="E56" i="2"/>
  <c r="E57" i="2" s="1"/>
  <c r="D57" i="2"/>
  <c r="D30" i="2"/>
  <c r="S58" i="1"/>
  <c r="J55" i="2"/>
  <c r="R58" i="1"/>
  <c r="U58" i="1"/>
  <c r="U30" i="1"/>
  <c r="U57" i="1"/>
  <c r="U29" i="1"/>
  <c r="R30" i="1"/>
  <c r="S30" i="1"/>
  <c r="D32" i="2" l="1"/>
  <c r="D31" i="2"/>
  <c r="E58" i="2"/>
  <c r="K55" i="2"/>
  <c r="F56" i="2" l="1"/>
  <c r="D60" i="2"/>
  <c r="E30" i="2"/>
  <c r="L55" i="2"/>
  <c r="F57" i="2" l="1"/>
  <c r="Q56" i="2"/>
  <c r="Q57" i="2" s="1"/>
  <c r="E31" i="2"/>
  <c r="E32" i="2"/>
  <c r="E60" i="2" s="1"/>
  <c r="F58" i="2"/>
  <c r="M55" i="2"/>
  <c r="F30" i="2" l="1"/>
  <c r="F31" i="2" s="1"/>
  <c r="G56" i="2"/>
  <c r="O55" i="2"/>
  <c r="N55"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O58" i="2"/>
  <c r="L60" i="2"/>
  <c r="M30" i="2"/>
  <c r="S32" i="1"/>
  <c r="S33" i="1" s="1"/>
  <c r="M32" i="2" l="1"/>
  <c r="M31" i="2"/>
  <c r="M60" i="2" l="1"/>
  <c r="N30" i="2"/>
  <c r="N32" i="2" s="1"/>
  <c r="U60" i="1"/>
  <c r="T60" i="1"/>
  <c r="N31" i="2" l="1"/>
  <c r="N60" i="2"/>
  <c r="O30" i="2"/>
  <c r="T63" i="1"/>
  <c r="T61" i="1"/>
  <c r="U63" i="1"/>
  <c r="U61" i="1"/>
  <c r="U30" i="2" l="1"/>
  <c r="U31" i="2" s="1"/>
  <c r="O31" i="2"/>
  <c r="T30" i="2"/>
  <c r="T31" i="2" s="1"/>
  <c r="O32" i="2"/>
  <c r="O60" i="2" s="1"/>
  <c r="U32" i="1"/>
  <c r="U33" i="1" s="1"/>
  <c r="T32" i="1"/>
  <c r="T33" i="1" s="1"/>
  <c r="C103" i="7" l="1"/>
  <c r="D103" i="7" s="1"/>
  <c r="C135" i="7" l="1"/>
  <c r="F103" i="7"/>
  <c r="D104" i="7" s="1"/>
  <c r="F104" i="7" s="1"/>
  <c r="D135" i="7"/>
  <c r="C12" i="7" s="1"/>
  <c r="H12" i="7" s="1"/>
  <c r="D105" i="7" l="1"/>
  <c r="F135" i="7"/>
  <c r="D136" i="7" l="1"/>
  <c r="C13" i="7" s="1"/>
  <c r="F105" i="7"/>
  <c r="F136" i="7" l="1"/>
  <c r="D137" i="7" s="1"/>
  <c r="D106" i="7"/>
  <c r="F106" i="7" s="1"/>
  <c r="H13" i="7"/>
  <c r="C19" i="7"/>
  <c r="H19" i="7" s="1"/>
  <c r="D107" i="7" l="1"/>
  <c r="C14" i="7"/>
  <c r="F137" i="7"/>
  <c r="H14" i="7" l="1"/>
  <c r="D138" i="7"/>
  <c r="F138" i="7" s="1"/>
  <c r="F107" i="7"/>
  <c r="D139" i="7" l="1"/>
  <c r="F139" i="7" s="1"/>
  <c r="C15" i="7"/>
  <c r="C16" i="7" l="1"/>
  <c r="C21" i="7" s="1"/>
  <c r="H21" i="7" s="1"/>
  <c r="H15" i="7"/>
  <c r="C20" i="7" l="1"/>
  <c r="H20" i="7" s="1"/>
  <c r="H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60" authorId="0" shapeId="0" xr:uid="{9EDF6891-F2CA-46BA-AB73-403B0E6FEF8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60" authorId="0" shapeId="0" xr:uid="{BBBC0732-0A1E-4556-B252-582CDD462353}">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F78" authorId="0" shapeId="0" xr:uid="{50E352B5-C5A0-4756-8C0F-4F297B64AFBF}">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78" authorId="0" shapeId="0" xr:uid="{5684599D-8AFB-4F9C-94D1-79E7A7996F5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List>
</comments>
</file>

<file path=xl/sharedStrings.xml><?xml version="1.0" encoding="utf-8"?>
<sst xmlns="http://schemas.openxmlformats.org/spreadsheetml/2006/main" count="1261" uniqueCount="204">
  <si>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</si>
  <si>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</si>
  <si>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</si>
  <si>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</si>
  <si>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</si>
  <si>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</si>
  <si>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</si>
  <si>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</si>
  <si>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</si>
  <si>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</si>
  <si>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</si>
  <si>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</si>
  <si>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</si>
  <si>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</si>
  <si>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</si>
  <si>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</si>
  <si>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</si>
  <si>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</si>
  <si>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</si>
  <si>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</si>
  <si>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</si>
  <si>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</si>
  <si>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</si>
  <si>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</si>
  <si>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</si>
  <si>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</si>
  <si>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</si>
  <si>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</si>
  <si>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</si>
  <si>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</si>
  <si>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</si>
  <si>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</si>
  <si>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</si>
  <si>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</si>
  <si>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</si>
  <si>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</si>
  <si>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</si>
  <si>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</si>
  <si>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</si>
  <si>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</si>
  <si>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</si>
  <si>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</si>
  <si>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</si>
  <si>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</si>
  <si>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</si>
  <si>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</si>
  <si>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</si>
  <si>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</si>
  <si>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</si>
  <si>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</si>
  <si>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</si>
  <si>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</si>
  <si>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</si>
  <si>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</si>
  <si>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</si>
  <si>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</si>
  <si>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</si>
  <si>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</si>
  <si>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</si>
  <si>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</si>
  <si>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</si>
  <si>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</si>
  <si>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</si>
  <si>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</si>
  <si>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</si>
  <si>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</si>
  <si>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</si>
  <si>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</si>
  <si>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</si>
  <si>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</si>
  <si>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</si>
  <si>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</si>
  <si>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</si>
  <si>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</si>
  <si>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</si>
  <si>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</si>
  <si>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</si>
  <si>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</si>
  <si>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</si>
  <si>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</si>
  <si>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</si>
  <si>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</si>
  <si>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</si>
  <si>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</si>
  <si>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</si>
  <si>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</si>
  <si>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</si>
  <si>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</si>
  <si>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</si>
  <si>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</si>
  <si>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</si>
  <si>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</si>
  <si>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</si>
  <si>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</si>
  <si>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</si>
  <si>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</si>
  <si>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</si>
  <si>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</si>
  <si>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</si>
  <si>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</si>
  <si>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</si>
  <si>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</si>
  <si>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</si>
  <si>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</si>
  <si>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</si>
  <si>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</si>
  <si>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</si>
  <si>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</si>
  <si>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</si>
  <si>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</si>
  <si>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</si>
  <si>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</si>
  <si>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</si>
  <si>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</si>
  <si>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</si>
  <si>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</si>
  <si>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</si>
  <si>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</si>
  <si>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</si>
  <si>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</si>
  <si>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</si>
  <si>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</si>
  <si>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</si>
  <si>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</si>
  <si>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</si>
  <si>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</si>
  <si>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</si>
  <si>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</si>
  <si>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</si>
  <si>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</si>
  <si>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</si>
  <si>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</si>
  <si>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</si>
  <si>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</si>
  <si>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</si>
  <si>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</si>
  <si>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</si>
  <si>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</si>
  <si>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</si>
  <si>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</si>
  <si>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</si>
  <si>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</si>
  <si>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</si>
  <si>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</si>
  <si>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</si>
  <si>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</si>
  <si>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</si>
  <si>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</si>
  <si>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</si>
  <si>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</si>
  <si>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</si>
  <si>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</si>
  <si>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1st Quarter</t>
  </si>
  <si>
    <t>2nd Quarter</t>
  </si>
  <si>
    <t>3rd Quarter</t>
  </si>
  <si>
    <t>4th Quarter</t>
  </si>
  <si>
    <t>Actual Usage (kWhs)</t>
  </si>
  <si>
    <t>New Customers</t>
  </si>
  <si>
    <t>New Customer Usage (kWhs)</t>
  </si>
  <si>
    <t>New Customer Base Rate Revenue</t>
  </si>
  <si>
    <t>New Customer Basic Charge Revenue</t>
  </si>
  <si>
    <t>Attachment 3,  Page 3</t>
  </si>
  <si>
    <t>Attachment 3, Page 1</t>
  </si>
  <si>
    <t>Cumulative Deferral (Rebate)/Surcharge Balance</t>
  </si>
  <si>
    <t>Attachment 3, Page 3</t>
  </si>
  <si>
    <t>Total Cumulative Deferral (Rebate)/Surcharge Balance</t>
  </si>
  <si>
    <t>Actual Usage ("Therms)</t>
  </si>
  <si>
    <t>New Customer Usage (Therms)</t>
  </si>
  <si>
    <t>New Customer Fixed Charge Revenue</t>
  </si>
  <si>
    <t>Actual/Test Year Existing Customers</t>
  </si>
  <si>
    <t>Cumulative Deferral (Rebate) Balance</t>
  </si>
  <si>
    <t>Test Year Existing Customers</t>
  </si>
  <si>
    <t>Total Cumulative Deferral (Rebate)</t>
  </si>
  <si>
    <t>YTD Weighted</t>
  </si>
  <si>
    <t>Check to Int Recon Tab</t>
  </si>
  <si>
    <t>Average Customer Adjustment</t>
  </si>
  <si>
    <t>TRANSFER PRIOR YEAR BALANCES APPROVED FOR RECOVERY TO SURCHARGE/REBATE ACCOUNTS AUGUST 1.</t>
  </si>
  <si>
    <t>Check to Deferral</t>
  </si>
  <si>
    <t>Year to Date</t>
  </si>
  <si>
    <t>Actual Customers-Test Year Existing</t>
  </si>
  <si>
    <t>Actual Base Rate Revenue-Test Year Existing</t>
  </si>
  <si>
    <t>Actual Basic Charge Revenue-Test Year Existing</t>
  </si>
  <si>
    <t>Actual Usage (kWhs)-Test Year Existing</t>
  </si>
  <si>
    <t>Year To Date</t>
  </si>
  <si>
    <t>Actual Usage - Test Year Existing</t>
  </si>
  <si>
    <t>Actual Base Rate Revenue - Test Year Existing</t>
  </si>
  <si>
    <t>Actual Fixed Charge Revenue - Test Year Existing</t>
  </si>
  <si>
    <t>Actual Usage (Therms) - Test Year Existing</t>
  </si>
  <si>
    <t xml:space="preserve">
 2nd Quarter</t>
  </si>
  <si>
    <t>Decoupling Mechanism - UE-200900 Base Effective 10/1/2021</t>
  </si>
  <si>
    <t>Development of WA Electric Deferrals (Calendar Year 2022)</t>
  </si>
  <si>
    <t>Development of WA Natural Gas Deferrals (Calendar Year 2022)</t>
  </si>
  <si>
    <t>202201</t>
  </si>
  <si>
    <t>202202</t>
  </si>
  <si>
    <t>202203</t>
  </si>
  <si>
    <t>Provision for Rate Refund - December 2021 Estimate</t>
  </si>
  <si>
    <t>202204</t>
  </si>
  <si>
    <t>202205</t>
  </si>
  <si>
    <t>202206</t>
  </si>
  <si>
    <t>Total Q1</t>
  </si>
  <si>
    <t>Total Q2</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</si>
  <si>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2022.  Residential electric customers usage and decoupled revenue were higher than authorized in the first and second quarters resulting in a net rebate deferral at the end of Q2.  Non-residential electric customers usage was lower than authorized in the first quarter but decoupled revenue was higher.  In the second quarter, non-residential electric customers usage and decoupled revenue was lower than authorized resulting in a net surcharge deferral at the end of Q2.  Residential natural gas usage and decoupled revenue was higher in the first two quarters resulting in a net rebate deferral at the end of Q2. Non-residential natural gas usage was lower than authorized in the first quarter and slightly higher in the second quarter, however decoupled revenue was higher than authorized in the first and second quarters resulting in a net rebate deferral at the end of Q2.  </t>
    </r>
  </si>
  <si>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2022 surcharge may not be fully recovered by 12/31/2024 and therefore would not be recognizable as income for financial reporting purposes in 2022.   The income statement impact of any contra deferral entries will be eliminated for Commission Basis results reporting.</t>
    </r>
  </si>
  <si>
    <t>Deferred Revenue Pending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</si>
</sst>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9"/>
      <color indexed="81"/>
      <name val="Tahoma"/>
      <family val="2"/>
    </font>
    <font>
      <b/>
      <sz val="9"/>
      <color indexed="81"/>
      <name val="Tahoma"/>
      <family val="2"/>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
      <sz val="10"/>
      <color theme="6" tint="-0.499984740745262"/>
      <name val="Times New Roman"/>
      <family val="1"/>
    </font>
    <font>
      <b/>
      <sz val="11"/>
      <color theme="5"/>
      <name val="Symbol"/>
      <family val="1"/>
      <charset val="2"/>
    </font>
  </fonts>
  <fills count="1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8" tint="0.59999389629810485"/>
        <bgColor indexed="64"/>
      </patternFill>
    </fill>
  </fills>
  <borders count="61">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80">
    <xf numFmtId="0" fontId="0" fillId="0" borderId="0" xfId="0"/>
    <xf numFmtId="0" fontId="6" fillId="2" borderId="0" xfId="3" applyFont="1" applyFill="1" applyAlignment="1">
      <alignment horizontal="center"/>
    </xf>
    <xf numFmtId="0" fontId="5" fillId="2" borderId="0" xfId="3" applyFont="1" applyFill="1" applyAlignment="1">
      <alignment horizontal="left"/>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167" fontId="5" fillId="2" borderId="0" xfId="3" applyNumberFormat="1" applyFont="1" applyFill="1"/>
    <xf numFmtId="170" fontId="5" fillId="2" borderId="0" xfId="6" applyNumberFormat="1"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167" fontId="8" fillId="2" borderId="0" xfId="3" applyNumberFormat="1" applyFont="1" applyFill="1" applyBorder="1"/>
    <xf numFmtId="43" fontId="0" fillId="0" borderId="0" xfId="6" applyFont="1"/>
    <xf numFmtId="166" fontId="7" fillId="2" borderId="0" xfId="3" applyNumberFormat="1" applyFont="1" applyFill="1" applyAlignment="1">
      <alignment vertical="center" wrapText="1"/>
    </xf>
    <xf numFmtId="0" fontId="0" fillId="0" borderId="0" xfId="0"/>
    <xf numFmtId="0" fontId="5" fillId="2" borderId="0" xfId="3"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2" borderId="0" xfId="3" applyFont="1" applyFill="1" applyAlignment="1"/>
    <xf numFmtId="167" fontId="8" fillId="2" borderId="53" xfId="3" applyNumberFormat="1" applyFont="1" applyFill="1" applyBorder="1"/>
    <xf numFmtId="0" fontId="6" fillId="2" borderId="0" xfId="3" applyFont="1" applyFill="1" applyAlignment="1">
      <alignment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0" fillId="0" borderId="0" xfId="0" quotePrefix="1"/>
    <xf numFmtId="10" fontId="176" fillId="0" borderId="0" xfId="0" applyNumberFormat="1" applyFont="1"/>
    <xf numFmtId="4" fontId="0" fillId="0" borderId="0" xfId="0" applyNumberFormat="1"/>
    <xf numFmtId="244" fontId="0" fillId="0" borderId="0" xfId="0" applyNumberFormat="1"/>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0" fontId="5" fillId="2" borderId="0" xfId="3" applyFont="1" applyFill="1" applyBorder="1" applyAlignment="1">
      <alignment horizontal="center"/>
    </xf>
    <xf numFmtId="167" fontId="7" fillId="2" borderId="0" xfId="5" applyNumberFormat="1" applyFont="1" applyFill="1" applyBorder="1"/>
    <xf numFmtId="167" fontId="5" fillId="2" borderId="0" xfId="3" applyNumberFormat="1" applyFont="1" applyFill="1" applyBorder="1"/>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7" fontId="176" fillId="0" borderId="0" xfId="0" applyNumberFormat="1" applyFont="1"/>
    <xf numFmtId="0" fontId="178" fillId="0" borderId="0" xfId="0" applyFont="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7" fillId="0" borderId="0" xfId="0" applyNumberFormat="1" applyFont="1"/>
    <xf numFmtId="44" fontId="179"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180" fillId="2" borderId="0" xfId="3" applyNumberFormat="1" applyFont="1" applyFill="1" applyAlignment="1">
      <alignment horizontal="center"/>
    </xf>
    <xf numFmtId="165" fontId="180" fillId="2" borderId="0" xfId="3" applyNumberFormat="1" applyFont="1" applyFill="1" applyBorder="1" applyAlignment="1">
      <alignment horizontal="center"/>
    </xf>
    <xf numFmtId="167" fontId="180" fillId="2" borderId="0" xfId="3" applyNumberFormat="1" applyFont="1" applyFill="1" applyAlignment="1">
      <alignment horizontal="center"/>
    </xf>
    <xf numFmtId="167" fontId="180"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0" fillId="2" borderId="0" xfId="3" applyNumberFormat="1" applyFont="1" applyFill="1"/>
    <xf numFmtId="167" fontId="180" fillId="2" borderId="0" xfId="3" applyNumberFormat="1" applyFont="1" applyFill="1"/>
    <xf numFmtId="167" fontId="7" fillId="2" borderId="0" xfId="1" applyNumberFormat="1"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0" fontId="0" fillId="0" borderId="0" xfId="0" applyAlignment="1">
      <alignment horizontal="left" wrapText="1"/>
    </xf>
    <xf numFmtId="203" fontId="171" fillId="0" borderId="0" xfId="0" applyNumberFormat="1" applyFont="1" applyAlignment="1">
      <alignment vertical="top"/>
    </xf>
    <xf numFmtId="203" fontId="0" fillId="0" borderId="0" xfId="0" applyNumberFormat="1" applyAlignment="1">
      <alignment vertical="top"/>
    </xf>
    <xf numFmtId="0" fontId="0" fillId="0" borderId="0" xfId="0" applyAlignment="1">
      <alignment horizontal="center" wrapText="1"/>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30" fillId="0" borderId="0" xfId="0" applyFont="1" applyAlignment="1">
      <alignment horizontal="right"/>
    </xf>
    <xf numFmtId="17" fontId="179" fillId="0" borderId="0" xfId="0" applyNumberFormat="1" applyFont="1" applyAlignment="1">
      <alignment horizontal="center"/>
    </xf>
    <xf numFmtId="7" fontId="0" fillId="0" borderId="0" xfId="6" applyNumberFormat="1" applyFont="1"/>
    <xf numFmtId="44" fontId="176" fillId="0" borderId="0" xfId="0" applyNumberFormat="1" applyFont="1"/>
    <xf numFmtId="17" fontId="179" fillId="0" borderId="0" xfId="0" applyNumberFormat="1" applyFont="1" applyAlignment="1">
      <alignment horizontal="left"/>
    </xf>
    <xf numFmtId="5" fontId="176" fillId="0" borderId="0" xfId="0" applyNumberFormat="1" applyFont="1"/>
    <xf numFmtId="7" fontId="11" fillId="0" borderId="0" xfId="1" applyNumberFormat="1" applyFont="1" applyAlignment="1">
      <alignment horizontal="right" vertical="center"/>
    </xf>
    <xf numFmtId="0" fontId="172" fillId="0" borderId="0" xfId="0" applyFont="1"/>
    <xf numFmtId="7" fontId="171" fillId="0" borderId="0" xfId="0" applyNumberFormat="1" applyFont="1"/>
    <xf numFmtId="7" fontId="179" fillId="0" borderId="0" xfId="0" applyNumberFormat="1" applyFont="1"/>
    <xf numFmtId="0" fontId="0" fillId="0" borderId="0" xfId="0" applyAlignment="1">
      <alignment horizontal="left" wrapText="1"/>
    </xf>
    <xf numFmtId="9" fontId="181" fillId="2" borderId="0" xfId="2" applyFont="1" applyFill="1" applyAlignment="1">
      <alignment horizontal="center"/>
    </xf>
    <xf numFmtId="43" fontId="0" fillId="0" borderId="57" xfId="6" applyFont="1" applyBorder="1"/>
    <xf numFmtId="7" fontId="0" fillId="0" borderId="58" xfId="6" applyNumberFormat="1" applyFont="1" applyBorder="1"/>
    <xf numFmtId="7" fontId="0" fillId="0" borderId="59" xfId="6" applyNumberFormat="1" applyFont="1" applyBorder="1"/>
    <xf numFmtId="7" fontId="0" fillId="0" borderId="60" xfId="6" applyNumberFormat="1" applyFont="1" applyBorder="1"/>
    <xf numFmtId="0" fontId="182" fillId="0" borderId="0" xfId="0" applyFont="1"/>
    <xf numFmtId="0" fontId="0" fillId="0" borderId="52" xfId="0" applyFill="1" applyBorder="1" applyAlignment="1">
      <alignment wrapText="1"/>
    </xf>
    <xf numFmtId="0" fontId="0" fillId="0" borderId="0" xfId="0" applyFill="1" applyAlignment="1">
      <alignment horizontal="right"/>
    </xf>
    <xf numFmtId="43" fontId="0" fillId="0" borderId="0" xfId="6" applyFont="1" applyAlignment="1"/>
    <xf numFmtId="0" fontId="30" fillId="0" borderId="0" xfId="0" applyFont="1" applyFill="1" applyAlignment="1">
      <alignment horizontal="right"/>
    </xf>
    <xf numFmtId="0" fontId="5" fillId="2" borderId="0" xfId="3" applyFont="1" applyFill="1" applyAlignment="1">
      <alignment horizontal="left" wrapText="1"/>
    </xf>
    <xf numFmtId="0" fontId="0" fillId="2" borderId="0" xfId="0" applyFill="1"/>
    <xf numFmtId="165" fontId="5" fillId="2" borderId="0" xfId="4" applyNumberFormat="1" applyFont="1" applyFill="1"/>
    <xf numFmtId="0" fontId="5" fillId="2" borderId="0" xfId="3" applyFont="1" applyFill="1" applyAlignment="1">
      <alignment horizontal="center" wrapText="1"/>
    </xf>
    <xf numFmtId="169" fontId="7" fillId="2" borderId="0" xfId="5" applyNumberFormat="1" applyFont="1" applyFill="1"/>
    <xf numFmtId="166" fontId="5" fillId="2" borderId="0" xfId="1" applyNumberFormat="1" applyFont="1" applyFill="1"/>
    <xf numFmtId="10" fontId="180" fillId="2" borderId="0" xfId="2" applyNumberFormat="1" applyFont="1" applyFill="1"/>
    <xf numFmtId="9" fontId="8" fillId="2" borderId="0" xfId="2" applyFont="1" applyFill="1" applyBorder="1"/>
    <xf numFmtId="168" fontId="7" fillId="2" borderId="0" xfId="5" applyNumberFormat="1" applyFont="1" applyFill="1"/>
    <xf numFmtId="169" fontId="5" fillId="2" borderId="0" xfId="3" applyNumberFormat="1" applyFont="1" applyFill="1"/>
    <xf numFmtId="10" fontId="7" fillId="2" borderId="0" xfId="2" applyNumberFormat="1" applyFont="1" applyFill="1" applyBorder="1"/>
    <xf numFmtId="0" fontId="2" fillId="2" borderId="0" xfId="3" applyFill="1"/>
    <xf numFmtId="0" fontId="9" fillId="2" borderId="0" xfId="3" applyFont="1" applyFill="1" applyAlignment="1">
      <alignment horizontal="center" wrapText="1"/>
    </xf>
    <xf numFmtId="0" fontId="5" fillId="2" borderId="0" xfId="3" applyFont="1" applyFill="1" applyAlignment="1">
      <alignment horizontal="center" vertical="center"/>
    </xf>
    <xf numFmtId="0" fontId="182" fillId="0" borderId="0" xfId="0" applyFont="1" applyAlignment="1">
      <alignment horizontal="right"/>
    </xf>
    <xf numFmtId="0" fontId="0" fillId="0" borderId="0" xfId="0" applyFill="1" applyAlignment="1">
      <alignment horizontal="center"/>
    </xf>
    <xf numFmtId="0" fontId="0" fillId="0" borderId="0" xfId="0" applyAlignment="1">
      <alignment horizontal="center"/>
    </xf>
    <xf numFmtId="7" fontId="176" fillId="0" borderId="0" xfId="0" applyNumberFormat="1" applyFont="1" applyFill="1"/>
    <xf numFmtId="43" fontId="0" fillId="0" borderId="0" xfId="6" applyFont="1" applyFill="1"/>
    <xf numFmtId="43" fontId="0" fillId="0" borderId="0" xfId="0" applyNumberFormat="1" applyFill="1"/>
    <xf numFmtId="0" fontId="0" fillId="0" borderId="0" xfId="0" applyAlignment="1">
      <alignment horizontal="right"/>
    </xf>
    <xf numFmtId="0" fontId="14" fillId="0" borderId="0" xfId="0" applyFont="1" applyAlignment="1">
      <alignment horizontal="center"/>
    </xf>
    <xf numFmtId="167" fontId="3" fillId="2" borderId="0" xfId="3" applyNumberFormat="1" applyFont="1" applyFill="1" applyAlignment="1"/>
    <xf numFmtId="167" fontId="3" fillId="2" borderId="0" xfId="3" applyNumberFormat="1" applyFont="1" applyFill="1" applyAlignment="1">
      <alignment horizontal="left" wrapText="1"/>
    </xf>
    <xf numFmtId="167" fontId="172" fillId="2" borderId="0" xfId="0" applyNumberFormat="1" applyFont="1" applyFill="1" applyAlignment="1">
      <alignment horizontal="center"/>
    </xf>
    <xf numFmtId="167" fontId="5" fillId="2" borderId="0" xfId="3" applyNumberFormat="1" applyFont="1" applyFill="1" applyAlignment="1">
      <alignment horizontal="center"/>
    </xf>
    <xf numFmtId="167" fontId="0" fillId="2" borderId="0" xfId="0" applyNumberFormat="1" applyFill="1"/>
    <xf numFmtId="44" fontId="0" fillId="2" borderId="0" xfId="1" applyFont="1" applyFill="1"/>
    <xf numFmtId="43" fontId="0" fillId="2" borderId="0" xfId="6" applyFont="1" applyFill="1"/>
    <xf numFmtId="43" fontId="0" fillId="2" borderId="0" xfId="0" applyNumberFormat="1" applyFill="1"/>
    <xf numFmtId="9" fontId="0" fillId="2" borderId="0" xfId="2" applyFont="1" applyFill="1"/>
    <xf numFmtId="17" fontId="8" fillId="2" borderId="51" xfId="3" applyNumberFormat="1" applyFont="1" applyFill="1" applyBorder="1" applyAlignment="1">
      <alignment horizontal="center" vertical="center"/>
    </xf>
    <xf numFmtId="165" fontId="122" fillId="2" borderId="0" xfId="4" applyNumberFormat="1" applyFont="1" applyFill="1" applyBorder="1"/>
    <xf numFmtId="165" fontId="122" fillId="2" borderId="0" xfId="6" applyNumberFormat="1" applyFont="1" applyFill="1" applyBorder="1"/>
    <xf numFmtId="165" fontId="122" fillId="2" borderId="0" xfId="6" applyNumberFormat="1" applyFont="1" applyFill="1"/>
    <xf numFmtId="167" fontId="122" fillId="2" borderId="0" xfId="3" applyNumberFormat="1" applyFont="1" applyFill="1"/>
    <xf numFmtId="165" fontId="122" fillId="0" borderId="0" xfId="4" applyNumberFormat="1" applyFont="1" applyFill="1" applyBorder="1"/>
    <xf numFmtId="165" fontId="122" fillId="0" borderId="0" xfId="4" applyNumberFormat="1" applyFont="1" applyFill="1"/>
    <xf numFmtId="165" fontId="122" fillId="0" borderId="0" xfId="6" applyNumberFormat="1" applyFont="1" applyFill="1" applyBorder="1"/>
    <xf numFmtId="165" fontId="122" fillId="0" borderId="0" xfId="6" applyNumberFormat="1" applyFont="1" applyFill="1"/>
    <xf numFmtId="167" fontId="122" fillId="0" borderId="0" xfId="3" applyNumberFormat="1" applyFont="1"/>
    <xf numFmtId="166" fontId="7" fillId="0" borderId="0" xfId="3" applyNumberFormat="1" applyFont="1" applyAlignment="1">
      <alignment vertical="center" wrapText="1"/>
    </xf>
    <xf numFmtId="167" fontId="7" fillId="2" borderId="0" xfId="3" applyNumberFormat="1" applyFont="1" applyFill="1" applyAlignment="1">
      <alignment vertical="center"/>
    </xf>
    <xf numFmtId="169" fontId="122" fillId="0" borderId="0" xfId="5" applyNumberFormat="1" applyFont="1" applyFill="1" applyBorder="1" applyAlignment="1">
      <alignment vertical="center"/>
    </xf>
    <xf numFmtId="169" fontId="7" fillId="0" borderId="0" xfId="5" applyNumberFormat="1" applyFont="1" applyFill="1" applyBorder="1" applyAlignment="1">
      <alignment vertical="center"/>
    </xf>
    <xf numFmtId="167" fontId="7" fillId="110" borderId="0" xfId="3" applyNumberFormat="1" applyFont="1" applyFill="1"/>
    <xf numFmtId="10" fontId="122" fillId="0" borderId="0" xfId="2" applyNumberFormat="1" applyFont="1" applyFill="1"/>
    <xf numFmtId="167" fontId="7" fillId="2" borderId="51" xfId="5" applyNumberFormat="1" applyFont="1" applyFill="1" applyBorder="1"/>
    <xf numFmtId="167" fontId="8" fillId="2" borderId="0" xfId="3" applyNumberFormat="1" applyFont="1" applyFill="1"/>
    <xf numFmtId="167" fontId="7" fillId="0" borderId="0" xfId="3" applyNumberFormat="1" applyFont="1" applyFill="1"/>
    <xf numFmtId="10" fontId="7" fillId="0" borderId="0" xfId="2" applyNumberFormat="1" applyFont="1" applyFill="1" applyBorder="1"/>
    <xf numFmtId="167" fontId="6" fillId="2" borderId="53" xfId="3" applyNumberFormat="1" applyFont="1" applyFill="1" applyBorder="1"/>
    <xf numFmtId="17" fontId="0" fillId="0" borderId="0" xfId="0" applyNumberFormat="1" applyFill="1" applyAlignment="1">
      <alignment horizontal="left"/>
    </xf>
    <xf numFmtId="7" fontId="0" fillId="0" borderId="0" xfId="0" applyNumberFormat="1" applyFill="1"/>
    <xf numFmtId="0" fontId="14" fillId="0" borderId="0" xfId="0" applyFont="1" applyAlignment="1">
      <alignment horizontal="center"/>
    </xf>
    <xf numFmtId="167" fontId="180" fillId="110" borderId="0" xfId="3" applyNumberFormat="1" applyFont="1" applyFill="1"/>
    <xf numFmtId="0" fontId="11" fillId="0" borderId="0" xfId="0" applyFont="1" applyFill="1" applyBorder="1" applyAlignment="1">
      <alignment horizontal="left" vertical="top" wrapText="1"/>
    </xf>
    <xf numFmtId="173" fontId="13" fillId="106" borderId="0" xfId="7" applyNumberFormat="1" applyFont="1" applyFill="1" applyBorder="1" applyAlignment="1">
      <alignment horizontal="right" vertical="center"/>
    </xf>
    <xf numFmtId="172" fontId="13" fillId="106" borderId="0" xfId="0" applyNumberFormat="1" applyFont="1" applyFill="1" applyBorder="1" applyAlignment="1">
      <alignment horizontal="right" vertical="center"/>
    </xf>
    <xf numFmtId="173" fontId="13" fillId="106" borderId="36" xfId="7" applyNumberFormat="1" applyFont="1" applyFill="1" applyBorder="1" applyAlignment="1">
      <alignment horizontal="right" vertical="center"/>
    </xf>
    <xf numFmtId="173" fontId="13" fillId="109" borderId="0" xfId="0" applyNumberFormat="1" applyFont="1" applyFill="1" applyBorder="1" applyAlignment="1">
      <alignment horizontal="right" vertical="center"/>
    </xf>
    <xf numFmtId="172" fontId="13" fillId="109" borderId="0" xfId="0" applyNumberFormat="1" applyFont="1" applyFill="1" applyBorder="1" applyAlignment="1">
      <alignment horizontal="right" vertical="center"/>
    </xf>
    <xf numFmtId="0" fontId="11" fillId="0" borderId="52" xfId="0" applyFont="1" applyFill="1" applyBorder="1" applyAlignment="1">
      <alignment horizontal="left" vertical="top" wrapText="1"/>
    </xf>
    <xf numFmtId="173" fontId="13" fillId="107" borderId="0" xfId="7" applyNumberFormat="1" applyFont="1" applyFill="1" applyBorder="1" applyAlignment="1">
      <alignment horizontal="right" vertical="center"/>
    </xf>
    <xf numFmtId="172" fontId="13" fillId="107" borderId="0" xfId="0" applyNumberFormat="1" applyFont="1" applyFill="1" applyBorder="1" applyAlignment="1">
      <alignment horizontal="right" vertical="center"/>
    </xf>
    <xf numFmtId="173" fontId="13" fillId="107" borderId="36" xfId="7" applyNumberFormat="1" applyFont="1" applyFill="1" applyBorder="1" applyAlignment="1">
      <alignment horizontal="right" vertical="center"/>
    </xf>
    <xf numFmtId="0" fontId="13" fillId="107" borderId="0" xfId="7" applyNumberFormat="1" applyFont="1" applyFill="1" applyBorder="1" applyAlignment="1">
      <alignment horizontal="right" vertical="center"/>
    </xf>
    <xf numFmtId="173" fontId="13" fillId="106" borderId="36" xfId="0" applyNumberFormat="1" applyFont="1" applyFill="1" applyBorder="1" applyAlignment="1">
      <alignment horizontal="right" vertical="center"/>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52" xfId="0" applyFill="1" applyBorder="1" applyAlignment="1">
      <alignment horizontal="left" wrapText="1"/>
    </xf>
    <xf numFmtId="0" fontId="0" fillId="0" borderId="0" xfId="0" applyAlignment="1">
      <alignment horizontal="left" wrapText="1"/>
    </xf>
    <xf numFmtId="0" fontId="30" fillId="0" borderId="0" xfId="0" applyFont="1" applyAlignment="1">
      <alignment horizontal="center"/>
    </xf>
    <xf numFmtId="17" fontId="0" fillId="0" borderId="0" xfId="0" applyNumberFormat="1" applyFill="1" applyAlignment="1">
      <alignment horizontal="left" vertical="top" wrapText="1"/>
    </xf>
    <xf numFmtId="0" fontId="0" fillId="0" borderId="0" xfId="0" applyFill="1" applyAlignment="1">
      <alignment horizontal="justify" vertical="top" wrapText="1"/>
    </xf>
    <xf numFmtId="0" fontId="0" fillId="0" borderId="0" xfId="0" applyFont="1" applyFill="1" applyAlignment="1">
      <alignment horizontal="justify" vertical="top" wrapText="1"/>
    </xf>
    <xf numFmtId="0" fontId="0" fillId="0" borderId="0" xfId="0" applyFill="1" applyAlignment="1">
      <alignment horizontal="center"/>
    </xf>
    <xf numFmtId="0" fontId="0" fillId="0" borderId="0" xfId="0" applyAlignment="1">
      <alignment horizontal="center"/>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20do%20not%20send/03.2021%20Decoupling%20Result%20Summ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22%20EDWA%20DM%20D&amp;A%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Summary"/>
      <sheetName val="Amort Comparison"/>
      <sheetName val="WA Interest Recon"/>
      <sheetName val="ID Interest Recon"/>
      <sheetName val="OR Interest Recon"/>
      <sheetName val="Entry Notes"/>
    </sheetNames>
    <sheetDataSet>
      <sheetData sheetId="0" refreshError="1"/>
      <sheetData sheetId="1" refreshError="1">
        <row r="1">
          <cell r="K1">
            <v>44256</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nnual Adjustment (Dec Only)"/>
      <sheetName val="UE-220053 Auth Base"/>
      <sheetName val="UE-200900 Auth Base"/>
      <sheetName val="EDWA 3% test"/>
      <sheetName val="Deferral Calc"/>
      <sheetName val="12.2022 Base Rate Revenue"/>
      <sheetName val="11.2022 Base Rate Revenue"/>
      <sheetName val="10.2022 Base Rate Revenue"/>
      <sheetName val="09.2022 Base Rate Revenue"/>
      <sheetName val="08.2022 Base Rate Revenue"/>
      <sheetName val="07.2022 Base Rate Revenue"/>
      <sheetName val="06.2022 Base Rate Revenue"/>
      <sheetName val="05.2022 Base Rate Revenue"/>
      <sheetName val="04.2022 Base Rate Revenue"/>
      <sheetName val="03.2022 Base Rate Revenue"/>
      <sheetName val="02.2022 Base Rate Revenue"/>
      <sheetName val="01.2022 Base Rate Revenue"/>
    </sheetNames>
    <sheetDataSet>
      <sheetData sheetId="0" refreshError="1"/>
      <sheetData sheetId="1">
        <row r="19">
          <cell r="D19">
            <v>0</v>
          </cell>
        </row>
      </sheetData>
      <sheetData sheetId="2" refreshError="1"/>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W65"/>
  <sheetViews>
    <sheetView tabSelected="1" view="pageBreakPreview" zoomScaleNormal="100" zoomScaleSheetLayoutView="100" workbookViewId="0"/>
  </sheetViews>
  <sheetFormatPr defaultRowHeight="15"/>
  <cols>
    <col min="1" max="1" width="6" style="202" customWidth="1"/>
    <col min="2" max="2" width="38.140625" style="202" customWidth="1"/>
    <col min="3" max="3" width="16.85546875" style="202" customWidth="1"/>
    <col min="4" max="4" width="12.7109375" style="202" hidden="1" customWidth="1"/>
    <col min="5" max="6" width="12.42578125" style="202" hidden="1" customWidth="1"/>
    <col min="7" max="7" width="14.140625" style="202" customWidth="1"/>
    <col min="8" max="8" width="13.85546875" style="202" customWidth="1"/>
    <col min="9" max="9" width="12.85546875" style="202" customWidth="1"/>
    <col min="10" max="10" width="12.7109375" style="202" hidden="1" customWidth="1"/>
    <col min="11" max="11" width="13" style="202" hidden="1" customWidth="1"/>
    <col min="12" max="12" width="12.42578125" style="202" hidden="1" customWidth="1"/>
    <col min="13" max="14" width="12.7109375" style="202" hidden="1" customWidth="1"/>
    <col min="15" max="15" width="11.5703125" style="227" hidden="1" customWidth="1"/>
    <col min="16" max="16" width="4.140625" style="202" hidden="1" customWidth="1"/>
    <col min="17" max="17" width="15" style="202" customWidth="1"/>
    <col min="18" max="18" width="12.5703125" style="202" customWidth="1"/>
    <col min="19" max="20" width="11.5703125" style="202" hidden="1" customWidth="1"/>
    <col min="21" max="21" width="14" style="202" customWidth="1"/>
    <col min="22" max="16384" width="9.140625" style="202"/>
  </cols>
  <sheetData>
    <row r="1" spans="1:21" ht="15.75">
      <c r="A1" s="92" t="s">
        <v>0</v>
      </c>
      <c r="B1" s="92"/>
      <c r="C1" s="92"/>
      <c r="D1" s="92"/>
      <c r="E1" s="92"/>
      <c r="F1" s="92"/>
      <c r="G1" s="92"/>
      <c r="H1" s="92"/>
      <c r="I1" s="92"/>
      <c r="J1" s="92"/>
      <c r="K1" s="92"/>
      <c r="L1" s="92"/>
      <c r="M1" s="92"/>
      <c r="N1" s="92"/>
      <c r="O1" s="223"/>
      <c r="P1" s="92"/>
      <c r="Q1" s="92"/>
      <c r="R1" s="92"/>
      <c r="S1" s="92"/>
      <c r="T1" s="92"/>
      <c r="U1" s="92"/>
    </row>
    <row r="2" spans="1:21" ht="18.75" customHeight="1">
      <c r="A2" s="158" t="s">
        <v>189</v>
      </c>
      <c r="B2" s="159"/>
      <c r="C2" s="159"/>
      <c r="D2" s="159"/>
      <c r="E2" s="159"/>
      <c r="F2" s="159"/>
      <c r="G2" s="159"/>
      <c r="H2" s="159"/>
      <c r="I2" s="159"/>
      <c r="J2" s="159"/>
      <c r="K2" s="159"/>
      <c r="L2" s="159"/>
      <c r="M2" s="159"/>
      <c r="N2" s="159"/>
      <c r="O2" s="224"/>
      <c r="P2" s="159"/>
      <c r="Q2" s="159"/>
      <c r="R2" s="94"/>
      <c r="S2" s="94"/>
      <c r="T2" s="94"/>
      <c r="U2" s="94"/>
    </row>
    <row r="3" spans="1:21" ht="15.75">
      <c r="A3" s="92" t="s">
        <v>190</v>
      </c>
      <c r="B3" s="92"/>
      <c r="C3" s="92"/>
      <c r="D3" s="92"/>
      <c r="E3" s="92"/>
      <c r="F3" s="92"/>
      <c r="G3" s="92"/>
      <c r="H3" s="92"/>
      <c r="I3" s="92"/>
      <c r="J3" s="92"/>
      <c r="K3" s="92"/>
      <c r="L3" s="92"/>
      <c r="M3" s="92"/>
      <c r="N3" s="92"/>
      <c r="O3" s="223"/>
      <c r="P3" s="92"/>
      <c r="Q3" s="93"/>
      <c r="R3" s="93"/>
      <c r="S3" s="93"/>
      <c r="T3" s="93"/>
      <c r="U3" s="93"/>
    </row>
    <row r="4" spans="1:21" ht="14.45" customHeight="1">
      <c r="A4" s="93"/>
      <c r="B4" s="84"/>
      <c r="C4" s="85"/>
      <c r="D4" s="85"/>
      <c r="E4" s="85"/>
      <c r="F4" s="85"/>
      <c r="G4" s="85"/>
      <c r="H4" s="85"/>
      <c r="I4" s="85"/>
      <c r="J4" s="85"/>
      <c r="K4" s="85"/>
      <c r="L4" s="85"/>
      <c r="M4" s="85"/>
      <c r="N4" s="85"/>
      <c r="O4" s="225"/>
      <c r="P4" s="85"/>
      <c r="Q4" s="44"/>
      <c r="R4" s="44"/>
      <c r="S4" s="44"/>
      <c r="T4" s="44"/>
      <c r="U4" s="44"/>
    </row>
    <row r="5" spans="1:21" ht="26.25">
      <c r="A5" s="20"/>
      <c r="B5" s="20"/>
      <c r="C5" s="20"/>
      <c r="D5" s="191"/>
      <c r="E5" s="191"/>
      <c r="F5" s="191"/>
      <c r="G5" s="20"/>
      <c r="H5" s="20"/>
      <c r="I5" s="46"/>
      <c r="J5" s="46"/>
      <c r="K5" s="46"/>
      <c r="L5" s="20"/>
      <c r="M5" s="20"/>
      <c r="N5" s="20"/>
      <c r="O5" s="7"/>
      <c r="P5" s="20"/>
      <c r="Q5" s="44" t="s">
        <v>152</v>
      </c>
      <c r="R5" s="44" t="s">
        <v>188</v>
      </c>
      <c r="S5" s="44" t="s">
        <v>154</v>
      </c>
      <c r="T5" s="44" t="s">
        <v>155</v>
      </c>
      <c r="U5" s="44" t="s">
        <v>178</v>
      </c>
    </row>
    <row r="6" spans="1:21" ht="25.5">
      <c r="A6" s="86" t="s">
        <v>1</v>
      </c>
      <c r="B6" s="87"/>
      <c r="C6" s="83" t="s">
        <v>2</v>
      </c>
      <c r="D6" s="232">
        <v>44562</v>
      </c>
      <c r="E6" s="88">
        <f>EDATE(D6,1)</f>
        <v>44593</v>
      </c>
      <c r="F6" s="88">
        <f t="shared" ref="F6:O6" si="0">EDATE(E6,1)</f>
        <v>44621</v>
      </c>
      <c r="G6" s="88">
        <f t="shared" si="0"/>
        <v>44652</v>
      </c>
      <c r="H6" s="88">
        <f t="shared" si="0"/>
        <v>44682</v>
      </c>
      <c r="I6" s="88">
        <f t="shared" si="0"/>
        <v>44713</v>
      </c>
      <c r="J6" s="88">
        <f t="shared" si="0"/>
        <v>44743</v>
      </c>
      <c r="K6" s="88">
        <f t="shared" si="0"/>
        <v>44774</v>
      </c>
      <c r="L6" s="88">
        <f t="shared" si="0"/>
        <v>44805</v>
      </c>
      <c r="M6" s="88">
        <f t="shared" si="0"/>
        <v>44835</v>
      </c>
      <c r="N6" s="88">
        <f t="shared" si="0"/>
        <v>44866</v>
      </c>
      <c r="O6" s="88">
        <f t="shared" si="0"/>
        <v>44896</v>
      </c>
      <c r="P6" s="88"/>
      <c r="Q6" s="15" t="s">
        <v>3</v>
      </c>
      <c r="R6" s="15" t="s">
        <v>3</v>
      </c>
      <c r="S6" s="15" t="s">
        <v>3</v>
      </c>
      <c r="T6" s="15" t="s">
        <v>3</v>
      </c>
      <c r="U6" s="15" t="s">
        <v>3</v>
      </c>
    </row>
    <row r="7" spans="1:21">
      <c r="A7" s="46"/>
      <c r="B7" s="46" t="s">
        <v>4</v>
      </c>
      <c r="C7" s="46" t="s">
        <v>5</v>
      </c>
      <c r="D7" s="46" t="s">
        <v>6</v>
      </c>
      <c r="E7" s="46" t="s">
        <v>7</v>
      </c>
      <c r="F7" s="46" t="s">
        <v>8</v>
      </c>
      <c r="G7" s="46" t="s">
        <v>9</v>
      </c>
      <c r="H7" s="134" t="s">
        <v>10</v>
      </c>
      <c r="I7" s="46" t="s">
        <v>11</v>
      </c>
      <c r="J7" s="46" t="s">
        <v>12</v>
      </c>
      <c r="K7" s="46" t="s">
        <v>13</v>
      </c>
      <c r="L7" s="46" t="s">
        <v>14</v>
      </c>
      <c r="M7" s="46" t="s">
        <v>15</v>
      </c>
      <c r="N7" s="46" t="s">
        <v>16</v>
      </c>
      <c r="O7" s="226" t="s">
        <v>17</v>
      </c>
      <c r="P7" s="46"/>
      <c r="Q7" s="46"/>
      <c r="R7" s="46"/>
      <c r="S7" s="46"/>
      <c r="T7" s="46"/>
      <c r="U7" s="20"/>
    </row>
    <row r="8" spans="1:21">
      <c r="A8" s="46"/>
      <c r="B8" s="1" t="s">
        <v>19</v>
      </c>
      <c r="C8" s="46"/>
      <c r="D8" s="46"/>
      <c r="E8" s="46"/>
      <c r="F8" s="46"/>
      <c r="G8" s="46"/>
      <c r="H8" s="134"/>
      <c r="I8" s="46"/>
      <c r="J8" s="46"/>
      <c r="K8" s="46"/>
      <c r="L8" s="46"/>
      <c r="M8" s="46"/>
      <c r="N8" s="46"/>
      <c r="O8" s="226"/>
      <c r="P8" s="46"/>
      <c r="Q8" s="47"/>
      <c r="R8" s="47"/>
      <c r="S8" s="47"/>
      <c r="T8" s="47"/>
      <c r="U8" s="20"/>
    </row>
    <row r="9" spans="1:21">
      <c r="A9" s="46">
        <v>1</v>
      </c>
      <c r="B9" s="20" t="s">
        <v>20</v>
      </c>
      <c r="C9" s="46" t="s">
        <v>21</v>
      </c>
      <c r="D9" s="233">
        <v>225340</v>
      </c>
      <c r="E9" s="233">
        <v>225717</v>
      </c>
      <c r="F9" s="233">
        <v>227174</v>
      </c>
      <c r="G9" s="233">
        <v>226203</v>
      </c>
      <c r="H9" s="233">
        <v>226093</v>
      </c>
      <c r="I9" s="233">
        <v>226925</v>
      </c>
      <c r="J9" s="233">
        <f>'[2]07.2022 Base Rate Revenue'!$C17+'[2]07.2022 Base Rate Revenue'!$D17</f>
        <v>0</v>
      </c>
      <c r="K9" s="233">
        <f>'[2]08.2022 Base Rate Revenue'!$C17+'[2]08.2022 Base Rate Revenue'!$D17</f>
        <v>0</v>
      </c>
      <c r="L9" s="233">
        <f>'[2]09.2022 Base Rate Revenue'!$C17+'[2]09.2022 Base Rate Revenue'!$D17</f>
        <v>0</v>
      </c>
      <c r="M9" s="233">
        <f>'[2]10.2022 Base Rate Revenue'!$C17+'[2]10.2022 Base Rate Revenue'!$D17</f>
        <v>0</v>
      </c>
      <c r="N9" s="233">
        <f>'[2]11.2022 Base Rate Revenue'!$C17+'[2]11.2022 Base Rate Revenue'!$D17</f>
        <v>0</v>
      </c>
      <c r="O9" s="233">
        <f>'[2]12.2022 Base Rate Revenue'!$C17+'[2]12.2022 Base Rate Revenue'!$D17</f>
        <v>0</v>
      </c>
      <c r="P9" s="160"/>
      <c r="Q9" s="48">
        <f t="shared" ref="Q9:Q16" si="1">SUM(D9:F9)</f>
        <v>678231</v>
      </c>
      <c r="R9" s="48">
        <f>SUM(G9:I9)</f>
        <v>679221</v>
      </c>
      <c r="S9" s="48">
        <f t="shared" ref="S9:S16" si="2">SUM(J9:L9)</f>
        <v>0</v>
      </c>
      <c r="T9" s="48">
        <f t="shared" ref="T9:T16" si="3">SUM(M9:O9)</f>
        <v>0</v>
      </c>
      <c r="U9" s="203">
        <f t="shared" ref="U9:U16" si="4">SUM(D9:O9)</f>
        <v>1357452</v>
      </c>
    </row>
    <row r="10" spans="1:21">
      <c r="A10" s="46">
        <v>2</v>
      </c>
      <c r="B10" s="2" t="s">
        <v>156</v>
      </c>
      <c r="C10" s="46" t="s">
        <v>21</v>
      </c>
      <c r="D10" s="234">
        <v>298119667.22499001</v>
      </c>
      <c r="E10" s="234">
        <v>244172703.83928001</v>
      </c>
      <c r="F10" s="234">
        <v>232185970.01601002</v>
      </c>
      <c r="G10" s="234">
        <v>201122967.58998999</v>
      </c>
      <c r="H10" s="235">
        <v>170060698.62600002</v>
      </c>
      <c r="I10" s="235">
        <v>152339120.14699998</v>
      </c>
      <c r="J10" s="235">
        <f>'[2]07.2022 Base Rate Revenue'!$I17</f>
        <v>0</v>
      </c>
      <c r="K10" s="235">
        <f>'[2]08.2022 Base Rate Revenue'!$I17</f>
        <v>0</v>
      </c>
      <c r="L10" s="235">
        <f>'[2]09.2022 Base Rate Revenue'!$I17</f>
        <v>0</v>
      </c>
      <c r="M10" s="235">
        <f>'[2]10.2022 Base Rate Revenue'!$I17</f>
        <v>0</v>
      </c>
      <c r="N10" s="235">
        <f>'[2]11.2022 Base Rate Revenue'!$I17</f>
        <v>0</v>
      </c>
      <c r="O10" s="235">
        <f>'[2]12.2022 Base Rate Revenue'!$I17</f>
        <v>0</v>
      </c>
      <c r="P10" s="160"/>
      <c r="Q10" s="48">
        <f t="shared" si="1"/>
        <v>774478341.08028007</v>
      </c>
      <c r="R10" s="48">
        <f t="shared" ref="R10:R16" si="5">SUM(G10:I10)</f>
        <v>523522786.36299002</v>
      </c>
      <c r="S10" s="48">
        <f t="shared" si="2"/>
        <v>0</v>
      </c>
      <c r="T10" s="48">
        <f t="shared" si="3"/>
        <v>0</v>
      </c>
      <c r="U10" s="203">
        <f t="shared" si="4"/>
        <v>1298001127.4432702</v>
      </c>
    </row>
    <row r="11" spans="1:21">
      <c r="A11" s="46">
        <v>3</v>
      </c>
      <c r="B11" s="20" t="s">
        <v>37</v>
      </c>
      <c r="C11" s="46" t="s">
        <v>21</v>
      </c>
      <c r="D11" s="236">
        <v>31037264.229170002</v>
      </c>
      <c r="E11" s="236">
        <v>24795548.982310001</v>
      </c>
      <c r="F11" s="236">
        <v>23925578.689579997</v>
      </c>
      <c r="G11" s="236">
        <v>20482252.189550001</v>
      </c>
      <c r="H11" s="236">
        <v>17165401.033779997</v>
      </c>
      <c r="I11" s="236">
        <v>15556304.946920002</v>
      </c>
      <c r="J11" s="236">
        <f>'[2]07.2022 Base Rate Revenue'!$I39</f>
        <v>0</v>
      </c>
      <c r="K11" s="236">
        <f>'[2]08.2022 Base Rate Revenue'!$I39</f>
        <v>0</v>
      </c>
      <c r="L11" s="236">
        <f>'[2]09.2022 Base Rate Revenue'!$I39</f>
        <v>0</v>
      </c>
      <c r="M11" s="236">
        <f>'[2]10.2022 Base Rate Revenue'!$I39</f>
        <v>0</v>
      </c>
      <c r="N11" s="236">
        <f>'[2]11.2022 Base Rate Revenue'!$I39</f>
        <v>0</v>
      </c>
      <c r="O11" s="236">
        <f>'[2]12.2022 Base Rate Revenue'!$I39</f>
        <v>0</v>
      </c>
      <c r="P11" s="162"/>
      <c r="Q11" s="49">
        <f t="shared" si="1"/>
        <v>79758391.90106</v>
      </c>
      <c r="R11" s="49">
        <f t="shared" si="5"/>
        <v>53203958.170249999</v>
      </c>
      <c r="S11" s="49">
        <f t="shared" si="2"/>
        <v>0</v>
      </c>
      <c r="T11" s="49">
        <f t="shared" si="3"/>
        <v>0</v>
      </c>
      <c r="U11" s="7">
        <f t="shared" si="4"/>
        <v>132962350.07131</v>
      </c>
    </row>
    <row r="12" spans="1:21">
      <c r="A12" s="46">
        <v>4</v>
      </c>
      <c r="B12" s="20" t="s">
        <v>38</v>
      </c>
      <c r="C12" s="46" t="s">
        <v>21</v>
      </c>
      <c r="D12" s="236">
        <v>1937178</v>
      </c>
      <c r="E12" s="236">
        <v>1949427</v>
      </c>
      <c r="F12" s="236">
        <v>2319363</v>
      </c>
      <c r="G12" s="236">
        <v>2070486</v>
      </c>
      <c r="H12" s="236">
        <v>2071053</v>
      </c>
      <c r="I12" s="236">
        <v>2110131</v>
      </c>
      <c r="J12" s="236">
        <f>'[2]07.2022 Base Rate Revenue'!$C39</f>
        <v>0</v>
      </c>
      <c r="K12" s="236">
        <f>'[2]08.2022 Base Rate Revenue'!$C39</f>
        <v>0</v>
      </c>
      <c r="L12" s="236">
        <f>'[2]09.2022 Base Rate Revenue'!$C39</f>
        <v>0</v>
      </c>
      <c r="M12" s="236">
        <f>'[2]10.2022 Base Rate Revenue'!$C39</f>
        <v>0</v>
      </c>
      <c r="N12" s="236">
        <f>'[2]11.2022 Base Rate Revenue'!$C39</f>
        <v>0</v>
      </c>
      <c r="O12" s="236">
        <f>'[2]12.2022 Base Rate Revenue'!$C39</f>
        <v>0</v>
      </c>
      <c r="P12" s="162"/>
      <c r="Q12" s="49">
        <f t="shared" si="1"/>
        <v>6205968</v>
      </c>
      <c r="R12" s="49">
        <f t="shared" si="5"/>
        <v>6251670</v>
      </c>
      <c r="S12" s="49">
        <f t="shared" si="2"/>
        <v>0</v>
      </c>
      <c r="T12" s="49">
        <f t="shared" si="3"/>
        <v>0</v>
      </c>
      <c r="U12" s="7">
        <f t="shared" si="4"/>
        <v>12457638</v>
      </c>
    </row>
    <row r="13" spans="1:21" ht="27" customHeight="1">
      <c r="A13" s="46">
        <v>5</v>
      </c>
      <c r="B13" s="20" t="s">
        <v>157</v>
      </c>
      <c r="C13" s="46" t="s">
        <v>21</v>
      </c>
      <c r="D13" s="237">
        <v>6092</v>
      </c>
      <c r="E13" s="237">
        <v>5979</v>
      </c>
      <c r="F13" s="237">
        <v>6581</v>
      </c>
      <c r="G13" s="237">
        <v>6766</v>
      </c>
      <c r="H13" s="237">
        <v>6807</v>
      </c>
      <c r="I13" s="237">
        <v>7293</v>
      </c>
      <c r="J13" s="238">
        <f>'[2]07.2022 Base Rate Revenue'!$C$107</f>
        <v>0</v>
      </c>
      <c r="K13" s="238">
        <f>'[2]08.2022 Base Rate Revenue'!$C$107</f>
        <v>0</v>
      </c>
      <c r="L13" s="238">
        <f>'[2]09.2022 Base Rate Revenue'!$C$107</f>
        <v>0</v>
      </c>
      <c r="M13" s="238">
        <f>'[2]10.2022 Base Rate Revenue'!$C$107</f>
        <v>0</v>
      </c>
      <c r="N13" s="238">
        <f>'[2]11.2022 Base Rate Revenue'!$C$107</f>
        <v>0</v>
      </c>
      <c r="O13" s="238">
        <f>'[2]12.2022 Base Rate Revenue'!$C$107</f>
        <v>0</v>
      </c>
      <c r="P13" s="160"/>
      <c r="Q13" s="48">
        <f t="shared" si="1"/>
        <v>18652</v>
      </c>
      <c r="R13" s="48">
        <f t="shared" si="5"/>
        <v>20866</v>
      </c>
      <c r="S13" s="48">
        <f t="shared" si="2"/>
        <v>0</v>
      </c>
      <c r="T13" s="48">
        <f t="shared" si="3"/>
        <v>0</v>
      </c>
      <c r="U13" s="203">
        <f t="shared" si="4"/>
        <v>39518</v>
      </c>
    </row>
    <row r="14" spans="1:21">
      <c r="A14" s="46">
        <v>6</v>
      </c>
      <c r="B14" s="2" t="s">
        <v>158</v>
      </c>
      <c r="C14" s="46" t="s">
        <v>21</v>
      </c>
      <c r="D14" s="239">
        <v>6690599.9850000003</v>
      </c>
      <c r="E14" s="239">
        <v>5966653.227</v>
      </c>
      <c r="F14" s="239">
        <v>5382277.3329999996</v>
      </c>
      <c r="G14" s="239">
        <v>4504116.16</v>
      </c>
      <c r="H14" s="239">
        <v>4066390.9069999997</v>
      </c>
      <c r="I14" s="239">
        <v>3357455.7379999999</v>
      </c>
      <c r="J14" s="240">
        <f>'[2]07.2022 Base Rate Revenue'!$D$107</f>
        <v>0</v>
      </c>
      <c r="K14" s="240">
        <f>'[2]08.2022 Base Rate Revenue'!$D$107</f>
        <v>0</v>
      </c>
      <c r="L14" s="240">
        <f>'[2]09.2022 Base Rate Revenue'!$D$107</f>
        <v>0</v>
      </c>
      <c r="M14" s="240">
        <f>'[2]10.2022 Base Rate Revenue'!$D$107</f>
        <v>0</v>
      </c>
      <c r="N14" s="240">
        <f>'[2]11.2022 Base Rate Revenue'!$D$107</f>
        <v>0</v>
      </c>
      <c r="O14" s="240">
        <f>'[2]12.2022 Base Rate Revenue'!$D$107</f>
        <v>0</v>
      </c>
      <c r="P14" s="160"/>
      <c r="Q14" s="48">
        <f t="shared" si="1"/>
        <v>18039530.545000002</v>
      </c>
      <c r="R14" s="48">
        <f t="shared" si="5"/>
        <v>11927962.805</v>
      </c>
      <c r="S14" s="48">
        <f t="shared" si="2"/>
        <v>0</v>
      </c>
      <c r="T14" s="48">
        <f t="shared" si="3"/>
        <v>0</v>
      </c>
      <c r="U14" s="203">
        <f t="shared" si="4"/>
        <v>29967493.350000001</v>
      </c>
    </row>
    <row r="15" spans="1:21">
      <c r="A15" s="46">
        <v>7</v>
      </c>
      <c r="B15" s="20" t="s">
        <v>159</v>
      </c>
      <c r="C15" s="46" t="s">
        <v>21</v>
      </c>
      <c r="D15" s="241">
        <v>696383.29999999993</v>
      </c>
      <c r="E15" s="241">
        <v>621044.6</v>
      </c>
      <c r="F15" s="241">
        <v>561826.1100000001</v>
      </c>
      <c r="G15" s="241">
        <v>469930.2</v>
      </c>
      <c r="H15" s="241">
        <v>426599.63</v>
      </c>
      <c r="I15" s="241">
        <v>359723.98</v>
      </c>
      <c r="J15" s="241">
        <f>'[2]07.2022 Base Rate Revenue'!$F$107</f>
        <v>0</v>
      </c>
      <c r="K15" s="241">
        <f>'[2]08.2022 Base Rate Revenue'!$F$107</f>
        <v>0</v>
      </c>
      <c r="L15" s="241">
        <f>'[2]09.2022 Base Rate Revenue'!$F$107</f>
        <v>0</v>
      </c>
      <c r="M15" s="241">
        <f>'[2]10.2022 Base Rate Revenue'!$F$107</f>
        <v>0</v>
      </c>
      <c r="N15" s="241">
        <f>'[2]11.2022 Base Rate Revenue'!$F$107</f>
        <v>0</v>
      </c>
      <c r="O15" s="241">
        <f>'[2]12.2022 Base Rate Revenue'!$F$107</f>
        <v>0</v>
      </c>
      <c r="P15" s="162"/>
      <c r="Q15" s="49">
        <f t="shared" si="1"/>
        <v>1879254.01</v>
      </c>
      <c r="R15" s="49">
        <f t="shared" si="5"/>
        <v>1256253.81</v>
      </c>
      <c r="S15" s="49">
        <f t="shared" si="2"/>
        <v>0</v>
      </c>
      <c r="T15" s="49">
        <f t="shared" si="3"/>
        <v>0</v>
      </c>
      <c r="U15" s="7">
        <f t="shared" si="4"/>
        <v>3135507.82</v>
      </c>
    </row>
    <row r="16" spans="1:21">
      <c r="A16" s="46">
        <v>8</v>
      </c>
      <c r="B16" s="20" t="s">
        <v>160</v>
      </c>
      <c r="C16" s="46" t="s">
        <v>21</v>
      </c>
      <c r="D16" s="241">
        <v>55008</v>
      </c>
      <c r="E16" s="241">
        <v>53775</v>
      </c>
      <c r="F16" s="241">
        <v>59247</v>
      </c>
      <c r="G16" s="241">
        <v>61031</v>
      </c>
      <c r="H16" s="241">
        <v>61281</v>
      </c>
      <c r="I16" s="241">
        <v>65457</v>
      </c>
      <c r="J16" s="241">
        <f>'[2]07.2022 Base Rate Revenue'!$E$107</f>
        <v>0</v>
      </c>
      <c r="K16" s="241">
        <f>'[2]08.2022 Base Rate Revenue'!$E$107</f>
        <v>0</v>
      </c>
      <c r="L16" s="241">
        <f>'[2]09.2022 Base Rate Revenue'!$E$107</f>
        <v>0</v>
      </c>
      <c r="M16" s="241">
        <f>'[2]10.2022 Base Rate Revenue'!$E$107</f>
        <v>0</v>
      </c>
      <c r="N16" s="241">
        <f>'[2]11.2022 Base Rate Revenue'!$E$107</f>
        <v>0</v>
      </c>
      <c r="O16" s="241">
        <f>'[2]12.2022 Base Rate Revenue'!$E$107</f>
        <v>0</v>
      </c>
      <c r="P16" s="162"/>
      <c r="Q16" s="49">
        <f t="shared" si="1"/>
        <v>168030</v>
      </c>
      <c r="R16" s="49">
        <f t="shared" si="5"/>
        <v>187769</v>
      </c>
      <c r="S16" s="49">
        <f t="shared" si="2"/>
        <v>0</v>
      </c>
      <c r="T16" s="49">
        <f t="shared" si="3"/>
        <v>0</v>
      </c>
      <c r="U16" s="7">
        <f t="shared" si="4"/>
        <v>355799</v>
      </c>
    </row>
    <row r="17" spans="1:21">
      <c r="A17" s="46"/>
      <c r="B17" s="20"/>
      <c r="C17" s="46"/>
      <c r="D17" s="236"/>
      <c r="E17" s="236"/>
      <c r="F17" s="236"/>
      <c r="G17" s="236"/>
      <c r="H17" s="46"/>
      <c r="I17" s="46"/>
      <c r="J17" s="46"/>
      <c r="K17" s="46"/>
      <c r="L17" s="46"/>
      <c r="M17" s="46"/>
      <c r="N17" s="46"/>
      <c r="O17" s="46"/>
      <c r="P17" s="46"/>
      <c r="Q17" s="47"/>
      <c r="R17" s="47"/>
      <c r="S17" s="47"/>
      <c r="T17" s="47"/>
      <c r="U17" s="20"/>
    </row>
    <row r="18" spans="1:21" ht="21" customHeight="1">
      <c r="A18" s="46">
        <v>9</v>
      </c>
      <c r="B18" s="20" t="s">
        <v>179</v>
      </c>
      <c r="C18" s="46" t="str">
        <f>"("&amp;A9&amp;") - ("&amp;A13&amp;")"</f>
        <v>(1) - (5)</v>
      </c>
      <c r="D18" s="164">
        <f t="shared" ref="D18:F18" si="6">D9-D13</f>
        <v>219248</v>
      </c>
      <c r="E18" s="164">
        <f t="shared" si="6"/>
        <v>219738</v>
      </c>
      <c r="F18" s="164">
        <f t="shared" si="6"/>
        <v>220593</v>
      </c>
      <c r="G18" s="164">
        <f>G9-G13</f>
        <v>219437</v>
      </c>
      <c r="H18" s="48">
        <f t="shared" ref="H18:M18" si="7">H9-H13</f>
        <v>219286</v>
      </c>
      <c r="I18" s="48">
        <f t="shared" si="7"/>
        <v>219632</v>
      </c>
      <c r="J18" s="48">
        <f t="shared" si="7"/>
        <v>0</v>
      </c>
      <c r="K18" s="48">
        <f t="shared" si="7"/>
        <v>0</v>
      </c>
      <c r="L18" s="48">
        <f t="shared" si="7"/>
        <v>0</v>
      </c>
      <c r="M18" s="48">
        <f t="shared" si="7"/>
        <v>0</v>
      </c>
      <c r="N18" s="48">
        <f>N9-N13</f>
        <v>0</v>
      </c>
      <c r="O18" s="48">
        <f>O9-O13</f>
        <v>0</v>
      </c>
      <c r="P18" s="48"/>
      <c r="Q18" s="48">
        <f>SUM(D18:F18)</f>
        <v>659579</v>
      </c>
      <c r="R18" s="48">
        <f>SUM(G18:I18)</f>
        <v>658355</v>
      </c>
      <c r="S18" s="48">
        <f>SUM(J18:L18)</f>
        <v>0</v>
      </c>
      <c r="T18" s="48">
        <f>SUM(M18:O18)</f>
        <v>0</v>
      </c>
      <c r="U18" s="203">
        <f>SUM(D18:O18)</f>
        <v>1317934</v>
      </c>
    </row>
    <row r="19" spans="1:21" ht="25.5">
      <c r="A19" s="82">
        <f t="shared" ref="A19:A20" si="8">A18+1</f>
        <v>10</v>
      </c>
      <c r="B19" s="82" t="s">
        <v>22</v>
      </c>
      <c r="C19" s="82" t="s">
        <v>161</v>
      </c>
      <c r="D19" s="242">
        <v>98.181729052547666</v>
      </c>
      <c r="E19" s="242">
        <v>74.145491495773655</v>
      </c>
      <c r="F19" s="242">
        <v>82.102311385357453</v>
      </c>
      <c r="G19" s="242">
        <v>60.703903156358791</v>
      </c>
      <c r="H19" s="242">
        <v>60.393862393160838</v>
      </c>
      <c r="I19" s="242">
        <v>52.672621638177645</v>
      </c>
      <c r="J19" s="242">
        <v>69.516191827877122</v>
      </c>
      <c r="K19" s="242">
        <v>63.91222541113023</v>
      </c>
      <c r="L19" s="242">
        <v>55.142790134150864</v>
      </c>
      <c r="M19" s="242">
        <v>61.822284599020577</v>
      </c>
      <c r="N19" s="242">
        <v>78.339557783321183</v>
      </c>
      <c r="O19" s="242">
        <v>100.30703112312388</v>
      </c>
      <c r="P19" s="18"/>
      <c r="Q19" s="18">
        <f>Q20/Q18</f>
        <v>84.796400305409122</v>
      </c>
      <c r="R19" s="18">
        <f>R20/R18</f>
        <v>57.921340524952051</v>
      </c>
      <c r="S19" s="18" t="e">
        <f>S20/S18</f>
        <v>#DIV/0!</v>
      </c>
      <c r="T19" s="18" t="e">
        <f>T20/T18</f>
        <v>#DIV/0!</v>
      </c>
      <c r="U19" s="18">
        <f>U20/U18</f>
        <v>71.371350202928411</v>
      </c>
    </row>
    <row r="20" spans="1:21">
      <c r="A20" s="46">
        <f t="shared" si="8"/>
        <v>11</v>
      </c>
      <c r="B20" s="20" t="s">
        <v>23</v>
      </c>
      <c r="C20" s="46" t="str">
        <f>"("&amp;A18&amp;") x ("&amp;A19&amp;")"</f>
        <v>(9) x (10)</v>
      </c>
      <c r="D20" s="49">
        <f>D18*D19</f>
        <v>21526147.731312972</v>
      </c>
      <c r="E20" s="49">
        <f t="shared" ref="E20:F20" si="9">E18*E19</f>
        <v>16292582.010298312</v>
      </c>
      <c r="F20" s="49">
        <f t="shared" si="9"/>
        <v>18111195.175430156</v>
      </c>
      <c r="G20" s="49">
        <f>G18*G19</f>
        <v>13320682.396921905</v>
      </c>
      <c r="H20" s="49">
        <f t="shared" ref="H20:M20" si="10">H18*H19</f>
        <v>13243528.508746667</v>
      </c>
      <c r="I20" s="49">
        <f t="shared" si="10"/>
        <v>11568593.235636232</v>
      </c>
      <c r="J20" s="49">
        <f t="shared" si="10"/>
        <v>0</v>
      </c>
      <c r="K20" s="49">
        <f t="shared" si="10"/>
        <v>0</v>
      </c>
      <c r="L20" s="49">
        <f t="shared" si="10"/>
        <v>0</v>
      </c>
      <c r="M20" s="49">
        <f t="shared" si="10"/>
        <v>0</v>
      </c>
      <c r="N20" s="49">
        <f>N18*N19</f>
        <v>0</v>
      </c>
      <c r="O20" s="250">
        <f>O18*O19+'[2]Annual Adjustment (Dec Only)'!D19*0</f>
        <v>0</v>
      </c>
      <c r="P20" s="49"/>
      <c r="Q20" s="49">
        <f>SUM(D20:F20)</f>
        <v>55929924.917041443</v>
      </c>
      <c r="R20" s="49">
        <f>SUM(G20:I20)</f>
        <v>38132804.141304806</v>
      </c>
      <c r="S20" s="49">
        <f>SUM(J20:L20)</f>
        <v>0</v>
      </c>
      <c r="T20" s="49">
        <f>SUM(M20:O20)</f>
        <v>0</v>
      </c>
      <c r="U20" s="7">
        <f>SUM(D20:O20)</f>
        <v>94062729.058346257</v>
      </c>
    </row>
    <row r="21" spans="1:21" ht="9" customHeight="1">
      <c r="A21" s="46"/>
      <c r="B21" s="20"/>
      <c r="C21" s="46"/>
      <c r="D21" s="47"/>
      <c r="E21" s="47"/>
      <c r="F21" s="47"/>
      <c r="G21" s="47"/>
      <c r="H21" s="47"/>
      <c r="I21" s="47"/>
      <c r="J21" s="47"/>
      <c r="K21" s="47"/>
      <c r="L21" s="47"/>
      <c r="M21" s="47"/>
      <c r="N21" s="47"/>
      <c r="O21" s="47"/>
      <c r="P21" s="47"/>
      <c r="Q21" s="48"/>
      <c r="R21" s="48"/>
      <c r="S21" s="48"/>
      <c r="T21" s="48"/>
      <c r="U21" s="48"/>
    </row>
    <row r="22" spans="1:21">
      <c r="A22" s="46">
        <v>12</v>
      </c>
      <c r="B22" s="20" t="s">
        <v>180</v>
      </c>
      <c r="C22" s="46" t="str">
        <f>"("&amp;A11&amp;") - ("&amp;A15&amp;")"</f>
        <v>(3) - (7)</v>
      </c>
      <c r="D22" s="243">
        <f>D11-D15</f>
        <v>30340880.929170001</v>
      </c>
      <c r="E22" s="243">
        <f t="shared" ref="D22:F23" si="11">E11-E15</f>
        <v>24174504.382309999</v>
      </c>
      <c r="F22" s="243">
        <f t="shared" si="11"/>
        <v>23363752.579579998</v>
      </c>
      <c r="G22" s="243">
        <f>G11-G15</f>
        <v>20012321.989550002</v>
      </c>
      <c r="H22" s="243">
        <f>H11-H15</f>
        <v>16738801.403779997</v>
      </c>
      <c r="I22" s="243">
        <f t="shared" ref="I22:O23" si="12">I11-I15</f>
        <v>15196580.966920001</v>
      </c>
      <c r="J22" s="243">
        <f t="shared" si="12"/>
        <v>0</v>
      </c>
      <c r="K22" s="243">
        <f t="shared" si="12"/>
        <v>0</v>
      </c>
      <c r="L22" s="243">
        <f t="shared" si="12"/>
        <v>0</v>
      </c>
      <c r="M22" s="243">
        <f t="shared" si="12"/>
        <v>0</v>
      </c>
      <c r="N22" s="243">
        <f>N11-N15</f>
        <v>0</v>
      </c>
      <c r="O22" s="243">
        <f t="shared" si="12"/>
        <v>0</v>
      </c>
      <c r="P22" s="49"/>
      <c r="Q22" s="49">
        <f>SUM(D22:F22)</f>
        <v>77879137.891059995</v>
      </c>
      <c r="R22" s="49">
        <f>SUM(G22:I22)</f>
        <v>51947704.360250004</v>
      </c>
      <c r="S22" s="49">
        <f>SUM(J22:L22)</f>
        <v>0</v>
      </c>
      <c r="T22" s="49">
        <f>SUM(M22:O22)</f>
        <v>0</v>
      </c>
      <c r="U22" s="7">
        <f>SUM(D22:O22)</f>
        <v>129826842.25130999</v>
      </c>
    </row>
    <row r="23" spans="1:21">
      <c r="A23" s="46">
        <v>13</v>
      </c>
      <c r="B23" s="20" t="s">
        <v>181</v>
      </c>
      <c r="C23" s="46" t="str">
        <f t="shared" ref="C23" si="13">"("&amp;A12&amp;") - ("&amp;A16&amp;")"</f>
        <v>(4) - (8)</v>
      </c>
      <c r="D23" s="243">
        <f t="shared" si="11"/>
        <v>1882170</v>
      </c>
      <c r="E23" s="243">
        <f t="shared" si="11"/>
        <v>1895652</v>
      </c>
      <c r="F23" s="243">
        <f t="shared" si="11"/>
        <v>2260116</v>
      </c>
      <c r="G23" s="243">
        <f>G12-G16</f>
        <v>2009455</v>
      </c>
      <c r="H23" s="243">
        <f>H12-H16</f>
        <v>2009772</v>
      </c>
      <c r="I23" s="243">
        <f t="shared" si="12"/>
        <v>2044674</v>
      </c>
      <c r="J23" s="243">
        <f t="shared" si="12"/>
        <v>0</v>
      </c>
      <c r="K23" s="243">
        <f t="shared" si="12"/>
        <v>0</v>
      </c>
      <c r="L23" s="243">
        <f t="shared" si="12"/>
        <v>0</v>
      </c>
      <c r="M23" s="243">
        <f t="shared" si="12"/>
        <v>0</v>
      </c>
      <c r="N23" s="243">
        <f>N12-N16</f>
        <v>0</v>
      </c>
      <c r="O23" s="243">
        <f t="shared" si="12"/>
        <v>0</v>
      </c>
      <c r="P23" s="49"/>
      <c r="Q23" s="49">
        <f>SUM(D23:F23)</f>
        <v>6037938</v>
      </c>
      <c r="R23" s="49">
        <f>SUM(G23:I23)</f>
        <v>6063901</v>
      </c>
      <c r="S23" s="49">
        <f>SUM(J23:L23)</f>
        <v>0</v>
      </c>
      <c r="T23" s="49">
        <f>SUM(M23:O23)</f>
        <v>0</v>
      </c>
      <c r="U23" s="7">
        <f>SUM(D23:O23)</f>
        <v>12101839</v>
      </c>
    </row>
    <row r="24" spans="1:21">
      <c r="A24" s="46">
        <v>14</v>
      </c>
      <c r="B24" s="2" t="s">
        <v>182</v>
      </c>
      <c r="C24" s="46" t="str">
        <f>"("&amp;A10&amp;") - ("&amp;A14&amp;")"</f>
        <v>(2) - (6)</v>
      </c>
      <c r="D24" s="165">
        <f t="shared" ref="D24:F24" si="14">D10-D14</f>
        <v>291429067.23999</v>
      </c>
      <c r="E24" s="165">
        <f t="shared" si="14"/>
        <v>238206050.61228001</v>
      </c>
      <c r="F24" s="165">
        <f t="shared" si="14"/>
        <v>226803692.68301001</v>
      </c>
      <c r="G24" s="165">
        <f>G10-G14</f>
        <v>196618851.42998999</v>
      </c>
      <c r="H24" s="156">
        <f t="shared" ref="H24:O24" si="15">H10-H14</f>
        <v>165994307.71900001</v>
      </c>
      <c r="I24" s="156">
        <f t="shared" si="15"/>
        <v>148981664.40899998</v>
      </c>
      <c r="J24" s="156">
        <f t="shared" si="15"/>
        <v>0</v>
      </c>
      <c r="K24" s="156">
        <f t="shared" si="15"/>
        <v>0</v>
      </c>
      <c r="L24" s="156">
        <f t="shared" si="15"/>
        <v>0</v>
      </c>
      <c r="M24" s="156">
        <f t="shared" si="15"/>
        <v>0</v>
      </c>
      <c r="N24" s="156">
        <f>N10-N14</f>
        <v>0</v>
      </c>
      <c r="O24" s="156">
        <f t="shared" si="15"/>
        <v>0</v>
      </c>
      <c r="P24" s="156"/>
      <c r="Q24" s="48">
        <f>SUM(D24:F24)</f>
        <v>756438810.53527999</v>
      </c>
      <c r="R24" s="48">
        <f>SUM(G24:I24)</f>
        <v>511594823.55799001</v>
      </c>
      <c r="S24" s="48">
        <f>SUM(J24:L24)</f>
        <v>0</v>
      </c>
      <c r="T24" s="48">
        <f>SUM(M24:O24)</f>
        <v>0</v>
      </c>
      <c r="U24" s="203">
        <f>SUM(D24:O24)</f>
        <v>1268033634.0932701</v>
      </c>
    </row>
    <row r="25" spans="1:21" ht="26.25">
      <c r="A25" s="46">
        <v>15</v>
      </c>
      <c r="B25" s="20" t="s">
        <v>39</v>
      </c>
      <c r="C25" s="204" t="s">
        <v>162</v>
      </c>
      <c r="D25" s="244">
        <v>1.3599999999999999E-2</v>
      </c>
      <c r="E25" s="245">
        <f>D25</f>
        <v>1.3599999999999999E-2</v>
      </c>
      <c r="F25" s="245">
        <f t="shared" ref="F25:O25" si="16">E25</f>
        <v>1.3599999999999999E-2</v>
      </c>
      <c r="G25" s="245">
        <f t="shared" si="16"/>
        <v>1.3599999999999999E-2</v>
      </c>
      <c r="H25" s="245">
        <f t="shared" si="16"/>
        <v>1.3599999999999999E-2</v>
      </c>
      <c r="I25" s="245">
        <f t="shared" si="16"/>
        <v>1.3599999999999999E-2</v>
      </c>
      <c r="J25" s="245">
        <f t="shared" si="16"/>
        <v>1.3599999999999999E-2</v>
      </c>
      <c r="K25" s="245">
        <f t="shared" si="16"/>
        <v>1.3599999999999999E-2</v>
      </c>
      <c r="L25" s="245">
        <f t="shared" si="16"/>
        <v>1.3599999999999999E-2</v>
      </c>
      <c r="M25" s="245">
        <f t="shared" si="16"/>
        <v>1.3599999999999999E-2</v>
      </c>
      <c r="N25" s="245">
        <f t="shared" si="16"/>
        <v>1.3599999999999999E-2</v>
      </c>
      <c r="O25" s="245">
        <f t="shared" si="16"/>
        <v>1.3599999999999999E-2</v>
      </c>
      <c r="P25" s="205"/>
      <c r="Q25" s="206"/>
      <c r="R25" s="206"/>
      <c r="S25" s="206"/>
      <c r="T25" s="206"/>
      <c r="U25" s="206"/>
    </row>
    <row r="26" spans="1:21">
      <c r="A26" s="46">
        <v>16</v>
      </c>
      <c r="B26" s="20" t="s">
        <v>40</v>
      </c>
      <c r="C26" s="46" t="str">
        <f>"("&amp;A24&amp;") x ("&amp;A25&amp;")"</f>
        <v>(14) x (15)</v>
      </c>
      <c r="D26" s="49">
        <f>D24*D25</f>
        <v>3963435.3144638636</v>
      </c>
      <c r="E26" s="49">
        <f t="shared" ref="E26:O26" si="17">E24*E25</f>
        <v>3239602.288327008</v>
      </c>
      <c r="F26" s="49">
        <f t="shared" si="17"/>
        <v>3084530.2204889362</v>
      </c>
      <c r="G26" s="49">
        <f t="shared" si="17"/>
        <v>2674016.3794478639</v>
      </c>
      <c r="H26" s="49">
        <f>H24*H25</f>
        <v>2257522.5849784003</v>
      </c>
      <c r="I26" s="49">
        <f t="shared" si="17"/>
        <v>2026150.6359623997</v>
      </c>
      <c r="J26" s="49">
        <f t="shared" si="17"/>
        <v>0</v>
      </c>
      <c r="K26" s="49">
        <f t="shared" si="17"/>
        <v>0</v>
      </c>
      <c r="L26" s="49">
        <f t="shared" si="17"/>
        <v>0</v>
      </c>
      <c r="M26" s="49">
        <f>M24*M25</f>
        <v>0</v>
      </c>
      <c r="N26" s="49">
        <f>N24*N25</f>
        <v>0</v>
      </c>
      <c r="O26" s="49">
        <f t="shared" si="17"/>
        <v>0</v>
      </c>
      <c r="P26" s="49"/>
      <c r="Q26" s="49">
        <f>SUM(D26:F26)</f>
        <v>10287567.823279807</v>
      </c>
      <c r="R26" s="49">
        <f>SUM(G26:I26)</f>
        <v>6957689.6003886638</v>
      </c>
      <c r="S26" s="49">
        <f>SUM(J26:L26)</f>
        <v>0</v>
      </c>
      <c r="T26" s="49">
        <f>SUM(M26:O26)</f>
        <v>0</v>
      </c>
      <c r="U26" s="49">
        <f>SUM(D26:O26)</f>
        <v>17245257.42366847</v>
      </c>
    </row>
    <row r="27" spans="1:21">
      <c r="A27" s="46">
        <v>17</v>
      </c>
      <c r="B27" s="20" t="s">
        <v>25</v>
      </c>
      <c r="C27" s="46" t="str">
        <f>"("&amp;A22&amp;") - ("&amp;A23&amp;") -("&amp;A26&amp;")"</f>
        <v>(12) - (13) -(16)</v>
      </c>
      <c r="D27" s="49">
        <f t="shared" ref="D27:O27" si="18">D22-D23-D26</f>
        <v>24495275.614706136</v>
      </c>
      <c r="E27" s="49">
        <f t="shared" si="18"/>
        <v>19039250.093982991</v>
      </c>
      <c r="F27" s="49">
        <f t="shared" si="18"/>
        <v>18019106.359091062</v>
      </c>
      <c r="G27" s="49">
        <f t="shared" si="18"/>
        <v>15328850.610102138</v>
      </c>
      <c r="H27" s="49">
        <f>H22-H23-H26</f>
        <v>12471506.818801597</v>
      </c>
      <c r="I27" s="49">
        <f t="shared" si="18"/>
        <v>11125756.330957603</v>
      </c>
      <c r="J27" s="49">
        <f t="shared" si="18"/>
        <v>0</v>
      </c>
      <c r="K27" s="49">
        <f t="shared" si="18"/>
        <v>0</v>
      </c>
      <c r="L27" s="49">
        <f t="shared" si="18"/>
        <v>0</v>
      </c>
      <c r="M27" s="49">
        <f t="shared" si="18"/>
        <v>0</v>
      </c>
      <c r="N27" s="49">
        <f>N22-N23-N26</f>
        <v>0</v>
      </c>
      <c r="O27" s="49">
        <f t="shared" si="18"/>
        <v>0</v>
      </c>
      <c r="P27" s="49"/>
      <c r="Q27" s="49">
        <f>SUM(D27:F27)</f>
        <v>61553632.067780182</v>
      </c>
      <c r="R27" s="49">
        <f>SUM(G27:I27)</f>
        <v>38926113.759861335</v>
      </c>
      <c r="S27" s="49">
        <f>SUM(J27:L27)</f>
        <v>0</v>
      </c>
      <c r="T27" s="49">
        <f>SUM(M27:O27)</f>
        <v>0</v>
      </c>
      <c r="U27" s="7">
        <f>SUM(D27:O27)</f>
        <v>100479745.82764152</v>
      </c>
    </row>
    <row r="28" spans="1:21">
      <c r="A28" s="46">
        <v>18</v>
      </c>
      <c r="B28" s="89" t="s">
        <v>26</v>
      </c>
      <c r="C28" s="46" t="str">
        <f>"("&amp;A27&amp;") / ("&amp;A18&amp;")"</f>
        <v>(17) / (9)</v>
      </c>
      <c r="D28" s="18">
        <f t="shared" ref="D28:F28" si="19">D27/D18</f>
        <v>111.72405501854583</v>
      </c>
      <c r="E28" s="18">
        <f t="shared" si="19"/>
        <v>86.645232476781402</v>
      </c>
      <c r="F28" s="18">
        <f t="shared" si="19"/>
        <v>81.684851101762348</v>
      </c>
      <c r="G28" s="18">
        <f>G27/G18</f>
        <v>69.855359898750606</v>
      </c>
      <c r="H28" s="18">
        <f>H27/H18</f>
        <v>56.873246895841945</v>
      </c>
      <c r="I28" s="18">
        <f t="shared" ref="I28:O28" si="20">I27/I18</f>
        <v>50.656353950961623</v>
      </c>
      <c r="J28" s="18" t="e">
        <f t="shared" si="20"/>
        <v>#DIV/0!</v>
      </c>
      <c r="K28" s="18" t="e">
        <f t="shared" si="20"/>
        <v>#DIV/0!</v>
      </c>
      <c r="L28" s="18" t="e">
        <f t="shared" si="20"/>
        <v>#DIV/0!</v>
      </c>
      <c r="M28" s="18" t="e">
        <f t="shared" si="20"/>
        <v>#DIV/0!</v>
      </c>
      <c r="N28" s="18" t="e">
        <f t="shared" si="20"/>
        <v>#DIV/0!</v>
      </c>
      <c r="O28" s="18" t="e">
        <f t="shared" si="20"/>
        <v>#DIV/0!</v>
      </c>
      <c r="P28" s="18"/>
      <c r="Q28" s="206">
        <f>Q27/Q18</f>
        <v>93.322607402267479</v>
      </c>
      <c r="R28" s="206">
        <f>R27/R18</f>
        <v>59.126328135825403</v>
      </c>
      <c r="S28" s="206" t="e">
        <f>S27/S18</f>
        <v>#DIV/0!</v>
      </c>
      <c r="T28" s="206" t="e">
        <f>T27/T18</f>
        <v>#DIV/0!</v>
      </c>
      <c r="U28" s="206">
        <f>U27/U18</f>
        <v>76.24034726142699</v>
      </c>
    </row>
    <row r="29" spans="1:21">
      <c r="A29" s="46">
        <v>19</v>
      </c>
      <c r="B29" s="20" t="s">
        <v>27</v>
      </c>
      <c r="C29" s="46" t="str">
        <f>"("&amp;A$24&amp;") - ("&amp;A27&amp;")"</f>
        <v>(14) - (17)</v>
      </c>
      <c r="D29" s="246">
        <f>IF(D8="",D20-D27,-D6)</f>
        <v>-2969127.8833931647</v>
      </c>
      <c r="E29" s="246">
        <f t="shared" ref="E29:O29" si="21">IF(E8="",E20-E27,-E6)</f>
        <v>-2746668.0836846791</v>
      </c>
      <c r="F29" s="246">
        <f t="shared" si="21"/>
        <v>92088.816339094192</v>
      </c>
      <c r="G29" s="49">
        <f t="shared" si="21"/>
        <v>-2008168.2131802328</v>
      </c>
      <c r="H29" s="49">
        <f t="shared" si="21"/>
        <v>772021.68994507007</v>
      </c>
      <c r="I29" s="49">
        <f t="shared" si="21"/>
        <v>442836.90467862971</v>
      </c>
      <c r="J29" s="246">
        <f t="shared" si="21"/>
        <v>0</v>
      </c>
      <c r="K29" s="246">
        <f t="shared" si="21"/>
        <v>0</v>
      </c>
      <c r="L29" s="246">
        <f t="shared" si="21"/>
        <v>0</v>
      </c>
      <c r="M29" s="246">
        <f t="shared" si="21"/>
        <v>0</v>
      </c>
      <c r="N29" s="246">
        <f t="shared" si="21"/>
        <v>0</v>
      </c>
      <c r="O29" s="246">
        <f t="shared" si="21"/>
        <v>0</v>
      </c>
      <c r="P29" s="49"/>
      <c r="Q29" s="49">
        <f>SUM(D29:F29)</f>
        <v>-5623707.1507387497</v>
      </c>
      <c r="R29" s="49">
        <f>SUM(G29:I29)</f>
        <v>-793309.61855653301</v>
      </c>
      <c r="S29" s="49">
        <f>SUM(J29:L29)</f>
        <v>0</v>
      </c>
      <c r="T29" s="49">
        <f>SUM(M29:O29)</f>
        <v>0</v>
      </c>
      <c r="U29" s="7">
        <f>SUM(D29:O29)</f>
        <v>-6417016.7692952827</v>
      </c>
    </row>
    <row r="30" spans="1:21">
      <c r="A30" s="46">
        <v>20</v>
      </c>
      <c r="B30" s="20" t="s">
        <v>28</v>
      </c>
      <c r="C30" s="8" t="s">
        <v>29</v>
      </c>
      <c r="D30" s="256">
        <v>130438.08756390665</v>
      </c>
      <c r="E30" s="256">
        <v>120665.1064147541</v>
      </c>
      <c r="F30" s="256">
        <v>-4045.5950572152233</v>
      </c>
      <c r="G30" s="167">
        <v>88221.737668808753</v>
      </c>
      <c r="H30" s="167">
        <v>-33916.030817509803</v>
      </c>
      <c r="I30" s="167">
        <v>-19454.466502462761</v>
      </c>
      <c r="J30" s="246">
        <v>0</v>
      </c>
      <c r="K30" s="246">
        <v>0</v>
      </c>
      <c r="L30" s="246">
        <v>0</v>
      </c>
      <c r="M30" s="246">
        <v>0</v>
      </c>
      <c r="N30" s="246">
        <v>0</v>
      </c>
      <c r="O30" s="246">
        <v>0</v>
      </c>
      <c r="P30" s="49"/>
      <c r="Q30" s="49">
        <f>SUM(D30:F30)</f>
        <v>247057.59892144552</v>
      </c>
      <c r="R30" s="49">
        <f>SUM(G30:I30)</f>
        <v>34851.240348836189</v>
      </c>
      <c r="S30" s="49">
        <f>SUM(J30:L30)</f>
        <v>0</v>
      </c>
      <c r="T30" s="49">
        <f>SUM(M30:O30)</f>
        <v>0</v>
      </c>
      <c r="U30" s="7">
        <f>SUM(D30:O30)</f>
        <v>281908.83927028172</v>
      </c>
    </row>
    <row r="31" spans="1:21" ht="14.45" customHeight="1">
      <c r="A31" s="46">
        <v>21</v>
      </c>
      <c r="B31" s="20"/>
      <c r="C31" s="46" t="s">
        <v>30</v>
      </c>
      <c r="D31" s="247">
        <v>3.2500000000000001E-2</v>
      </c>
      <c r="E31" s="247">
        <f>D31</f>
        <v>3.2500000000000001E-2</v>
      </c>
      <c r="F31" s="247">
        <v>3.2500000000000001E-2</v>
      </c>
      <c r="G31" s="247">
        <v>3.2500000000000001E-2</v>
      </c>
      <c r="H31" s="247">
        <v>3.2500000000000001E-2</v>
      </c>
      <c r="I31" s="247">
        <v>3.2500000000000001E-2</v>
      </c>
      <c r="J31" s="247"/>
      <c r="K31" s="247"/>
      <c r="L31" s="247"/>
      <c r="M31" s="247"/>
      <c r="N31" s="247"/>
      <c r="O31" s="247"/>
      <c r="P31" s="207"/>
      <c r="Q31" s="54"/>
      <c r="R31" s="54"/>
      <c r="S31" s="54"/>
      <c r="T31" s="54"/>
      <c r="U31" s="7"/>
    </row>
    <row r="32" spans="1:21">
      <c r="A32" s="46">
        <v>22</v>
      </c>
      <c r="B32" s="20" t="s">
        <v>31</v>
      </c>
      <c r="C32" s="46" t="s">
        <v>35</v>
      </c>
      <c r="D32" s="248">
        <f>(C33+(D29+D30)/2)*D31/12</f>
        <v>-3844.0590985187869</v>
      </c>
      <c r="E32" s="248">
        <f t="shared" ref="E32:F32" si="22">(D34+(E29+E30)/2)*E31/12</f>
        <v>-11254.574888815754</v>
      </c>
      <c r="F32" s="248">
        <f t="shared" si="22"/>
        <v>-14721.876532040109</v>
      </c>
      <c r="G32" s="248">
        <f>(F34+(G29+G30)/2)*G31/12</f>
        <v>-17242.450604416896</v>
      </c>
      <c r="H32" s="135">
        <f>(G34+(H29+H30)/2)*H31/12</f>
        <v>-18889.558346990339</v>
      </c>
      <c r="I32" s="3">
        <f t="shared" ref="I32:O32" si="23">(H34+(I29+I30)/2)*I31/12</f>
        <v>-17367.869102414643</v>
      </c>
      <c r="J32" s="3">
        <f t="shared" si="23"/>
        <v>0</v>
      </c>
      <c r="K32" s="3">
        <f t="shared" si="23"/>
        <v>0</v>
      </c>
      <c r="L32" s="3">
        <f t="shared" si="23"/>
        <v>0</v>
      </c>
      <c r="M32" s="3">
        <f t="shared" si="23"/>
        <v>0</v>
      </c>
      <c r="N32" s="3">
        <f t="shared" si="23"/>
        <v>0</v>
      </c>
      <c r="O32" s="3">
        <f t="shared" si="23"/>
        <v>0</v>
      </c>
      <c r="P32" s="3"/>
      <c r="Q32" s="49">
        <f>SUM(D32:F32)</f>
        <v>-29820.510519374649</v>
      </c>
      <c r="R32" s="49">
        <f>SUM(G32:I32)</f>
        <v>-53499.878053821871</v>
      </c>
      <c r="S32" s="49">
        <f>SUM(J32:L32)</f>
        <v>0</v>
      </c>
      <c r="T32" s="49">
        <f>SUM(M32:O32)</f>
        <v>0</v>
      </c>
      <c r="U32" s="7">
        <f>SUM(D32:O32)</f>
        <v>-83320.388573196527</v>
      </c>
    </row>
    <row r="33" spans="1:23" ht="14.45" customHeight="1" thickBot="1">
      <c r="A33" s="46">
        <v>23</v>
      </c>
      <c r="B33" s="4" t="s">
        <v>32</v>
      </c>
      <c r="C33" s="46"/>
      <c r="D33" s="249">
        <f>D29+D30+D32</f>
        <v>-2842533.8549277768</v>
      </c>
      <c r="E33" s="249">
        <f>E29+E30+E32</f>
        <v>-2637257.5521587408</v>
      </c>
      <c r="F33" s="249">
        <f t="shared" ref="F33:O33" si="24">F29+F30+F32</f>
        <v>73321.344749838856</v>
      </c>
      <c r="G33" s="249">
        <f t="shared" si="24"/>
        <v>-1937188.9261158409</v>
      </c>
      <c r="H33" s="6">
        <f t="shared" si="24"/>
        <v>719216.10078056983</v>
      </c>
      <c r="I33" s="6">
        <f t="shared" si="24"/>
        <v>406014.56907375233</v>
      </c>
      <c r="J33" s="6">
        <f t="shared" si="24"/>
        <v>0</v>
      </c>
      <c r="K33" s="6">
        <f t="shared" si="24"/>
        <v>0</v>
      </c>
      <c r="L33" s="6">
        <f t="shared" si="24"/>
        <v>0</v>
      </c>
      <c r="M33" s="6">
        <f t="shared" si="24"/>
        <v>0</v>
      </c>
      <c r="N33" s="6">
        <f t="shared" si="24"/>
        <v>0</v>
      </c>
      <c r="O33" s="6">
        <f t="shared" si="24"/>
        <v>0</v>
      </c>
      <c r="P33" s="6"/>
      <c r="Q33" s="51">
        <f>Q29+Q30+Q32</f>
        <v>-5406470.0623366795</v>
      </c>
      <c r="R33" s="51">
        <f>R29+R30+R32</f>
        <v>-811958.25626151869</v>
      </c>
      <c r="S33" s="51">
        <f>S29+S30+S32</f>
        <v>0</v>
      </c>
      <c r="T33" s="51">
        <f>T29+T30+T32</f>
        <v>0</v>
      </c>
      <c r="U33" s="51">
        <f>U29+U30+U32</f>
        <v>-6218428.3185981978</v>
      </c>
      <c r="W33" s="208"/>
    </row>
    <row r="34" spans="1:23" ht="27" thickBot="1">
      <c r="A34" s="46">
        <v>24</v>
      </c>
      <c r="B34" s="157" t="s">
        <v>163</v>
      </c>
      <c r="C34" s="46" t="str">
        <f>"Σ(("&amp;A29&amp;") ,("&amp;A30&amp;") , ("&amp;A32&amp;"))"</f>
        <v>Σ((19) ,(20) , (22))</v>
      </c>
      <c r="D34" s="49">
        <f>C33+D29+D30+D32</f>
        <v>-2842533.8549277768</v>
      </c>
      <c r="E34" s="49">
        <f t="shared" ref="E34:F34" si="25">D34+E29+E30+E32</f>
        <v>-5479791.4070865177</v>
      </c>
      <c r="F34" s="49">
        <f t="shared" si="25"/>
        <v>-5406470.0623366795</v>
      </c>
      <c r="G34" s="49">
        <f>F34+G29+G30+G32</f>
        <v>-7343658.9884525202</v>
      </c>
      <c r="H34" s="49">
        <f>G34+H29+H30+H32</f>
        <v>-6624442.8876719503</v>
      </c>
      <c r="I34" s="49">
        <f t="shared" ref="I34:M34" si="26">H34+I29+I30+I32</f>
        <v>-6218428.3185981978</v>
      </c>
      <c r="J34" s="49">
        <f t="shared" si="26"/>
        <v>-6218428.3185981978</v>
      </c>
      <c r="K34" s="49">
        <f t="shared" si="26"/>
        <v>-6218428.3185981978</v>
      </c>
      <c r="L34" s="49">
        <f t="shared" si="26"/>
        <v>-6218428.3185981978</v>
      </c>
      <c r="M34" s="49">
        <f t="shared" si="26"/>
        <v>-6218428.3185981978</v>
      </c>
      <c r="N34" s="49">
        <f>M34+N29+N30+N32</f>
        <v>-6218428.3185981978</v>
      </c>
      <c r="O34" s="90">
        <f>N34+O29+O30+O32</f>
        <v>-6218428.3185981978</v>
      </c>
      <c r="P34" s="16"/>
      <c r="Q34" s="49"/>
      <c r="R34" s="49"/>
      <c r="S34" s="49"/>
      <c r="T34" s="49"/>
      <c r="U34" s="7"/>
    </row>
    <row r="35" spans="1:23">
      <c r="A35" s="89"/>
      <c r="B35" s="89"/>
      <c r="C35" s="89"/>
      <c r="D35" s="89"/>
      <c r="E35" s="89"/>
      <c r="F35" s="89"/>
      <c r="G35" s="89"/>
      <c r="H35" s="89"/>
      <c r="I35" s="89"/>
      <c r="J35" s="89"/>
      <c r="K35" s="89"/>
      <c r="L35" s="89"/>
      <c r="M35" s="89"/>
      <c r="N35" s="89"/>
      <c r="O35" s="89"/>
      <c r="P35" s="89"/>
      <c r="Q35" s="89"/>
      <c r="R35" s="89"/>
      <c r="S35" s="89"/>
      <c r="T35" s="89"/>
      <c r="U35" s="89"/>
    </row>
    <row r="36" spans="1:23">
      <c r="A36" s="46"/>
      <c r="B36" s="1" t="s">
        <v>33</v>
      </c>
      <c r="C36" s="46"/>
      <c r="D36" s="49"/>
      <c r="E36" s="49"/>
      <c r="F36" s="49"/>
      <c r="G36" s="49"/>
      <c r="H36" s="50"/>
      <c r="I36" s="49"/>
      <c r="J36" s="49"/>
      <c r="K36" s="49"/>
      <c r="L36" s="49"/>
      <c r="M36" s="49"/>
      <c r="N36" s="49"/>
      <c r="O36" s="49"/>
      <c r="P36" s="49"/>
      <c r="Q36" s="49"/>
      <c r="R36" s="49"/>
      <c r="S36" s="49"/>
      <c r="T36" s="49"/>
      <c r="U36" s="7"/>
    </row>
    <row r="37" spans="1:23">
      <c r="A37" s="46">
        <v>25</v>
      </c>
      <c r="B37" s="20" t="s">
        <v>20</v>
      </c>
      <c r="C37" s="46" t="s">
        <v>21</v>
      </c>
      <c r="D37" s="233">
        <v>38010</v>
      </c>
      <c r="E37" s="233">
        <v>38075</v>
      </c>
      <c r="F37" s="233">
        <v>39207</v>
      </c>
      <c r="G37" s="233">
        <v>38504</v>
      </c>
      <c r="H37" s="233">
        <v>38259</v>
      </c>
      <c r="I37" s="233">
        <v>39067</v>
      </c>
      <c r="J37" s="233">
        <f>'[2]07.2022 Base Rate Revenue'!$C$23+'[2]07.2022 Base Rate Revenue'!$D$23</f>
        <v>0</v>
      </c>
      <c r="K37" s="233">
        <f>'[2]08.2022 Base Rate Revenue'!$C$23+'[2]08.2022 Base Rate Revenue'!$D$23</f>
        <v>0</v>
      </c>
      <c r="L37" s="233">
        <f>'[2]09.2022 Base Rate Revenue'!$C$23+'[2]09.2022 Base Rate Revenue'!$D$23</f>
        <v>0</v>
      </c>
      <c r="M37" s="233">
        <f>'[2]10.2022 Base Rate Revenue'!$C$23+'[2]10.2022 Base Rate Revenue'!$D$23</f>
        <v>0</v>
      </c>
      <c r="N37" s="233">
        <f>'[2]11.2022 Base Rate Revenue'!$C$23+'[2]11.2022 Base Rate Revenue'!$D$23</f>
        <v>0</v>
      </c>
      <c r="O37" s="233">
        <f>'[2]12.2022 Base Rate Revenue'!$C$23+'[2]12.2022 Base Rate Revenue'!$D$23</f>
        <v>0</v>
      </c>
      <c r="P37" s="166"/>
      <c r="Q37" s="48">
        <f t="shared" ref="Q37:Q44" si="27">SUM(D37:F37)</f>
        <v>115292</v>
      </c>
      <c r="R37" s="48">
        <f t="shared" ref="R37:R44" si="28">SUM(G37:I37)</f>
        <v>115830</v>
      </c>
      <c r="S37" s="48">
        <f t="shared" ref="S37:S44" si="29">SUM(J37:L37)</f>
        <v>0</v>
      </c>
      <c r="T37" s="48">
        <f t="shared" ref="T37:T44" si="30">SUM(M37:O37)</f>
        <v>0</v>
      </c>
      <c r="U37" s="203">
        <f t="shared" ref="U37:U44" si="31">SUM(D37:O37)</f>
        <v>231122</v>
      </c>
    </row>
    <row r="38" spans="1:23">
      <c r="A38" s="46">
        <v>26</v>
      </c>
      <c r="B38" s="2" t="s">
        <v>156</v>
      </c>
      <c r="C38" s="46" t="s">
        <v>21</v>
      </c>
      <c r="D38" s="234">
        <v>175691548.33098</v>
      </c>
      <c r="E38" s="234">
        <v>164561731.08000001</v>
      </c>
      <c r="F38" s="234">
        <v>175406919.12400001</v>
      </c>
      <c r="G38" s="234">
        <v>170901383.97299999</v>
      </c>
      <c r="H38" s="235">
        <v>155518259.10000002</v>
      </c>
      <c r="I38" s="235">
        <v>172150215.82100001</v>
      </c>
      <c r="J38" s="235">
        <f>'[2]07.2022 Base Rate Revenue'!$I$23</f>
        <v>0</v>
      </c>
      <c r="K38" s="235">
        <f>'[2]08.2022 Base Rate Revenue'!$I$23</f>
        <v>0</v>
      </c>
      <c r="L38" s="235">
        <f>'[2]09.2022 Base Rate Revenue'!$I$23</f>
        <v>0</v>
      </c>
      <c r="M38" s="235">
        <f>'[2]10.2022 Base Rate Revenue'!$I$23</f>
        <v>0</v>
      </c>
      <c r="N38" s="235">
        <f>'[2]11.2022 Base Rate Revenue'!$I$23</f>
        <v>0</v>
      </c>
      <c r="O38" s="235">
        <f>'[2]12.2022 Base Rate Revenue'!$I$23</f>
        <v>0</v>
      </c>
      <c r="P38" s="166"/>
      <c r="Q38" s="48">
        <f t="shared" si="27"/>
        <v>515660198.53498</v>
      </c>
      <c r="R38" s="48">
        <f t="shared" si="28"/>
        <v>498569858.89400005</v>
      </c>
      <c r="S38" s="48">
        <f t="shared" si="29"/>
        <v>0</v>
      </c>
      <c r="T38" s="48">
        <f t="shared" si="30"/>
        <v>0</v>
      </c>
      <c r="U38" s="203">
        <f t="shared" si="31"/>
        <v>1014230057.42898</v>
      </c>
    </row>
    <row r="39" spans="1:23">
      <c r="A39" s="46">
        <v>27</v>
      </c>
      <c r="B39" s="20" t="s">
        <v>37</v>
      </c>
      <c r="C39" s="46" t="s">
        <v>21</v>
      </c>
      <c r="D39" s="236">
        <v>19617944.057890002</v>
      </c>
      <c r="E39" s="236">
        <v>17655935.685240004</v>
      </c>
      <c r="F39" s="236">
        <v>19148228.383530002</v>
      </c>
      <c r="G39" s="236">
        <v>18770512.797969997</v>
      </c>
      <c r="H39" s="236">
        <v>16893514.008789998</v>
      </c>
      <c r="I39" s="236">
        <v>18511594.353249997</v>
      </c>
      <c r="J39" s="236">
        <f>'[2]07.2022 Base Rate Revenue'!$I$45</f>
        <v>0</v>
      </c>
      <c r="K39" s="236">
        <f>'[2]08.2022 Base Rate Revenue'!$I$45</f>
        <v>0</v>
      </c>
      <c r="L39" s="236">
        <f>'[2]09.2022 Base Rate Revenue'!$I$45</f>
        <v>0</v>
      </c>
      <c r="M39" s="236">
        <f>'[2]10.2022 Base Rate Revenue'!$I$45</f>
        <v>0</v>
      </c>
      <c r="N39" s="236">
        <f>'[2]11.2022 Base Rate Revenue'!$I$45</f>
        <v>0</v>
      </c>
      <c r="O39" s="236">
        <f>'[2]12.2022 Base Rate Revenue'!$I$45</f>
        <v>0</v>
      </c>
      <c r="P39" s="167"/>
      <c r="Q39" s="49">
        <f t="shared" si="27"/>
        <v>56422108.126660004</v>
      </c>
      <c r="R39" s="49">
        <f t="shared" si="28"/>
        <v>54175621.160009995</v>
      </c>
      <c r="S39" s="49">
        <f t="shared" si="29"/>
        <v>0</v>
      </c>
      <c r="T39" s="49">
        <f t="shared" si="30"/>
        <v>0</v>
      </c>
      <c r="U39" s="7">
        <f t="shared" si="31"/>
        <v>110597729.28667</v>
      </c>
    </row>
    <row r="40" spans="1:23">
      <c r="A40" s="46">
        <v>28</v>
      </c>
      <c r="B40" s="20" t="s">
        <v>38</v>
      </c>
      <c r="C40" s="46" t="s">
        <v>21</v>
      </c>
      <c r="D40" s="236">
        <v>1606877.09</v>
      </c>
      <c r="E40" s="236">
        <v>1593727.1800000002</v>
      </c>
      <c r="F40" s="236">
        <v>1899297.2399999998</v>
      </c>
      <c r="G40" s="236">
        <v>1696030.42</v>
      </c>
      <c r="H40" s="236">
        <v>1687528.9699999997</v>
      </c>
      <c r="I40" s="236">
        <v>1711619.23</v>
      </c>
      <c r="J40" s="236">
        <f>'[2]07.2022 Base Rate Revenue'!$C$45</f>
        <v>0</v>
      </c>
      <c r="K40" s="236">
        <f>'[2]08.2022 Base Rate Revenue'!$C$45</f>
        <v>0</v>
      </c>
      <c r="L40" s="236">
        <f>'[2]09.2022 Base Rate Revenue'!$C$45</f>
        <v>0</v>
      </c>
      <c r="M40" s="236">
        <f>'[2]10.2022 Base Rate Revenue'!$C$45</f>
        <v>0</v>
      </c>
      <c r="N40" s="236">
        <f>'[2]11.2022 Base Rate Revenue'!$C$45</f>
        <v>0</v>
      </c>
      <c r="O40" s="236">
        <f>'[2]12.2022 Base Rate Revenue'!$C$45</f>
        <v>0</v>
      </c>
      <c r="P40" s="167"/>
      <c r="Q40" s="49">
        <f t="shared" si="27"/>
        <v>5099901.51</v>
      </c>
      <c r="R40" s="49">
        <f t="shared" si="28"/>
        <v>5095178.6199999992</v>
      </c>
      <c r="S40" s="49">
        <f t="shared" si="29"/>
        <v>0</v>
      </c>
      <c r="T40" s="49">
        <f t="shared" si="30"/>
        <v>0</v>
      </c>
      <c r="U40" s="7">
        <f t="shared" si="31"/>
        <v>10195080.129999999</v>
      </c>
    </row>
    <row r="41" spans="1:23" ht="27.75" customHeight="1">
      <c r="A41" s="46">
        <v>29</v>
      </c>
      <c r="B41" s="20" t="s">
        <v>157</v>
      </c>
      <c r="C41" s="46" t="s">
        <v>21</v>
      </c>
      <c r="D41" s="237">
        <v>1937</v>
      </c>
      <c r="E41" s="237">
        <v>1887</v>
      </c>
      <c r="F41" s="237">
        <v>2022</v>
      </c>
      <c r="G41" s="237">
        <v>2082</v>
      </c>
      <c r="H41" s="237">
        <v>2158</v>
      </c>
      <c r="I41" s="237">
        <v>2246</v>
      </c>
      <c r="J41" s="238">
        <f>'[2]07.2022 Base Rate Revenue'!$C$109</f>
        <v>0</v>
      </c>
      <c r="K41" s="238">
        <f>'[2]08.2022 Base Rate Revenue'!$C$109</f>
        <v>0</v>
      </c>
      <c r="L41" s="238">
        <f>'[2]09.2022 Base Rate Revenue'!$C$109</f>
        <v>0</v>
      </c>
      <c r="M41" s="238">
        <f>'[2]10.2022 Base Rate Revenue'!$C$109</f>
        <v>0</v>
      </c>
      <c r="N41" s="238">
        <f>'[2]11.2022 Base Rate Revenue'!$C$109</f>
        <v>0</v>
      </c>
      <c r="O41" s="238">
        <f>'[2]12.2022 Base Rate Revenue'!$C$109</f>
        <v>0</v>
      </c>
      <c r="P41" s="166"/>
      <c r="Q41" s="48">
        <f t="shared" si="27"/>
        <v>5846</v>
      </c>
      <c r="R41" s="48">
        <f t="shared" si="28"/>
        <v>6486</v>
      </c>
      <c r="S41" s="48">
        <f t="shared" si="29"/>
        <v>0</v>
      </c>
      <c r="T41" s="48">
        <f t="shared" si="30"/>
        <v>0</v>
      </c>
      <c r="U41" s="203">
        <f t="shared" si="31"/>
        <v>12332</v>
      </c>
    </row>
    <row r="42" spans="1:23">
      <c r="A42" s="46">
        <v>30</v>
      </c>
      <c r="B42" s="2" t="s">
        <v>158</v>
      </c>
      <c r="C42" s="46" t="s">
        <v>21</v>
      </c>
      <c r="D42" s="239">
        <v>8873829.3640000019</v>
      </c>
      <c r="E42" s="239">
        <v>6284484.1509999996</v>
      </c>
      <c r="F42" s="239">
        <v>5640903.7770000007</v>
      </c>
      <c r="G42" s="239">
        <v>5606647.3969999999</v>
      </c>
      <c r="H42" s="239">
        <v>6138318.4510000004</v>
      </c>
      <c r="I42" s="239">
        <v>5626401.2499999991</v>
      </c>
      <c r="J42" s="240">
        <f>'[2]07.2022 Base Rate Revenue'!$D$109</f>
        <v>0</v>
      </c>
      <c r="K42" s="240">
        <f>'[2]08.2022 Base Rate Revenue'!$D$109</f>
        <v>0</v>
      </c>
      <c r="L42" s="240">
        <f>'[2]09.2022 Base Rate Revenue'!$D$109</f>
        <v>0</v>
      </c>
      <c r="M42" s="240">
        <f>'[2]10.2022 Base Rate Revenue'!$D$109</f>
        <v>0</v>
      </c>
      <c r="N42" s="240">
        <f>'[2]11.2022 Base Rate Revenue'!$D$109</f>
        <v>0</v>
      </c>
      <c r="O42" s="240">
        <f>'[2]12.2022 Base Rate Revenue'!$D$109</f>
        <v>0</v>
      </c>
      <c r="P42" s="166"/>
      <c r="Q42" s="48">
        <f t="shared" si="27"/>
        <v>20799217.292000003</v>
      </c>
      <c r="R42" s="48">
        <f t="shared" si="28"/>
        <v>17371367.098000001</v>
      </c>
      <c r="S42" s="48">
        <f t="shared" si="29"/>
        <v>0</v>
      </c>
      <c r="T42" s="48">
        <f t="shared" si="30"/>
        <v>0</v>
      </c>
      <c r="U42" s="203">
        <f t="shared" si="31"/>
        <v>38170584.390000001</v>
      </c>
    </row>
    <row r="43" spans="1:23">
      <c r="A43" s="46">
        <v>31</v>
      </c>
      <c r="B43" s="20" t="s">
        <v>159</v>
      </c>
      <c r="C43" s="46" t="s">
        <v>21</v>
      </c>
      <c r="D43" s="241">
        <v>981335.77999999991</v>
      </c>
      <c r="E43" s="241">
        <v>710415.92999999993</v>
      </c>
      <c r="F43" s="241">
        <v>662659.22</v>
      </c>
      <c r="G43" s="241">
        <v>673347.92</v>
      </c>
      <c r="H43" s="241">
        <v>722235.12000000011</v>
      </c>
      <c r="I43" s="241">
        <v>675099.61</v>
      </c>
      <c r="J43" s="241">
        <f>'[2]07.2022 Base Rate Revenue'!$F$109</f>
        <v>0</v>
      </c>
      <c r="K43" s="241">
        <f>'[2]08.2022 Base Rate Revenue'!$F$109</f>
        <v>0</v>
      </c>
      <c r="L43" s="241">
        <f>'[2]09.2022 Base Rate Revenue'!$F$109</f>
        <v>0</v>
      </c>
      <c r="M43" s="241">
        <f>'[2]10.2022 Base Rate Revenue'!$F$109</f>
        <v>0</v>
      </c>
      <c r="N43" s="241">
        <f>'[2]11.2022 Base Rate Revenue'!$F$109</f>
        <v>0</v>
      </c>
      <c r="O43" s="241">
        <f>'[2]12.2022 Base Rate Revenue'!$F$109</f>
        <v>0</v>
      </c>
      <c r="P43" s="167"/>
      <c r="Q43" s="49">
        <f t="shared" si="27"/>
        <v>2354410.9299999997</v>
      </c>
      <c r="R43" s="49">
        <f t="shared" si="28"/>
        <v>2070682.65</v>
      </c>
      <c r="S43" s="49">
        <f t="shared" si="29"/>
        <v>0</v>
      </c>
      <c r="T43" s="49">
        <f t="shared" si="30"/>
        <v>0</v>
      </c>
      <c r="U43" s="7">
        <f t="shared" si="31"/>
        <v>4425093.58</v>
      </c>
    </row>
    <row r="44" spans="1:23">
      <c r="A44" s="46">
        <v>32</v>
      </c>
      <c r="B44" s="20" t="s">
        <v>160</v>
      </c>
      <c r="C44" s="46" t="s">
        <v>21</v>
      </c>
      <c r="D44" s="241">
        <v>62764.44</v>
      </c>
      <c r="E44" s="241">
        <v>58297.46</v>
      </c>
      <c r="F44" s="241">
        <v>64238.189999999995</v>
      </c>
      <c r="G44" s="241">
        <v>66333.149999999994</v>
      </c>
      <c r="H44" s="241">
        <v>70696.679999999993</v>
      </c>
      <c r="I44" s="241">
        <v>69765.23000000001</v>
      </c>
      <c r="J44" s="241">
        <f>'[2]07.2022 Base Rate Revenue'!$E$109</f>
        <v>0</v>
      </c>
      <c r="K44" s="241">
        <f>'[2]08.2022 Base Rate Revenue'!$E$109</f>
        <v>0</v>
      </c>
      <c r="L44" s="241">
        <f>'[2]09.2022 Base Rate Revenue'!$E$109</f>
        <v>0</v>
      </c>
      <c r="M44" s="241">
        <f>'[2]10.2022 Base Rate Revenue'!$E$109</f>
        <v>0</v>
      </c>
      <c r="N44" s="241">
        <f>'[2]11.2022 Base Rate Revenue'!$E$109</f>
        <v>0</v>
      </c>
      <c r="O44" s="241">
        <f>'[2]12.2022 Base Rate Revenue'!$E$109</f>
        <v>0</v>
      </c>
      <c r="P44" s="167"/>
      <c r="Q44" s="49">
        <f t="shared" si="27"/>
        <v>185300.09</v>
      </c>
      <c r="R44" s="49">
        <f t="shared" si="28"/>
        <v>206795.06</v>
      </c>
      <c r="S44" s="49">
        <f t="shared" si="29"/>
        <v>0</v>
      </c>
      <c r="T44" s="49">
        <f t="shared" si="30"/>
        <v>0</v>
      </c>
      <c r="U44" s="7">
        <f t="shared" si="31"/>
        <v>392095.15</v>
      </c>
    </row>
    <row r="45" spans="1:23">
      <c r="A45" s="46"/>
      <c r="B45" s="1"/>
      <c r="C45" s="46"/>
      <c r="D45" s="49"/>
      <c r="E45" s="49"/>
      <c r="F45" s="49"/>
      <c r="G45" s="49"/>
      <c r="H45" s="49"/>
      <c r="I45" s="49"/>
      <c r="J45" s="49"/>
      <c r="K45" s="49"/>
      <c r="L45" s="49"/>
      <c r="M45" s="49"/>
      <c r="N45" s="49"/>
      <c r="O45" s="49"/>
      <c r="P45" s="49"/>
      <c r="Q45" s="49"/>
      <c r="R45" s="49"/>
      <c r="S45" s="49"/>
      <c r="T45" s="49"/>
      <c r="U45" s="7"/>
    </row>
    <row r="46" spans="1:23">
      <c r="A46" s="46">
        <v>33</v>
      </c>
      <c r="B46" s="20" t="s">
        <v>179</v>
      </c>
      <c r="C46" s="46" t="str">
        <f>"("&amp;A37&amp;") - ("&amp;A41&amp;")"</f>
        <v>(25) - (29)</v>
      </c>
      <c r="D46" s="164">
        <f>D37-D41</f>
        <v>36073</v>
      </c>
      <c r="E46" s="164">
        <f t="shared" ref="E46:F46" si="32">E37-E41</f>
        <v>36188</v>
      </c>
      <c r="F46" s="164">
        <f t="shared" si="32"/>
        <v>37185</v>
      </c>
      <c r="G46" s="164">
        <f>G37-G41</f>
        <v>36422</v>
      </c>
      <c r="H46" s="48">
        <f t="shared" ref="H46:O46" si="33">H37-H41</f>
        <v>36101</v>
      </c>
      <c r="I46" s="48">
        <f t="shared" si="33"/>
        <v>36821</v>
      </c>
      <c r="J46" s="48">
        <f t="shared" si="33"/>
        <v>0</v>
      </c>
      <c r="K46" s="48">
        <f t="shared" si="33"/>
        <v>0</v>
      </c>
      <c r="L46" s="48">
        <f t="shared" si="33"/>
        <v>0</v>
      </c>
      <c r="M46" s="48">
        <f t="shared" si="33"/>
        <v>0</v>
      </c>
      <c r="N46" s="48">
        <f t="shared" si="33"/>
        <v>0</v>
      </c>
      <c r="O46" s="48">
        <f t="shared" si="33"/>
        <v>0</v>
      </c>
      <c r="P46" s="48"/>
      <c r="Q46" s="48">
        <f>SUM(D46:F46)</f>
        <v>109446</v>
      </c>
      <c r="R46" s="48">
        <f>SUM(G46:I46)</f>
        <v>109344</v>
      </c>
      <c r="S46" s="48">
        <f>SUM(J46:L46)</f>
        <v>0</v>
      </c>
      <c r="T46" s="48">
        <f>SUM(M46:O46)</f>
        <v>0</v>
      </c>
      <c r="U46" s="203">
        <f>SUM(D46:O46)</f>
        <v>218790</v>
      </c>
    </row>
    <row r="47" spans="1:23" ht="29.45" customHeight="1">
      <c r="A47" s="82">
        <f t="shared" ref="A47:A55" si="34">A46+1</f>
        <v>34</v>
      </c>
      <c r="B47" s="82" t="s">
        <v>22</v>
      </c>
      <c r="C47" s="82" t="s">
        <v>164</v>
      </c>
      <c r="D47" s="242">
        <v>404.61724702120091</v>
      </c>
      <c r="E47" s="242">
        <v>380.45952837159109</v>
      </c>
      <c r="F47" s="242">
        <v>371.9985254369463</v>
      </c>
      <c r="G47" s="242">
        <v>363.72061693206393</v>
      </c>
      <c r="H47" s="242">
        <v>392.96150747741837</v>
      </c>
      <c r="I47" s="242">
        <v>408.58431826419911</v>
      </c>
      <c r="J47" s="242">
        <v>456.79262774995544</v>
      </c>
      <c r="K47" s="242">
        <v>436.77833767660366</v>
      </c>
      <c r="L47" s="242">
        <v>389.50018381003991</v>
      </c>
      <c r="M47" s="242">
        <v>420.51734102764959</v>
      </c>
      <c r="N47" s="242">
        <v>365.85614956249276</v>
      </c>
      <c r="O47" s="242">
        <v>403.51361666983854</v>
      </c>
      <c r="P47" s="18"/>
      <c r="Q47" s="18">
        <f>Q48/Q46</f>
        <v>385.54714226997578</v>
      </c>
      <c r="R47" s="18">
        <f>R48/R46</f>
        <v>388.48239385926973</v>
      </c>
      <c r="S47" s="18" t="e">
        <f>S48/S46</f>
        <v>#DIV/0!</v>
      </c>
      <c r="T47" s="18" t="e">
        <f>T48/T46</f>
        <v>#DIV/0!</v>
      </c>
      <c r="U47" s="18">
        <f>U48/U46</f>
        <v>387.01408385679304</v>
      </c>
    </row>
    <row r="48" spans="1:23">
      <c r="A48" s="46">
        <f t="shared" si="34"/>
        <v>35</v>
      </c>
      <c r="B48" s="20" t="s">
        <v>23</v>
      </c>
      <c r="C48" s="46" t="str">
        <f>"("&amp;A46&amp;") x ("&amp;A47&amp;")"</f>
        <v>(33) x (34)</v>
      </c>
      <c r="D48" s="49">
        <f>D46*D47</f>
        <v>14595757.951795781</v>
      </c>
      <c r="E48" s="49">
        <f t="shared" ref="E48:O48" si="35">E46*E47</f>
        <v>13768069.412711138</v>
      </c>
      <c r="F48" s="49">
        <f t="shared" si="35"/>
        <v>13832765.168372847</v>
      </c>
      <c r="G48" s="49">
        <f t="shared" si="35"/>
        <v>13247432.309899632</v>
      </c>
      <c r="H48" s="49">
        <f t="shared" si="35"/>
        <v>14186303.38144228</v>
      </c>
      <c r="I48" s="49">
        <f t="shared" si="35"/>
        <v>15044483.182806075</v>
      </c>
      <c r="J48" s="49">
        <f t="shared" si="35"/>
        <v>0</v>
      </c>
      <c r="K48" s="49">
        <f t="shared" si="35"/>
        <v>0</v>
      </c>
      <c r="L48" s="49">
        <f t="shared" si="35"/>
        <v>0</v>
      </c>
      <c r="M48" s="49">
        <f t="shared" si="35"/>
        <v>0</v>
      </c>
      <c r="N48" s="49">
        <f t="shared" si="35"/>
        <v>0</v>
      </c>
      <c r="O48" s="49">
        <f t="shared" si="35"/>
        <v>0</v>
      </c>
      <c r="P48" s="49"/>
      <c r="Q48" s="49">
        <f>SUM(D48:F48)</f>
        <v>42196592.53287977</v>
      </c>
      <c r="R48" s="49">
        <f>SUM(G48:I48)</f>
        <v>42478218.874147989</v>
      </c>
      <c r="S48" s="49">
        <f>SUM(J48:L48)</f>
        <v>0</v>
      </c>
      <c r="T48" s="49">
        <f>SUM(M48:O48)</f>
        <v>0</v>
      </c>
      <c r="U48" s="7">
        <f>SUM(D48:O48)</f>
        <v>84674811.407027751</v>
      </c>
    </row>
    <row r="49" spans="1:21" ht="9" customHeight="1">
      <c r="A49" s="46"/>
      <c r="B49" s="20"/>
      <c r="C49" s="46"/>
      <c r="D49" s="47"/>
      <c r="E49" s="47"/>
      <c r="F49" s="47"/>
      <c r="G49" s="47"/>
      <c r="H49" s="47"/>
      <c r="I49" s="49"/>
      <c r="J49" s="47"/>
      <c r="K49" s="47"/>
      <c r="L49" s="47"/>
      <c r="M49" s="47"/>
      <c r="N49" s="47"/>
      <c r="O49" s="47"/>
      <c r="P49" s="47"/>
      <c r="Q49" s="47"/>
      <c r="R49" s="47"/>
      <c r="S49" s="47"/>
      <c r="T49" s="47"/>
      <c r="U49" s="20"/>
    </row>
    <row r="50" spans="1:21">
      <c r="A50" s="46">
        <v>36</v>
      </c>
      <c r="B50" s="20" t="s">
        <v>180</v>
      </c>
      <c r="C50" s="46" t="str">
        <f>"("&amp;A39&amp;") - ("&amp;A43&amp;")"</f>
        <v>(27) - (31)</v>
      </c>
      <c r="D50" s="243">
        <f t="shared" ref="D50:F51" si="36">D39-D43</f>
        <v>18636608.27789</v>
      </c>
      <c r="E50" s="243">
        <f t="shared" si="36"/>
        <v>16945519.755240005</v>
      </c>
      <c r="F50" s="243">
        <f t="shared" si="36"/>
        <v>18485569.163530003</v>
      </c>
      <c r="G50" s="243">
        <f>G39-G43</f>
        <v>18097164.877969995</v>
      </c>
      <c r="H50" s="243">
        <f t="shared" ref="H50:O51" si="37">H39-H43</f>
        <v>16171278.888789997</v>
      </c>
      <c r="I50" s="243">
        <f t="shared" si="37"/>
        <v>17836494.743249997</v>
      </c>
      <c r="J50" s="243">
        <f t="shared" si="37"/>
        <v>0</v>
      </c>
      <c r="K50" s="243">
        <f t="shared" si="37"/>
        <v>0</v>
      </c>
      <c r="L50" s="243">
        <f t="shared" si="37"/>
        <v>0</v>
      </c>
      <c r="M50" s="243">
        <f t="shared" si="37"/>
        <v>0</v>
      </c>
      <c r="N50" s="243">
        <f t="shared" si="37"/>
        <v>0</v>
      </c>
      <c r="O50" s="243">
        <f t="shared" si="37"/>
        <v>0</v>
      </c>
      <c r="P50" s="49"/>
      <c r="Q50" s="49">
        <f>SUM(D50:F50)</f>
        <v>54067697.196660012</v>
      </c>
      <c r="R50" s="49">
        <f>SUM(G50:I50)</f>
        <v>52104938.510009989</v>
      </c>
      <c r="S50" s="49">
        <f>SUM(J50:L50)</f>
        <v>0</v>
      </c>
      <c r="T50" s="49">
        <f>SUM(M50:O50)</f>
        <v>0</v>
      </c>
      <c r="U50" s="7">
        <f>SUM(D50:O50)</f>
        <v>106172635.70667</v>
      </c>
    </row>
    <row r="51" spans="1:21">
      <c r="A51" s="46">
        <f t="shared" si="34"/>
        <v>37</v>
      </c>
      <c r="B51" s="20" t="s">
        <v>181</v>
      </c>
      <c r="C51" s="46" t="str">
        <f t="shared" ref="C51" si="38">"("&amp;A40&amp;") - ("&amp;A44&amp;")"</f>
        <v>(28) - (32)</v>
      </c>
      <c r="D51" s="243">
        <f t="shared" si="36"/>
        <v>1544112.6500000001</v>
      </c>
      <c r="E51" s="243">
        <f t="shared" si="36"/>
        <v>1535429.7200000002</v>
      </c>
      <c r="F51" s="243">
        <f t="shared" si="36"/>
        <v>1835059.0499999998</v>
      </c>
      <c r="G51" s="243">
        <f>G40-G44</f>
        <v>1629697.27</v>
      </c>
      <c r="H51" s="243">
        <f t="shared" si="37"/>
        <v>1616832.2899999998</v>
      </c>
      <c r="I51" s="243">
        <f t="shared" si="37"/>
        <v>1641854</v>
      </c>
      <c r="J51" s="243">
        <f t="shared" si="37"/>
        <v>0</v>
      </c>
      <c r="K51" s="243">
        <f t="shared" si="37"/>
        <v>0</v>
      </c>
      <c r="L51" s="243">
        <f t="shared" si="37"/>
        <v>0</v>
      </c>
      <c r="M51" s="243">
        <f t="shared" si="37"/>
        <v>0</v>
      </c>
      <c r="N51" s="243">
        <f t="shared" si="37"/>
        <v>0</v>
      </c>
      <c r="O51" s="243">
        <f t="shared" si="37"/>
        <v>0</v>
      </c>
      <c r="P51" s="49"/>
      <c r="Q51" s="49">
        <f>SUM(D51:F51)</f>
        <v>4914601.42</v>
      </c>
      <c r="R51" s="49">
        <f>SUM(G51:I51)</f>
        <v>4888383.5599999996</v>
      </c>
      <c r="S51" s="49">
        <f>SUM(J51:L51)</f>
        <v>0</v>
      </c>
      <c r="T51" s="49">
        <f>SUM(M51:O51)</f>
        <v>0</v>
      </c>
      <c r="U51" s="7">
        <f>SUM(D51:O51)</f>
        <v>9802984.9800000004</v>
      </c>
    </row>
    <row r="52" spans="1:21">
      <c r="A52" s="46">
        <f t="shared" si="34"/>
        <v>38</v>
      </c>
      <c r="B52" s="2" t="s">
        <v>182</v>
      </c>
      <c r="C52" s="46" t="str">
        <f>"("&amp;A38&amp;") - ("&amp;A42&amp;")"</f>
        <v>(26) - (30)</v>
      </c>
      <c r="D52" s="165">
        <f t="shared" ref="D52:F52" si="39">D38-D42</f>
        <v>166817718.96698001</v>
      </c>
      <c r="E52" s="165">
        <f t="shared" si="39"/>
        <v>158277246.92900002</v>
      </c>
      <c r="F52" s="165">
        <f t="shared" si="39"/>
        <v>169766015.347</v>
      </c>
      <c r="G52" s="165">
        <f>G38-G42</f>
        <v>165294736.57599998</v>
      </c>
      <c r="H52" s="156">
        <f t="shared" ref="H52:O52" si="40">H38-H42</f>
        <v>149379940.64900002</v>
      </c>
      <c r="I52" s="156">
        <f t="shared" si="40"/>
        <v>166523814.57100001</v>
      </c>
      <c r="J52" s="156">
        <f t="shared" si="40"/>
        <v>0</v>
      </c>
      <c r="K52" s="156">
        <f t="shared" si="40"/>
        <v>0</v>
      </c>
      <c r="L52" s="156">
        <f t="shared" si="40"/>
        <v>0</v>
      </c>
      <c r="M52" s="156">
        <f t="shared" si="40"/>
        <v>0</v>
      </c>
      <c r="N52" s="156">
        <f t="shared" si="40"/>
        <v>0</v>
      </c>
      <c r="O52" s="156">
        <f t="shared" si="40"/>
        <v>0</v>
      </c>
      <c r="P52" s="156"/>
      <c r="Q52" s="48">
        <f>SUM(D52:F52)</f>
        <v>494860981.24298</v>
      </c>
      <c r="R52" s="48">
        <f>SUM(G52:I52)</f>
        <v>481198491.796</v>
      </c>
      <c r="S52" s="48">
        <f>SUM(J52:L52)</f>
        <v>0</v>
      </c>
      <c r="T52" s="48">
        <f>SUM(M52:O52)</f>
        <v>0</v>
      </c>
      <c r="U52" s="203">
        <f>SUM(D52:O52)</f>
        <v>976059473.03898001</v>
      </c>
    </row>
    <row r="53" spans="1:21" ht="26.25">
      <c r="A53" s="46">
        <f t="shared" si="34"/>
        <v>39</v>
      </c>
      <c r="B53" s="20" t="s">
        <v>39</v>
      </c>
      <c r="C53" s="204" t="s">
        <v>162</v>
      </c>
      <c r="D53" s="245">
        <f>D25</f>
        <v>1.3599999999999999E-2</v>
      </c>
      <c r="E53" s="245">
        <f t="shared" ref="E53:O53" si="41">E25</f>
        <v>1.3599999999999999E-2</v>
      </c>
      <c r="F53" s="245">
        <f t="shared" si="41"/>
        <v>1.3599999999999999E-2</v>
      </c>
      <c r="G53" s="245">
        <f t="shared" si="41"/>
        <v>1.3599999999999999E-2</v>
      </c>
      <c r="H53" s="245">
        <f t="shared" si="41"/>
        <v>1.3599999999999999E-2</v>
      </c>
      <c r="I53" s="245">
        <f t="shared" si="41"/>
        <v>1.3599999999999999E-2</v>
      </c>
      <c r="J53" s="245">
        <f t="shared" si="41"/>
        <v>1.3599999999999999E-2</v>
      </c>
      <c r="K53" s="245">
        <f t="shared" si="41"/>
        <v>1.3599999999999999E-2</v>
      </c>
      <c r="L53" s="245">
        <f t="shared" si="41"/>
        <v>1.3599999999999999E-2</v>
      </c>
      <c r="M53" s="245">
        <f t="shared" si="41"/>
        <v>1.3599999999999999E-2</v>
      </c>
      <c r="N53" s="245">
        <f t="shared" si="41"/>
        <v>1.3599999999999999E-2</v>
      </c>
      <c r="O53" s="245">
        <f t="shared" si="41"/>
        <v>1.3599999999999999E-2</v>
      </c>
      <c r="P53" s="205"/>
      <c r="Q53" s="206"/>
      <c r="R53" s="209"/>
      <c r="S53" s="209"/>
      <c r="T53" s="209"/>
      <c r="U53" s="210"/>
    </row>
    <row r="54" spans="1:21">
      <c r="A54" s="46">
        <f t="shared" si="34"/>
        <v>40</v>
      </c>
      <c r="B54" s="20" t="s">
        <v>40</v>
      </c>
      <c r="C54" s="46" t="str">
        <f>"("&amp;A52&amp;") x ("&amp;A53&amp;")"</f>
        <v>(38) x (39)</v>
      </c>
      <c r="D54" s="49">
        <f t="shared" ref="D54:O54" si="42">D52*D53</f>
        <v>2268720.9779509278</v>
      </c>
      <c r="E54" s="49">
        <f t="shared" si="42"/>
        <v>2152570.5582344001</v>
      </c>
      <c r="F54" s="49">
        <f t="shared" si="42"/>
        <v>2308817.8087192001</v>
      </c>
      <c r="G54" s="49">
        <f t="shared" si="42"/>
        <v>2248008.4174335995</v>
      </c>
      <c r="H54" s="49">
        <f t="shared" si="42"/>
        <v>2031567.1928264</v>
      </c>
      <c r="I54" s="49">
        <f t="shared" si="42"/>
        <v>2264723.8781655999</v>
      </c>
      <c r="J54" s="49">
        <f t="shared" si="42"/>
        <v>0</v>
      </c>
      <c r="K54" s="49">
        <f t="shared" si="42"/>
        <v>0</v>
      </c>
      <c r="L54" s="49">
        <f t="shared" si="42"/>
        <v>0</v>
      </c>
      <c r="M54" s="49">
        <f>M52*M53</f>
        <v>0</v>
      </c>
      <c r="N54" s="49">
        <f t="shared" si="42"/>
        <v>0</v>
      </c>
      <c r="O54" s="49">
        <f t="shared" si="42"/>
        <v>0</v>
      </c>
      <c r="P54" s="49"/>
      <c r="Q54" s="49">
        <f>SUM(D54:F54)</f>
        <v>6730109.344904528</v>
      </c>
      <c r="R54" s="49">
        <f>SUM(G54:I54)</f>
        <v>6544299.4884255994</v>
      </c>
      <c r="S54" s="49">
        <f>SUM(J54:L54)</f>
        <v>0</v>
      </c>
      <c r="T54" s="49">
        <f>SUM(M54:O54)</f>
        <v>0</v>
      </c>
      <c r="U54" s="7">
        <f>SUM(D54:O54)</f>
        <v>13274408.833330128</v>
      </c>
    </row>
    <row r="55" spans="1:21">
      <c r="A55" s="46">
        <f t="shared" si="34"/>
        <v>41</v>
      </c>
      <c r="B55" s="20" t="s">
        <v>25</v>
      </c>
      <c r="C55" s="46" t="str">
        <f>"("&amp;A50&amp;") - ("&amp;A51&amp;") -("&amp;A54&amp;")"</f>
        <v>(36) - (37) -(40)</v>
      </c>
      <c r="D55" s="49">
        <f t="shared" ref="D55:O55" si="43">D50-D51-D54</f>
        <v>14823774.649939075</v>
      </c>
      <c r="E55" s="49">
        <f t="shared" si="43"/>
        <v>13257519.477005605</v>
      </c>
      <c r="F55" s="49">
        <f t="shared" si="43"/>
        <v>14341692.304810803</v>
      </c>
      <c r="G55" s="49">
        <f t="shared" si="43"/>
        <v>14219459.190536397</v>
      </c>
      <c r="H55" s="49">
        <f t="shared" si="43"/>
        <v>12522879.405963598</v>
      </c>
      <c r="I55" s="49">
        <f t="shared" si="43"/>
        <v>13929916.865084399</v>
      </c>
      <c r="J55" s="49">
        <f t="shared" si="43"/>
        <v>0</v>
      </c>
      <c r="K55" s="49">
        <f t="shared" si="43"/>
        <v>0</v>
      </c>
      <c r="L55" s="49">
        <f t="shared" si="43"/>
        <v>0</v>
      </c>
      <c r="M55" s="49">
        <f t="shared" si="43"/>
        <v>0</v>
      </c>
      <c r="N55" s="49">
        <f t="shared" si="43"/>
        <v>0</v>
      </c>
      <c r="O55" s="49">
        <f t="shared" si="43"/>
        <v>0</v>
      </c>
      <c r="P55" s="49"/>
      <c r="Q55" s="49">
        <f>SUM(D55:F55)</f>
        <v>42422986.431755483</v>
      </c>
      <c r="R55" s="49">
        <f>SUM(G55:I55)</f>
        <v>40672255.461584389</v>
      </c>
      <c r="S55" s="49">
        <f>SUM(J55:L55)</f>
        <v>0</v>
      </c>
      <c r="T55" s="49">
        <f>SUM(M55:O55)</f>
        <v>0</v>
      </c>
      <c r="U55" s="7">
        <f>SUM(D55:O55)</f>
        <v>83095241.893339872</v>
      </c>
    </row>
    <row r="56" spans="1:21">
      <c r="A56" s="46">
        <v>42</v>
      </c>
      <c r="B56" s="46" t="s">
        <v>34</v>
      </c>
      <c r="C56" s="46" t="str">
        <f>"("&amp;A55&amp;") / ("&amp;A46&amp;")"</f>
        <v>(41) / (33)</v>
      </c>
      <c r="D56" s="18">
        <f t="shared" ref="D56:O56" si="44">D55/D46</f>
        <v>410.93822664982326</v>
      </c>
      <c r="E56" s="18">
        <f t="shared" si="44"/>
        <v>366.35126221414845</v>
      </c>
      <c r="F56" s="18">
        <f t="shared" si="44"/>
        <v>385.6848811297782</v>
      </c>
      <c r="G56" s="18">
        <f t="shared" si="44"/>
        <v>390.40852206184167</v>
      </c>
      <c r="H56" s="18">
        <f t="shared" si="44"/>
        <v>346.88455737967365</v>
      </c>
      <c r="I56" s="18">
        <f t="shared" si="44"/>
        <v>378.3144636235952</v>
      </c>
      <c r="J56" s="18" t="e">
        <f t="shared" si="44"/>
        <v>#DIV/0!</v>
      </c>
      <c r="K56" s="18" t="e">
        <f t="shared" si="44"/>
        <v>#DIV/0!</v>
      </c>
      <c r="L56" s="18" t="e">
        <f t="shared" si="44"/>
        <v>#DIV/0!</v>
      </c>
      <c r="M56" s="18" t="e">
        <f t="shared" si="44"/>
        <v>#DIV/0!</v>
      </c>
      <c r="N56" s="18" t="e">
        <f t="shared" si="44"/>
        <v>#DIV/0!</v>
      </c>
      <c r="O56" s="18" t="e">
        <f t="shared" si="44"/>
        <v>#DIV/0!</v>
      </c>
      <c r="P56" s="18"/>
      <c r="Q56" s="206">
        <f>Q55/Q46</f>
        <v>387.61568656465732</v>
      </c>
      <c r="R56" s="206">
        <f>R55/R46</f>
        <v>371.96604716842614</v>
      </c>
      <c r="S56" s="206" t="e">
        <f>S55/S46</f>
        <v>#DIV/0!</v>
      </c>
      <c r="T56" s="206" t="e">
        <f>T55/T46</f>
        <v>#DIV/0!</v>
      </c>
      <c r="U56" s="206">
        <f>U55/U46</f>
        <v>379.79451480113295</v>
      </c>
    </row>
    <row r="57" spans="1:21">
      <c r="A57" s="46">
        <v>43</v>
      </c>
      <c r="B57" s="20" t="s">
        <v>27</v>
      </c>
      <c r="C57" s="46" t="str">
        <f>"("&amp;A$55&amp;") - ("&amp;A55&amp;")"</f>
        <v>(41) - (41)</v>
      </c>
      <c r="D57" s="246">
        <f>IF(D35="",D48-D55,-D34)</f>
        <v>-228016.69814329408</v>
      </c>
      <c r="E57" s="246">
        <f t="shared" ref="E57:O57" si="45">IF(E35="",E48-E55,-E34)</f>
        <v>510549.93570553325</v>
      </c>
      <c r="F57" s="246">
        <f t="shared" si="45"/>
        <v>-508927.13643795624</v>
      </c>
      <c r="G57" s="49">
        <f t="shared" si="45"/>
        <v>-972026.88063676469</v>
      </c>
      <c r="H57" s="49">
        <f t="shared" si="45"/>
        <v>1663423.9754786827</v>
      </c>
      <c r="I57" s="49">
        <f t="shared" si="45"/>
        <v>1114566.3177216761</v>
      </c>
      <c r="J57" s="246">
        <f t="shared" si="45"/>
        <v>0</v>
      </c>
      <c r="K57" s="246">
        <f t="shared" si="45"/>
        <v>0</v>
      </c>
      <c r="L57" s="246">
        <f t="shared" si="45"/>
        <v>0</v>
      </c>
      <c r="M57" s="246">
        <f t="shared" si="45"/>
        <v>0</v>
      </c>
      <c r="N57" s="246">
        <f t="shared" si="45"/>
        <v>0</v>
      </c>
      <c r="O57" s="246">
        <f t="shared" si="45"/>
        <v>0</v>
      </c>
      <c r="P57" s="49"/>
      <c r="Q57" s="49">
        <f>SUM(D57:F57)</f>
        <v>-226393.89887571707</v>
      </c>
      <c r="R57" s="49">
        <f>SUM(G57:I57)</f>
        <v>1805963.4125635941</v>
      </c>
      <c r="S57" s="49">
        <f>SUM(J57:L57)</f>
        <v>0</v>
      </c>
      <c r="T57" s="49">
        <f>SUM(M57:O57)</f>
        <v>0</v>
      </c>
      <c r="U57" s="7">
        <f>SUM(D57:O57)</f>
        <v>1579569.513687877</v>
      </c>
    </row>
    <row r="58" spans="1:21">
      <c r="A58" s="46">
        <v>44</v>
      </c>
      <c r="B58" s="20" t="s">
        <v>28</v>
      </c>
      <c r="C58" s="8" t="s">
        <v>29</v>
      </c>
      <c r="D58" s="256">
        <v>10017.103744436288</v>
      </c>
      <c r="E58" s="256">
        <v>-22429.198011908902</v>
      </c>
      <c r="F58" s="256">
        <v>22357.906090080007</v>
      </c>
      <c r="G58" s="167">
        <v>42702.548475639443</v>
      </c>
      <c r="H58" s="167">
        <v>-73076.624076369888</v>
      </c>
      <c r="I58" s="167">
        <v>-48964.512360651948</v>
      </c>
      <c r="J58" s="246">
        <v>0</v>
      </c>
      <c r="K58" s="246">
        <v>0</v>
      </c>
      <c r="L58" s="246">
        <v>0</v>
      </c>
      <c r="M58" s="246">
        <v>0</v>
      </c>
      <c r="N58" s="246">
        <v>0</v>
      </c>
      <c r="O58" s="246">
        <v>0</v>
      </c>
      <c r="P58" s="49"/>
      <c r="Q58" s="49">
        <f>SUM(D58:F58)</f>
        <v>9945.811822607393</v>
      </c>
      <c r="R58" s="49">
        <f>SUM(G58:I58)</f>
        <v>-79338.587961382393</v>
      </c>
      <c r="S58" s="49">
        <f>SUM(J58:L58)</f>
        <v>0</v>
      </c>
      <c r="T58" s="49">
        <f>SUM(M58:O58)</f>
        <v>0</v>
      </c>
      <c r="U58" s="7">
        <f>SUM(D58:O58)</f>
        <v>-69392.776138774992</v>
      </c>
    </row>
    <row r="59" spans="1:21">
      <c r="A59" s="46">
        <v>45</v>
      </c>
      <c r="B59" s="20"/>
      <c r="C59" s="46" t="s">
        <v>30</v>
      </c>
      <c r="D59" s="251">
        <f>D31</f>
        <v>3.2500000000000001E-2</v>
      </c>
      <c r="E59" s="251">
        <f t="shared" ref="E59:O59" si="46">E31</f>
        <v>3.2500000000000001E-2</v>
      </c>
      <c r="F59" s="251">
        <f t="shared" si="46"/>
        <v>3.2500000000000001E-2</v>
      </c>
      <c r="G59" s="251">
        <f t="shared" si="46"/>
        <v>3.2500000000000001E-2</v>
      </c>
      <c r="H59" s="251">
        <f t="shared" si="46"/>
        <v>3.2500000000000001E-2</v>
      </c>
      <c r="I59" s="251">
        <f t="shared" si="46"/>
        <v>3.2500000000000001E-2</v>
      </c>
      <c r="J59" s="251">
        <f t="shared" si="46"/>
        <v>0</v>
      </c>
      <c r="K59" s="251">
        <f t="shared" si="46"/>
        <v>0</v>
      </c>
      <c r="L59" s="251">
        <f t="shared" si="46"/>
        <v>0</v>
      </c>
      <c r="M59" s="251">
        <f t="shared" si="46"/>
        <v>0</v>
      </c>
      <c r="N59" s="251">
        <f t="shared" si="46"/>
        <v>0</v>
      </c>
      <c r="O59" s="251">
        <f t="shared" si="46"/>
        <v>0</v>
      </c>
      <c r="P59" s="54"/>
      <c r="Q59" s="54"/>
      <c r="R59" s="54"/>
      <c r="S59" s="54"/>
      <c r="T59" s="54"/>
      <c r="U59" s="7"/>
    </row>
    <row r="60" spans="1:21" ht="14.45" customHeight="1">
      <c r="A60" s="46">
        <v>46</v>
      </c>
      <c r="B60" s="20" t="s">
        <v>31</v>
      </c>
      <c r="C60" s="46" t="s">
        <v>35</v>
      </c>
      <c r="D60" s="248">
        <f>(C61+(D57+D58)/2)*D59/12</f>
        <v>-295.2077840817866</v>
      </c>
      <c r="E60" s="248">
        <f t="shared" ref="E60:F60" si="47">(D62+(E57+E58)/2)*E59/12</f>
        <v>69.781743047988286</v>
      </c>
      <c r="F60" s="248">
        <f t="shared" si="47"/>
        <v>72.071734799443703</v>
      </c>
      <c r="G60" s="248">
        <f>(F62+(G57+G58)/2)*G59/12</f>
        <v>-1845.0889368164142</v>
      </c>
      <c r="H60" s="135">
        <f t="shared" ref="H60:O60" si="48">(G62+(H57+H58)/2)*H59/12</f>
        <v>-954.95071413118342</v>
      </c>
      <c r="I60" s="3">
        <f t="shared" si="48"/>
        <v>2639.0607774683967</v>
      </c>
      <c r="J60" s="3">
        <f t="shared" si="48"/>
        <v>0</v>
      </c>
      <c r="K60" s="3">
        <f t="shared" si="48"/>
        <v>0</v>
      </c>
      <c r="L60" s="3">
        <f t="shared" si="48"/>
        <v>0</v>
      </c>
      <c r="M60" s="3">
        <f t="shared" si="48"/>
        <v>0</v>
      </c>
      <c r="N60" s="3">
        <f t="shared" si="48"/>
        <v>0</v>
      </c>
      <c r="O60" s="3">
        <f t="shared" si="48"/>
        <v>0</v>
      </c>
      <c r="P60" s="3"/>
      <c r="Q60" s="49">
        <f>SUM(D60:F60)</f>
        <v>-153.3543062343546</v>
      </c>
      <c r="R60" s="49">
        <f>SUM(G60:I60)</f>
        <v>-160.97887347920096</v>
      </c>
      <c r="S60" s="49">
        <f>SUM(J60:L60)</f>
        <v>0</v>
      </c>
      <c r="T60" s="49">
        <f>SUM(M60:O60)</f>
        <v>0</v>
      </c>
      <c r="U60" s="7">
        <f>SUM(D60:O60)</f>
        <v>-314.33317971355564</v>
      </c>
    </row>
    <row r="61" spans="1:21" ht="15.75" thickBot="1">
      <c r="A61" s="46">
        <v>47</v>
      </c>
      <c r="B61" s="4" t="s">
        <v>36</v>
      </c>
      <c r="C61" s="46"/>
      <c r="D61" s="249">
        <f t="shared" ref="D61:O61" si="49">D57+D58+D60</f>
        <v>-218294.80218293957</v>
      </c>
      <c r="E61" s="249">
        <f t="shared" si="49"/>
        <v>488190.51943667233</v>
      </c>
      <c r="F61" s="249">
        <f t="shared" si="49"/>
        <v>-486497.15861307684</v>
      </c>
      <c r="G61" s="249">
        <f t="shared" si="49"/>
        <v>-931169.4210979417</v>
      </c>
      <c r="H61" s="6">
        <f t="shared" si="49"/>
        <v>1589392.4006881816</v>
      </c>
      <c r="I61" s="6">
        <f t="shared" si="49"/>
        <v>1068240.8661384925</v>
      </c>
      <c r="J61" s="6">
        <f t="shared" si="49"/>
        <v>0</v>
      </c>
      <c r="K61" s="6">
        <f t="shared" si="49"/>
        <v>0</v>
      </c>
      <c r="L61" s="6">
        <f t="shared" si="49"/>
        <v>0</v>
      </c>
      <c r="M61" s="6">
        <f t="shared" si="49"/>
        <v>0</v>
      </c>
      <c r="N61" s="6">
        <f t="shared" si="49"/>
        <v>0</v>
      </c>
      <c r="O61" s="6">
        <f t="shared" si="49"/>
        <v>0</v>
      </c>
      <c r="P61" s="6"/>
      <c r="Q61" s="51">
        <f t="shared" ref="Q61:U61" si="50">Q57+Q58+Q60</f>
        <v>-216601.44135934405</v>
      </c>
      <c r="R61" s="51">
        <f t="shared" si="50"/>
        <v>1726463.8457287324</v>
      </c>
      <c r="S61" s="51">
        <f t="shared" si="50"/>
        <v>0</v>
      </c>
      <c r="T61" s="51">
        <f t="shared" si="50"/>
        <v>0</v>
      </c>
      <c r="U61" s="51">
        <f t="shared" si="50"/>
        <v>1509862.4043693885</v>
      </c>
    </row>
    <row r="62" spans="1:21" ht="27" thickBot="1">
      <c r="A62" s="46">
        <v>48</v>
      </c>
      <c r="B62" s="157" t="s">
        <v>163</v>
      </c>
      <c r="C62" s="46" t="str">
        <f>"Σ(("&amp;A57&amp;") ,("&amp;A58&amp;") , ("&amp;A60&amp;"))"</f>
        <v>Σ((43) ,(44) , (46))</v>
      </c>
      <c r="D62" s="49">
        <f>C61+D57+D58+D60</f>
        <v>-218294.80218293957</v>
      </c>
      <c r="E62" s="49">
        <f>D62+E57+E58+E60</f>
        <v>269895.71725373273</v>
      </c>
      <c r="F62" s="49">
        <f t="shared" ref="F62" si="51">E62+F57+F58+F60</f>
        <v>-216601.44135934405</v>
      </c>
      <c r="G62" s="49">
        <f>F62+G57+G58+G60</f>
        <v>-1147770.8624572856</v>
      </c>
      <c r="H62" s="49">
        <f t="shared" ref="H62:N62" si="52">G62+H57+H58+H60</f>
        <v>441621.53823089594</v>
      </c>
      <c r="I62" s="49">
        <f t="shared" si="52"/>
        <v>1509862.4043693885</v>
      </c>
      <c r="J62" s="49">
        <f t="shared" si="52"/>
        <v>1509862.4043693885</v>
      </c>
      <c r="K62" s="49">
        <f t="shared" si="52"/>
        <v>1509862.4043693885</v>
      </c>
      <c r="L62" s="49">
        <f t="shared" si="52"/>
        <v>1509862.4043693885</v>
      </c>
      <c r="M62" s="49">
        <f t="shared" si="52"/>
        <v>1509862.4043693885</v>
      </c>
      <c r="N62" s="49">
        <f t="shared" si="52"/>
        <v>1509862.4043693885</v>
      </c>
      <c r="O62" s="90">
        <f>N62+O57+O58+O60</f>
        <v>1509862.4043693885</v>
      </c>
      <c r="P62" s="16"/>
      <c r="Q62" s="49"/>
      <c r="R62" s="49"/>
      <c r="S62" s="49"/>
      <c r="T62" s="49"/>
      <c r="U62" s="7"/>
    </row>
    <row r="63" spans="1:21" ht="15.75" hidden="1" thickBot="1">
      <c r="A63" s="46"/>
      <c r="B63" s="20"/>
      <c r="C63" s="46"/>
      <c r="D63" s="49"/>
      <c r="E63" s="49"/>
      <c r="F63" s="49"/>
      <c r="G63" s="49"/>
      <c r="H63" s="49"/>
      <c r="I63" s="49"/>
      <c r="J63" s="49"/>
      <c r="K63" s="49"/>
      <c r="L63" s="49"/>
      <c r="M63" s="49"/>
      <c r="N63" s="49"/>
      <c r="O63" s="249"/>
      <c r="P63" s="16"/>
      <c r="Q63" s="51">
        <f>Q59+Q60+Q62</f>
        <v>-153.3543062343546</v>
      </c>
      <c r="R63" s="51">
        <f>R59+R60+R62</f>
        <v>-160.97887347920096</v>
      </c>
      <c r="S63" s="51">
        <f>S59+S60+S62</f>
        <v>0</v>
      </c>
      <c r="T63" s="51">
        <f>T59+T60+T62</f>
        <v>0</v>
      </c>
      <c r="U63" s="51">
        <f>U59+U60+U62</f>
        <v>-314.33317971355564</v>
      </c>
    </row>
    <row r="64" spans="1:21" ht="33" customHeight="1" thickBot="1">
      <c r="A64" s="1">
        <v>49</v>
      </c>
      <c r="B64" s="91" t="s">
        <v>165</v>
      </c>
      <c r="C64" s="1" t="str">
        <f>"("&amp;A$38&amp;") + ("&amp;A62&amp;")"</f>
        <v>(26) + (48)</v>
      </c>
      <c r="D64" s="7">
        <f>D34+D62</f>
        <v>-3060828.6571107162</v>
      </c>
      <c r="E64" s="7">
        <f t="shared" ref="E64:O64" si="53">E34+E62</f>
        <v>-5209895.6898327852</v>
      </c>
      <c r="F64" s="7">
        <f t="shared" si="53"/>
        <v>-5623071.5036960235</v>
      </c>
      <c r="G64" s="7">
        <f t="shared" si="53"/>
        <v>-8491429.8509098068</v>
      </c>
      <c r="H64" s="7">
        <f t="shared" si="53"/>
        <v>-6182821.3494410543</v>
      </c>
      <c r="I64" s="7">
        <f t="shared" si="53"/>
        <v>-4708565.9142288091</v>
      </c>
      <c r="J64" s="7">
        <f t="shared" si="53"/>
        <v>-4708565.9142288091</v>
      </c>
      <c r="K64" s="7">
        <f t="shared" si="53"/>
        <v>-4708565.9142288091</v>
      </c>
      <c r="L64" s="7">
        <f t="shared" si="53"/>
        <v>-4708565.9142288091</v>
      </c>
      <c r="M64" s="7">
        <f t="shared" si="53"/>
        <v>-4708565.9142288091</v>
      </c>
      <c r="N64" s="7">
        <f t="shared" si="53"/>
        <v>-4708565.9142288091</v>
      </c>
      <c r="O64" s="252">
        <f t="shared" si="53"/>
        <v>-4708565.9142288091</v>
      </c>
      <c r="P64" s="7"/>
      <c r="Q64" s="136"/>
      <c r="R64" s="136"/>
      <c r="S64" s="136"/>
      <c r="T64" s="136"/>
      <c r="U64" s="20"/>
    </row>
    <row r="65" spans="1:21" ht="33" customHeight="1">
      <c r="A65" s="89"/>
      <c r="B65" s="89"/>
      <c r="C65" s="89"/>
      <c r="D65" s="89"/>
      <c r="E65" s="89"/>
      <c r="F65" s="89"/>
      <c r="G65" s="89"/>
      <c r="H65" s="89"/>
      <c r="I65" s="89"/>
      <c r="J65" s="89"/>
      <c r="K65" s="89"/>
      <c r="L65" s="89"/>
      <c r="M65" s="89"/>
      <c r="N65" s="89"/>
      <c r="O65" s="89"/>
      <c r="P65" s="89"/>
      <c r="Q65" s="89"/>
      <c r="R65" s="89"/>
      <c r="S65" s="89"/>
      <c r="T65" s="89"/>
      <c r="U65" s="89"/>
    </row>
  </sheetData>
  <printOptions horizontalCentered="1"/>
  <pageMargins left="0.2" right="0.2" top="1" bottom="0.75" header="0.3" footer="0.3"/>
  <pageSetup scale="80" fitToHeight="2" orientation="landscape" useFirstPageNumber="1" r:id="rId1"/>
  <headerFooter scaleWithDoc="0">
    <oddHeader>&amp;CAvista Corporation Decoupling Mechanism
Washington Jurisdiction
Quarterly Report for 2nd Quarter 2022</oddHeader>
    <oddFooter>&amp;Cfile: &amp;F / &amp;A</oddFooter>
  </headerFooter>
  <rowBreaks count="1" manualBreakCount="1">
    <brk id="3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100"/>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U78"/>
  <sheetViews>
    <sheetView view="pageBreakPreview" zoomScaleNormal="100" zoomScaleSheetLayoutView="100" workbookViewId="0"/>
  </sheetViews>
  <sheetFormatPr defaultRowHeight="15"/>
  <cols>
    <col min="1" max="1" width="7.28515625" style="202" customWidth="1"/>
    <col min="2" max="2" width="38.42578125" style="202" customWidth="1"/>
    <col min="3" max="3" width="18.7109375" style="202" customWidth="1"/>
    <col min="4" max="4" width="13.28515625" style="202" hidden="1" customWidth="1"/>
    <col min="5" max="5" width="12.140625" style="202" hidden="1" customWidth="1"/>
    <col min="6" max="6" width="12.42578125" style="202" hidden="1" customWidth="1"/>
    <col min="7" max="7" width="12.140625" style="202" customWidth="1"/>
    <col min="8" max="8" width="11.7109375" style="202" customWidth="1"/>
    <col min="9" max="9" width="12" style="202" customWidth="1"/>
    <col min="10" max="10" width="11.28515625" style="202" hidden="1" customWidth="1"/>
    <col min="11" max="11" width="11.85546875" style="202" hidden="1" customWidth="1"/>
    <col min="12" max="12" width="11.28515625" style="202" hidden="1" customWidth="1"/>
    <col min="13" max="13" width="12.28515625" style="202" hidden="1" customWidth="1"/>
    <col min="14" max="14" width="13.28515625" style="202" hidden="1" customWidth="1"/>
    <col min="15" max="15" width="12.28515625" style="202" hidden="1" customWidth="1"/>
    <col min="16" max="16" width="4.28515625" style="202" hidden="1" customWidth="1"/>
    <col min="17" max="17" width="12.5703125" style="202" customWidth="1"/>
    <col min="18" max="18" width="11.28515625" style="202" customWidth="1"/>
    <col min="19" max="19" width="10.5703125" style="202" hidden="1" customWidth="1"/>
    <col min="20" max="20" width="11.28515625" style="202" hidden="1" customWidth="1"/>
    <col min="21" max="21" width="11.28515625" style="202" customWidth="1"/>
    <col min="22" max="16384" width="9.140625" style="202"/>
  </cols>
  <sheetData>
    <row r="1" spans="1:21" ht="15.75">
      <c r="A1" s="92" t="s">
        <v>0</v>
      </c>
      <c r="B1" s="92"/>
      <c r="C1" s="92"/>
      <c r="D1" s="92"/>
      <c r="E1" s="92"/>
      <c r="F1" s="92"/>
      <c r="G1" s="92"/>
      <c r="H1" s="92"/>
      <c r="I1" s="92"/>
      <c r="J1" s="92"/>
      <c r="K1" s="92"/>
      <c r="L1" s="92"/>
      <c r="M1" s="92"/>
      <c r="N1" s="92"/>
      <c r="O1" s="92"/>
      <c r="P1" s="92"/>
      <c r="Q1" s="92"/>
      <c r="R1" s="92"/>
      <c r="S1" s="92"/>
      <c r="T1" s="92"/>
      <c r="U1" s="92"/>
    </row>
    <row r="2" spans="1:21" ht="18.75">
      <c r="A2" s="158" t="str">
        <f>'Electric Deferral'!A2</f>
        <v>Decoupling Mechanism - UE-200900 Base Effective 10/1/2021</v>
      </c>
      <c r="B2" s="158"/>
      <c r="C2" s="158"/>
      <c r="D2" s="158"/>
      <c r="E2" s="158"/>
      <c r="F2" s="158"/>
      <c r="G2" s="158"/>
      <c r="H2" s="158"/>
      <c r="I2" s="158"/>
      <c r="J2" s="158"/>
      <c r="K2" s="158"/>
      <c r="L2" s="158"/>
      <c r="M2" s="158"/>
      <c r="N2" s="158"/>
      <c r="O2" s="158"/>
      <c r="P2" s="158"/>
      <c r="Q2" s="94"/>
      <c r="R2" s="94"/>
      <c r="S2" s="94"/>
      <c r="T2" s="94"/>
      <c r="U2" s="94"/>
    </row>
    <row r="3" spans="1:21" ht="15.75">
      <c r="A3" s="158" t="s">
        <v>191</v>
      </c>
      <c r="B3" s="92"/>
      <c r="C3" s="92"/>
      <c r="D3" s="92"/>
      <c r="E3" s="92"/>
      <c r="F3" s="92"/>
      <c r="G3" s="92"/>
      <c r="H3" s="92"/>
      <c r="I3" s="92"/>
      <c r="J3" s="92"/>
      <c r="K3" s="92"/>
      <c r="L3" s="92"/>
      <c r="M3" s="92"/>
      <c r="N3" s="92"/>
      <c r="O3" s="92"/>
      <c r="P3" s="92"/>
      <c r="Q3" s="93"/>
      <c r="R3" s="93"/>
      <c r="S3" s="93"/>
      <c r="T3" s="93"/>
      <c r="U3" s="93"/>
    </row>
    <row r="4" spans="1:21" ht="15" customHeight="1">
      <c r="A4" s="93"/>
      <c r="B4" s="58"/>
      <c r="C4" s="58"/>
      <c r="D4" s="58"/>
      <c r="E4" s="58"/>
      <c r="F4" s="58"/>
      <c r="G4" s="58"/>
      <c r="H4" s="58"/>
      <c r="I4" s="58"/>
      <c r="J4" s="58"/>
      <c r="K4" s="58"/>
      <c r="L4" s="58"/>
      <c r="M4" s="58"/>
      <c r="N4" s="58"/>
      <c r="O4" s="58"/>
      <c r="P4" s="58"/>
      <c r="Q4" s="58"/>
      <c r="R4" s="45"/>
      <c r="S4" s="58"/>
      <c r="T4" s="58"/>
      <c r="U4" s="212"/>
    </row>
    <row r="5" spans="1:21">
      <c r="A5" s="20"/>
      <c r="B5" s="20"/>
      <c r="C5" s="20"/>
      <c r="D5" s="191"/>
      <c r="E5" s="191"/>
      <c r="F5" s="191"/>
      <c r="G5" s="4"/>
      <c r="H5" s="4"/>
      <c r="I5" s="4"/>
      <c r="J5" s="4"/>
      <c r="K5" s="4"/>
      <c r="L5" s="4"/>
      <c r="M5" s="4"/>
      <c r="N5" s="4"/>
      <c r="O5" s="4"/>
      <c r="P5" s="4"/>
      <c r="Q5" s="213" t="s">
        <v>152</v>
      </c>
      <c r="R5" s="213" t="s">
        <v>153</v>
      </c>
      <c r="S5" s="213" t="s">
        <v>154</v>
      </c>
      <c r="T5" s="213" t="s">
        <v>155</v>
      </c>
      <c r="U5" s="44" t="s">
        <v>183</v>
      </c>
    </row>
    <row r="6" spans="1:21" ht="25.5">
      <c r="A6" s="86" t="s">
        <v>1</v>
      </c>
      <c r="B6" s="87"/>
      <c r="C6" s="83" t="s">
        <v>2</v>
      </c>
      <c r="D6" s="95">
        <v>44562</v>
      </c>
      <c r="E6" s="88">
        <f t="shared" ref="E6:O6" si="0">EDATE(D6,1)</f>
        <v>44593</v>
      </c>
      <c r="F6" s="88">
        <f t="shared" si="0"/>
        <v>44621</v>
      </c>
      <c r="G6" s="88">
        <f t="shared" si="0"/>
        <v>44652</v>
      </c>
      <c r="H6" s="88">
        <f t="shared" si="0"/>
        <v>44682</v>
      </c>
      <c r="I6" s="88">
        <f t="shared" si="0"/>
        <v>44713</v>
      </c>
      <c r="J6" s="88">
        <f t="shared" si="0"/>
        <v>44743</v>
      </c>
      <c r="K6" s="88">
        <f t="shared" si="0"/>
        <v>44774</v>
      </c>
      <c r="L6" s="88">
        <f t="shared" si="0"/>
        <v>44805</v>
      </c>
      <c r="M6" s="88">
        <f t="shared" si="0"/>
        <v>44835</v>
      </c>
      <c r="N6" s="88">
        <f t="shared" si="0"/>
        <v>44866</v>
      </c>
      <c r="O6" s="88">
        <f t="shared" si="0"/>
        <v>44896</v>
      </c>
      <c r="P6" s="88"/>
      <c r="Q6" s="88" t="s">
        <v>3</v>
      </c>
      <c r="R6" s="15" t="s">
        <v>3</v>
      </c>
      <c r="S6" s="15" t="s">
        <v>3</v>
      </c>
      <c r="T6" s="15" t="s">
        <v>3</v>
      </c>
      <c r="U6" s="15" t="s">
        <v>3</v>
      </c>
    </row>
    <row r="7" spans="1:21">
      <c r="A7" s="46"/>
      <c r="B7" s="46" t="s">
        <v>4</v>
      </c>
      <c r="C7" s="46" t="s">
        <v>5</v>
      </c>
      <c r="D7" s="46" t="s">
        <v>6</v>
      </c>
      <c r="E7" s="46" t="s">
        <v>7</v>
      </c>
      <c r="F7" s="46" t="s">
        <v>8</v>
      </c>
      <c r="G7" s="46" t="s">
        <v>9</v>
      </c>
      <c r="H7" s="134" t="s">
        <v>10</v>
      </c>
      <c r="I7" s="46" t="s">
        <v>11</v>
      </c>
      <c r="J7" s="46" t="s">
        <v>12</v>
      </c>
      <c r="K7" s="46" t="s">
        <v>13</v>
      </c>
      <c r="L7" s="46" t="s">
        <v>14</v>
      </c>
      <c r="M7" s="46" t="s">
        <v>15</v>
      </c>
      <c r="N7" s="46" t="s">
        <v>16</v>
      </c>
      <c r="O7" s="46" t="s">
        <v>17</v>
      </c>
      <c r="P7" s="46"/>
      <c r="Q7" s="46" t="s">
        <v>18</v>
      </c>
      <c r="R7" s="46"/>
      <c r="S7" s="46"/>
      <c r="T7" s="46"/>
      <c r="U7" s="46" t="s">
        <v>18</v>
      </c>
    </row>
    <row r="8" spans="1:21">
      <c r="A8" s="46"/>
      <c r="B8" s="1" t="s">
        <v>19</v>
      </c>
      <c r="C8" s="46"/>
      <c r="D8" s="46"/>
      <c r="E8" s="46"/>
      <c r="F8" s="46"/>
      <c r="G8" s="46"/>
      <c r="H8" s="134"/>
      <c r="I8" s="46"/>
      <c r="J8" s="46"/>
      <c r="K8" s="46"/>
      <c r="L8" s="46"/>
      <c r="M8" s="46"/>
      <c r="N8" s="46"/>
      <c r="O8" s="46"/>
      <c r="P8" s="46"/>
      <c r="Q8" s="49"/>
      <c r="R8" s="49"/>
      <c r="S8" s="49"/>
      <c r="T8" s="49"/>
      <c r="U8" s="49"/>
    </row>
    <row r="9" spans="1:21">
      <c r="A9" s="46">
        <v>1</v>
      </c>
      <c r="B9" s="20" t="s">
        <v>20</v>
      </c>
      <c r="C9" s="46" t="s">
        <v>21</v>
      </c>
      <c r="D9" s="160">
        <v>171222</v>
      </c>
      <c r="E9" s="160">
        <v>172123</v>
      </c>
      <c r="F9" s="160">
        <v>172311</v>
      </c>
      <c r="G9" s="160">
        <v>171878</v>
      </c>
      <c r="H9" s="161">
        <v>171972</v>
      </c>
      <c r="I9" s="160">
        <v>172276</v>
      </c>
      <c r="J9" s="160">
        <v>0</v>
      </c>
      <c r="K9" s="160">
        <v>0</v>
      </c>
      <c r="L9" s="160">
        <v>0</v>
      </c>
      <c r="M9" s="160">
        <v>0</v>
      </c>
      <c r="N9" s="160">
        <v>0</v>
      </c>
      <c r="O9" s="160">
        <v>0</v>
      </c>
      <c r="P9" s="160"/>
      <c r="Q9" s="48">
        <f t="shared" ref="Q9:Q16" si="1">SUM(D9:F9)</f>
        <v>515656</v>
      </c>
      <c r="R9" s="48">
        <f t="shared" ref="R9:R16" si="2">SUM(G9:I9)</f>
        <v>516126</v>
      </c>
      <c r="S9" s="48">
        <f t="shared" ref="S9:S16" si="3">SUM(J9:L9)</f>
        <v>0</v>
      </c>
      <c r="T9" s="48">
        <f t="shared" ref="T9:T16" si="4">SUM(M9:O9)</f>
        <v>0</v>
      </c>
      <c r="U9" s="48">
        <f t="shared" ref="U9:U16" si="5">SUM(D9:O9)</f>
        <v>1031782</v>
      </c>
    </row>
    <row r="10" spans="1:21">
      <c r="A10" s="46">
        <v>2</v>
      </c>
      <c r="B10" s="2" t="s">
        <v>166</v>
      </c>
      <c r="C10" s="46" t="s">
        <v>21</v>
      </c>
      <c r="D10" s="160">
        <v>24141719.285850003</v>
      </c>
      <c r="E10" s="160">
        <v>19934381.032260001</v>
      </c>
      <c r="F10" s="160">
        <v>14505565.643169999</v>
      </c>
      <c r="G10" s="160">
        <v>12164375.608140001</v>
      </c>
      <c r="H10" s="161">
        <v>7551452.9439199995</v>
      </c>
      <c r="I10" s="160">
        <v>3523739.1823399998</v>
      </c>
      <c r="J10" s="160">
        <v>0</v>
      </c>
      <c r="K10" s="160">
        <v>0</v>
      </c>
      <c r="L10" s="160">
        <v>0</v>
      </c>
      <c r="M10" s="160">
        <v>0</v>
      </c>
      <c r="N10" s="160">
        <v>0</v>
      </c>
      <c r="O10" s="160">
        <v>0</v>
      </c>
      <c r="P10" s="160"/>
      <c r="Q10" s="48">
        <f t="shared" si="1"/>
        <v>58581665.961280003</v>
      </c>
      <c r="R10" s="48">
        <f t="shared" si="2"/>
        <v>23239567.7344</v>
      </c>
      <c r="S10" s="48">
        <f t="shared" si="3"/>
        <v>0</v>
      </c>
      <c r="T10" s="48">
        <f t="shared" si="4"/>
        <v>0</v>
      </c>
      <c r="U10" s="48">
        <f t="shared" si="5"/>
        <v>81821233.695680007</v>
      </c>
    </row>
    <row r="11" spans="1:21">
      <c r="A11" s="46">
        <v>3</v>
      </c>
      <c r="B11" s="20" t="s">
        <v>37</v>
      </c>
      <c r="C11" s="46" t="s">
        <v>21</v>
      </c>
      <c r="D11" s="162">
        <v>16278379.722099971</v>
      </c>
      <c r="E11" s="162">
        <v>12143142.059290001</v>
      </c>
      <c r="F11" s="162">
        <v>9194876.0842800364</v>
      </c>
      <c r="G11" s="162">
        <v>7613021.0769199962</v>
      </c>
      <c r="H11" s="163">
        <v>5236420.0311400043</v>
      </c>
      <c r="I11" s="162">
        <v>3052464.4529400049</v>
      </c>
      <c r="J11" s="162">
        <v>0</v>
      </c>
      <c r="K11" s="162">
        <v>0</v>
      </c>
      <c r="L11" s="162">
        <v>0</v>
      </c>
      <c r="M11" s="162">
        <v>0</v>
      </c>
      <c r="N11" s="162">
        <v>0</v>
      </c>
      <c r="O11" s="162">
        <v>0</v>
      </c>
      <c r="P11" s="162"/>
      <c r="Q11" s="49">
        <f t="shared" si="1"/>
        <v>37616397.86567001</v>
      </c>
      <c r="R11" s="49">
        <f t="shared" si="2"/>
        <v>15901905.561000004</v>
      </c>
      <c r="S11" s="49">
        <f t="shared" si="3"/>
        <v>0</v>
      </c>
      <c r="T11" s="49">
        <f t="shared" si="4"/>
        <v>0</v>
      </c>
      <c r="U11" s="49">
        <f t="shared" si="5"/>
        <v>53518303.426670015</v>
      </c>
    </row>
    <row r="12" spans="1:21">
      <c r="A12" s="46">
        <v>4</v>
      </c>
      <c r="B12" s="20" t="s">
        <v>24</v>
      </c>
      <c r="C12" s="46" t="s">
        <v>21</v>
      </c>
      <c r="D12" s="162">
        <v>1582909</v>
      </c>
      <c r="E12" s="162">
        <v>1580809.5</v>
      </c>
      <c r="F12" s="162">
        <v>1785306.5</v>
      </c>
      <c r="G12" s="162">
        <v>1651166.5</v>
      </c>
      <c r="H12" s="163">
        <v>1647338</v>
      </c>
      <c r="I12" s="162">
        <v>1675181.5</v>
      </c>
      <c r="J12" s="162">
        <v>0</v>
      </c>
      <c r="K12" s="162">
        <v>0</v>
      </c>
      <c r="L12" s="162">
        <v>0</v>
      </c>
      <c r="M12" s="162">
        <v>0</v>
      </c>
      <c r="N12" s="162">
        <v>0</v>
      </c>
      <c r="O12" s="162">
        <v>0</v>
      </c>
      <c r="P12" s="162"/>
      <c r="Q12" s="49">
        <f t="shared" si="1"/>
        <v>4949025</v>
      </c>
      <c r="R12" s="49">
        <f t="shared" si="2"/>
        <v>4973686</v>
      </c>
      <c r="S12" s="49">
        <f t="shared" si="3"/>
        <v>0</v>
      </c>
      <c r="T12" s="49">
        <f t="shared" si="4"/>
        <v>0</v>
      </c>
      <c r="U12" s="49">
        <f t="shared" si="5"/>
        <v>9922711</v>
      </c>
    </row>
    <row r="13" spans="1:21" ht="30" customHeight="1">
      <c r="A13" s="46">
        <v>5</v>
      </c>
      <c r="B13" s="20" t="s">
        <v>157</v>
      </c>
      <c r="C13" s="46" t="s">
        <v>21</v>
      </c>
      <c r="D13" s="160">
        <v>5027</v>
      </c>
      <c r="E13" s="160">
        <v>4919</v>
      </c>
      <c r="F13" s="160">
        <v>5319</v>
      </c>
      <c r="G13" s="160">
        <v>5486</v>
      </c>
      <c r="H13" s="161">
        <v>5626</v>
      </c>
      <c r="I13" s="160">
        <v>5909</v>
      </c>
      <c r="J13" s="160">
        <v>0</v>
      </c>
      <c r="K13" s="160">
        <v>0</v>
      </c>
      <c r="L13" s="160">
        <v>0</v>
      </c>
      <c r="M13" s="160">
        <v>0</v>
      </c>
      <c r="N13" s="160">
        <v>0</v>
      </c>
      <c r="O13" s="160">
        <v>0</v>
      </c>
      <c r="P13" s="160"/>
      <c r="Q13" s="48">
        <f t="shared" si="1"/>
        <v>15265</v>
      </c>
      <c r="R13" s="48">
        <f t="shared" si="2"/>
        <v>17021</v>
      </c>
      <c r="S13" s="48">
        <f t="shared" si="3"/>
        <v>0</v>
      </c>
      <c r="T13" s="48">
        <f t="shared" si="4"/>
        <v>0</v>
      </c>
      <c r="U13" s="48">
        <f t="shared" si="5"/>
        <v>32286</v>
      </c>
    </row>
    <row r="14" spans="1:21">
      <c r="A14" s="46">
        <v>6</v>
      </c>
      <c r="B14" s="2" t="s">
        <v>167</v>
      </c>
      <c r="C14" s="46" t="s">
        <v>21</v>
      </c>
      <c r="D14" s="160">
        <v>733867.36242000002</v>
      </c>
      <c r="E14" s="160">
        <v>586309.63888999994</v>
      </c>
      <c r="F14" s="160">
        <v>484748.65026999998</v>
      </c>
      <c r="G14" s="160">
        <v>359958.57377000002</v>
      </c>
      <c r="H14" s="161">
        <v>276700.79408999998</v>
      </c>
      <c r="I14" s="160">
        <v>147883</v>
      </c>
      <c r="J14" s="160">
        <v>0</v>
      </c>
      <c r="K14" s="160">
        <v>0</v>
      </c>
      <c r="L14" s="160">
        <v>0</v>
      </c>
      <c r="M14" s="160">
        <v>0</v>
      </c>
      <c r="N14" s="160">
        <v>0</v>
      </c>
      <c r="O14" s="160">
        <v>0</v>
      </c>
      <c r="P14" s="160"/>
      <c r="Q14" s="48">
        <f t="shared" si="1"/>
        <v>1804925.6515799998</v>
      </c>
      <c r="R14" s="48">
        <f t="shared" si="2"/>
        <v>784542.36786</v>
      </c>
      <c r="S14" s="48">
        <f t="shared" si="3"/>
        <v>0</v>
      </c>
      <c r="T14" s="48">
        <f t="shared" si="4"/>
        <v>0</v>
      </c>
      <c r="U14" s="48">
        <f t="shared" si="5"/>
        <v>2589468.0194399999</v>
      </c>
    </row>
    <row r="15" spans="1:21">
      <c r="A15" s="46">
        <v>7</v>
      </c>
      <c r="B15" s="20" t="s">
        <v>159</v>
      </c>
      <c r="C15" s="46" t="s">
        <v>21</v>
      </c>
      <c r="D15" s="162">
        <v>445830.37</v>
      </c>
      <c r="E15" s="162">
        <v>358009.51</v>
      </c>
      <c r="F15" s="162">
        <v>300612.57</v>
      </c>
      <c r="G15" s="162">
        <v>232206.01</v>
      </c>
      <c r="H15" s="163">
        <v>189753.3</v>
      </c>
      <c r="I15" s="162">
        <v>127267.78</v>
      </c>
      <c r="J15" s="162">
        <v>0</v>
      </c>
      <c r="K15" s="162">
        <v>0</v>
      </c>
      <c r="L15" s="162">
        <v>0</v>
      </c>
      <c r="M15" s="162">
        <v>0</v>
      </c>
      <c r="N15" s="162">
        <v>0</v>
      </c>
      <c r="O15" s="162">
        <v>0</v>
      </c>
      <c r="P15" s="162"/>
      <c r="Q15" s="49">
        <f t="shared" si="1"/>
        <v>1104452.45</v>
      </c>
      <c r="R15" s="49">
        <f t="shared" si="2"/>
        <v>549227.09</v>
      </c>
      <c r="S15" s="49">
        <f t="shared" si="3"/>
        <v>0</v>
      </c>
      <c r="T15" s="49">
        <f t="shared" si="4"/>
        <v>0</v>
      </c>
      <c r="U15" s="49">
        <f t="shared" si="5"/>
        <v>1653679.54</v>
      </c>
    </row>
    <row r="16" spans="1:21">
      <c r="A16" s="46">
        <v>8</v>
      </c>
      <c r="B16" s="20" t="s">
        <v>168</v>
      </c>
      <c r="C16" s="46" t="s">
        <v>21</v>
      </c>
      <c r="D16" s="162">
        <v>47889.5</v>
      </c>
      <c r="E16" s="162">
        <v>46673.5</v>
      </c>
      <c r="F16" s="162">
        <v>50530.5</v>
      </c>
      <c r="G16" s="162">
        <v>51984</v>
      </c>
      <c r="H16" s="163">
        <v>53447</v>
      </c>
      <c r="I16" s="162">
        <v>56040.5</v>
      </c>
      <c r="J16" s="162">
        <v>0</v>
      </c>
      <c r="K16" s="162">
        <v>0</v>
      </c>
      <c r="L16" s="162">
        <v>0</v>
      </c>
      <c r="M16" s="162">
        <v>0</v>
      </c>
      <c r="N16" s="162">
        <v>0</v>
      </c>
      <c r="O16" s="162">
        <v>0</v>
      </c>
      <c r="P16" s="162"/>
      <c r="Q16" s="49">
        <f t="shared" si="1"/>
        <v>145093.5</v>
      </c>
      <c r="R16" s="49">
        <f t="shared" si="2"/>
        <v>161471.5</v>
      </c>
      <c r="S16" s="49">
        <f t="shared" si="3"/>
        <v>0</v>
      </c>
      <c r="T16" s="49">
        <f t="shared" si="4"/>
        <v>0</v>
      </c>
      <c r="U16" s="49">
        <f t="shared" si="5"/>
        <v>306565</v>
      </c>
    </row>
    <row r="17" spans="1:21">
      <c r="A17" s="46"/>
      <c r="B17" s="1"/>
      <c r="C17" s="46"/>
      <c r="D17" s="46"/>
      <c r="E17" s="46"/>
      <c r="F17" s="46"/>
      <c r="G17" s="46"/>
      <c r="H17" s="134"/>
      <c r="I17" s="46"/>
      <c r="J17" s="46"/>
      <c r="K17" s="46"/>
      <c r="L17" s="46"/>
      <c r="M17" s="46"/>
      <c r="N17" s="46"/>
      <c r="O17" s="46"/>
      <c r="P17" s="46"/>
      <c r="Q17" s="49"/>
      <c r="R17" s="49"/>
      <c r="S17" s="49"/>
      <c r="T17" s="49"/>
      <c r="U17" s="49"/>
    </row>
    <row r="18" spans="1:21">
      <c r="A18" s="46">
        <v>9</v>
      </c>
      <c r="B18" s="20" t="s">
        <v>169</v>
      </c>
      <c r="C18" s="46" t="str">
        <f>"("&amp;A9&amp;") - ("&amp;A13&amp;")"</f>
        <v>(1) - (5)</v>
      </c>
      <c r="D18" s="164">
        <f>D9-D13</f>
        <v>166195</v>
      </c>
      <c r="E18" s="164">
        <f>E9-E13</f>
        <v>167204</v>
      </c>
      <c r="F18" s="164">
        <f>F9-F13</f>
        <v>166992</v>
      </c>
      <c r="G18" s="164">
        <f>G9-G13</f>
        <v>166392</v>
      </c>
      <c r="H18" s="48">
        <f t="shared" ref="H18:O18" si="6">H9-H13</f>
        <v>166346</v>
      </c>
      <c r="I18" s="48">
        <f>I9-I13</f>
        <v>166367</v>
      </c>
      <c r="J18" s="48">
        <f t="shared" si="6"/>
        <v>0</v>
      </c>
      <c r="K18" s="48">
        <f t="shared" si="6"/>
        <v>0</v>
      </c>
      <c r="L18" s="48">
        <f t="shared" si="6"/>
        <v>0</v>
      </c>
      <c r="M18" s="48">
        <f t="shared" si="6"/>
        <v>0</v>
      </c>
      <c r="N18" s="48">
        <f t="shared" si="6"/>
        <v>0</v>
      </c>
      <c r="O18" s="48">
        <f t="shared" si="6"/>
        <v>0</v>
      </c>
      <c r="P18" s="48"/>
      <c r="Q18" s="48">
        <f>SUM(D18:F18)</f>
        <v>500391</v>
      </c>
      <c r="R18" s="48">
        <f>SUM(G18:I18)</f>
        <v>499105</v>
      </c>
      <c r="S18" s="48">
        <f>SUM(J18:L18)</f>
        <v>0</v>
      </c>
      <c r="T18" s="48">
        <f>SUM(M18:O18)</f>
        <v>0</v>
      </c>
      <c r="U18" s="48">
        <f>SUM(D18:O18)</f>
        <v>999496</v>
      </c>
    </row>
    <row r="19" spans="1:21">
      <c r="A19" s="214">
        <f t="shared" ref="A19:A20" si="7">A18+1</f>
        <v>10</v>
      </c>
      <c r="B19" s="82" t="s">
        <v>22</v>
      </c>
      <c r="C19" s="204" t="s">
        <v>86</v>
      </c>
      <c r="D19" s="5">
        <v>68.61506047911233</v>
      </c>
      <c r="E19" s="5">
        <v>55.501459135783328</v>
      </c>
      <c r="F19" s="5">
        <v>47.890271191029953</v>
      </c>
      <c r="G19" s="5">
        <v>29.045402159241025</v>
      </c>
      <c r="H19" s="137">
        <v>19.216007768708845</v>
      </c>
      <c r="I19" s="5">
        <v>9.7609108191444633</v>
      </c>
      <c r="J19" s="5">
        <v>8.4599427669534624</v>
      </c>
      <c r="K19" s="5">
        <v>8.419549181977569</v>
      </c>
      <c r="L19" s="5">
        <v>8.6230940489402279</v>
      </c>
      <c r="M19" s="5">
        <v>31.595218326471958</v>
      </c>
      <c r="N19" s="5">
        <v>53.329025330411902</v>
      </c>
      <c r="O19" s="5">
        <v>70.534058792224968</v>
      </c>
      <c r="P19" s="5"/>
      <c r="Q19" s="96">
        <f>Q20/Q18</f>
        <v>57.316854452614187</v>
      </c>
      <c r="R19" s="96">
        <f>R20/R18</f>
        <v>19.341264933476282</v>
      </c>
      <c r="S19" s="96" t="e">
        <f>S20/S18</f>
        <v>#DIV/0!</v>
      </c>
      <c r="T19" s="96" t="e">
        <f>T20/T18</f>
        <v>#DIV/0!</v>
      </c>
      <c r="U19" s="96">
        <f>U20/U18</f>
        <v>38.353490310137055</v>
      </c>
    </row>
    <row r="20" spans="1:21">
      <c r="A20" s="46">
        <f t="shared" si="7"/>
        <v>11</v>
      </c>
      <c r="B20" s="20" t="s">
        <v>23</v>
      </c>
      <c r="C20" s="46" t="str">
        <f>"("&amp;A18&amp;") x ("&amp;A19&amp;")"</f>
        <v>(9) x (10)</v>
      </c>
      <c r="D20" s="49">
        <f t="shared" ref="D20:O20" si="8">D18*D19</f>
        <v>11403479.976326074</v>
      </c>
      <c r="E20" s="49">
        <f t="shared" si="8"/>
        <v>9280065.9733395148</v>
      </c>
      <c r="F20" s="49">
        <f t="shared" si="8"/>
        <v>7997292.1667324742</v>
      </c>
      <c r="G20" s="49">
        <f t="shared" si="8"/>
        <v>4832922.5560804326</v>
      </c>
      <c r="H20" s="50">
        <f t="shared" si="8"/>
        <v>3196506.0282936417</v>
      </c>
      <c r="I20" s="49">
        <f t="shared" si="8"/>
        <v>1623893.450248607</v>
      </c>
      <c r="J20" s="49">
        <f t="shared" si="8"/>
        <v>0</v>
      </c>
      <c r="K20" s="49">
        <f t="shared" si="8"/>
        <v>0</v>
      </c>
      <c r="L20" s="49">
        <f t="shared" si="8"/>
        <v>0</v>
      </c>
      <c r="M20" s="49">
        <f t="shared" si="8"/>
        <v>0</v>
      </c>
      <c r="N20" s="49">
        <f t="shared" si="8"/>
        <v>0</v>
      </c>
      <c r="O20" s="49">
        <f t="shared" si="8"/>
        <v>0</v>
      </c>
      <c r="P20" s="49"/>
      <c r="Q20" s="49">
        <f>SUM(D20:F20)</f>
        <v>28680838.116398066</v>
      </c>
      <c r="R20" s="49">
        <f>SUM(G20:I20)</f>
        <v>9653322.0346226804</v>
      </c>
      <c r="S20" s="49">
        <f>SUM(J20:L20)</f>
        <v>0</v>
      </c>
      <c r="T20" s="49">
        <f>SUM(M20:O20)</f>
        <v>0</v>
      </c>
      <c r="U20" s="49">
        <f>SUM(D20:O20)</f>
        <v>38334160.151020743</v>
      </c>
    </row>
    <row r="21" spans="1:21">
      <c r="A21" s="46"/>
      <c r="B21" s="20"/>
      <c r="C21" s="46"/>
      <c r="D21" s="49"/>
      <c r="E21" s="49"/>
      <c r="F21" s="49"/>
      <c r="G21" s="49"/>
      <c r="H21" s="50"/>
      <c r="I21" s="49"/>
      <c r="J21" s="49"/>
      <c r="K21" s="49"/>
      <c r="L21" s="49"/>
      <c r="M21" s="49"/>
      <c r="N21" s="49"/>
      <c r="O21" s="49"/>
      <c r="P21" s="49"/>
      <c r="Q21" s="47"/>
      <c r="R21" s="47"/>
      <c r="S21" s="47"/>
      <c r="T21" s="47"/>
      <c r="U21" s="47"/>
    </row>
    <row r="22" spans="1:21">
      <c r="A22" s="46">
        <v>12</v>
      </c>
      <c r="B22" s="20" t="s">
        <v>184</v>
      </c>
      <c r="C22" s="46" t="str">
        <f>"("&amp;A10&amp;") - ("&amp;A14&amp;")"</f>
        <v>(2) - (6)</v>
      </c>
      <c r="D22" s="164">
        <f>D10-D14</f>
        <v>23407851.923430003</v>
      </c>
      <c r="E22" s="164">
        <f>E10-E14</f>
        <v>19348071.393370003</v>
      </c>
      <c r="F22" s="164">
        <f>F10-F14</f>
        <v>14020816.992899999</v>
      </c>
      <c r="G22" s="164">
        <f>G10-G14</f>
        <v>11804417.034370001</v>
      </c>
      <c r="H22" s="48">
        <f>H10-H14</f>
        <v>7274752.1498299995</v>
      </c>
      <c r="I22" s="48">
        <f t="shared" ref="I22:O22" si="9">I10-I14</f>
        <v>3375856.1823399998</v>
      </c>
      <c r="J22" s="48">
        <f t="shared" si="9"/>
        <v>0</v>
      </c>
      <c r="K22" s="48">
        <f t="shared" si="9"/>
        <v>0</v>
      </c>
      <c r="L22" s="48">
        <f t="shared" si="9"/>
        <v>0</v>
      </c>
      <c r="M22" s="48">
        <f t="shared" si="9"/>
        <v>0</v>
      </c>
      <c r="N22" s="48">
        <f t="shared" si="9"/>
        <v>0</v>
      </c>
      <c r="O22" s="48">
        <f t="shared" si="9"/>
        <v>0</v>
      </c>
      <c r="P22" s="48"/>
      <c r="Q22" s="48">
        <f>SUM(D22:F22)</f>
        <v>56776740.309700005</v>
      </c>
      <c r="R22" s="48">
        <f>SUM(G22:I22)</f>
        <v>22455025.36654</v>
      </c>
      <c r="S22" s="48">
        <f>SUM(J22:L22)</f>
        <v>0</v>
      </c>
      <c r="T22" s="48">
        <f>SUM(M22:O22)</f>
        <v>0</v>
      </c>
      <c r="U22" s="48">
        <f>SUM(D22:O22)</f>
        <v>79231765.676239997</v>
      </c>
    </row>
    <row r="23" spans="1:21">
      <c r="A23" s="46">
        <v>13</v>
      </c>
      <c r="B23" s="201" t="s">
        <v>185</v>
      </c>
      <c r="C23" s="46" t="str">
        <f>"("&amp;A11&amp;") - ("&amp;A15&amp;")"</f>
        <v>(3) - (7)</v>
      </c>
      <c r="D23" s="168">
        <f t="shared" ref="D23:G24" si="10">D11-D15</f>
        <v>15832549.352099972</v>
      </c>
      <c r="E23" s="168">
        <f t="shared" si="10"/>
        <v>11785132.549290001</v>
      </c>
      <c r="F23" s="168">
        <f t="shared" si="10"/>
        <v>8894263.5142800361</v>
      </c>
      <c r="G23" s="168">
        <f t="shared" si="10"/>
        <v>7380815.0669199964</v>
      </c>
      <c r="H23" s="21">
        <f t="shared" ref="H23:O24" si="11">H11-H15</f>
        <v>5046666.7311400045</v>
      </c>
      <c r="I23" s="21">
        <f t="shared" si="11"/>
        <v>2925196.6729400051</v>
      </c>
      <c r="J23" s="21">
        <f t="shared" si="11"/>
        <v>0</v>
      </c>
      <c r="K23" s="21">
        <f t="shared" si="11"/>
        <v>0</v>
      </c>
      <c r="L23" s="21">
        <f t="shared" si="11"/>
        <v>0</v>
      </c>
      <c r="M23" s="21">
        <f t="shared" si="11"/>
        <v>0</v>
      </c>
      <c r="N23" s="21">
        <f t="shared" si="11"/>
        <v>0</v>
      </c>
      <c r="O23" s="21">
        <f t="shared" si="11"/>
        <v>0</v>
      </c>
      <c r="P23" s="21"/>
      <c r="Q23" s="49">
        <f>SUM(D23:F23)</f>
        <v>36511945.415670007</v>
      </c>
      <c r="R23" s="49">
        <f>SUM(G23:I23)</f>
        <v>15352678.471000005</v>
      </c>
      <c r="S23" s="49">
        <f>SUM(J23:L23)</f>
        <v>0</v>
      </c>
      <c r="T23" s="49">
        <f>SUM(M23:O23)</f>
        <v>0</v>
      </c>
      <c r="U23" s="49">
        <f>SUM(D23:O23)</f>
        <v>51864623.886670016</v>
      </c>
    </row>
    <row r="24" spans="1:21">
      <c r="A24" s="46">
        <v>14</v>
      </c>
      <c r="B24" s="20" t="s">
        <v>186</v>
      </c>
      <c r="C24" s="46" t="str">
        <f>"("&amp;A12&amp;") - ("&amp;A16&amp;")"</f>
        <v>(4) - (8)</v>
      </c>
      <c r="D24" s="168">
        <f t="shared" si="10"/>
        <v>1535019.5</v>
      </c>
      <c r="E24" s="168">
        <f t="shared" si="10"/>
        <v>1534136</v>
      </c>
      <c r="F24" s="168">
        <f t="shared" si="10"/>
        <v>1734776</v>
      </c>
      <c r="G24" s="168">
        <f t="shared" si="10"/>
        <v>1599182.5</v>
      </c>
      <c r="H24" s="21">
        <f t="shared" si="11"/>
        <v>1593891</v>
      </c>
      <c r="I24" s="21">
        <f t="shared" si="11"/>
        <v>1619141</v>
      </c>
      <c r="J24" s="21">
        <f t="shared" si="11"/>
        <v>0</v>
      </c>
      <c r="K24" s="21">
        <f t="shared" si="11"/>
        <v>0</v>
      </c>
      <c r="L24" s="21">
        <f t="shared" si="11"/>
        <v>0</v>
      </c>
      <c r="M24" s="21">
        <f t="shared" si="11"/>
        <v>0</v>
      </c>
      <c r="N24" s="21">
        <f t="shared" si="11"/>
        <v>0</v>
      </c>
      <c r="O24" s="21">
        <f t="shared" si="11"/>
        <v>0</v>
      </c>
      <c r="P24" s="21"/>
      <c r="Q24" s="49">
        <f>SUM(D24:F24)</f>
        <v>4803931.5</v>
      </c>
      <c r="R24" s="49">
        <f>SUM(G24:I24)</f>
        <v>4812214.5</v>
      </c>
      <c r="S24" s="49">
        <f>SUM(J24:L24)</f>
        <v>0</v>
      </c>
      <c r="T24" s="49">
        <f>SUM(M24:O24)</f>
        <v>0</v>
      </c>
      <c r="U24" s="49">
        <f>SUM(D24:O24)</f>
        <v>9616146</v>
      </c>
    </row>
    <row r="25" spans="1:21">
      <c r="A25" s="46">
        <v>15</v>
      </c>
      <c r="B25" s="20" t="s">
        <v>25</v>
      </c>
      <c r="C25" s="46" t="str">
        <f>"("&amp;A23&amp;") - ("&amp;A24&amp;")"</f>
        <v>(13) - (14)</v>
      </c>
      <c r="D25" s="49">
        <f>D23-D24</f>
        <v>14297529.852099972</v>
      </c>
      <c r="E25" s="49">
        <f t="shared" ref="E25:O25" si="12">E23-E24</f>
        <v>10250996.549290001</v>
      </c>
      <c r="F25" s="49">
        <f t="shared" si="12"/>
        <v>7159487.5142800361</v>
      </c>
      <c r="G25" s="49">
        <f t="shared" si="12"/>
        <v>5781632.5669199964</v>
      </c>
      <c r="H25" s="50">
        <f t="shared" si="12"/>
        <v>3452775.7311400045</v>
      </c>
      <c r="I25" s="49">
        <f t="shared" si="12"/>
        <v>1306055.6729400051</v>
      </c>
      <c r="J25" s="49">
        <f t="shared" si="12"/>
        <v>0</v>
      </c>
      <c r="K25" s="49">
        <f t="shared" si="12"/>
        <v>0</v>
      </c>
      <c r="L25" s="49">
        <f t="shared" si="12"/>
        <v>0</v>
      </c>
      <c r="M25" s="49">
        <f t="shared" si="12"/>
        <v>0</v>
      </c>
      <c r="N25" s="49">
        <f t="shared" si="12"/>
        <v>0</v>
      </c>
      <c r="O25" s="49">
        <f t="shared" si="12"/>
        <v>0</v>
      </c>
      <c r="P25" s="49"/>
      <c r="Q25" s="49">
        <f>SUM(D25:F25)</f>
        <v>31708013.915670007</v>
      </c>
      <c r="R25" s="49">
        <f>SUM(G25:I25)</f>
        <v>10540463.971000005</v>
      </c>
      <c r="S25" s="49">
        <f>SUM(J25:L25)</f>
        <v>0</v>
      </c>
      <c r="T25" s="49">
        <f>SUM(M25:O25)</f>
        <v>0</v>
      </c>
      <c r="U25" s="49">
        <f>SUM(D25:O25)</f>
        <v>42248477.886670016</v>
      </c>
    </row>
    <row r="26" spans="1:21">
      <c r="A26" s="46">
        <v>16</v>
      </c>
      <c r="B26" s="2" t="s">
        <v>26</v>
      </c>
      <c r="C26" s="46" t="str">
        <f>"("&amp;A25&amp;") / ("&amp;A18&amp;")"</f>
        <v>(15) / (9)</v>
      </c>
      <c r="D26" s="5">
        <f>D25/D18</f>
        <v>86.028640164264701</v>
      </c>
      <c r="E26" s="5">
        <f t="shared" ref="E26:O26" si="13">E25/E18</f>
        <v>61.308321267972069</v>
      </c>
      <c r="F26" s="5">
        <f t="shared" si="13"/>
        <v>42.873236527977603</v>
      </c>
      <c r="G26" s="5">
        <f t="shared" si="13"/>
        <v>34.747058554016995</v>
      </c>
      <c r="H26" s="137">
        <f t="shared" si="13"/>
        <v>20.756590066127256</v>
      </c>
      <c r="I26" s="5">
        <f t="shared" si="13"/>
        <v>7.8504491452031058</v>
      </c>
      <c r="J26" s="5" t="e">
        <f t="shared" si="13"/>
        <v>#DIV/0!</v>
      </c>
      <c r="K26" s="5" t="e">
        <f t="shared" si="13"/>
        <v>#DIV/0!</v>
      </c>
      <c r="L26" s="5" t="e">
        <f t="shared" si="13"/>
        <v>#DIV/0!</v>
      </c>
      <c r="M26" s="5" t="e">
        <f t="shared" si="13"/>
        <v>#DIV/0!</v>
      </c>
      <c r="N26" s="5" t="e">
        <f t="shared" si="13"/>
        <v>#DIV/0!</v>
      </c>
      <c r="O26" s="5" t="e">
        <f t="shared" si="13"/>
        <v>#DIV/0!</v>
      </c>
      <c r="P26" s="5"/>
      <c r="Q26" s="96">
        <f>Q25/Q18</f>
        <v>63.366475247696314</v>
      </c>
      <c r="R26" s="96">
        <f>R25/R18</f>
        <v>21.118730469540488</v>
      </c>
      <c r="S26" s="96" t="e">
        <f>S25/S18</f>
        <v>#DIV/0!</v>
      </c>
      <c r="T26" s="96" t="e">
        <f>T25/T18</f>
        <v>#DIV/0!</v>
      </c>
      <c r="U26" s="96">
        <f>U25/U18</f>
        <v>42.269781856725807</v>
      </c>
    </row>
    <row r="27" spans="1:21">
      <c r="A27" s="46">
        <v>17</v>
      </c>
      <c r="B27" s="20" t="s">
        <v>27</v>
      </c>
      <c r="C27" s="46" t="str">
        <f>"("&amp;A$23&amp;") - ("&amp;A25&amp;")"</f>
        <v>(13) - (15)</v>
      </c>
      <c r="D27" s="21">
        <f t="shared" ref="D27:O27" si="14">D20-D25</f>
        <v>-2894049.8757738974</v>
      </c>
      <c r="E27" s="21">
        <f t="shared" si="14"/>
        <v>-970930.57595048659</v>
      </c>
      <c r="F27" s="21">
        <f t="shared" si="14"/>
        <v>837804.65245243814</v>
      </c>
      <c r="G27" s="21">
        <f t="shared" si="14"/>
        <v>-948710.01083956379</v>
      </c>
      <c r="H27" s="21">
        <f t="shared" si="14"/>
        <v>-256269.70284636272</v>
      </c>
      <c r="I27" s="21">
        <f t="shared" si="14"/>
        <v>317837.77730860189</v>
      </c>
      <c r="J27" s="21">
        <f t="shared" si="14"/>
        <v>0</v>
      </c>
      <c r="K27" s="21">
        <f t="shared" si="14"/>
        <v>0</v>
      </c>
      <c r="L27" s="21">
        <f t="shared" si="14"/>
        <v>0</v>
      </c>
      <c r="M27" s="21">
        <f t="shared" si="14"/>
        <v>0</v>
      </c>
      <c r="N27" s="21">
        <f t="shared" si="14"/>
        <v>0</v>
      </c>
      <c r="O27" s="21">
        <f t="shared" si="14"/>
        <v>0</v>
      </c>
      <c r="P27" s="21"/>
      <c r="Q27" s="49">
        <f>SUM(D27:F27)</f>
        <v>-3027175.7992719458</v>
      </c>
      <c r="R27" s="49">
        <f>SUM(G27:I27)</f>
        <v>-887141.93637732463</v>
      </c>
      <c r="S27" s="49">
        <f>SUM(J27:L27)</f>
        <v>0</v>
      </c>
      <c r="T27" s="49">
        <f>SUM(M27:O27)</f>
        <v>0</v>
      </c>
      <c r="U27" s="49">
        <f>SUM(D27:O27)</f>
        <v>-3914317.7356492709</v>
      </c>
    </row>
    <row r="28" spans="1:21">
      <c r="A28" s="46">
        <v>18</v>
      </c>
      <c r="B28" s="20" t="s">
        <v>28</v>
      </c>
      <c r="C28" s="46" t="s">
        <v>29</v>
      </c>
      <c r="D28" s="167">
        <v>126522.07246908324</v>
      </c>
      <c r="E28" s="167">
        <v>42447.14291940337</v>
      </c>
      <c r="F28" s="167">
        <v>-36627.14379591569</v>
      </c>
      <c r="G28" s="167">
        <v>41475.704253884047</v>
      </c>
      <c r="H28" s="167">
        <v>11203.598869037285</v>
      </c>
      <c r="I28" s="167">
        <v>-13895.231948377457</v>
      </c>
      <c r="J28" s="49">
        <v>0</v>
      </c>
      <c r="K28" s="49">
        <v>0</v>
      </c>
      <c r="L28" s="49">
        <v>0</v>
      </c>
      <c r="M28" s="49">
        <v>0</v>
      </c>
      <c r="N28" s="49">
        <v>0</v>
      </c>
      <c r="O28" s="49">
        <v>0</v>
      </c>
      <c r="P28" s="49"/>
      <c r="Q28" s="49">
        <f>SUM(D28:F28)</f>
        <v>132342.07159257092</v>
      </c>
      <c r="R28" s="49">
        <f>SUM(G28:I28)</f>
        <v>38784.071174543875</v>
      </c>
      <c r="S28" s="49">
        <f>SUM(J28:L28)</f>
        <v>0</v>
      </c>
      <c r="T28" s="49">
        <f>SUM(M28:O28)</f>
        <v>0</v>
      </c>
      <c r="U28" s="49">
        <f>SUM(D28:O28)</f>
        <v>171126.1427671148</v>
      </c>
    </row>
    <row r="29" spans="1:21" ht="14.45" customHeight="1">
      <c r="A29" s="46">
        <v>19</v>
      </c>
      <c r="B29" s="20"/>
      <c r="C29" s="46" t="s">
        <v>30</v>
      </c>
      <c r="D29" s="207">
        <v>3.2500000000000001E-2</v>
      </c>
      <c r="E29" s="207">
        <v>3.2500000000000001E-2</v>
      </c>
      <c r="F29" s="207">
        <v>3.2500000000000001E-2</v>
      </c>
      <c r="G29" s="207">
        <v>3.2500000000000001E-2</v>
      </c>
      <c r="H29" s="207">
        <v>3.2500000000000001E-2</v>
      </c>
      <c r="I29" s="207">
        <v>3.2500000000000001E-2</v>
      </c>
      <c r="J29" s="207">
        <v>0</v>
      </c>
      <c r="K29" s="207">
        <v>0</v>
      </c>
      <c r="L29" s="207">
        <v>0</v>
      </c>
      <c r="M29" s="207">
        <v>0</v>
      </c>
      <c r="N29" s="207">
        <v>0</v>
      </c>
      <c r="O29" s="207">
        <v>0</v>
      </c>
      <c r="P29" s="207"/>
      <c r="Q29" s="54"/>
      <c r="R29" s="54"/>
      <c r="S29" s="54"/>
      <c r="T29" s="54"/>
      <c r="U29" s="54"/>
    </row>
    <row r="30" spans="1:21">
      <c r="A30" s="46">
        <v>20</v>
      </c>
      <c r="B30" s="20" t="s">
        <v>31</v>
      </c>
      <c r="C30" s="46" t="s">
        <v>35</v>
      </c>
      <c r="D30" s="3">
        <f>(D27+D28)/2*D29/12</f>
        <v>-3747.6939003086027</v>
      </c>
      <c r="E30" s="3">
        <f>(D32+(E27+E28)/2)*E29/12</f>
        <v>-8762.8591204934655</v>
      </c>
      <c r="F30" s="3">
        <f t="shared" ref="F30:O30" si="15">(E32+(F27+F28)/2)*F29/12</f>
        <v>-8958.9853032020201</v>
      </c>
      <c r="G30" s="3">
        <f t="shared" si="15"/>
        <v>-9126.8678022605945</v>
      </c>
      <c r="H30" s="135">
        <f t="shared" si="15"/>
        <v>-10711.993208529118</v>
      </c>
      <c r="I30" s="3">
        <f t="shared" si="15"/>
        <v>-10661.276342429543</v>
      </c>
      <c r="J30" s="3">
        <f t="shared" si="15"/>
        <v>0</v>
      </c>
      <c r="K30" s="3">
        <f>(J32+(K27+K28)/2)*K29/12</f>
        <v>0</v>
      </c>
      <c r="L30" s="3">
        <f t="shared" si="15"/>
        <v>0</v>
      </c>
      <c r="M30" s="3">
        <f t="shared" si="15"/>
        <v>0</v>
      </c>
      <c r="N30" s="3">
        <f t="shared" si="15"/>
        <v>0</v>
      </c>
      <c r="O30" s="3">
        <f t="shared" si="15"/>
        <v>0</v>
      </c>
      <c r="P30" s="3"/>
      <c r="Q30" s="49">
        <f>SUM(D30:F30)</f>
        <v>-21469.53832400409</v>
      </c>
      <c r="R30" s="49">
        <f>SUM(G30:I30)</f>
        <v>-30500.137353219252</v>
      </c>
      <c r="S30" s="49">
        <f>SUM(J30:L30)</f>
        <v>0</v>
      </c>
      <c r="T30" s="49">
        <f>SUM(M30:O30)</f>
        <v>0</v>
      </c>
      <c r="U30" s="3">
        <f>SUM(D30:O30)</f>
        <v>-51969.675677223349</v>
      </c>
    </row>
    <row r="31" spans="1:21" ht="15.75" thickBot="1">
      <c r="A31" s="46">
        <v>21</v>
      </c>
      <c r="B31" s="4" t="s">
        <v>32</v>
      </c>
      <c r="C31" s="46"/>
      <c r="D31" s="6">
        <f>D27+D28+D30</f>
        <v>-2771275.4972051228</v>
      </c>
      <c r="E31" s="6">
        <f t="shared" ref="E31:N31" si="16">E27+E28+E30</f>
        <v>-937246.29215157672</v>
      </c>
      <c r="F31" s="6">
        <f t="shared" si="16"/>
        <v>792218.52335332043</v>
      </c>
      <c r="G31" s="6">
        <f t="shared" si="16"/>
        <v>-916361.17438794032</v>
      </c>
      <c r="H31" s="6">
        <f t="shared" si="16"/>
        <v>-255778.09718585454</v>
      </c>
      <c r="I31" s="6">
        <f t="shared" si="16"/>
        <v>293281.26901779487</v>
      </c>
      <c r="J31" s="6">
        <f t="shared" si="16"/>
        <v>0</v>
      </c>
      <c r="K31" s="6">
        <f t="shared" si="16"/>
        <v>0</v>
      </c>
      <c r="L31" s="6">
        <f t="shared" si="16"/>
        <v>0</v>
      </c>
      <c r="M31" s="6">
        <f t="shared" si="16"/>
        <v>0</v>
      </c>
      <c r="N31" s="6">
        <f t="shared" si="16"/>
        <v>0</v>
      </c>
      <c r="O31" s="6">
        <f>O27+O28+O30</f>
        <v>0</v>
      </c>
      <c r="P31" s="6"/>
      <c r="Q31" s="51">
        <f>Q27+Q28+Q30</f>
        <v>-2916303.2660033791</v>
      </c>
      <c r="R31" s="51">
        <f>R27+R28+R30</f>
        <v>-878858.00255600002</v>
      </c>
      <c r="S31" s="51">
        <f>S27+S28+S30</f>
        <v>0</v>
      </c>
      <c r="T31" s="51">
        <f>T27+T28+T30</f>
        <v>0</v>
      </c>
      <c r="U31" s="51">
        <f>U27+U28+U30</f>
        <v>-3795161.2685593795</v>
      </c>
    </row>
    <row r="32" spans="1:21" ht="15.75" thickBot="1">
      <c r="A32" s="46">
        <v>22</v>
      </c>
      <c r="B32" s="20" t="s">
        <v>170</v>
      </c>
      <c r="C32" s="46" t="str">
        <f>"Σ(("&amp;A27&amp;") ,("&amp;A28&amp;") , ("&amp;A30&amp;"))"</f>
        <v>Σ((17) ,(18) , (20))</v>
      </c>
      <c r="D32" s="49">
        <f>D27+D28+D30</f>
        <v>-2771275.4972051228</v>
      </c>
      <c r="E32" s="49">
        <f>D32+E27+E28+E30</f>
        <v>-3708521.7893566992</v>
      </c>
      <c r="F32" s="49">
        <f t="shared" ref="F32:N32" si="17">E32+F27+F28+F30</f>
        <v>-2916303.2660033791</v>
      </c>
      <c r="G32" s="49">
        <f t="shared" si="17"/>
        <v>-3832664.4403913193</v>
      </c>
      <c r="H32" s="50">
        <f t="shared" si="17"/>
        <v>-4088442.5375771737</v>
      </c>
      <c r="I32" s="49">
        <f t="shared" si="17"/>
        <v>-3795161.268559379</v>
      </c>
      <c r="J32" s="49">
        <f t="shared" si="17"/>
        <v>-3795161.268559379</v>
      </c>
      <c r="K32" s="49">
        <f t="shared" si="17"/>
        <v>-3795161.268559379</v>
      </c>
      <c r="L32" s="49">
        <f t="shared" si="17"/>
        <v>-3795161.268559379</v>
      </c>
      <c r="M32" s="49">
        <f t="shared" si="17"/>
        <v>-3795161.268559379</v>
      </c>
      <c r="N32" s="49">
        <f t="shared" si="17"/>
        <v>-3795161.268559379</v>
      </c>
      <c r="O32" s="90">
        <f>N32+O27+O28+O30</f>
        <v>-3795161.268559379</v>
      </c>
      <c r="P32" s="16"/>
      <c r="Q32" s="49"/>
      <c r="R32" s="49"/>
      <c r="S32" s="49"/>
      <c r="T32" s="49"/>
      <c r="U32" s="212"/>
    </row>
    <row r="33" spans="1:21" ht="15.75" customHeight="1">
      <c r="A33" s="89"/>
      <c r="B33" s="89"/>
      <c r="C33" s="89"/>
      <c r="D33" s="89"/>
      <c r="E33" s="89"/>
      <c r="F33" s="89"/>
      <c r="G33" s="89"/>
      <c r="H33" s="89"/>
      <c r="I33" s="89"/>
      <c r="J33" s="89"/>
      <c r="K33" s="89"/>
      <c r="L33" s="89"/>
      <c r="M33" s="89"/>
      <c r="N33" s="89"/>
      <c r="O33" s="89"/>
      <c r="P33" s="89"/>
      <c r="Q33" s="89"/>
      <c r="R33" s="89"/>
      <c r="S33" s="89"/>
      <c r="T33" s="89"/>
      <c r="U33" s="89"/>
    </row>
    <row r="34" spans="1:21">
      <c r="A34" s="46"/>
      <c r="B34" s="1" t="s">
        <v>33</v>
      </c>
      <c r="C34" s="46"/>
      <c r="D34" s="46"/>
      <c r="E34" s="46"/>
      <c r="F34" s="46"/>
      <c r="G34" s="46"/>
      <c r="H34" s="134"/>
      <c r="I34" s="46"/>
      <c r="J34" s="46"/>
      <c r="K34" s="46"/>
      <c r="L34" s="46"/>
      <c r="M34" s="46"/>
      <c r="N34" s="46"/>
      <c r="O34" s="46"/>
      <c r="P34" s="46"/>
      <c r="Q34" s="49"/>
      <c r="R34" s="49"/>
      <c r="S34" s="49"/>
      <c r="T34" s="49"/>
      <c r="U34" s="49"/>
    </row>
    <row r="35" spans="1:21">
      <c r="A35" s="46">
        <v>23</v>
      </c>
      <c r="B35" s="20" t="s">
        <v>20</v>
      </c>
      <c r="C35" s="46" t="s">
        <v>21</v>
      </c>
      <c r="D35" s="160">
        <v>3651</v>
      </c>
      <c r="E35" s="160">
        <v>2900</v>
      </c>
      <c r="F35" s="160">
        <v>3366</v>
      </c>
      <c r="G35" s="160">
        <v>3304</v>
      </c>
      <c r="H35" s="161">
        <v>3302</v>
      </c>
      <c r="I35" s="160">
        <v>3381</v>
      </c>
      <c r="J35" s="160">
        <v>0</v>
      </c>
      <c r="K35" s="160">
        <v>0</v>
      </c>
      <c r="L35" s="160">
        <v>0</v>
      </c>
      <c r="M35" s="160">
        <v>0</v>
      </c>
      <c r="N35" s="160">
        <v>0</v>
      </c>
      <c r="O35" s="160">
        <v>0</v>
      </c>
      <c r="P35" s="160"/>
      <c r="Q35" s="48">
        <f t="shared" ref="Q35:Q42" si="18">SUM(D35:F35)</f>
        <v>9917</v>
      </c>
      <c r="R35" s="48">
        <f t="shared" ref="R35:R42" si="19">SUM(G35:I35)</f>
        <v>9987</v>
      </c>
      <c r="S35" s="48">
        <f t="shared" ref="S35:S42" si="20">SUM(J35:L35)</f>
        <v>0</v>
      </c>
      <c r="T35" s="48">
        <f t="shared" ref="T35:T42" si="21">SUM(M35:O35)</f>
        <v>0</v>
      </c>
      <c r="U35" s="48">
        <f t="shared" ref="U35:U42" si="22">SUM(D35:O35)</f>
        <v>19904</v>
      </c>
    </row>
    <row r="36" spans="1:21">
      <c r="A36" s="46">
        <v>24</v>
      </c>
      <c r="B36" s="2" t="s">
        <v>166</v>
      </c>
      <c r="C36" s="46" t="s">
        <v>21</v>
      </c>
      <c r="D36" s="160">
        <v>8911889.5763499998</v>
      </c>
      <c r="E36" s="160">
        <v>7967454.2231099997</v>
      </c>
      <c r="F36" s="160">
        <v>6530840.2042800002</v>
      </c>
      <c r="G36" s="160">
        <v>5534897.4978499999</v>
      </c>
      <c r="H36" s="161">
        <v>3861542.6321400004</v>
      </c>
      <c r="I36" s="160">
        <v>2400538.0797799998</v>
      </c>
      <c r="J36" s="160">
        <v>0</v>
      </c>
      <c r="K36" s="160">
        <v>0</v>
      </c>
      <c r="L36" s="160">
        <v>0</v>
      </c>
      <c r="M36" s="160">
        <v>0</v>
      </c>
      <c r="N36" s="160">
        <v>0</v>
      </c>
      <c r="O36" s="160">
        <v>0</v>
      </c>
      <c r="P36" s="160"/>
      <c r="Q36" s="48">
        <f t="shared" si="18"/>
        <v>23410184.003740001</v>
      </c>
      <c r="R36" s="48">
        <f t="shared" si="19"/>
        <v>11796978.20977</v>
      </c>
      <c r="S36" s="48">
        <f t="shared" si="20"/>
        <v>0</v>
      </c>
      <c r="T36" s="48">
        <f t="shared" si="21"/>
        <v>0</v>
      </c>
      <c r="U36" s="48">
        <f t="shared" si="22"/>
        <v>35207162.213509999</v>
      </c>
    </row>
    <row r="37" spans="1:21">
      <c r="A37" s="46">
        <v>25</v>
      </c>
      <c r="B37" s="20" t="s">
        <v>37</v>
      </c>
      <c r="C37" s="46" t="s">
        <v>21</v>
      </c>
      <c r="D37" s="162">
        <v>3409446.0614799997</v>
      </c>
      <c r="E37" s="162">
        <v>2558345.6760800001</v>
      </c>
      <c r="F37" s="162">
        <v>2383717.5850799996</v>
      </c>
      <c r="G37" s="162">
        <v>1876699.2114400002</v>
      </c>
      <c r="H37" s="163">
        <v>1487454.0846000002</v>
      </c>
      <c r="I37" s="162">
        <v>1061047.20756</v>
      </c>
      <c r="J37" s="162">
        <v>0</v>
      </c>
      <c r="K37" s="162">
        <v>0</v>
      </c>
      <c r="L37" s="162">
        <v>0</v>
      </c>
      <c r="M37" s="162">
        <v>0</v>
      </c>
      <c r="N37" s="162">
        <v>0</v>
      </c>
      <c r="O37" s="162">
        <v>0</v>
      </c>
      <c r="P37" s="162"/>
      <c r="Q37" s="49">
        <f t="shared" si="18"/>
        <v>8351509.3226399999</v>
      </c>
      <c r="R37" s="49">
        <f t="shared" si="19"/>
        <v>4425200.5036000004</v>
      </c>
      <c r="S37" s="49">
        <f t="shared" si="20"/>
        <v>0</v>
      </c>
      <c r="T37" s="49">
        <f t="shared" si="21"/>
        <v>0</v>
      </c>
      <c r="U37" s="49">
        <f t="shared" si="22"/>
        <v>12776709.826239999</v>
      </c>
    </row>
    <row r="38" spans="1:21">
      <c r="A38" s="46">
        <v>26</v>
      </c>
      <c r="B38" s="20" t="s">
        <v>24</v>
      </c>
      <c r="C38" s="46" t="s">
        <v>21</v>
      </c>
      <c r="D38" s="162">
        <v>373897.3</v>
      </c>
      <c r="E38" s="162">
        <v>369717.74</v>
      </c>
      <c r="F38" s="162">
        <v>444113.03</v>
      </c>
      <c r="G38" s="162">
        <v>395127.24</v>
      </c>
      <c r="H38" s="163">
        <v>394594.95</v>
      </c>
      <c r="I38" s="162">
        <v>404746.87</v>
      </c>
      <c r="J38" s="162">
        <v>0</v>
      </c>
      <c r="K38" s="162">
        <v>0</v>
      </c>
      <c r="L38" s="162">
        <v>0</v>
      </c>
      <c r="M38" s="162">
        <v>0</v>
      </c>
      <c r="N38" s="162">
        <v>0</v>
      </c>
      <c r="O38" s="162">
        <v>0</v>
      </c>
      <c r="P38" s="162"/>
      <c r="Q38" s="49">
        <f t="shared" si="18"/>
        <v>1187728.07</v>
      </c>
      <c r="R38" s="49">
        <f t="shared" si="19"/>
        <v>1194469.06</v>
      </c>
      <c r="S38" s="49">
        <f t="shared" si="20"/>
        <v>0</v>
      </c>
      <c r="T38" s="49">
        <f t="shared" si="21"/>
        <v>0</v>
      </c>
      <c r="U38" s="49">
        <f t="shared" si="22"/>
        <v>2382197.13</v>
      </c>
    </row>
    <row r="39" spans="1:21" ht="30" customHeight="1">
      <c r="A39" s="46">
        <v>27</v>
      </c>
      <c r="B39" s="20" t="s">
        <v>157</v>
      </c>
      <c r="C39" s="46" t="s">
        <v>21</v>
      </c>
      <c r="D39" s="160">
        <v>56</v>
      </c>
      <c r="E39" s="160">
        <v>55</v>
      </c>
      <c r="F39" s="160">
        <v>65</v>
      </c>
      <c r="G39" s="160">
        <v>65</v>
      </c>
      <c r="H39" s="161">
        <v>70</v>
      </c>
      <c r="I39" s="160">
        <v>72</v>
      </c>
      <c r="J39" s="160">
        <v>0</v>
      </c>
      <c r="K39" s="160">
        <v>0</v>
      </c>
      <c r="L39" s="160">
        <v>0</v>
      </c>
      <c r="M39" s="160">
        <v>0</v>
      </c>
      <c r="N39" s="160">
        <v>0</v>
      </c>
      <c r="O39" s="160">
        <v>0</v>
      </c>
      <c r="P39" s="160"/>
      <c r="Q39" s="48">
        <f t="shared" si="18"/>
        <v>176</v>
      </c>
      <c r="R39" s="48">
        <f t="shared" si="19"/>
        <v>207</v>
      </c>
      <c r="S39" s="48">
        <f t="shared" si="20"/>
        <v>0</v>
      </c>
      <c r="T39" s="48">
        <f t="shared" si="21"/>
        <v>0</v>
      </c>
      <c r="U39" s="48">
        <f t="shared" si="22"/>
        <v>383</v>
      </c>
    </row>
    <row r="40" spans="1:21">
      <c r="A40" s="46">
        <v>28</v>
      </c>
      <c r="B40" s="2" t="s">
        <v>167</v>
      </c>
      <c r="C40" s="46" t="s">
        <v>21</v>
      </c>
      <c r="D40" s="160">
        <v>214126.55089000001</v>
      </c>
      <c r="E40" s="160">
        <v>170857.27407000001</v>
      </c>
      <c r="F40" s="160">
        <v>116645.80035</v>
      </c>
      <c r="G40" s="160">
        <v>137699.56843000001</v>
      </c>
      <c r="H40" s="161">
        <v>119795.61397999999</v>
      </c>
      <c r="I40" s="160">
        <v>95403</v>
      </c>
      <c r="J40" s="160">
        <v>0</v>
      </c>
      <c r="K40" s="160">
        <v>0</v>
      </c>
      <c r="L40" s="160">
        <v>0</v>
      </c>
      <c r="M40" s="160">
        <v>0</v>
      </c>
      <c r="N40" s="160">
        <v>0</v>
      </c>
      <c r="O40" s="160">
        <v>0</v>
      </c>
      <c r="P40" s="160"/>
      <c r="Q40" s="48">
        <f t="shared" si="18"/>
        <v>501629.62531000003</v>
      </c>
      <c r="R40" s="48">
        <f t="shared" si="19"/>
        <v>352898.18241000001</v>
      </c>
      <c r="S40" s="48">
        <f t="shared" si="20"/>
        <v>0</v>
      </c>
      <c r="T40" s="48">
        <f t="shared" si="21"/>
        <v>0</v>
      </c>
      <c r="U40" s="48">
        <f t="shared" si="22"/>
        <v>854527.80772000004</v>
      </c>
    </row>
    <row r="41" spans="1:21">
      <c r="A41" s="46">
        <v>29</v>
      </c>
      <c r="B41" s="20" t="s">
        <v>159</v>
      </c>
      <c r="C41" s="46" t="s">
        <v>21</v>
      </c>
      <c r="D41" s="162">
        <v>63655.34</v>
      </c>
      <c r="E41" s="162">
        <v>51362.59</v>
      </c>
      <c r="F41" s="162">
        <v>39817.46</v>
      </c>
      <c r="G41" s="162">
        <v>41739.97</v>
      </c>
      <c r="H41" s="163">
        <v>40063.94</v>
      </c>
      <c r="I41" s="162">
        <v>31493.58</v>
      </c>
      <c r="J41" s="162">
        <v>0</v>
      </c>
      <c r="K41" s="162">
        <v>0</v>
      </c>
      <c r="L41" s="162">
        <v>0</v>
      </c>
      <c r="M41" s="162">
        <v>0</v>
      </c>
      <c r="N41" s="162">
        <v>0</v>
      </c>
      <c r="O41" s="162">
        <v>0</v>
      </c>
      <c r="P41" s="162"/>
      <c r="Q41" s="49">
        <f t="shared" si="18"/>
        <v>154835.38999999998</v>
      </c>
      <c r="R41" s="49">
        <f t="shared" si="19"/>
        <v>113297.49</v>
      </c>
      <c r="S41" s="49">
        <f t="shared" si="20"/>
        <v>0</v>
      </c>
      <c r="T41" s="49">
        <f t="shared" si="21"/>
        <v>0</v>
      </c>
      <c r="U41" s="49">
        <f t="shared" si="22"/>
        <v>268132.88</v>
      </c>
    </row>
    <row r="42" spans="1:21">
      <c r="A42" s="46">
        <v>30</v>
      </c>
      <c r="B42" s="20" t="s">
        <v>168</v>
      </c>
      <c r="C42" s="46" t="s">
        <v>21</v>
      </c>
      <c r="D42" s="162">
        <v>7517.51</v>
      </c>
      <c r="E42" s="162">
        <v>6453.52</v>
      </c>
      <c r="F42" s="162">
        <v>7582.46</v>
      </c>
      <c r="G42" s="162">
        <v>7683.89</v>
      </c>
      <c r="H42" s="163">
        <v>8115.86</v>
      </c>
      <c r="I42" s="162">
        <v>8448.4500000000007</v>
      </c>
      <c r="J42" s="162">
        <v>0</v>
      </c>
      <c r="K42" s="162">
        <v>0</v>
      </c>
      <c r="L42" s="162">
        <v>0</v>
      </c>
      <c r="M42" s="162">
        <v>0</v>
      </c>
      <c r="N42" s="162">
        <v>0</v>
      </c>
      <c r="O42" s="162">
        <v>0</v>
      </c>
      <c r="P42" s="162"/>
      <c r="Q42" s="49">
        <f t="shared" si="18"/>
        <v>21553.49</v>
      </c>
      <c r="R42" s="49">
        <f t="shared" si="19"/>
        <v>24248.2</v>
      </c>
      <c r="S42" s="49">
        <f t="shared" si="20"/>
        <v>0</v>
      </c>
      <c r="T42" s="49">
        <f t="shared" si="21"/>
        <v>0</v>
      </c>
      <c r="U42" s="49">
        <f t="shared" si="22"/>
        <v>45801.69</v>
      </c>
    </row>
    <row r="43" spans="1:21">
      <c r="A43" s="46"/>
      <c r="B43" s="1"/>
      <c r="C43" s="46"/>
      <c r="D43" s="46"/>
      <c r="E43" s="46"/>
      <c r="F43" s="46"/>
      <c r="G43" s="46"/>
      <c r="H43" s="134"/>
      <c r="I43" s="46"/>
      <c r="J43" s="46"/>
      <c r="K43" s="46"/>
      <c r="L43" s="46"/>
      <c r="M43" s="46"/>
      <c r="N43" s="46"/>
      <c r="O43" s="46"/>
      <c r="P43" s="46"/>
      <c r="Q43" s="49"/>
      <c r="R43" s="49"/>
      <c r="S43" s="49"/>
      <c r="T43" s="49"/>
      <c r="U43" s="49"/>
    </row>
    <row r="44" spans="1:21">
      <c r="A44" s="46">
        <v>31</v>
      </c>
      <c r="B44" s="20" t="s">
        <v>171</v>
      </c>
      <c r="C44" s="46" t="str">
        <f>"("&amp;A35&amp;") - ("&amp;A39&amp;")"</f>
        <v>(23) - (27)</v>
      </c>
      <c r="D44" s="164">
        <f>D35-D39</f>
        <v>3595</v>
      </c>
      <c r="E44" s="164">
        <f>E35-E39</f>
        <v>2845</v>
      </c>
      <c r="F44" s="164">
        <f>F35-F39</f>
        <v>3301</v>
      </c>
      <c r="G44" s="164">
        <f>G35-G39</f>
        <v>3239</v>
      </c>
      <c r="H44" s="48">
        <f t="shared" ref="H44:O44" si="23">H35-H39</f>
        <v>3232</v>
      </c>
      <c r="I44" s="48">
        <f t="shared" si="23"/>
        <v>3309</v>
      </c>
      <c r="J44" s="48">
        <f t="shared" si="23"/>
        <v>0</v>
      </c>
      <c r="K44" s="48">
        <f t="shared" si="23"/>
        <v>0</v>
      </c>
      <c r="L44" s="48">
        <f t="shared" si="23"/>
        <v>0</v>
      </c>
      <c r="M44" s="48">
        <f t="shared" si="23"/>
        <v>0</v>
      </c>
      <c r="N44" s="48">
        <f t="shared" si="23"/>
        <v>0</v>
      </c>
      <c r="O44" s="48">
        <f t="shared" si="23"/>
        <v>0</v>
      </c>
      <c r="P44" s="48"/>
      <c r="Q44" s="48">
        <f>SUM(D44:F44)</f>
        <v>9741</v>
      </c>
      <c r="R44" s="48">
        <f>SUM(G44:I44)</f>
        <v>9780</v>
      </c>
      <c r="S44" s="48">
        <f>SUM(J44:L44)</f>
        <v>0</v>
      </c>
      <c r="T44" s="48">
        <f>SUM(M44:O44)</f>
        <v>0</v>
      </c>
      <c r="U44" s="48">
        <f>SUM(D44:O44)</f>
        <v>19521</v>
      </c>
    </row>
    <row r="45" spans="1:21">
      <c r="A45" s="214">
        <v>32</v>
      </c>
      <c r="B45" s="82" t="s">
        <v>22</v>
      </c>
      <c r="C45" s="204" t="s">
        <v>87</v>
      </c>
      <c r="D45" s="5">
        <v>736.83431345548695</v>
      </c>
      <c r="E45" s="5">
        <v>650.60517507088309</v>
      </c>
      <c r="F45" s="5">
        <v>526.62584983709473</v>
      </c>
      <c r="G45" s="5">
        <v>428.95493475908029</v>
      </c>
      <c r="H45" s="137">
        <v>276.98076314119891</v>
      </c>
      <c r="I45" s="5">
        <v>223.18671659831008</v>
      </c>
      <c r="J45" s="5">
        <v>181.77337340569431</v>
      </c>
      <c r="K45" s="5">
        <v>187.11229370023054</v>
      </c>
      <c r="L45" s="5">
        <v>231.70111436842316</v>
      </c>
      <c r="M45" s="5">
        <v>399.47845245534381</v>
      </c>
      <c r="N45" s="5">
        <v>594.98082649889591</v>
      </c>
      <c r="O45" s="5">
        <v>744.04618670935815</v>
      </c>
      <c r="P45" s="5"/>
      <c r="Q45" s="96">
        <f>Q46/Q44</f>
        <v>640.41505084297171</v>
      </c>
      <c r="R45" s="96">
        <f>R46/R44</f>
        <v>309.11162631705764</v>
      </c>
      <c r="S45" s="96" t="e">
        <f>S46/S44</f>
        <v>#DIV/0!</v>
      </c>
      <c r="T45" s="96" t="e">
        <f>T46/T44</f>
        <v>#DIV/0!</v>
      </c>
      <c r="U45" s="96">
        <f>U46/U44</f>
        <v>474.4323915599719</v>
      </c>
    </row>
    <row r="46" spans="1:21">
      <c r="A46" s="46">
        <v>33</v>
      </c>
      <c r="B46" s="20" t="s">
        <v>23</v>
      </c>
      <c r="C46" s="46" t="str">
        <f>"("&amp;A44&amp;") x ("&amp;A45&amp;")"</f>
        <v>(31) x (32)</v>
      </c>
      <c r="D46" s="49">
        <f t="shared" ref="D46:O46" si="24">D44*D45</f>
        <v>2648919.3568724757</v>
      </c>
      <c r="E46" s="49">
        <f t="shared" si="24"/>
        <v>1850971.7230766623</v>
      </c>
      <c r="F46" s="49">
        <f t="shared" si="24"/>
        <v>1738391.9303122498</v>
      </c>
      <c r="G46" s="49">
        <f t="shared" si="24"/>
        <v>1389385.0336846611</v>
      </c>
      <c r="H46" s="50">
        <f t="shared" si="24"/>
        <v>895201.82647235482</v>
      </c>
      <c r="I46" s="49">
        <f t="shared" si="24"/>
        <v>738524.84522380808</v>
      </c>
      <c r="J46" s="49">
        <f t="shared" si="24"/>
        <v>0</v>
      </c>
      <c r="K46" s="49">
        <f t="shared" si="24"/>
        <v>0</v>
      </c>
      <c r="L46" s="49">
        <f t="shared" si="24"/>
        <v>0</v>
      </c>
      <c r="M46" s="49">
        <f t="shared" si="24"/>
        <v>0</v>
      </c>
      <c r="N46" s="49">
        <f t="shared" si="24"/>
        <v>0</v>
      </c>
      <c r="O46" s="49">
        <f t="shared" si="24"/>
        <v>0</v>
      </c>
      <c r="P46" s="49"/>
      <c r="Q46" s="49">
        <f>SUM(D46:F46)</f>
        <v>6238283.0102613876</v>
      </c>
      <c r="R46" s="49">
        <f>SUM(G46:I46)</f>
        <v>3023111.7053808239</v>
      </c>
      <c r="S46" s="49">
        <f>SUM(J46:L46)</f>
        <v>0</v>
      </c>
      <c r="T46" s="49">
        <f>SUM(M46:O46)</f>
        <v>0</v>
      </c>
      <c r="U46" s="49">
        <f>SUM(D46:O46)</f>
        <v>9261394.715642212</v>
      </c>
    </row>
    <row r="47" spans="1:21">
      <c r="A47" s="46"/>
      <c r="B47" s="20"/>
      <c r="C47" s="46"/>
      <c r="D47" s="49"/>
      <c r="E47" s="49"/>
      <c r="F47" s="49"/>
      <c r="G47" s="49"/>
      <c r="H47" s="50"/>
      <c r="I47" s="49"/>
      <c r="J47" s="49"/>
      <c r="K47" s="49"/>
      <c r="L47" s="49"/>
      <c r="M47" s="49"/>
      <c r="N47" s="49"/>
      <c r="O47" s="49"/>
      <c r="P47" s="49"/>
      <c r="Q47" s="47"/>
      <c r="R47" s="47"/>
      <c r="S47" s="47"/>
      <c r="T47" s="47"/>
      <c r="U47" s="47"/>
    </row>
    <row r="48" spans="1:21">
      <c r="A48" s="46">
        <v>34</v>
      </c>
      <c r="B48" s="20" t="s">
        <v>187</v>
      </c>
      <c r="C48" s="46" t="str">
        <f>"("&amp;A36&amp;") - ("&amp;A40&amp;")"</f>
        <v>(24) - (28)</v>
      </c>
      <c r="D48" s="164">
        <f t="shared" ref="D48:G50" si="25">D36-D40</f>
        <v>8697763.0254599992</v>
      </c>
      <c r="E48" s="164">
        <f t="shared" si="25"/>
        <v>7796596.9490399994</v>
      </c>
      <c r="F48" s="164">
        <f t="shared" si="25"/>
        <v>6414194.40393</v>
      </c>
      <c r="G48" s="164">
        <f t="shared" si="25"/>
        <v>5397197.9294199999</v>
      </c>
      <c r="H48" s="48">
        <f t="shared" ref="H48:O50" si="26">H36-H40</f>
        <v>3741747.0181600004</v>
      </c>
      <c r="I48" s="48">
        <f t="shared" si="26"/>
        <v>2305135.0797799998</v>
      </c>
      <c r="J48" s="48">
        <f t="shared" si="26"/>
        <v>0</v>
      </c>
      <c r="K48" s="48">
        <f t="shared" si="26"/>
        <v>0</v>
      </c>
      <c r="L48" s="48">
        <f t="shared" si="26"/>
        <v>0</v>
      </c>
      <c r="M48" s="48">
        <f t="shared" si="26"/>
        <v>0</v>
      </c>
      <c r="N48" s="48">
        <f t="shared" si="26"/>
        <v>0</v>
      </c>
      <c r="O48" s="48">
        <f t="shared" si="26"/>
        <v>0</v>
      </c>
      <c r="P48" s="48"/>
      <c r="Q48" s="48">
        <f>SUM(D48:F48)</f>
        <v>22908554.378429998</v>
      </c>
      <c r="R48" s="48">
        <f>SUM(G48:I48)</f>
        <v>11444080.02736</v>
      </c>
      <c r="S48" s="48">
        <f>SUM(J48:L48)</f>
        <v>0</v>
      </c>
      <c r="T48" s="48">
        <f>SUM(M48:O48)</f>
        <v>0</v>
      </c>
      <c r="U48" s="48">
        <f>SUM(D48:O48)</f>
        <v>34352634.405789994</v>
      </c>
    </row>
    <row r="49" spans="1:21" ht="15" customHeight="1">
      <c r="A49" s="46">
        <v>35</v>
      </c>
      <c r="B49" s="201" t="s">
        <v>185</v>
      </c>
      <c r="C49" s="46" t="str">
        <f>"("&amp;A37&amp;") - ("&amp;A41&amp;")"</f>
        <v>(25) - (29)</v>
      </c>
      <c r="D49" s="168">
        <f t="shared" si="25"/>
        <v>3345790.7214799998</v>
      </c>
      <c r="E49" s="168">
        <f t="shared" si="25"/>
        <v>2506983.0860800003</v>
      </c>
      <c r="F49" s="168">
        <f t="shared" si="25"/>
        <v>2343900.1250799997</v>
      </c>
      <c r="G49" s="168">
        <f t="shared" si="25"/>
        <v>1834959.2414400002</v>
      </c>
      <c r="H49" s="21">
        <f t="shared" si="26"/>
        <v>1447390.1446000002</v>
      </c>
      <c r="I49" s="21">
        <f t="shared" si="26"/>
        <v>1029553.6275600001</v>
      </c>
      <c r="J49" s="21">
        <f t="shared" si="26"/>
        <v>0</v>
      </c>
      <c r="K49" s="21">
        <f t="shared" si="26"/>
        <v>0</v>
      </c>
      <c r="L49" s="21">
        <f t="shared" si="26"/>
        <v>0</v>
      </c>
      <c r="M49" s="21">
        <f t="shared" si="26"/>
        <v>0</v>
      </c>
      <c r="N49" s="21">
        <f t="shared" si="26"/>
        <v>0</v>
      </c>
      <c r="O49" s="21">
        <f t="shared" si="26"/>
        <v>0</v>
      </c>
      <c r="P49" s="21"/>
      <c r="Q49" s="49">
        <f>SUM(D49:F49)</f>
        <v>8196673.9326400002</v>
      </c>
      <c r="R49" s="49">
        <f>SUM(G49:I49)</f>
        <v>4311903.0136000002</v>
      </c>
      <c r="S49" s="49">
        <f>SUM(J49:L49)</f>
        <v>0</v>
      </c>
      <c r="T49" s="49">
        <f>SUM(M49:O49)</f>
        <v>0</v>
      </c>
      <c r="U49" s="49">
        <f>SUM(D49:O49)</f>
        <v>12508576.946240002</v>
      </c>
    </row>
    <row r="50" spans="1:21">
      <c r="A50" s="46">
        <v>36</v>
      </c>
      <c r="B50" s="20" t="s">
        <v>186</v>
      </c>
      <c r="C50" s="46" t="str">
        <f>"("&amp;A38&amp;") - ("&amp;A42&amp;")"</f>
        <v>(26) - (30)</v>
      </c>
      <c r="D50" s="168">
        <f t="shared" si="25"/>
        <v>366379.79</v>
      </c>
      <c r="E50" s="168">
        <f t="shared" si="25"/>
        <v>363264.22</v>
      </c>
      <c r="F50" s="168">
        <f t="shared" si="25"/>
        <v>436530.57</v>
      </c>
      <c r="G50" s="168">
        <f t="shared" si="25"/>
        <v>387443.35</v>
      </c>
      <c r="H50" s="21">
        <f t="shared" si="26"/>
        <v>386479.09</v>
      </c>
      <c r="I50" s="21">
        <f t="shared" si="26"/>
        <v>396298.42</v>
      </c>
      <c r="J50" s="21">
        <f t="shared" si="26"/>
        <v>0</v>
      </c>
      <c r="K50" s="21">
        <f t="shared" si="26"/>
        <v>0</v>
      </c>
      <c r="L50" s="21">
        <f t="shared" si="26"/>
        <v>0</v>
      </c>
      <c r="M50" s="21">
        <f t="shared" si="26"/>
        <v>0</v>
      </c>
      <c r="N50" s="21">
        <f t="shared" si="26"/>
        <v>0</v>
      </c>
      <c r="O50" s="21">
        <f t="shared" si="26"/>
        <v>0</v>
      </c>
      <c r="P50" s="21"/>
      <c r="Q50" s="49">
        <f>SUM(D50:F50)</f>
        <v>1166174.58</v>
      </c>
      <c r="R50" s="49">
        <f>SUM(G50:I50)</f>
        <v>1170220.8599999999</v>
      </c>
      <c r="S50" s="49">
        <f>SUM(J50:L50)</f>
        <v>0</v>
      </c>
      <c r="T50" s="49">
        <f>SUM(M50:O50)</f>
        <v>0</v>
      </c>
      <c r="U50" s="49">
        <f>SUM(D50:O50)</f>
        <v>2336395.4400000004</v>
      </c>
    </row>
    <row r="51" spans="1:21">
      <c r="A51" s="46">
        <v>37</v>
      </c>
      <c r="B51" s="20" t="s">
        <v>25</v>
      </c>
      <c r="C51" s="46" t="str">
        <f>"("&amp;A49&amp;") - ("&amp;A50&amp;")"</f>
        <v>(35) - (36)</v>
      </c>
      <c r="D51" s="49">
        <f t="shared" ref="D51:O51" si="27">D49-D50</f>
        <v>2979410.9314799998</v>
      </c>
      <c r="E51" s="49">
        <f t="shared" si="27"/>
        <v>2143718.8660800001</v>
      </c>
      <c r="F51" s="49">
        <f t="shared" si="27"/>
        <v>1907369.5550799996</v>
      </c>
      <c r="G51" s="49">
        <f t="shared" si="27"/>
        <v>1447515.8914400004</v>
      </c>
      <c r="H51" s="50">
        <f t="shared" si="27"/>
        <v>1060911.0546000001</v>
      </c>
      <c r="I51" s="49">
        <f t="shared" si="27"/>
        <v>633255.20756000001</v>
      </c>
      <c r="J51" s="49">
        <f t="shared" si="27"/>
        <v>0</v>
      </c>
      <c r="K51" s="49">
        <f t="shared" si="27"/>
        <v>0</v>
      </c>
      <c r="L51" s="49">
        <f t="shared" si="27"/>
        <v>0</v>
      </c>
      <c r="M51" s="49">
        <f t="shared" si="27"/>
        <v>0</v>
      </c>
      <c r="N51" s="49">
        <f t="shared" si="27"/>
        <v>0</v>
      </c>
      <c r="O51" s="49">
        <f t="shared" si="27"/>
        <v>0</v>
      </c>
      <c r="P51" s="49"/>
      <c r="Q51" s="49">
        <f>SUM(D51:F51)</f>
        <v>7030499.3526399992</v>
      </c>
      <c r="R51" s="49">
        <f>SUM(G51:I51)</f>
        <v>3141682.1536000008</v>
      </c>
      <c r="S51" s="49">
        <f>SUM(J51:L51)</f>
        <v>0</v>
      </c>
      <c r="T51" s="49">
        <f>SUM(M51:O51)</f>
        <v>0</v>
      </c>
      <c r="U51" s="49">
        <f>SUM(D51:O51)</f>
        <v>10172181.506239999</v>
      </c>
    </row>
    <row r="52" spans="1:21">
      <c r="A52" s="46">
        <v>38</v>
      </c>
      <c r="B52" s="2" t="s">
        <v>34</v>
      </c>
      <c r="C52" s="46" t="str">
        <f>"("&amp;A51&amp;") / ("&amp;A44&amp;")"</f>
        <v>(37) / (31)</v>
      </c>
      <c r="D52" s="52">
        <f>D51/D44</f>
        <v>828.76521042559102</v>
      </c>
      <c r="E52" s="52">
        <f t="shared" ref="E52:O52" si="28">E51/E44</f>
        <v>753.5039951072057</v>
      </c>
      <c r="F52" s="52">
        <f t="shared" si="28"/>
        <v>577.81567860648272</v>
      </c>
      <c r="G52" s="52">
        <f t="shared" si="28"/>
        <v>446.90209677060835</v>
      </c>
      <c r="H52" s="138">
        <f t="shared" si="28"/>
        <v>328.25218273514855</v>
      </c>
      <c r="I52" s="52">
        <f t="shared" si="28"/>
        <v>191.37358947113933</v>
      </c>
      <c r="J52" s="52" t="e">
        <f t="shared" si="28"/>
        <v>#DIV/0!</v>
      </c>
      <c r="K52" s="52" t="e">
        <f t="shared" si="28"/>
        <v>#DIV/0!</v>
      </c>
      <c r="L52" s="52" t="e">
        <f t="shared" si="28"/>
        <v>#DIV/0!</v>
      </c>
      <c r="M52" s="52" t="e">
        <f t="shared" si="28"/>
        <v>#DIV/0!</v>
      </c>
      <c r="N52" s="52" t="e">
        <f t="shared" si="28"/>
        <v>#DIV/0!</v>
      </c>
      <c r="O52" s="52" t="e">
        <f t="shared" si="28"/>
        <v>#DIV/0!</v>
      </c>
      <c r="P52" s="52"/>
      <c r="Q52" s="96">
        <f>Q51/Q44</f>
        <v>721.74308106354579</v>
      </c>
      <c r="R52" s="96">
        <f>R51/R44</f>
        <v>321.23539402862991</v>
      </c>
      <c r="S52" s="96" t="e">
        <f>S51/S44</f>
        <v>#DIV/0!</v>
      </c>
      <c r="T52" s="96" t="e">
        <f>T51/T44</f>
        <v>#DIV/0!</v>
      </c>
      <c r="U52" s="96">
        <f>U51/U44</f>
        <v>521.08916071102908</v>
      </c>
    </row>
    <row r="53" spans="1:21">
      <c r="A53" s="46">
        <v>39</v>
      </c>
      <c r="B53" s="20" t="s">
        <v>27</v>
      </c>
      <c r="C53" s="46" t="str">
        <f>"("&amp;A46&amp;") - ("&amp;A51&amp;")"</f>
        <v>(33) - (37)</v>
      </c>
      <c r="D53" s="49">
        <f>D46-D51</f>
        <v>-330491.57460752409</v>
      </c>
      <c r="E53" s="49">
        <f t="shared" ref="E53:O53" si="29">E46-E51</f>
        <v>-292747.14300333778</v>
      </c>
      <c r="F53" s="49">
        <f t="shared" si="29"/>
        <v>-168977.6247677498</v>
      </c>
      <c r="G53" s="49">
        <f t="shared" si="29"/>
        <v>-58130.857755339239</v>
      </c>
      <c r="H53" s="50">
        <f t="shared" si="29"/>
        <v>-165709.22812764533</v>
      </c>
      <c r="I53" s="49">
        <f t="shared" si="29"/>
        <v>105269.63766380807</v>
      </c>
      <c r="J53" s="49">
        <f t="shared" si="29"/>
        <v>0</v>
      </c>
      <c r="K53" s="49">
        <f t="shared" si="29"/>
        <v>0</v>
      </c>
      <c r="L53" s="49">
        <f t="shared" si="29"/>
        <v>0</v>
      </c>
      <c r="M53" s="49">
        <f t="shared" si="29"/>
        <v>0</v>
      </c>
      <c r="N53" s="49">
        <f t="shared" si="29"/>
        <v>0</v>
      </c>
      <c r="O53" s="49">
        <f t="shared" si="29"/>
        <v>0</v>
      </c>
      <c r="P53" s="49"/>
      <c r="Q53" s="49">
        <f>SUM(D53:F53)</f>
        <v>-792216.34237861168</v>
      </c>
      <c r="R53" s="49">
        <f>SUM(G53:I53)</f>
        <v>-118570.4482191765</v>
      </c>
      <c r="S53" s="49">
        <f>SUM(J53:L53)</f>
        <v>0</v>
      </c>
      <c r="T53" s="49">
        <f>SUM(M53:O53)</f>
        <v>0</v>
      </c>
      <c r="U53" s="49">
        <f>SUM(D53:O53)</f>
        <v>-910786.79059778817</v>
      </c>
    </row>
    <row r="54" spans="1:21">
      <c r="A54" s="46">
        <v>40</v>
      </c>
      <c r="B54" s="20" t="s">
        <v>28</v>
      </c>
      <c r="C54" s="46" t="s">
        <v>29</v>
      </c>
      <c r="D54" s="167">
        <v>14448.430658691737</v>
      </c>
      <c r="E54" s="167">
        <v>12798.319597819922</v>
      </c>
      <c r="F54" s="167">
        <v>7387.3637995964855</v>
      </c>
      <c r="G54" s="167">
        <v>2541.3648393479207</v>
      </c>
      <c r="H54" s="167">
        <v>7244.4760352843987</v>
      </c>
      <c r="I54" s="167">
        <v>-4602.1780193863615</v>
      </c>
      <c r="J54" s="49">
        <v>0</v>
      </c>
      <c r="K54" s="49">
        <v>0</v>
      </c>
      <c r="L54" s="49">
        <v>0</v>
      </c>
      <c r="M54" s="49">
        <v>0</v>
      </c>
      <c r="N54" s="49">
        <v>0</v>
      </c>
      <c r="O54" s="49">
        <v>0</v>
      </c>
      <c r="P54" s="49"/>
      <c r="Q54" s="49">
        <f>SUM(D54:F54)</f>
        <v>34634.114056108141</v>
      </c>
      <c r="R54" s="49">
        <f>SUM(G54:I54)</f>
        <v>5183.662855245957</v>
      </c>
      <c r="S54" s="49">
        <f>SUM(J54:L54)</f>
        <v>0</v>
      </c>
      <c r="T54" s="49">
        <f>SUM(M54:O54)</f>
        <v>0</v>
      </c>
      <c r="U54" s="49">
        <f>SUM(D54:O54)</f>
        <v>39817.776911354107</v>
      </c>
    </row>
    <row r="55" spans="1:21" ht="14.45" customHeight="1">
      <c r="A55" s="46">
        <v>41</v>
      </c>
      <c r="B55" s="20"/>
      <c r="C55" s="46" t="s">
        <v>30</v>
      </c>
      <c r="D55" s="54">
        <f t="shared" ref="D55:O55" si="30">D29</f>
        <v>3.2500000000000001E-2</v>
      </c>
      <c r="E55" s="54">
        <f t="shared" si="30"/>
        <v>3.2500000000000001E-2</v>
      </c>
      <c r="F55" s="54">
        <f t="shared" si="30"/>
        <v>3.2500000000000001E-2</v>
      </c>
      <c r="G55" s="54">
        <f t="shared" si="30"/>
        <v>3.2500000000000001E-2</v>
      </c>
      <c r="H55" s="211">
        <f t="shared" si="30"/>
        <v>3.2500000000000001E-2</v>
      </c>
      <c r="I55" s="54">
        <f t="shared" si="30"/>
        <v>3.2500000000000001E-2</v>
      </c>
      <c r="J55" s="54">
        <f t="shared" si="30"/>
        <v>0</v>
      </c>
      <c r="K55" s="54">
        <f t="shared" si="30"/>
        <v>0</v>
      </c>
      <c r="L55" s="54">
        <f t="shared" si="30"/>
        <v>0</v>
      </c>
      <c r="M55" s="54">
        <f t="shared" si="30"/>
        <v>0</v>
      </c>
      <c r="N55" s="54">
        <f t="shared" si="30"/>
        <v>0</v>
      </c>
      <c r="O55" s="54">
        <f t="shared" si="30"/>
        <v>0</v>
      </c>
      <c r="P55" s="54"/>
      <c r="Q55" s="54"/>
      <c r="R55" s="54"/>
      <c r="S55" s="54"/>
      <c r="T55" s="54"/>
      <c r="U55" s="54"/>
    </row>
    <row r="56" spans="1:21">
      <c r="A56" s="46">
        <v>42</v>
      </c>
      <c r="B56" s="20" t="s">
        <v>31</v>
      </c>
      <c r="C56" s="46" t="s">
        <v>35</v>
      </c>
      <c r="D56" s="3">
        <f>(D53+D54)/2*D55/12</f>
        <v>-427.97509076404384</v>
      </c>
      <c r="E56" s="3">
        <f>(D58+(E53+E54)/2)*E55/12</f>
        <v>-1236.2066457605458</v>
      </c>
      <c r="F56" s="3">
        <f t="shared" ref="F56:O56" si="31">(E58+(F53+F54)/2)*F55/12</f>
        <v>-1837.4722155154939</v>
      </c>
      <c r="G56" s="3">
        <f t="shared" si="31"/>
        <v>-2136.5462861506271</v>
      </c>
      <c r="H56" s="135">
        <f t="shared" si="31"/>
        <v>-2432.1978891244289</v>
      </c>
      <c r="I56" s="3">
        <f t="shared" si="31"/>
        <v>-2517.0522585973918</v>
      </c>
      <c r="J56" s="3">
        <f t="shared" si="31"/>
        <v>0</v>
      </c>
      <c r="K56" s="3">
        <f t="shared" si="31"/>
        <v>0</v>
      </c>
      <c r="L56" s="3">
        <f t="shared" si="31"/>
        <v>0</v>
      </c>
      <c r="M56" s="3">
        <f t="shared" si="31"/>
        <v>0</v>
      </c>
      <c r="N56" s="3">
        <f t="shared" si="31"/>
        <v>0</v>
      </c>
      <c r="O56" s="3">
        <f t="shared" si="31"/>
        <v>0</v>
      </c>
      <c r="P56" s="3"/>
      <c r="Q56" s="49">
        <f>SUM(D56:F56)</f>
        <v>-3501.6539520400838</v>
      </c>
      <c r="R56" s="49">
        <f>SUM(G56:I56)</f>
        <v>-7085.7964338724487</v>
      </c>
      <c r="S56" s="49">
        <f>SUM(J56:L56)</f>
        <v>0</v>
      </c>
      <c r="T56" s="49">
        <f>SUM(M56:O56)</f>
        <v>0</v>
      </c>
      <c r="U56" s="3">
        <f>SUM(D56:O56)</f>
        <v>-10587.450385912533</v>
      </c>
    </row>
    <row r="57" spans="1:21" ht="15.75" thickBot="1">
      <c r="A57" s="46">
        <v>43</v>
      </c>
      <c r="B57" s="4" t="s">
        <v>36</v>
      </c>
      <c r="C57" s="46"/>
      <c r="D57" s="6">
        <f>D53+D54+D56</f>
        <v>-316471.11903959641</v>
      </c>
      <c r="E57" s="6">
        <f t="shared" ref="E57:O57" si="32">E53+E54+E56</f>
        <v>-281185.03005127842</v>
      </c>
      <c r="F57" s="6">
        <f t="shared" si="32"/>
        <v>-163427.73318366881</v>
      </c>
      <c r="G57" s="6">
        <f t="shared" si="32"/>
        <v>-57726.039202141939</v>
      </c>
      <c r="H57" s="6">
        <f t="shared" si="32"/>
        <v>-160896.94998148535</v>
      </c>
      <c r="I57" s="6">
        <f t="shared" si="32"/>
        <v>98150.407385824306</v>
      </c>
      <c r="J57" s="6">
        <f t="shared" si="32"/>
        <v>0</v>
      </c>
      <c r="K57" s="6">
        <f t="shared" si="32"/>
        <v>0</v>
      </c>
      <c r="L57" s="6">
        <f t="shared" si="32"/>
        <v>0</v>
      </c>
      <c r="M57" s="6">
        <f t="shared" si="32"/>
        <v>0</v>
      </c>
      <c r="N57" s="6">
        <f t="shared" si="32"/>
        <v>0</v>
      </c>
      <c r="O57" s="6">
        <f t="shared" si="32"/>
        <v>0</v>
      </c>
      <c r="P57" s="6"/>
      <c r="Q57" s="51">
        <f>Q53+Q54+Q56</f>
        <v>-761083.88227454363</v>
      </c>
      <c r="R57" s="51">
        <f>R53+R54+R56</f>
        <v>-120472.581797803</v>
      </c>
      <c r="S57" s="51">
        <f>S53+S54+S56</f>
        <v>0</v>
      </c>
      <c r="T57" s="51">
        <f>T53+T54+T56</f>
        <v>0</v>
      </c>
      <c r="U57" s="51">
        <f>U53+U54+U56</f>
        <v>-881556.46407234657</v>
      </c>
    </row>
    <row r="58" spans="1:21" ht="15.75" thickBot="1">
      <c r="A58" s="46">
        <v>44</v>
      </c>
      <c r="B58" s="20" t="s">
        <v>170</v>
      </c>
      <c r="C58" s="46" t="str">
        <f>"Σ(("&amp;A53&amp;") ,("&amp;A54&amp;") , ("&amp;A56&amp;"))"</f>
        <v>Σ((39) ,(40) , (42))</v>
      </c>
      <c r="D58" s="49">
        <f>D53+D54+D56</f>
        <v>-316471.11903959641</v>
      </c>
      <c r="E58" s="49">
        <f>D58+E53+E54+E56</f>
        <v>-597656.14909087482</v>
      </c>
      <c r="F58" s="49">
        <f t="shared" ref="F58:O58" si="33">E58+F53+F54+F56</f>
        <v>-761083.88227454363</v>
      </c>
      <c r="G58" s="49">
        <f t="shared" si="33"/>
        <v>-818809.92147668556</v>
      </c>
      <c r="H58" s="50">
        <f t="shared" si="33"/>
        <v>-979706.87145817094</v>
      </c>
      <c r="I58" s="49">
        <f t="shared" si="33"/>
        <v>-881556.46407234657</v>
      </c>
      <c r="J58" s="49">
        <f t="shared" si="33"/>
        <v>-881556.46407234657</v>
      </c>
      <c r="K58" s="49">
        <f t="shared" si="33"/>
        <v>-881556.46407234657</v>
      </c>
      <c r="L58" s="49">
        <f t="shared" si="33"/>
        <v>-881556.46407234657</v>
      </c>
      <c r="M58" s="49">
        <f t="shared" si="33"/>
        <v>-881556.46407234657</v>
      </c>
      <c r="N58" s="49">
        <f t="shared" si="33"/>
        <v>-881556.46407234657</v>
      </c>
      <c r="O58" s="90">
        <f t="shared" si="33"/>
        <v>-881556.46407234657</v>
      </c>
      <c r="P58" s="16"/>
      <c r="Q58" s="50"/>
      <c r="R58" s="50"/>
      <c r="S58" s="50"/>
      <c r="T58" s="50"/>
    </row>
    <row r="59" spans="1:21" ht="15.75" thickBot="1">
      <c r="A59" s="46"/>
      <c r="B59" s="20"/>
      <c r="C59" s="20"/>
      <c r="D59" s="20"/>
      <c r="E59" s="20"/>
      <c r="F59" s="20"/>
      <c r="G59" s="20"/>
      <c r="H59" s="139"/>
      <c r="I59" s="20"/>
      <c r="J59" s="20"/>
      <c r="K59" s="20"/>
      <c r="L59" s="20"/>
      <c r="M59" s="20"/>
      <c r="N59" s="20"/>
      <c r="O59" s="20"/>
      <c r="P59" s="20"/>
      <c r="Q59" s="20"/>
      <c r="R59" s="20"/>
      <c r="S59" s="20"/>
      <c r="T59" s="20"/>
      <c r="U59" s="212"/>
    </row>
    <row r="60" spans="1:21" ht="15.75" thickBot="1">
      <c r="A60" s="1">
        <v>45</v>
      </c>
      <c r="B60" s="4" t="s">
        <v>172</v>
      </c>
      <c r="C60" s="1" t="str">
        <f>"("&amp;A31&amp;") + ("&amp;A58&amp;")"</f>
        <v>(21) + (44)</v>
      </c>
      <c r="D60" s="49">
        <f t="shared" ref="D60:O60" si="34">D32+D58</f>
        <v>-3087746.6162447194</v>
      </c>
      <c r="E60" s="49">
        <f t="shared" si="34"/>
        <v>-4306177.9384475742</v>
      </c>
      <c r="F60" s="49">
        <f t="shared" si="34"/>
        <v>-3677387.1482779225</v>
      </c>
      <c r="G60" s="49">
        <f t="shared" si="34"/>
        <v>-4651474.3618680052</v>
      </c>
      <c r="H60" s="50">
        <f t="shared" si="34"/>
        <v>-5068149.4090353446</v>
      </c>
      <c r="I60" s="49">
        <f t="shared" si="34"/>
        <v>-4676717.7326317253</v>
      </c>
      <c r="J60" s="49">
        <f t="shared" si="34"/>
        <v>-4676717.7326317253</v>
      </c>
      <c r="K60" s="49">
        <f t="shared" si="34"/>
        <v>-4676717.7326317253</v>
      </c>
      <c r="L60" s="49">
        <f t="shared" si="34"/>
        <v>-4676717.7326317253</v>
      </c>
      <c r="M60" s="49">
        <f t="shared" si="34"/>
        <v>-4676717.7326317253</v>
      </c>
      <c r="N60" s="49">
        <f t="shared" si="34"/>
        <v>-4676717.7326317253</v>
      </c>
      <c r="O60" s="90">
        <f t="shared" si="34"/>
        <v>-4676717.7326317253</v>
      </c>
      <c r="P60" s="16"/>
    </row>
    <row r="61" spans="1:21" ht="13.5" customHeight="1">
      <c r="A61" s="89"/>
      <c r="B61" s="89"/>
      <c r="C61" s="89"/>
      <c r="D61" s="89"/>
      <c r="E61" s="89"/>
      <c r="F61" s="89"/>
      <c r="G61" s="89"/>
      <c r="H61" s="89"/>
      <c r="I61" s="89"/>
      <c r="J61" s="89"/>
      <c r="K61" s="89"/>
      <c r="L61" s="89"/>
      <c r="M61" s="89"/>
      <c r="N61" s="89"/>
      <c r="O61" s="89"/>
      <c r="P61" s="89"/>
      <c r="Q61" s="89"/>
      <c r="R61" s="89"/>
      <c r="S61" s="89"/>
      <c r="T61" s="89"/>
      <c r="U61" s="89"/>
    </row>
    <row r="64" spans="1:21">
      <c r="D64" s="228"/>
      <c r="E64" s="228"/>
      <c r="F64" s="228"/>
      <c r="G64" s="228"/>
      <c r="H64" s="228"/>
      <c r="I64" s="228"/>
      <c r="J64" s="228"/>
      <c r="K64" s="228"/>
      <c r="L64" s="228"/>
      <c r="M64" s="228"/>
      <c r="N64" s="228"/>
      <c r="O64" s="228"/>
    </row>
    <row r="65" spans="4:15">
      <c r="D65" s="227"/>
      <c r="E65" s="227"/>
      <c r="F65" s="227"/>
      <c r="G65" s="227"/>
      <c r="H65" s="227"/>
      <c r="I65" s="227"/>
      <c r="J65" s="227"/>
      <c r="K65" s="227"/>
      <c r="L65" s="227"/>
      <c r="M65" s="227"/>
      <c r="N65" s="227"/>
      <c r="O65" s="227"/>
    </row>
    <row r="66" spans="4:15">
      <c r="D66" s="228"/>
      <c r="E66" s="228"/>
      <c r="F66" s="228"/>
      <c r="G66" s="228"/>
      <c r="H66" s="228"/>
      <c r="I66" s="228"/>
      <c r="J66" s="228"/>
      <c r="K66" s="228"/>
      <c r="L66" s="228"/>
      <c r="M66" s="228"/>
      <c r="N66" s="228"/>
      <c r="O66" s="228"/>
    </row>
    <row r="68" spans="4:15">
      <c r="D68" s="229"/>
      <c r="E68" s="229"/>
      <c r="F68" s="229"/>
      <c r="G68" s="229"/>
      <c r="H68" s="229"/>
      <c r="I68" s="229"/>
      <c r="J68" s="229"/>
      <c r="K68" s="229"/>
      <c r="L68" s="229"/>
      <c r="M68" s="229"/>
      <c r="N68" s="229"/>
      <c r="O68" s="229"/>
    </row>
    <row r="69" spans="4:15">
      <c r="D69" s="229"/>
      <c r="E69" s="229"/>
      <c r="F69" s="229"/>
      <c r="G69" s="229"/>
      <c r="H69" s="229"/>
      <c r="I69" s="229"/>
      <c r="J69" s="229"/>
      <c r="K69" s="229"/>
      <c r="L69" s="229"/>
      <c r="M69" s="229"/>
      <c r="N69" s="229"/>
      <c r="O69" s="229"/>
    </row>
    <row r="70" spans="4:15">
      <c r="D70" s="230"/>
      <c r="E70" s="230"/>
      <c r="F70" s="230"/>
      <c r="G70" s="230"/>
      <c r="H70" s="230"/>
      <c r="I70" s="230"/>
      <c r="J70" s="230"/>
      <c r="K70" s="230"/>
      <c r="L70" s="230"/>
      <c r="M70" s="230"/>
      <c r="N70" s="230"/>
      <c r="O70" s="230"/>
    </row>
    <row r="72" spans="4:15">
      <c r="D72" s="228"/>
      <c r="E72" s="228"/>
      <c r="F72" s="228"/>
      <c r="G72" s="228"/>
      <c r="H72" s="228"/>
      <c r="I72" s="228"/>
      <c r="J72" s="228"/>
      <c r="K72" s="228"/>
      <c r="L72" s="228"/>
      <c r="M72" s="228"/>
      <c r="N72" s="228"/>
      <c r="O72" s="228"/>
    </row>
    <row r="75" spans="4:15">
      <c r="N75" s="229"/>
    </row>
    <row r="77" spans="4:15">
      <c r="E77" s="231"/>
      <c r="F77" s="231"/>
      <c r="G77" s="231"/>
      <c r="H77" s="231"/>
      <c r="I77" s="231"/>
      <c r="J77" s="231"/>
      <c r="K77" s="231"/>
      <c r="L77" s="231"/>
      <c r="M77" s="231"/>
      <c r="N77" s="231"/>
      <c r="O77" s="231"/>
    </row>
    <row r="78" spans="4:15">
      <c r="E78" s="231"/>
      <c r="F78" s="231"/>
      <c r="G78" s="231"/>
      <c r="H78" s="231"/>
      <c r="I78" s="231"/>
      <c r="J78" s="231"/>
      <c r="K78" s="231"/>
      <c r="L78" s="231"/>
      <c r="M78" s="231"/>
      <c r="N78" s="231"/>
      <c r="O78" s="231"/>
    </row>
  </sheetData>
  <printOptions horizontalCentered="1"/>
  <pageMargins left="0.25" right="0.25" top="0.9375" bottom="0.75" header="0.3" footer="0.3"/>
  <pageSetup scale="91" fitToHeight="2" orientation="landscape" useFirstPageNumber="1" r:id="rId1"/>
  <headerFooter scaleWithDoc="0">
    <oddHeader>&amp;CAvista Corporation Decoupling Mechanism
Washington Jurisdiction
Quarterly Report for 2nd Quarter 2022</oddHeader>
    <oddFooter>&amp;Cfile: &amp;F / &amp;A</oddFooter>
  </headerFooter>
  <rowBreaks count="1" manualBreakCount="1">
    <brk id="33"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M357"/>
  <sheetViews>
    <sheetView view="pageBreakPreview" zoomScaleNormal="85" zoomScaleSheetLayoutView="100" workbookViewId="0">
      <selection sqref="A1:H1"/>
    </sheetView>
  </sheetViews>
  <sheetFormatPr defaultRowHeight="15"/>
  <cols>
    <col min="1" max="1" width="7.28515625" customWidth="1"/>
    <col min="2" max="2" width="36.28515625" customWidth="1"/>
    <col min="3" max="3" width="6.28515625" customWidth="1"/>
    <col min="4" max="4" width="9.85546875" customWidth="1"/>
    <col min="5" max="5" width="14.42578125" bestFit="1" customWidth="1"/>
    <col min="6" max="6" width="18" bestFit="1" customWidth="1"/>
    <col min="7" max="7" width="14.42578125" bestFit="1" customWidth="1"/>
    <col min="8" max="8" width="3" customWidth="1"/>
    <col min="9" max="9" width="17.42578125" bestFit="1" customWidth="1"/>
    <col min="10" max="10" width="15" bestFit="1" customWidth="1"/>
    <col min="11" max="11" width="14" customWidth="1"/>
    <col min="12" max="12" width="14" bestFit="1" customWidth="1"/>
    <col min="13" max="14" width="11.42578125" customWidth="1"/>
    <col min="15" max="15" width="13.28515625" bestFit="1" customWidth="1"/>
  </cols>
  <sheetData>
    <row r="1" spans="1:12" ht="31.15" customHeight="1">
      <c r="A1" s="269" t="s">
        <v>41</v>
      </c>
      <c r="B1" s="269"/>
      <c r="C1" s="269"/>
      <c r="D1" s="269"/>
      <c r="E1" s="269"/>
      <c r="F1" s="269"/>
      <c r="G1" s="269"/>
      <c r="H1" s="269"/>
      <c r="I1" s="53"/>
      <c r="J1" s="53"/>
      <c r="K1" s="53"/>
    </row>
    <row r="2" spans="1:12" ht="19.149999999999999" customHeight="1">
      <c r="A2" s="53"/>
      <c r="B2" s="53"/>
      <c r="C2" s="53"/>
      <c r="D2" s="53"/>
      <c r="E2" s="53"/>
      <c r="F2" s="53"/>
      <c r="G2" s="53"/>
      <c r="H2" s="53"/>
      <c r="I2" s="53"/>
      <c r="J2" s="53"/>
      <c r="K2" s="53"/>
    </row>
    <row r="3" spans="1:12">
      <c r="A3" s="23" t="s">
        <v>42</v>
      </c>
      <c r="B3" s="53"/>
      <c r="C3" s="9" t="s">
        <v>111</v>
      </c>
      <c r="D3" s="53"/>
      <c r="E3" s="53"/>
      <c r="F3" s="53"/>
      <c r="G3" s="53"/>
      <c r="H3" s="53"/>
      <c r="I3" s="53"/>
      <c r="J3" s="53"/>
      <c r="K3" s="53"/>
    </row>
    <row r="4" spans="1:12">
      <c r="A4" s="272"/>
      <c r="B4" s="272"/>
      <c r="C4" s="272"/>
      <c r="D4" s="272"/>
      <c r="E4" s="272"/>
      <c r="F4" s="272"/>
      <c r="G4" s="272"/>
      <c r="H4" s="53"/>
      <c r="I4" s="53"/>
      <c r="J4" s="53"/>
      <c r="K4" s="53"/>
    </row>
    <row r="5" spans="1:12" ht="26.25">
      <c r="A5" s="69" t="s">
        <v>43</v>
      </c>
      <c r="B5" s="70" t="s">
        <v>44</v>
      </c>
      <c r="C5" s="71" t="s">
        <v>45</v>
      </c>
      <c r="D5" s="69" t="s">
        <v>46</v>
      </c>
      <c r="E5" s="69" t="s">
        <v>47</v>
      </c>
      <c r="F5" s="69" t="s">
        <v>48</v>
      </c>
      <c r="G5" s="69" t="s">
        <v>49</v>
      </c>
      <c r="H5" s="53"/>
      <c r="I5" s="271" t="s">
        <v>174</v>
      </c>
      <c r="J5" s="271"/>
      <c r="K5" s="22"/>
      <c r="L5" s="141"/>
    </row>
    <row r="6" spans="1:12" s="53" customFormat="1" hidden="1">
      <c r="A6" s="25" t="s">
        <v>50</v>
      </c>
      <c r="B6" s="24" t="s">
        <v>51</v>
      </c>
      <c r="C6" s="26" t="s">
        <v>52</v>
      </c>
      <c r="D6" s="27" t="s">
        <v>192</v>
      </c>
      <c r="E6" s="28">
        <v>-5123504.67</v>
      </c>
      <c r="F6" s="29">
        <v>2280970.81</v>
      </c>
      <c r="G6" s="28">
        <v>-2842533.86</v>
      </c>
      <c r="I6" s="182"/>
      <c r="J6" s="182">
        <f>'Interest Reconciliation'!F26-'Accounting Balances'!G6</f>
        <v>0</v>
      </c>
    </row>
    <row r="7" spans="1:12" s="53" customFormat="1" hidden="1">
      <c r="A7" s="30"/>
      <c r="B7" s="24" t="s">
        <v>51</v>
      </c>
      <c r="C7" s="31"/>
      <c r="D7" s="27" t="s">
        <v>193</v>
      </c>
      <c r="E7" s="28">
        <v>-2842533.86</v>
      </c>
      <c r="F7" s="29">
        <v>-2637257.5499999998</v>
      </c>
      <c r="G7" s="28">
        <v>-5479791.4100000001</v>
      </c>
      <c r="I7" s="182">
        <f>'Interest Reconciliation'!C27+'Interest Reconciliation'!D27-'Accounting Balances'!F7</f>
        <v>0</v>
      </c>
      <c r="J7" s="182">
        <f>'Interest Reconciliation'!F27-'Accounting Balances'!G7</f>
        <v>0</v>
      </c>
    </row>
    <row r="8" spans="1:12" s="53" customFormat="1" hidden="1">
      <c r="A8" s="30"/>
      <c r="B8" s="24" t="s">
        <v>51</v>
      </c>
      <c r="C8" s="32"/>
      <c r="D8" s="27" t="s">
        <v>194</v>
      </c>
      <c r="E8" s="28">
        <v>-5479791.4100000001</v>
      </c>
      <c r="F8" s="29">
        <v>73321.34</v>
      </c>
      <c r="G8" s="28">
        <v>-5406470.0700000003</v>
      </c>
      <c r="I8" s="182">
        <f>'Interest Reconciliation'!C28+'Interest Reconciliation'!D28-'Accounting Balances'!F8</f>
        <v>0</v>
      </c>
      <c r="J8" s="182">
        <f>'Interest Reconciliation'!F28-'Accounting Balances'!G8</f>
        <v>0</v>
      </c>
    </row>
    <row r="9" spans="1:12" s="53" customFormat="1">
      <c r="A9" s="25" t="s">
        <v>50</v>
      </c>
      <c r="B9" s="24" t="s">
        <v>51</v>
      </c>
      <c r="C9" s="26" t="s">
        <v>52</v>
      </c>
      <c r="D9" s="27" t="s">
        <v>196</v>
      </c>
      <c r="E9" s="28">
        <v>-5406470.0700000003</v>
      </c>
      <c r="F9" s="29">
        <v>-1937188.93</v>
      </c>
      <c r="G9" s="28">
        <v>-7343659</v>
      </c>
      <c r="I9" s="182">
        <f>'Interest Reconciliation'!C29+'Interest Reconciliation'!D29-'Accounting Balances'!F9</f>
        <v>0</v>
      </c>
      <c r="J9" s="182">
        <f>'Interest Reconciliation'!F29-'Accounting Balances'!G9</f>
        <v>0</v>
      </c>
    </row>
    <row r="10" spans="1:12" s="53" customFormat="1">
      <c r="A10" s="30"/>
      <c r="B10" s="24" t="s">
        <v>51</v>
      </c>
      <c r="C10" s="31"/>
      <c r="D10" s="27" t="s">
        <v>197</v>
      </c>
      <c r="E10" s="28">
        <v>-7343659</v>
      </c>
      <c r="F10" s="29">
        <v>719216.1</v>
      </c>
      <c r="G10" s="28">
        <v>-6624442.9000000004</v>
      </c>
      <c r="I10" s="182">
        <f>'Interest Reconciliation'!C30+'Interest Reconciliation'!D30-'Accounting Balances'!F10</f>
        <v>0</v>
      </c>
      <c r="J10" s="182">
        <f>'Interest Reconciliation'!F30-'Accounting Balances'!G10</f>
        <v>0</v>
      </c>
    </row>
    <row r="11" spans="1:12" s="53" customFormat="1">
      <c r="A11" s="30"/>
      <c r="B11" s="24" t="s">
        <v>51</v>
      </c>
      <c r="C11" s="32"/>
      <c r="D11" s="27" t="s">
        <v>198</v>
      </c>
      <c r="E11" s="28">
        <v>-6624442.9000000004</v>
      </c>
      <c r="F11" s="29">
        <v>406014.57</v>
      </c>
      <c r="G11" s="28">
        <v>-6218428.3300000001</v>
      </c>
      <c r="I11" s="182">
        <f>'Interest Reconciliation'!C31+'Interest Reconciliation'!D31-'Accounting Balances'!F11</f>
        <v>0</v>
      </c>
      <c r="J11" s="182">
        <f>'Interest Reconciliation'!F31-'Accounting Balances'!G11</f>
        <v>0</v>
      </c>
    </row>
    <row r="12" spans="1:12" hidden="1">
      <c r="A12" s="30"/>
      <c r="B12" s="61"/>
      <c r="C12" s="62"/>
      <c r="D12" s="61"/>
      <c r="E12" s="63" t="s">
        <v>70</v>
      </c>
      <c r="F12" s="64">
        <f>SUM(F6:F8)</f>
        <v>-282965.39999999979</v>
      </c>
      <c r="G12" s="63"/>
      <c r="H12" s="53"/>
      <c r="I12" s="17"/>
      <c r="J12" s="17"/>
      <c r="K12" s="53"/>
    </row>
    <row r="13" spans="1:12" s="53" customFormat="1">
      <c r="A13" s="30"/>
      <c r="B13" s="61"/>
      <c r="C13" s="260"/>
      <c r="D13" s="61"/>
      <c r="E13" s="63" t="s">
        <v>71</v>
      </c>
      <c r="F13" s="64">
        <f>SUM(F9:F11)</f>
        <v>-811958.26</v>
      </c>
      <c r="G13" s="63"/>
      <c r="I13" s="17"/>
      <c r="J13" s="17"/>
    </row>
    <row r="14" spans="1:12" s="53" customFormat="1" hidden="1">
      <c r="A14" s="25" t="s">
        <v>50</v>
      </c>
      <c r="B14" s="24" t="s">
        <v>51</v>
      </c>
      <c r="C14" s="26" t="s">
        <v>53</v>
      </c>
      <c r="D14" s="27" t="s">
        <v>192</v>
      </c>
      <c r="E14" s="28">
        <v>6559457.8300000001</v>
      </c>
      <c r="F14" s="29">
        <v>-9330733.3200000003</v>
      </c>
      <c r="G14" s="28">
        <v>-2771275.49</v>
      </c>
      <c r="I14" s="17"/>
      <c r="J14" s="182">
        <f>'Interest Reconciliation'!O26-'Accounting Balances'!G14</f>
        <v>0</v>
      </c>
      <c r="L14" s="17"/>
    </row>
    <row r="15" spans="1:12" s="53" customFormat="1" hidden="1">
      <c r="A15" s="30"/>
      <c r="B15" s="24" t="s">
        <v>51</v>
      </c>
      <c r="C15" s="31"/>
      <c r="D15" s="27" t="s">
        <v>193</v>
      </c>
      <c r="E15" s="28">
        <v>-2771275.49</v>
      </c>
      <c r="F15" s="29">
        <v>-937246.29</v>
      </c>
      <c r="G15" s="28">
        <v>-3708521.78</v>
      </c>
      <c r="I15" s="182">
        <f>'Interest Reconciliation'!L27+'Interest Reconciliation'!M27-'Accounting Balances'!F15</f>
        <v>0</v>
      </c>
      <c r="J15" s="182">
        <f>'Interest Reconciliation'!O27-'Accounting Balances'!G15</f>
        <v>0</v>
      </c>
      <c r="L15" s="17"/>
    </row>
    <row r="16" spans="1:12" s="53" customFormat="1" hidden="1">
      <c r="A16" s="30"/>
      <c r="B16" s="24" t="s">
        <v>51</v>
      </c>
      <c r="C16" s="32"/>
      <c r="D16" s="27" t="s">
        <v>194</v>
      </c>
      <c r="E16" s="28">
        <v>-3708521.78</v>
      </c>
      <c r="F16" s="29">
        <v>792218.52</v>
      </c>
      <c r="G16" s="28">
        <v>-2916303.26</v>
      </c>
      <c r="I16" s="182">
        <f>'Interest Reconciliation'!L28+'Interest Reconciliation'!M28-'Accounting Balances'!F16</f>
        <v>0</v>
      </c>
      <c r="J16" s="182">
        <f>'Interest Reconciliation'!O28-'Accounting Balances'!G16</f>
        <v>0</v>
      </c>
      <c r="L16" s="17"/>
    </row>
    <row r="17" spans="1:12" s="53" customFormat="1">
      <c r="A17" s="25" t="s">
        <v>50</v>
      </c>
      <c r="B17" s="24" t="s">
        <v>51</v>
      </c>
      <c r="C17" s="26" t="s">
        <v>53</v>
      </c>
      <c r="D17" s="27" t="s">
        <v>196</v>
      </c>
      <c r="E17" s="28">
        <v>-2916303.26</v>
      </c>
      <c r="F17" s="29">
        <v>-916361.18</v>
      </c>
      <c r="G17" s="28">
        <v>-3832664.44</v>
      </c>
      <c r="I17" s="182">
        <f>'Interest Reconciliation'!L29+'Interest Reconciliation'!M29-'Accounting Balances'!F17</f>
        <v>0</v>
      </c>
      <c r="J17" s="182">
        <f>'Interest Reconciliation'!O29-'Accounting Balances'!G17</f>
        <v>0</v>
      </c>
      <c r="L17" s="17"/>
    </row>
    <row r="18" spans="1:12" s="53" customFormat="1">
      <c r="A18" s="30"/>
      <c r="B18" s="24" t="s">
        <v>51</v>
      </c>
      <c r="C18" s="31"/>
      <c r="D18" s="27" t="s">
        <v>197</v>
      </c>
      <c r="E18" s="28">
        <v>-3832664.44</v>
      </c>
      <c r="F18" s="29">
        <v>-255778.09</v>
      </c>
      <c r="G18" s="28">
        <v>-4088442.53</v>
      </c>
      <c r="I18" s="182">
        <f>'Interest Reconciliation'!L30+'Interest Reconciliation'!M30-'Accounting Balances'!F18</f>
        <v>0</v>
      </c>
      <c r="J18" s="182">
        <f>'Interest Reconciliation'!O30-'Accounting Balances'!G18</f>
        <v>0</v>
      </c>
      <c r="L18" s="17"/>
    </row>
    <row r="19" spans="1:12" s="53" customFormat="1">
      <c r="A19" s="30"/>
      <c r="B19" s="24" t="s">
        <v>51</v>
      </c>
      <c r="C19" s="32"/>
      <c r="D19" s="27" t="s">
        <v>198</v>
      </c>
      <c r="E19" s="28">
        <v>-4088442.53</v>
      </c>
      <c r="F19" s="29">
        <v>293281.27</v>
      </c>
      <c r="G19" s="28">
        <v>-3795161.26</v>
      </c>
      <c r="I19" s="182">
        <f>'Interest Reconciliation'!L31+'Interest Reconciliation'!M31-'Accounting Balances'!F19</f>
        <v>0</v>
      </c>
      <c r="J19" s="182">
        <f>'Interest Reconciliation'!O31-'Accounting Balances'!G19</f>
        <v>0</v>
      </c>
      <c r="L19" s="17"/>
    </row>
    <row r="20" spans="1:12" hidden="1">
      <c r="A20" s="33"/>
      <c r="B20" s="61"/>
      <c r="C20" s="62"/>
      <c r="D20" s="61"/>
      <c r="E20" s="63" t="s">
        <v>70</v>
      </c>
      <c r="F20" s="64">
        <f>SUM(F14:F16)</f>
        <v>-9475761.0899999999</v>
      </c>
      <c r="G20" s="63"/>
      <c r="H20" s="53"/>
      <c r="I20" s="17"/>
      <c r="J20" s="17"/>
      <c r="K20" s="17"/>
      <c r="L20" s="13"/>
    </row>
    <row r="21" spans="1:12" s="53" customFormat="1">
      <c r="A21" s="263"/>
      <c r="B21" s="61"/>
      <c r="C21" s="62"/>
      <c r="D21" s="61"/>
      <c r="E21" s="63" t="s">
        <v>71</v>
      </c>
      <c r="F21" s="64">
        <f>SUM(F17:F19)</f>
        <v>-878858</v>
      </c>
      <c r="G21" s="63"/>
      <c r="I21" s="17"/>
      <c r="J21" s="17"/>
      <c r="K21" s="17"/>
      <c r="L21" s="13"/>
    </row>
    <row r="22" spans="1:12" ht="14.45" hidden="1" customHeight="1">
      <c r="A22" s="65"/>
      <c r="B22" s="66"/>
      <c r="C22" s="65"/>
      <c r="D22" s="65"/>
      <c r="E22" s="67" t="s">
        <v>199</v>
      </c>
      <c r="F22" s="68">
        <f>F12+F20</f>
        <v>-9758726.4900000002</v>
      </c>
      <c r="G22" s="67"/>
      <c r="H22" s="53"/>
      <c r="I22" s="17"/>
      <c r="J22" s="17"/>
      <c r="K22" s="17"/>
      <c r="L22" s="13"/>
    </row>
    <row r="23" spans="1:12" s="53" customFormat="1" ht="14.45" customHeight="1">
      <c r="A23" s="119"/>
      <c r="B23" s="66"/>
      <c r="C23" s="119"/>
      <c r="D23" s="65"/>
      <c r="E23" s="67" t="s">
        <v>200</v>
      </c>
      <c r="F23" s="68">
        <f>F13+F21</f>
        <v>-1690816.26</v>
      </c>
      <c r="G23" s="67"/>
      <c r="I23" s="17"/>
      <c r="J23" s="17"/>
      <c r="K23" s="17"/>
      <c r="L23" s="13"/>
    </row>
    <row r="24" spans="1:12" s="53" customFormat="1" hidden="1">
      <c r="A24" s="25" t="s">
        <v>54</v>
      </c>
      <c r="B24" s="24" t="s">
        <v>55</v>
      </c>
      <c r="C24" s="26" t="s">
        <v>52</v>
      </c>
      <c r="D24" s="27" t="s">
        <v>192</v>
      </c>
      <c r="E24" s="28">
        <v>2389111.4900000002</v>
      </c>
      <c r="F24" s="29">
        <v>-2607406.29</v>
      </c>
      <c r="G24" s="28">
        <v>-218294.8</v>
      </c>
      <c r="H24" s="196"/>
      <c r="I24" s="17"/>
      <c r="J24" s="182">
        <f>'Interest Reconciliation'!F42-'Accounting Balances'!G24</f>
        <v>0</v>
      </c>
      <c r="K24" s="17"/>
      <c r="L24" s="13"/>
    </row>
    <row r="25" spans="1:12" s="53" customFormat="1" hidden="1">
      <c r="A25" s="30"/>
      <c r="B25" s="24" t="s">
        <v>55</v>
      </c>
      <c r="C25" s="31"/>
      <c r="D25" s="27" t="s">
        <v>193</v>
      </c>
      <c r="E25" s="28">
        <v>-218294.8</v>
      </c>
      <c r="F25" s="29">
        <v>488190.52</v>
      </c>
      <c r="G25" s="28">
        <v>269895.71999999997</v>
      </c>
      <c r="H25" s="120"/>
      <c r="I25" s="182">
        <f>'Interest Reconciliation'!C43+'Interest Reconciliation'!D43-'Accounting Balances'!F25</f>
        <v>0</v>
      </c>
      <c r="J25" s="182">
        <f>'Interest Reconciliation'!F43-'Accounting Balances'!G25</f>
        <v>0</v>
      </c>
      <c r="K25" s="17"/>
      <c r="L25" s="13"/>
    </row>
    <row r="26" spans="1:12" s="53" customFormat="1" hidden="1">
      <c r="A26" s="30"/>
      <c r="B26" s="24" t="s">
        <v>55</v>
      </c>
      <c r="C26" s="32"/>
      <c r="D26" s="27" t="s">
        <v>194</v>
      </c>
      <c r="E26" s="28">
        <v>269895.71999999997</v>
      </c>
      <c r="F26" s="29">
        <v>-486497.16</v>
      </c>
      <c r="G26" s="28">
        <v>-216601.44</v>
      </c>
      <c r="H26" s="120"/>
      <c r="I26" s="182">
        <f>'Interest Reconciliation'!C44+'Interest Reconciliation'!D44-'Accounting Balances'!F26</f>
        <v>0</v>
      </c>
      <c r="J26" s="182">
        <f>'Interest Reconciliation'!F44-'Accounting Balances'!G26</f>
        <v>0</v>
      </c>
      <c r="K26" s="17"/>
      <c r="L26" s="13"/>
    </row>
    <row r="27" spans="1:12" s="53" customFormat="1">
      <c r="A27" s="25" t="s">
        <v>54</v>
      </c>
      <c r="B27" s="24" t="s">
        <v>55</v>
      </c>
      <c r="C27" s="26" t="s">
        <v>52</v>
      </c>
      <c r="D27" s="27" t="s">
        <v>196</v>
      </c>
      <c r="E27" s="28">
        <v>-216601.44</v>
      </c>
      <c r="F27" s="29">
        <v>-931169.42</v>
      </c>
      <c r="G27" s="28">
        <v>-1147770.8600000001</v>
      </c>
      <c r="H27" s="120"/>
      <c r="I27" s="182">
        <f>'Interest Reconciliation'!C45+'Interest Reconciliation'!D45-'Accounting Balances'!F27</f>
        <v>0</v>
      </c>
      <c r="J27" s="182">
        <f>'Interest Reconciliation'!F45-'Accounting Balances'!G27</f>
        <v>0</v>
      </c>
      <c r="K27" s="17"/>
      <c r="L27" s="13"/>
    </row>
    <row r="28" spans="1:12" s="53" customFormat="1">
      <c r="A28" s="30"/>
      <c r="B28" s="24" t="s">
        <v>55</v>
      </c>
      <c r="C28" s="31"/>
      <c r="D28" s="27" t="s">
        <v>197</v>
      </c>
      <c r="E28" s="28">
        <v>-1147770.8600000001</v>
      </c>
      <c r="F28" s="29">
        <v>1589392.4</v>
      </c>
      <c r="G28" s="28">
        <v>441621.54</v>
      </c>
      <c r="H28" s="120"/>
      <c r="I28" s="182">
        <f>'Interest Reconciliation'!C46+'Interest Reconciliation'!D46-'Accounting Balances'!F28</f>
        <v>0</v>
      </c>
      <c r="J28" s="182">
        <f>'Interest Reconciliation'!F46-'Accounting Balances'!G28</f>
        <v>0</v>
      </c>
      <c r="K28" s="17"/>
      <c r="L28" s="13"/>
    </row>
    <row r="29" spans="1:12" s="53" customFormat="1">
      <c r="A29" s="30"/>
      <c r="B29" s="24" t="s">
        <v>55</v>
      </c>
      <c r="C29" s="32"/>
      <c r="D29" s="27" t="s">
        <v>198</v>
      </c>
      <c r="E29" s="28">
        <v>441621.54</v>
      </c>
      <c r="F29" s="29">
        <v>1068240.8700000001</v>
      </c>
      <c r="G29" s="28">
        <v>1509862.41</v>
      </c>
      <c r="H29" s="120"/>
      <c r="I29" s="182">
        <f>'Interest Reconciliation'!C47+'Interest Reconciliation'!D47-'Accounting Balances'!F29</f>
        <v>0</v>
      </c>
      <c r="J29" s="182">
        <f>'Interest Reconciliation'!F47-'Accounting Balances'!G29</f>
        <v>0</v>
      </c>
      <c r="K29" s="17"/>
      <c r="L29" s="13"/>
    </row>
    <row r="30" spans="1:12" hidden="1">
      <c r="A30" s="30"/>
      <c r="B30" s="61"/>
      <c r="C30" s="62"/>
      <c r="D30" s="61"/>
      <c r="E30" s="63" t="s">
        <v>70</v>
      </c>
      <c r="F30" s="64">
        <f>SUM(F24:F26)</f>
        <v>-2605712.9300000002</v>
      </c>
      <c r="G30" s="63"/>
      <c r="H30" s="53"/>
      <c r="I30" s="17"/>
      <c r="J30" s="17"/>
      <c r="K30" s="53"/>
    </row>
    <row r="31" spans="1:12" s="53" customFormat="1">
      <c r="A31" s="30"/>
      <c r="B31" s="61"/>
      <c r="C31" s="260"/>
      <c r="D31" s="61"/>
      <c r="E31" s="63" t="s">
        <v>71</v>
      </c>
      <c r="F31" s="64">
        <f>SUM(F27:F29)</f>
        <v>1726463.85</v>
      </c>
      <c r="G31" s="63"/>
      <c r="I31" s="17"/>
      <c r="J31" s="17"/>
    </row>
    <row r="32" spans="1:12" s="53" customFormat="1" hidden="1">
      <c r="A32" s="25" t="s">
        <v>54</v>
      </c>
      <c r="B32" s="24" t="s">
        <v>55</v>
      </c>
      <c r="C32" s="26" t="s">
        <v>53</v>
      </c>
      <c r="D32" s="27" t="s">
        <v>192</v>
      </c>
      <c r="E32" s="28">
        <v>2400733.66</v>
      </c>
      <c r="F32" s="29">
        <v>-2717204.78</v>
      </c>
      <c r="G32" s="28">
        <v>-316471.12</v>
      </c>
      <c r="I32" s="17"/>
      <c r="J32" s="182">
        <f>'Interest Reconciliation'!O42-'Accounting Balances'!G32</f>
        <v>0</v>
      </c>
      <c r="L32" s="17"/>
    </row>
    <row r="33" spans="1:12" s="53" customFormat="1" hidden="1">
      <c r="A33" s="30"/>
      <c r="B33" s="24" t="s">
        <v>55</v>
      </c>
      <c r="C33" s="31"/>
      <c r="D33" s="27" t="s">
        <v>193</v>
      </c>
      <c r="E33" s="28">
        <v>-316471.12</v>
      </c>
      <c r="F33" s="29">
        <v>-281185.03000000003</v>
      </c>
      <c r="G33" s="28">
        <v>-597656.15</v>
      </c>
      <c r="I33" s="182">
        <f>'Interest Reconciliation'!L43+'Interest Reconciliation'!M43-F33</f>
        <v>0</v>
      </c>
      <c r="J33" s="182">
        <f>'Interest Reconciliation'!O43-'Accounting Balances'!G33</f>
        <v>0</v>
      </c>
      <c r="L33" s="17"/>
    </row>
    <row r="34" spans="1:12" s="53" customFormat="1" hidden="1">
      <c r="A34" s="30"/>
      <c r="B34" s="24" t="s">
        <v>55</v>
      </c>
      <c r="C34" s="32"/>
      <c r="D34" s="27" t="s">
        <v>194</v>
      </c>
      <c r="E34" s="28">
        <v>-597656.15</v>
      </c>
      <c r="F34" s="29">
        <v>-163427.73000000001</v>
      </c>
      <c r="G34" s="28">
        <v>-761083.88</v>
      </c>
      <c r="I34" s="182">
        <f>'Interest Reconciliation'!L44+'Interest Reconciliation'!M44-F34</f>
        <v>0</v>
      </c>
      <c r="J34" s="182">
        <f>'Interest Reconciliation'!O44-'Accounting Balances'!G34</f>
        <v>0</v>
      </c>
      <c r="L34" s="17"/>
    </row>
    <row r="35" spans="1:12" s="53" customFormat="1">
      <c r="A35" s="25" t="s">
        <v>54</v>
      </c>
      <c r="B35" s="24" t="s">
        <v>55</v>
      </c>
      <c r="C35" s="26" t="s">
        <v>53</v>
      </c>
      <c r="D35" s="27" t="s">
        <v>196</v>
      </c>
      <c r="E35" s="28">
        <v>-761083.88</v>
      </c>
      <c r="F35" s="29">
        <v>-57726.04</v>
      </c>
      <c r="G35" s="28">
        <v>-818809.92</v>
      </c>
      <c r="I35" s="182">
        <f>'Interest Reconciliation'!L45+'Interest Reconciliation'!M45-F35</f>
        <v>0</v>
      </c>
      <c r="J35" s="182">
        <f>'Interest Reconciliation'!O45-'Accounting Balances'!G35</f>
        <v>0</v>
      </c>
      <c r="L35" s="17"/>
    </row>
    <row r="36" spans="1:12" s="53" customFormat="1">
      <c r="A36" s="30"/>
      <c r="B36" s="24" t="s">
        <v>55</v>
      </c>
      <c r="C36" s="31"/>
      <c r="D36" s="27" t="s">
        <v>197</v>
      </c>
      <c r="E36" s="28">
        <v>-818809.92</v>
      </c>
      <c r="F36" s="29">
        <v>-160896.95000000001</v>
      </c>
      <c r="G36" s="28">
        <v>-979706.87</v>
      </c>
      <c r="I36" s="182">
        <f>'Interest Reconciliation'!L46+'Interest Reconciliation'!M46-F36</f>
        <v>0</v>
      </c>
      <c r="J36" s="182">
        <f>'Interest Reconciliation'!O46-'Accounting Balances'!G36</f>
        <v>0</v>
      </c>
      <c r="L36" s="17"/>
    </row>
    <row r="37" spans="1:12" s="53" customFormat="1">
      <c r="A37" s="30"/>
      <c r="B37" s="24" t="s">
        <v>55</v>
      </c>
      <c r="C37" s="32"/>
      <c r="D37" s="27" t="s">
        <v>198</v>
      </c>
      <c r="E37" s="28">
        <v>-979706.87</v>
      </c>
      <c r="F37" s="29">
        <v>98150.41</v>
      </c>
      <c r="G37" s="28">
        <v>-881556.46</v>
      </c>
      <c r="I37" s="182">
        <f>'Interest Reconciliation'!L47+'Interest Reconciliation'!M47-F37</f>
        <v>0</v>
      </c>
      <c r="J37" s="182">
        <f>'Interest Reconciliation'!O47-'Accounting Balances'!G37</f>
        <v>0</v>
      </c>
      <c r="L37" s="17"/>
    </row>
    <row r="38" spans="1:12" hidden="1">
      <c r="A38" s="33"/>
      <c r="B38" s="61"/>
      <c r="C38" s="62"/>
      <c r="D38" s="61"/>
      <c r="E38" s="63" t="s">
        <v>70</v>
      </c>
      <c r="F38" s="64">
        <f>SUM(F32:F34)</f>
        <v>-3161817.5399999996</v>
      </c>
      <c r="G38" s="63"/>
      <c r="H38" s="53"/>
      <c r="I38" s="17"/>
      <c r="J38" s="17"/>
      <c r="K38" s="53"/>
    </row>
    <row r="39" spans="1:12" s="53" customFormat="1">
      <c r="A39" s="263"/>
      <c r="B39" s="61"/>
      <c r="C39" s="62"/>
      <c r="D39" s="61"/>
      <c r="E39" s="63" t="s">
        <v>71</v>
      </c>
      <c r="F39" s="64">
        <f>SUM(F35:F37)</f>
        <v>-120472.58000000002</v>
      </c>
      <c r="G39" s="63"/>
      <c r="I39" s="17"/>
      <c r="J39" s="17"/>
    </row>
    <row r="40" spans="1:12" hidden="1">
      <c r="A40" s="65"/>
      <c r="B40" s="66"/>
      <c r="C40" s="65"/>
      <c r="D40" s="65"/>
      <c r="E40" s="67" t="s">
        <v>199</v>
      </c>
      <c r="F40" s="68">
        <f>F30+F38</f>
        <v>-5767530.4699999997</v>
      </c>
      <c r="G40" s="67"/>
      <c r="H40" s="53"/>
      <c r="I40" s="17"/>
      <c r="J40" s="17"/>
      <c r="K40" s="53"/>
    </row>
    <row r="41" spans="1:12" s="53" customFormat="1">
      <c r="A41" s="125"/>
      <c r="B41" s="267"/>
      <c r="C41" s="125"/>
      <c r="D41" s="125"/>
      <c r="E41" s="67" t="s">
        <v>200</v>
      </c>
      <c r="F41" s="68">
        <f>F31+F39</f>
        <v>1605991.27</v>
      </c>
      <c r="G41" s="265"/>
      <c r="I41" s="17"/>
      <c r="J41" s="17"/>
    </row>
    <row r="42" spans="1:12">
      <c r="A42" s="10"/>
      <c r="B42" s="10"/>
      <c r="C42" s="10"/>
      <c r="D42" s="10"/>
      <c r="E42" s="11"/>
      <c r="F42" s="12"/>
      <c r="G42" s="11"/>
      <c r="H42" s="53"/>
      <c r="I42" s="17"/>
      <c r="J42" s="17"/>
      <c r="K42" s="53"/>
    </row>
    <row r="43" spans="1:12">
      <c r="A43" s="23" t="s">
        <v>42</v>
      </c>
      <c r="B43" s="53"/>
      <c r="C43" s="112" t="s">
        <v>203</v>
      </c>
      <c r="D43" s="53"/>
      <c r="E43" s="53"/>
      <c r="F43" s="53"/>
      <c r="G43" s="53"/>
      <c r="H43" s="53"/>
      <c r="I43" s="17"/>
      <c r="J43" s="17"/>
      <c r="K43" s="53"/>
    </row>
    <row r="44" spans="1:12">
      <c r="A44" s="53"/>
      <c r="B44" s="53"/>
      <c r="C44" s="53"/>
      <c r="D44" s="53"/>
      <c r="E44" s="53"/>
      <c r="F44" s="53"/>
      <c r="G44" s="53"/>
      <c r="H44" s="53"/>
      <c r="I44" s="17"/>
      <c r="J44" s="17"/>
      <c r="K44" s="53"/>
    </row>
    <row r="45" spans="1:12" ht="26.25">
      <c r="A45" s="69" t="s">
        <v>43</v>
      </c>
      <c r="B45" s="70" t="s">
        <v>44</v>
      </c>
      <c r="C45" s="71" t="s">
        <v>45</v>
      </c>
      <c r="D45" s="69" t="s">
        <v>46</v>
      </c>
      <c r="E45" s="69" t="s">
        <v>47</v>
      </c>
      <c r="F45" s="69" t="s">
        <v>48</v>
      </c>
      <c r="G45" s="69" t="s">
        <v>49</v>
      </c>
      <c r="H45" s="53"/>
      <c r="I45" s="17"/>
      <c r="J45" s="17"/>
      <c r="K45" s="53"/>
    </row>
    <row r="46" spans="1:12" s="53" customFormat="1" hidden="1">
      <c r="A46" s="25" t="s">
        <v>88</v>
      </c>
      <c r="B46" s="24" t="s">
        <v>89</v>
      </c>
      <c r="C46" s="26" t="s">
        <v>52</v>
      </c>
      <c r="D46" s="27" t="s">
        <v>192</v>
      </c>
      <c r="E46" s="28">
        <v>0</v>
      </c>
      <c r="F46" s="29">
        <v>-5137380.83</v>
      </c>
      <c r="G46" s="28">
        <v>-5137380.83</v>
      </c>
      <c r="I46" s="17"/>
      <c r="J46" s="182">
        <f>'Interest Reconciliation'!F61-'Accounting Balances'!G46</f>
        <v>0</v>
      </c>
    </row>
    <row r="47" spans="1:12" s="53" customFormat="1" hidden="1">
      <c r="A47" s="30"/>
      <c r="B47" s="24" t="s">
        <v>89</v>
      </c>
      <c r="C47" s="31"/>
      <c r="D47" s="27" t="s">
        <v>193</v>
      </c>
      <c r="E47" s="28">
        <v>-5137380.83</v>
      </c>
      <c r="F47" s="29">
        <v>-13913.74</v>
      </c>
      <c r="G47" s="28">
        <v>-5151294.57</v>
      </c>
      <c r="I47" s="182">
        <f>'Interest Reconciliation'!C62+'Interest Reconciliation'!D62+'Interest Reconciliation'!E62-'Accounting Balances'!F47</f>
        <v>0</v>
      </c>
      <c r="J47" s="182">
        <f>'Interest Reconciliation'!F62-'Accounting Balances'!G47</f>
        <v>0</v>
      </c>
    </row>
    <row r="48" spans="1:12" s="53" customFormat="1" hidden="1">
      <c r="A48" s="30"/>
      <c r="B48" s="24" t="s">
        <v>89</v>
      </c>
      <c r="C48" s="32"/>
      <c r="D48" s="27" t="s">
        <v>194</v>
      </c>
      <c r="E48" s="28">
        <v>-5151294.57</v>
      </c>
      <c r="F48" s="29">
        <v>-13951.42</v>
      </c>
      <c r="G48" s="28">
        <v>-5165245.99</v>
      </c>
      <c r="I48" s="182">
        <f>'Interest Reconciliation'!C63+'Interest Reconciliation'!D63+'Interest Reconciliation'!E63-'Accounting Balances'!F48</f>
        <v>0</v>
      </c>
      <c r="J48" s="182">
        <f>'Interest Reconciliation'!F63-'Accounting Balances'!G48</f>
        <v>0</v>
      </c>
    </row>
    <row r="49" spans="1:12" s="53" customFormat="1">
      <c r="A49" s="25" t="s">
        <v>88</v>
      </c>
      <c r="B49" s="24" t="s">
        <v>89</v>
      </c>
      <c r="C49" s="26" t="s">
        <v>52</v>
      </c>
      <c r="D49" s="27" t="s">
        <v>196</v>
      </c>
      <c r="E49" s="28">
        <v>-5165245.99</v>
      </c>
      <c r="F49" s="29">
        <v>-13989.21</v>
      </c>
      <c r="G49" s="28">
        <v>-5179235.2</v>
      </c>
      <c r="I49" s="182">
        <f>'Interest Reconciliation'!C64+'Interest Reconciliation'!D64+'Interest Reconciliation'!E64-'Accounting Balances'!F49</f>
        <v>0</v>
      </c>
      <c r="J49" s="182">
        <f>'Interest Reconciliation'!F64-'Accounting Balances'!G49</f>
        <v>0</v>
      </c>
    </row>
    <row r="50" spans="1:12" s="53" customFormat="1">
      <c r="A50" s="30"/>
      <c r="B50" s="24" t="s">
        <v>89</v>
      </c>
      <c r="C50" s="31"/>
      <c r="D50" s="27" t="s">
        <v>197</v>
      </c>
      <c r="E50" s="28">
        <v>-5179235.2</v>
      </c>
      <c r="F50" s="29">
        <v>-14027.1</v>
      </c>
      <c r="G50" s="28">
        <v>-5193262.3</v>
      </c>
      <c r="I50" s="182">
        <f>'Interest Reconciliation'!C65+'Interest Reconciliation'!D65+'Interest Reconciliation'!E65-'Accounting Balances'!F50</f>
        <v>0</v>
      </c>
      <c r="J50" s="182">
        <f>'Interest Reconciliation'!F65-'Accounting Balances'!G50</f>
        <v>0</v>
      </c>
    </row>
    <row r="51" spans="1:12" s="53" customFormat="1">
      <c r="A51" s="30"/>
      <c r="B51" s="24" t="s">
        <v>89</v>
      </c>
      <c r="C51" s="32"/>
      <c r="D51" s="27" t="s">
        <v>198</v>
      </c>
      <c r="E51" s="28">
        <v>-5193262.3</v>
      </c>
      <c r="F51" s="29">
        <v>-14065.09</v>
      </c>
      <c r="G51" s="28">
        <v>-5207327.3899999997</v>
      </c>
      <c r="I51" s="182">
        <f>'Interest Reconciliation'!C66+'Interest Reconciliation'!D66+'Interest Reconciliation'!E66-'Accounting Balances'!F51</f>
        <v>0</v>
      </c>
      <c r="J51" s="182">
        <f>'Interest Reconciliation'!F66-'Accounting Balances'!G51</f>
        <v>0</v>
      </c>
    </row>
    <row r="52" spans="1:12" hidden="1">
      <c r="A52" s="30"/>
      <c r="B52" s="61"/>
      <c r="C52" s="62"/>
      <c r="D52" s="61"/>
      <c r="E52" s="63" t="s">
        <v>70</v>
      </c>
      <c r="F52" s="64">
        <f>SUM(F46:F48)</f>
        <v>-5165245.99</v>
      </c>
      <c r="G52" s="63"/>
      <c r="H52" s="53"/>
      <c r="I52" s="17"/>
      <c r="J52" s="17"/>
      <c r="K52" s="53"/>
    </row>
    <row r="53" spans="1:12" s="53" customFormat="1">
      <c r="A53" s="30"/>
      <c r="B53" s="61"/>
      <c r="C53" s="260"/>
      <c r="D53" s="61"/>
      <c r="E53" s="63" t="s">
        <v>71</v>
      </c>
      <c r="F53" s="64">
        <f>SUM(F49:F51)</f>
        <v>-42081.399999999994</v>
      </c>
      <c r="G53" s="63"/>
      <c r="I53" s="17"/>
      <c r="J53" s="17"/>
    </row>
    <row r="54" spans="1:12" s="53" customFormat="1" hidden="1">
      <c r="A54" s="25" t="s">
        <v>88</v>
      </c>
      <c r="B54" s="24" t="s">
        <v>89</v>
      </c>
      <c r="C54" s="26" t="s">
        <v>53</v>
      </c>
      <c r="D54" s="27" t="s">
        <v>192</v>
      </c>
      <c r="E54" s="28">
        <v>0</v>
      </c>
      <c r="F54" s="29">
        <v>6577223.0300000003</v>
      </c>
      <c r="G54" s="28">
        <v>6577223.0300000003</v>
      </c>
      <c r="I54" s="17"/>
      <c r="J54" s="182">
        <f>'Interest Reconciliation'!O61-'Accounting Balances'!G54</f>
        <v>0</v>
      </c>
      <c r="L54" s="17"/>
    </row>
    <row r="55" spans="1:12" s="53" customFormat="1" hidden="1">
      <c r="A55" s="30"/>
      <c r="B55" s="24" t="s">
        <v>89</v>
      </c>
      <c r="C55" s="31"/>
      <c r="D55" s="27" t="s">
        <v>193</v>
      </c>
      <c r="E55" s="28">
        <v>6577223.0300000003</v>
      </c>
      <c r="F55" s="29">
        <v>17813.310000000001</v>
      </c>
      <c r="G55" s="28">
        <v>6595036.3399999999</v>
      </c>
      <c r="I55" s="182">
        <f>'Interest Reconciliation'!L62+'Interest Reconciliation'!M62+'Interest Reconciliation'!N62-'Accounting Balances'!F55</f>
        <v>0</v>
      </c>
      <c r="J55" s="182">
        <f>'Interest Reconciliation'!O62-'Accounting Balances'!G55</f>
        <v>0</v>
      </c>
      <c r="L55" s="17"/>
    </row>
    <row r="56" spans="1:12" s="53" customFormat="1" hidden="1">
      <c r="A56" s="30"/>
      <c r="B56" s="24" t="s">
        <v>89</v>
      </c>
      <c r="C56" s="32"/>
      <c r="D56" s="27" t="s">
        <v>194</v>
      </c>
      <c r="E56" s="28">
        <v>6595036.3399999999</v>
      </c>
      <c r="F56" s="29">
        <v>17861.560000000001</v>
      </c>
      <c r="G56" s="28">
        <v>6612897.9000000004</v>
      </c>
      <c r="I56" s="182">
        <f>'Interest Reconciliation'!L63+'Interest Reconciliation'!M63+'Interest Reconciliation'!N63-'Accounting Balances'!F56</f>
        <v>0</v>
      </c>
      <c r="J56" s="182">
        <f>'Interest Reconciliation'!O63-'Accounting Balances'!G56</f>
        <v>0</v>
      </c>
      <c r="L56" s="17"/>
    </row>
    <row r="57" spans="1:12" s="53" customFormat="1">
      <c r="A57" s="25" t="s">
        <v>88</v>
      </c>
      <c r="B57" s="24" t="s">
        <v>89</v>
      </c>
      <c r="C57" s="26" t="s">
        <v>53</v>
      </c>
      <c r="D57" s="27" t="s">
        <v>196</v>
      </c>
      <c r="E57" s="28">
        <v>6612897.9000000004</v>
      </c>
      <c r="F57" s="29">
        <v>17909.93</v>
      </c>
      <c r="G57" s="28">
        <v>6630807.8300000001</v>
      </c>
      <c r="I57" s="182">
        <f>'Interest Reconciliation'!L64+'Interest Reconciliation'!M64+'Interest Reconciliation'!N64-'Accounting Balances'!F57</f>
        <v>0</v>
      </c>
      <c r="J57" s="182">
        <f>'Interest Reconciliation'!O64-'Accounting Balances'!G57</f>
        <v>0</v>
      </c>
      <c r="L57" s="17"/>
    </row>
    <row r="58" spans="1:12" s="53" customFormat="1">
      <c r="A58" s="30"/>
      <c r="B58" s="24" t="s">
        <v>89</v>
      </c>
      <c r="C58" s="31"/>
      <c r="D58" s="27" t="s">
        <v>197</v>
      </c>
      <c r="E58" s="28">
        <v>6630807.8300000001</v>
      </c>
      <c r="F58" s="29">
        <v>17958.439999999999</v>
      </c>
      <c r="G58" s="28">
        <v>6648766.2699999996</v>
      </c>
      <c r="I58" s="182">
        <f>'Interest Reconciliation'!L65+'Interest Reconciliation'!M65+'Interest Reconciliation'!N65-'Accounting Balances'!F58</f>
        <v>0</v>
      </c>
      <c r="J58" s="182">
        <f>'Interest Reconciliation'!O65-'Accounting Balances'!G58</f>
        <v>0</v>
      </c>
      <c r="L58" s="17"/>
    </row>
    <row r="59" spans="1:12" s="53" customFormat="1">
      <c r="A59" s="30"/>
      <c r="B59" s="24" t="s">
        <v>89</v>
      </c>
      <c r="C59" s="32"/>
      <c r="D59" s="27" t="s">
        <v>198</v>
      </c>
      <c r="E59" s="28">
        <v>6648766.2699999996</v>
      </c>
      <c r="F59" s="29">
        <v>18007.080000000002</v>
      </c>
      <c r="G59" s="28">
        <v>6666773.3499999996</v>
      </c>
      <c r="I59" s="182">
        <f>'Interest Reconciliation'!L66+'Interest Reconciliation'!M66+'Interest Reconciliation'!N66-'Accounting Balances'!F59</f>
        <v>0</v>
      </c>
      <c r="J59" s="182">
        <f>'Interest Reconciliation'!O66-'Accounting Balances'!G59</f>
        <v>0</v>
      </c>
      <c r="L59" s="17"/>
    </row>
    <row r="60" spans="1:12" s="53" customFormat="1" hidden="1">
      <c r="A60" s="33"/>
      <c r="B60" s="61"/>
      <c r="C60" s="62"/>
      <c r="D60" s="61"/>
      <c r="E60" s="63" t="s">
        <v>70</v>
      </c>
      <c r="F60" s="64">
        <f>SUM(F54:F56)</f>
        <v>6612897.8999999994</v>
      </c>
      <c r="G60" s="63"/>
      <c r="I60" s="17"/>
      <c r="J60" s="17"/>
    </row>
    <row r="61" spans="1:12" s="53" customFormat="1">
      <c r="A61" s="263"/>
      <c r="B61" s="61"/>
      <c r="C61" s="62"/>
      <c r="D61" s="61"/>
      <c r="E61" s="63" t="s">
        <v>71</v>
      </c>
      <c r="F61" s="64">
        <f>SUM(F57:F59)</f>
        <v>53875.45</v>
      </c>
      <c r="G61" s="63"/>
      <c r="I61" s="17"/>
      <c r="J61" s="17"/>
    </row>
    <row r="62" spans="1:12" s="53" customFormat="1" hidden="1">
      <c r="A62" s="65"/>
      <c r="B62" s="66"/>
      <c r="C62" s="65"/>
      <c r="D62" s="65"/>
      <c r="E62" s="67" t="s">
        <v>199</v>
      </c>
      <c r="F62" s="68">
        <f>F52+F60</f>
        <v>1447651.9099999992</v>
      </c>
      <c r="G62" s="67"/>
      <c r="I62" s="17"/>
      <c r="J62" s="17"/>
    </row>
    <row r="63" spans="1:12" s="53" customFormat="1">
      <c r="A63" s="119"/>
      <c r="B63" s="66"/>
      <c r="C63" s="119"/>
      <c r="D63" s="65"/>
      <c r="E63" s="67" t="s">
        <v>200</v>
      </c>
      <c r="F63" s="68">
        <f>F53+F61</f>
        <v>11794.050000000003</v>
      </c>
      <c r="G63" s="67"/>
      <c r="I63" s="17"/>
      <c r="J63" s="17"/>
    </row>
    <row r="64" spans="1:12" s="53" customFormat="1" hidden="1">
      <c r="A64" s="25" t="s">
        <v>90</v>
      </c>
      <c r="B64" s="24" t="s">
        <v>91</v>
      </c>
      <c r="C64" s="26" t="s">
        <v>52</v>
      </c>
      <c r="D64" s="27" t="s">
        <v>192</v>
      </c>
      <c r="E64" s="28">
        <v>0</v>
      </c>
      <c r="F64" s="29">
        <v>2395582</v>
      </c>
      <c r="G64" s="28">
        <v>2395582</v>
      </c>
      <c r="I64" s="17"/>
      <c r="J64" s="182">
        <f>'Interest Reconciliation'!F79-'Accounting Balances'!G64</f>
        <v>0</v>
      </c>
    </row>
    <row r="65" spans="1:12" s="53" customFormat="1" hidden="1">
      <c r="A65" s="30"/>
      <c r="B65" s="24" t="s">
        <v>91</v>
      </c>
      <c r="C65" s="31"/>
      <c r="D65" s="27" t="s">
        <v>193</v>
      </c>
      <c r="E65" s="28">
        <v>2395582</v>
      </c>
      <c r="F65" s="29">
        <v>6488.03</v>
      </c>
      <c r="G65" s="28">
        <v>2402070.0299999998</v>
      </c>
      <c r="I65" s="182">
        <f>'Interest Reconciliation'!C80+'Interest Reconciliation'!D80+'Interest Reconciliation'!E80-'Accounting Balances'!F65</f>
        <v>0</v>
      </c>
      <c r="J65" s="182">
        <f>'Interest Reconciliation'!F80-'Accounting Balances'!G65</f>
        <v>0</v>
      </c>
    </row>
    <row r="66" spans="1:12" s="53" customFormat="1" hidden="1">
      <c r="A66" s="30"/>
      <c r="B66" s="24" t="s">
        <v>91</v>
      </c>
      <c r="C66" s="32"/>
      <c r="D66" s="27" t="s">
        <v>194</v>
      </c>
      <c r="E66" s="28">
        <v>2402070.0299999998</v>
      </c>
      <c r="F66" s="29">
        <v>6505.61</v>
      </c>
      <c r="G66" s="28">
        <v>2408575.64</v>
      </c>
      <c r="I66" s="182">
        <f>'Interest Reconciliation'!C81+'Interest Reconciliation'!D81+'Interest Reconciliation'!E81-'Accounting Balances'!F66</f>
        <v>0</v>
      </c>
      <c r="J66" s="182">
        <f>'Interest Reconciliation'!F81-'Accounting Balances'!G66</f>
        <v>0</v>
      </c>
    </row>
    <row r="67" spans="1:12" s="53" customFormat="1">
      <c r="A67" s="25" t="s">
        <v>90</v>
      </c>
      <c r="B67" s="24" t="s">
        <v>91</v>
      </c>
      <c r="C67" s="26" t="s">
        <v>52</v>
      </c>
      <c r="D67" s="27" t="s">
        <v>196</v>
      </c>
      <c r="E67" s="28">
        <v>2408575.64</v>
      </c>
      <c r="F67" s="29">
        <v>6523.23</v>
      </c>
      <c r="G67" s="28">
        <v>2415098.87</v>
      </c>
      <c r="I67" s="182">
        <f>'Interest Reconciliation'!C82+'Interest Reconciliation'!D82+'Interest Reconciliation'!E82-'Accounting Balances'!F67</f>
        <v>0</v>
      </c>
      <c r="J67" s="182">
        <f>'Interest Reconciliation'!F82-'Accounting Balances'!G67</f>
        <v>0</v>
      </c>
    </row>
    <row r="68" spans="1:12" s="53" customFormat="1">
      <c r="A68" s="30"/>
      <c r="B68" s="24" t="s">
        <v>91</v>
      </c>
      <c r="C68" s="31"/>
      <c r="D68" s="27" t="s">
        <v>197</v>
      </c>
      <c r="E68" s="28">
        <v>2415098.87</v>
      </c>
      <c r="F68" s="29">
        <v>6540.89</v>
      </c>
      <c r="G68" s="28">
        <v>2421639.7599999998</v>
      </c>
      <c r="I68" s="182">
        <f>'Interest Reconciliation'!C83+'Interest Reconciliation'!D83+'Interest Reconciliation'!E83-'Accounting Balances'!F68</f>
        <v>0</v>
      </c>
      <c r="J68" s="182">
        <f>'Interest Reconciliation'!F83-'Accounting Balances'!G68</f>
        <v>0</v>
      </c>
    </row>
    <row r="69" spans="1:12" s="53" customFormat="1">
      <c r="A69" s="30"/>
      <c r="B69" s="24" t="s">
        <v>91</v>
      </c>
      <c r="C69" s="32"/>
      <c r="D69" s="27" t="s">
        <v>198</v>
      </c>
      <c r="E69" s="28">
        <v>2421639.7599999998</v>
      </c>
      <c r="F69" s="29">
        <v>6558.61</v>
      </c>
      <c r="G69" s="28">
        <v>2428198.37</v>
      </c>
      <c r="I69" s="182">
        <f>'Interest Reconciliation'!C84+'Interest Reconciliation'!D84+'Interest Reconciliation'!E84-'Accounting Balances'!F69</f>
        <v>0</v>
      </c>
      <c r="J69" s="182">
        <f>'Interest Reconciliation'!F84-'Accounting Balances'!G69</f>
        <v>0</v>
      </c>
    </row>
    <row r="70" spans="1:12" s="53" customFormat="1" hidden="1">
      <c r="A70" s="30"/>
      <c r="B70" s="61"/>
      <c r="C70" s="62"/>
      <c r="D70" s="61"/>
      <c r="E70" s="63" t="s">
        <v>70</v>
      </c>
      <c r="F70" s="64">
        <f>SUM(F64:F66)</f>
        <v>2408575.6399999997</v>
      </c>
      <c r="G70" s="63"/>
      <c r="I70" s="17"/>
      <c r="J70" s="17"/>
    </row>
    <row r="71" spans="1:12" s="53" customFormat="1">
      <c r="A71" s="30"/>
      <c r="B71" s="61"/>
      <c r="C71" s="260"/>
      <c r="D71" s="61"/>
      <c r="E71" s="63" t="s">
        <v>71</v>
      </c>
      <c r="F71" s="64">
        <f>SUM(F67:F69)</f>
        <v>19622.73</v>
      </c>
      <c r="G71" s="63"/>
      <c r="I71" s="17"/>
      <c r="J71" s="17"/>
    </row>
    <row r="72" spans="1:12" s="53" customFormat="1" hidden="1">
      <c r="A72" s="25" t="s">
        <v>90</v>
      </c>
      <c r="B72" s="24" t="s">
        <v>91</v>
      </c>
      <c r="C72" s="26" t="s">
        <v>53</v>
      </c>
      <c r="D72" s="27" t="s">
        <v>192</v>
      </c>
      <c r="E72" s="28">
        <v>0</v>
      </c>
      <c r="F72" s="29">
        <v>2407235.65</v>
      </c>
      <c r="G72" s="28">
        <v>2407235.65</v>
      </c>
      <c r="I72" s="17"/>
      <c r="J72" s="182">
        <f>'Interest Reconciliation'!O79-'Accounting Balances'!G72</f>
        <v>0</v>
      </c>
      <c r="L72" s="17"/>
    </row>
    <row r="73" spans="1:12" s="53" customFormat="1" hidden="1">
      <c r="A73" s="30"/>
      <c r="B73" s="24" t="s">
        <v>91</v>
      </c>
      <c r="C73" s="31"/>
      <c r="D73" s="27" t="s">
        <v>193</v>
      </c>
      <c r="E73" s="28">
        <v>2407235.65</v>
      </c>
      <c r="F73" s="29">
        <v>6519.6</v>
      </c>
      <c r="G73" s="28">
        <v>2413755.25</v>
      </c>
      <c r="I73" s="182">
        <f>'Interest Reconciliation'!L80+'Interest Reconciliation'!M80+'Interest Reconciliation'!N80-'Accounting Balances'!F73</f>
        <v>0</v>
      </c>
      <c r="J73" s="182">
        <f>'Interest Reconciliation'!O80-'Accounting Balances'!G73</f>
        <v>0</v>
      </c>
      <c r="L73" s="17"/>
    </row>
    <row r="74" spans="1:12" s="53" customFormat="1" hidden="1">
      <c r="A74" s="30"/>
      <c r="B74" s="24" t="s">
        <v>91</v>
      </c>
      <c r="C74" s="32"/>
      <c r="D74" s="27" t="s">
        <v>194</v>
      </c>
      <c r="E74" s="28">
        <v>2413755.25</v>
      </c>
      <c r="F74" s="29">
        <v>6537.25</v>
      </c>
      <c r="G74" s="28">
        <v>2420292.5</v>
      </c>
      <c r="I74" s="182">
        <f>'Interest Reconciliation'!L81+'Interest Reconciliation'!M81+'Interest Reconciliation'!N81-'Accounting Balances'!F74</f>
        <v>0</v>
      </c>
      <c r="J74" s="182">
        <f>'Interest Reconciliation'!O81-'Accounting Balances'!G74</f>
        <v>0</v>
      </c>
      <c r="L74" s="17"/>
    </row>
    <row r="75" spans="1:12" s="53" customFormat="1">
      <c r="A75" s="25" t="s">
        <v>90</v>
      </c>
      <c r="B75" s="24" t="s">
        <v>91</v>
      </c>
      <c r="C75" s="26" t="s">
        <v>53</v>
      </c>
      <c r="D75" s="27" t="s">
        <v>196</v>
      </c>
      <c r="E75" s="28">
        <v>2420292.5</v>
      </c>
      <c r="F75" s="29">
        <v>6554.96</v>
      </c>
      <c r="G75" s="28">
        <v>2426847.46</v>
      </c>
      <c r="I75" s="182">
        <f>'Interest Reconciliation'!L82+'Interest Reconciliation'!M82+'Interest Reconciliation'!N82-'Accounting Balances'!F75</f>
        <v>0</v>
      </c>
      <c r="J75" s="182">
        <f>'Interest Reconciliation'!O82-'Accounting Balances'!G75</f>
        <v>0</v>
      </c>
      <c r="L75" s="17"/>
    </row>
    <row r="76" spans="1:12" s="53" customFormat="1">
      <c r="A76" s="30"/>
      <c r="B76" s="24" t="s">
        <v>91</v>
      </c>
      <c r="C76" s="31"/>
      <c r="D76" s="27" t="s">
        <v>197</v>
      </c>
      <c r="E76" s="28">
        <v>2426847.46</v>
      </c>
      <c r="F76" s="29">
        <v>6572.71</v>
      </c>
      <c r="G76" s="28">
        <v>2433420.17</v>
      </c>
      <c r="I76" s="182">
        <f>'Interest Reconciliation'!L83+'Interest Reconciliation'!M83+'Interest Reconciliation'!N83-'Accounting Balances'!F76</f>
        <v>0</v>
      </c>
      <c r="J76" s="182">
        <f>'Interest Reconciliation'!O83-'Accounting Balances'!G76</f>
        <v>0</v>
      </c>
      <c r="L76" s="17"/>
    </row>
    <row r="77" spans="1:12" s="53" customFormat="1">
      <c r="A77" s="30"/>
      <c r="B77" s="24" t="s">
        <v>91</v>
      </c>
      <c r="C77" s="32"/>
      <c r="D77" s="27" t="s">
        <v>198</v>
      </c>
      <c r="E77" s="28">
        <v>2433420.17</v>
      </c>
      <c r="F77" s="29">
        <v>6590.51</v>
      </c>
      <c r="G77" s="28">
        <v>2440010.6800000002</v>
      </c>
      <c r="I77" s="182">
        <f>'Interest Reconciliation'!L84+'Interest Reconciliation'!M84+'Interest Reconciliation'!N84-'Accounting Balances'!F77</f>
        <v>0</v>
      </c>
      <c r="J77" s="182">
        <f>'Interest Reconciliation'!O84-'Accounting Balances'!G77</f>
        <v>0</v>
      </c>
      <c r="L77" s="17"/>
    </row>
    <row r="78" spans="1:12" s="53" customFormat="1" hidden="1">
      <c r="A78" s="33"/>
      <c r="B78" s="61"/>
      <c r="C78" s="62"/>
      <c r="D78" s="61"/>
      <c r="E78" s="63" t="s">
        <v>70</v>
      </c>
      <c r="F78" s="64">
        <f>SUM(F72:F74)</f>
        <v>2420292.5</v>
      </c>
      <c r="G78" s="63"/>
    </row>
    <row r="79" spans="1:12" s="53" customFormat="1">
      <c r="A79" s="263"/>
      <c r="B79" s="61"/>
      <c r="C79" s="62"/>
      <c r="D79" s="61"/>
      <c r="E79" s="63" t="s">
        <v>71</v>
      </c>
      <c r="F79" s="64">
        <f>SUM(F75:F77)</f>
        <v>19718.18</v>
      </c>
      <c r="G79" s="63"/>
    </row>
    <row r="80" spans="1:12" s="53" customFormat="1" hidden="1">
      <c r="A80" s="65"/>
      <c r="B80" s="66"/>
      <c r="C80" s="65"/>
      <c r="D80" s="65"/>
      <c r="E80" s="67" t="s">
        <v>199</v>
      </c>
      <c r="F80" s="68">
        <f>F70+F78</f>
        <v>4828868.1399999997</v>
      </c>
      <c r="G80" s="67"/>
    </row>
    <row r="81" spans="1:12" s="53" customFormat="1">
      <c r="A81" s="125"/>
      <c r="B81" s="267"/>
      <c r="C81" s="125"/>
      <c r="D81" s="125"/>
      <c r="E81" s="67" t="s">
        <v>200</v>
      </c>
      <c r="F81" s="68">
        <f>F71+F79</f>
        <v>39340.910000000003</v>
      </c>
      <c r="G81" s="265"/>
    </row>
    <row r="82" spans="1:12" s="53" customFormat="1" ht="14.45" customHeight="1"/>
    <row r="83" spans="1:12" s="53" customFormat="1">
      <c r="A83" s="23" t="s">
        <v>42</v>
      </c>
      <c r="C83" s="112" t="s">
        <v>116</v>
      </c>
    </row>
    <row r="84" spans="1:12" s="53" customFormat="1">
      <c r="C84" s="113" t="s">
        <v>117</v>
      </c>
    </row>
    <row r="85" spans="1:12" s="53" customFormat="1">
      <c r="A85" s="197"/>
      <c r="B85" s="197"/>
      <c r="C85" s="197"/>
      <c r="D85" s="197"/>
      <c r="E85" s="197"/>
      <c r="F85" s="197"/>
      <c r="G85" s="197"/>
    </row>
    <row r="86" spans="1:12" s="53" customFormat="1" ht="25.5">
      <c r="A86" s="124" t="s">
        <v>43</v>
      </c>
      <c r="B86" s="107" t="s">
        <v>44</v>
      </c>
      <c r="C86" s="108" t="s">
        <v>45</v>
      </c>
      <c r="D86" s="109" t="s">
        <v>46</v>
      </c>
      <c r="E86" s="110" t="s">
        <v>47</v>
      </c>
      <c r="F86" s="109" t="s">
        <v>48</v>
      </c>
      <c r="G86" s="109" t="s">
        <v>49</v>
      </c>
    </row>
    <row r="87" spans="1:12" s="53" customFormat="1" hidden="1">
      <c r="A87" s="126" t="s">
        <v>56</v>
      </c>
      <c r="B87" s="24" t="s">
        <v>57</v>
      </c>
      <c r="C87" s="26" t="s">
        <v>52</v>
      </c>
      <c r="D87" s="27" t="s">
        <v>192</v>
      </c>
      <c r="E87" s="28">
        <v>0</v>
      </c>
      <c r="F87" s="29">
        <v>0</v>
      </c>
      <c r="G87" s="28">
        <v>0</v>
      </c>
      <c r="I87" s="17"/>
      <c r="J87" s="182">
        <f>'Interest Reconciliation'!F96-'Accounting Balances'!G87</f>
        <v>0</v>
      </c>
    </row>
    <row r="88" spans="1:12" s="53" customFormat="1" hidden="1">
      <c r="A88" s="127"/>
      <c r="B88" s="24" t="s">
        <v>57</v>
      </c>
      <c r="C88" s="31"/>
      <c r="D88" s="27" t="s">
        <v>193</v>
      </c>
      <c r="E88" s="28">
        <v>0</v>
      </c>
      <c r="F88" s="29">
        <v>0</v>
      </c>
      <c r="G88" s="28">
        <v>0</v>
      </c>
      <c r="I88" s="17"/>
      <c r="J88" s="182">
        <f>'Interest Reconciliation'!F97-'Accounting Balances'!G88</f>
        <v>0</v>
      </c>
    </row>
    <row r="89" spans="1:12" s="53" customFormat="1" hidden="1">
      <c r="A89" s="127"/>
      <c r="B89" s="24" t="s">
        <v>57</v>
      </c>
      <c r="C89" s="32"/>
      <c r="D89" s="27" t="s">
        <v>194</v>
      </c>
      <c r="E89" s="28">
        <v>0</v>
      </c>
      <c r="F89" s="29">
        <v>0</v>
      </c>
      <c r="G89" s="28">
        <v>0</v>
      </c>
      <c r="I89" s="17"/>
      <c r="J89" s="182">
        <f>'Interest Reconciliation'!F98-'Accounting Balances'!G89</f>
        <v>0</v>
      </c>
    </row>
    <row r="90" spans="1:12" s="53" customFormat="1">
      <c r="A90" s="126" t="s">
        <v>56</v>
      </c>
      <c r="B90" s="24" t="s">
        <v>57</v>
      </c>
      <c r="C90" s="26" t="s">
        <v>52</v>
      </c>
      <c r="D90" s="27" t="s">
        <v>196</v>
      </c>
      <c r="E90" s="28">
        <v>0</v>
      </c>
      <c r="F90" s="29">
        <v>0</v>
      </c>
      <c r="G90" s="28">
        <v>0</v>
      </c>
      <c r="I90" s="17"/>
      <c r="J90" s="182">
        <f>'Interest Reconciliation'!F99-'Accounting Balances'!G90</f>
        <v>0</v>
      </c>
    </row>
    <row r="91" spans="1:12" s="53" customFormat="1">
      <c r="A91" s="127"/>
      <c r="B91" s="24" t="s">
        <v>57</v>
      </c>
      <c r="C91" s="31"/>
      <c r="D91" s="27" t="s">
        <v>197</v>
      </c>
      <c r="E91" s="28">
        <v>0</v>
      </c>
      <c r="F91" s="29">
        <v>0</v>
      </c>
      <c r="G91" s="28">
        <v>0</v>
      </c>
      <c r="I91" s="17"/>
      <c r="J91" s="182">
        <f>'Interest Reconciliation'!F100-'Accounting Balances'!G91</f>
        <v>0</v>
      </c>
    </row>
    <row r="92" spans="1:12" s="53" customFormat="1">
      <c r="A92" s="127"/>
      <c r="B92" s="24" t="s">
        <v>57</v>
      </c>
      <c r="C92" s="32"/>
      <c r="D92" s="27" t="s">
        <v>198</v>
      </c>
      <c r="E92" s="28">
        <v>0</v>
      </c>
      <c r="F92" s="29">
        <v>0</v>
      </c>
      <c r="G92" s="28">
        <v>0</v>
      </c>
      <c r="I92" s="17"/>
      <c r="J92" s="182">
        <f>'Interest Reconciliation'!F101-'Accounting Balances'!G92</f>
        <v>0</v>
      </c>
    </row>
    <row r="93" spans="1:12" hidden="1">
      <c r="A93" s="127"/>
      <c r="B93" s="61"/>
      <c r="C93" s="61"/>
      <c r="D93" s="61"/>
      <c r="E93" s="63" t="s">
        <v>70</v>
      </c>
      <c r="F93" s="64">
        <f>SUM(F87:F89)</f>
        <v>0</v>
      </c>
      <c r="G93" s="63"/>
      <c r="H93" s="53"/>
      <c r="I93" s="53"/>
      <c r="J93" s="53"/>
      <c r="K93" s="53"/>
    </row>
    <row r="94" spans="1:12" s="53" customFormat="1">
      <c r="A94" s="127"/>
      <c r="B94" s="61"/>
      <c r="C94" s="268"/>
      <c r="D94" s="61"/>
      <c r="E94" s="63" t="s">
        <v>71</v>
      </c>
      <c r="F94" s="64">
        <f>SUM(F90:F92)</f>
        <v>0</v>
      </c>
      <c r="G94" s="63"/>
    </row>
    <row r="95" spans="1:12" s="53" customFormat="1" hidden="1">
      <c r="A95" s="126" t="s">
        <v>56</v>
      </c>
      <c r="B95" s="24" t="s">
        <v>57</v>
      </c>
      <c r="C95" s="26" t="s">
        <v>53</v>
      </c>
      <c r="D95" s="27" t="s">
        <v>192</v>
      </c>
      <c r="E95" s="28">
        <v>735648.84</v>
      </c>
      <c r="F95" s="29">
        <v>-212082.67</v>
      </c>
      <c r="G95" s="28">
        <v>523566.17</v>
      </c>
      <c r="I95" s="17"/>
      <c r="J95" s="17">
        <f>G95-'Interest Reconciliation'!O96</f>
        <v>0</v>
      </c>
      <c r="L95" s="17"/>
    </row>
    <row r="96" spans="1:12" s="53" customFormat="1" hidden="1">
      <c r="A96" s="127"/>
      <c r="B96" s="24" t="s">
        <v>57</v>
      </c>
      <c r="C96" s="31"/>
      <c r="D96" s="27" t="s">
        <v>193</v>
      </c>
      <c r="E96" s="28">
        <v>523566.17</v>
      </c>
      <c r="F96" s="29">
        <v>-175334.26</v>
      </c>
      <c r="G96" s="28">
        <v>348231.91</v>
      </c>
      <c r="I96" s="182">
        <f>'Interest Reconciliation'!L97+'Interest Reconciliation'!M97+'Interest Reconciliation'!N97-'Accounting Balances'!F96</f>
        <v>0</v>
      </c>
      <c r="J96" s="17">
        <f>G96-'Interest Reconciliation'!O97</f>
        <v>0</v>
      </c>
      <c r="L96" s="17"/>
    </row>
    <row r="97" spans="1:12" s="53" customFormat="1" hidden="1">
      <c r="A97" s="127"/>
      <c r="B97" s="24" t="s">
        <v>57</v>
      </c>
      <c r="C97" s="32"/>
      <c r="D97" s="27" t="s">
        <v>194</v>
      </c>
      <c r="E97" s="28">
        <v>348231.91</v>
      </c>
      <c r="F97" s="29">
        <v>-127665.17</v>
      </c>
      <c r="G97" s="28">
        <v>220566.74</v>
      </c>
      <c r="I97" s="182">
        <f>'Interest Reconciliation'!L98+'Interest Reconciliation'!M98+'Interest Reconciliation'!N98-'Accounting Balances'!F97</f>
        <v>0</v>
      </c>
      <c r="J97" s="17">
        <f>G97-'Interest Reconciliation'!O98</f>
        <v>0</v>
      </c>
      <c r="L97" s="17"/>
    </row>
    <row r="98" spans="1:12" s="53" customFormat="1">
      <c r="A98" s="126" t="s">
        <v>56</v>
      </c>
      <c r="B98" s="24" t="s">
        <v>57</v>
      </c>
      <c r="C98" s="26" t="s">
        <v>53</v>
      </c>
      <c r="D98" s="27" t="s">
        <v>196</v>
      </c>
      <c r="E98" s="28">
        <v>220566.74</v>
      </c>
      <c r="F98" s="29">
        <v>-107258.16</v>
      </c>
      <c r="G98" s="28">
        <v>113308.58</v>
      </c>
      <c r="I98" s="182">
        <f>'Interest Reconciliation'!L99+'Interest Reconciliation'!M99+'Interest Reconciliation'!N99-'Accounting Balances'!F98</f>
        <v>0</v>
      </c>
      <c r="J98" s="17">
        <f>G98-'Interest Reconciliation'!O99</f>
        <v>0</v>
      </c>
      <c r="L98" s="17"/>
    </row>
    <row r="99" spans="1:12" s="53" customFormat="1">
      <c r="A99" s="127"/>
      <c r="B99" s="24" t="s">
        <v>57</v>
      </c>
      <c r="C99" s="31"/>
      <c r="D99" s="27" t="s">
        <v>197</v>
      </c>
      <c r="E99" s="28">
        <v>113308.58</v>
      </c>
      <c r="F99" s="29">
        <v>-66700.02</v>
      </c>
      <c r="G99" s="28">
        <v>46608.56</v>
      </c>
      <c r="I99" s="182">
        <f>'Interest Reconciliation'!L100+'Interest Reconciliation'!M100+'Interest Reconciliation'!N100-'Accounting Balances'!F99</f>
        <v>0</v>
      </c>
      <c r="J99" s="17">
        <f>G99-'Interest Reconciliation'!O100</f>
        <v>5.8207660913467407E-11</v>
      </c>
      <c r="L99" s="17"/>
    </row>
    <row r="100" spans="1:12" s="53" customFormat="1">
      <c r="A100" s="127"/>
      <c r="B100" s="24" t="s">
        <v>57</v>
      </c>
      <c r="C100" s="32"/>
      <c r="D100" s="27" t="s">
        <v>198</v>
      </c>
      <c r="E100" s="28">
        <v>46608.56</v>
      </c>
      <c r="F100" s="29">
        <v>-31116.080000000002</v>
      </c>
      <c r="G100" s="28">
        <v>15492.48</v>
      </c>
      <c r="I100" s="182">
        <f>'Interest Reconciliation'!L101+'Interest Reconciliation'!M101+'Interest Reconciliation'!N101-'Accounting Balances'!F100</f>
        <v>0</v>
      </c>
      <c r="J100" s="17">
        <f>G100-'Interest Reconciliation'!O101</f>
        <v>5.8207660913467407E-11</v>
      </c>
      <c r="L100" s="17"/>
    </row>
    <row r="101" spans="1:12" hidden="1">
      <c r="A101" s="128"/>
      <c r="B101" s="61"/>
      <c r="C101" s="61"/>
      <c r="D101" s="61"/>
      <c r="E101" s="63" t="s">
        <v>70</v>
      </c>
      <c r="F101" s="64">
        <f>SUM(F95:F97)</f>
        <v>-515082.10000000003</v>
      </c>
      <c r="G101" s="63"/>
      <c r="H101" s="53"/>
      <c r="I101" s="17"/>
      <c r="J101" s="17"/>
      <c r="K101" s="53"/>
    </row>
    <row r="102" spans="1:12" s="53" customFormat="1">
      <c r="A102" s="257"/>
      <c r="B102" s="61"/>
      <c r="C102" s="268"/>
      <c r="D102" s="61"/>
      <c r="E102" s="63" t="s">
        <v>71</v>
      </c>
      <c r="F102" s="64">
        <f>SUM(F98:F100)</f>
        <v>-205074.26</v>
      </c>
      <c r="G102" s="63"/>
      <c r="I102" s="17"/>
      <c r="J102" s="17"/>
    </row>
    <row r="103" spans="1:12" hidden="1">
      <c r="A103" s="125"/>
      <c r="B103" s="65"/>
      <c r="C103" s="119"/>
      <c r="D103" s="65"/>
      <c r="E103" s="67" t="s">
        <v>199</v>
      </c>
      <c r="F103" s="68">
        <f>F93+F101</f>
        <v>-515082.10000000003</v>
      </c>
      <c r="G103" s="67"/>
      <c r="H103" s="53"/>
      <c r="I103" s="17"/>
      <c r="J103" s="17"/>
      <c r="K103" s="53"/>
    </row>
    <row r="104" spans="1:12" s="53" customFormat="1">
      <c r="A104" s="125"/>
      <c r="B104" s="65"/>
      <c r="C104" s="125"/>
      <c r="D104" s="65"/>
      <c r="E104" s="67" t="s">
        <v>200</v>
      </c>
      <c r="F104" s="68">
        <f>F94+F102</f>
        <v>-205074.26</v>
      </c>
      <c r="G104" s="67"/>
      <c r="I104" s="17"/>
      <c r="J104" s="17"/>
    </row>
    <row r="105" spans="1:12" s="53" customFormat="1" hidden="1">
      <c r="A105" s="127" t="s">
        <v>109</v>
      </c>
      <c r="B105" s="24" t="s">
        <v>57</v>
      </c>
      <c r="C105" s="130" t="s">
        <v>52</v>
      </c>
      <c r="D105" s="27" t="s">
        <v>192</v>
      </c>
      <c r="E105" s="28">
        <v>8136564.1299999999</v>
      </c>
      <c r="F105" s="29">
        <v>-1118285.52</v>
      </c>
      <c r="G105" s="28">
        <v>7018278.6100000003</v>
      </c>
      <c r="I105" s="17"/>
      <c r="J105" s="182">
        <f>'Interest Reconciliation'!F112-'Accounting Balances'!G105</f>
        <v>0</v>
      </c>
    </row>
    <row r="106" spans="1:12" s="53" customFormat="1" hidden="1">
      <c r="A106" s="131"/>
      <c r="B106" s="24" t="s">
        <v>57</v>
      </c>
      <c r="C106" s="131"/>
      <c r="D106" s="27" t="s">
        <v>193</v>
      </c>
      <c r="E106" s="28">
        <v>7018278.6100000003</v>
      </c>
      <c r="F106" s="29">
        <v>-1051894.24</v>
      </c>
      <c r="G106" s="28">
        <v>5966384.3700000001</v>
      </c>
      <c r="I106" s="182">
        <f>'Interest Reconciliation'!C113+'Interest Reconciliation'!D113+'Interest Reconciliation'!E113-'Accounting Balances'!F106</f>
        <v>0</v>
      </c>
      <c r="J106" s="182">
        <f>'Interest Reconciliation'!F113-'Accounting Balances'!G106</f>
        <v>0</v>
      </c>
    </row>
    <row r="107" spans="1:12" s="53" customFormat="1" hidden="1">
      <c r="A107" s="131"/>
      <c r="B107" s="24" t="s">
        <v>57</v>
      </c>
      <c r="C107" s="132"/>
      <c r="D107" s="27" t="s">
        <v>194</v>
      </c>
      <c r="E107" s="28">
        <v>5966384.3700000001</v>
      </c>
      <c r="F107" s="29">
        <v>-1125281.1100000001</v>
      </c>
      <c r="G107" s="28">
        <v>4841103.26</v>
      </c>
      <c r="I107" s="182">
        <f>'Interest Reconciliation'!C114+'Interest Reconciliation'!D114+'Interest Reconciliation'!E114-'Accounting Balances'!F107</f>
        <v>0</v>
      </c>
      <c r="J107" s="182">
        <f>'Interest Reconciliation'!F114-'Accounting Balances'!G107</f>
        <v>0</v>
      </c>
    </row>
    <row r="108" spans="1:12" s="53" customFormat="1">
      <c r="A108" s="127" t="s">
        <v>109</v>
      </c>
      <c r="B108" s="24" t="str">
        <f>B105</f>
        <v>REG ASSET- DECOUPLING SURCHARG</v>
      </c>
      <c r="C108" s="130" t="str">
        <f>C105</f>
        <v>ED</v>
      </c>
      <c r="D108" s="27" t="s">
        <v>196</v>
      </c>
      <c r="E108" s="28">
        <v>4841103.26</v>
      </c>
      <c r="F108" s="29">
        <v>-1098940.69</v>
      </c>
      <c r="G108" s="28">
        <v>3742162.57</v>
      </c>
      <c r="I108" s="182">
        <f>'Interest Reconciliation'!C115+'Interest Reconciliation'!D115+'Interest Reconciliation'!E115-'Accounting Balances'!F108</f>
        <v>0</v>
      </c>
      <c r="J108" s="182">
        <f>'Interest Reconciliation'!F115-'Accounting Balances'!G108</f>
        <v>0</v>
      </c>
    </row>
    <row r="109" spans="1:12" s="53" customFormat="1">
      <c r="A109" s="131"/>
      <c r="B109" s="24" t="str">
        <f>B106</f>
        <v>REG ASSET- DECOUPLING SURCHARG</v>
      </c>
      <c r="C109" s="131"/>
      <c r="D109" s="27" t="s">
        <v>197</v>
      </c>
      <c r="E109" s="28">
        <v>3742162.57</v>
      </c>
      <c r="F109" s="29">
        <v>-998356.15</v>
      </c>
      <c r="G109" s="28">
        <v>2743806.42</v>
      </c>
      <c r="I109" s="182">
        <f>'Interest Reconciliation'!C116+'Interest Reconciliation'!D116+'Interest Reconciliation'!E116-'Accounting Balances'!F109</f>
        <v>0</v>
      </c>
      <c r="J109" s="182">
        <f>'Interest Reconciliation'!F116-'Accounting Balances'!G109</f>
        <v>0</v>
      </c>
    </row>
    <row r="110" spans="1:12" s="53" customFormat="1">
      <c r="A110" s="131"/>
      <c r="B110" s="24" t="str">
        <f>B107</f>
        <v>REG ASSET- DECOUPLING SURCHARG</v>
      </c>
      <c r="C110" s="132"/>
      <c r="D110" s="27" t="s">
        <v>198</v>
      </c>
      <c r="E110" s="28">
        <v>2743806.42</v>
      </c>
      <c r="F110" s="29">
        <v>-1112749.78</v>
      </c>
      <c r="G110" s="28">
        <v>1631056.64</v>
      </c>
      <c r="I110" s="182">
        <f>'Interest Reconciliation'!C117+'Interest Reconciliation'!D117+'Interest Reconciliation'!E117-'Accounting Balances'!F110</f>
        <v>0</v>
      </c>
      <c r="J110" s="182">
        <f>'Interest Reconciliation'!F117-'Accounting Balances'!G110</f>
        <v>0</v>
      </c>
    </row>
    <row r="111" spans="1:12" s="53" customFormat="1" hidden="1">
      <c r="A111" s="131"/>
      <c r="B111" s="61"/>
      <c r="C111" s="129"/>
      <c r="D111" s="61"/>
      <c r="E111" s="63" t="s">
        <v>70</v>
      </c>
      <c r="F111" s="64">
        <f>SUM(F105:F107)</f>
        <v>-3295460.87</v>
      </c>
      <c r="G111" s="63"/>
      <c r="I111" s="17"/>
      <c r="J111" s="17"/>
    </row>
    <row r="112" spans="1:12" s="53" customFormat="1">
      <c r="A112" s="131"/>
      <c r="B112" s="61"/>
      <c r="C112" s="129"/>
      <c r="D112" s="61"/>
      <c r="E112" s="63" t="s">
        <v>71</v>
      </c>
      <c r="F112" s="64">
        <f>SUM(F108:F110)</f>
        <v>-3210046.62</v>
      </c>
      <c r="G112" s="63"/>
      <c r="I112" s="17"/>
      <c r="J112" s="17"/>
    </row>
    <row r="113" spans="1:13" s="53" customFormat="1" hidden="1">
      <c r="A113" s="127" t="s">
        <v>109</v>
      </c>
      <c r="B113" s="24" t="s">
        <v>91</v>
      </c>
      <c r="C113" s="26" t="s">
        <v>53</v>
      </c>
      <c r="D113" s="27" t="s">
        <v>192</v>
      </c>
      <c r="E113" s="28">
        <v>290117.7</v>
      </c>
      <c r="F113" s="29">
        <v>-68663.460000000006</v>
      </c>
      <c r="G113" s="28">
        <v>221454.24</v>
      </c>
      <c r="I113" s="17"/>
      <c r="J113" s="182">
        <f>'Interest Reconciliation'!O112-'Accounting Balances'!G113</f>
        <v>0</v>
      </c>
      <c r="L113" s="17"/>
    </row>
    <row r="114" spans="1:13" s="53" customFormat="1" hidden="1">
      <c r="A114" s="127"/>
      <c r="B114" s="24" t="s">
        <v>91</v>
      </c>
      <c r="C114" s="31"/>
      <c r="D114" s="27" t="s">
        <v>193</v>
      </c>
      <c r="E114" s="28">
        <v>221454.24</v>
      </c>
      <c r="F114" s="29">
        <v>-61490.27</v>
      </c>
      <c r="G114" s="28">
        <v>159963.97</v>
      </c>
      <c r="I114" s="182">
        <f>'Interest Reconciliation'!L113+'Interest Reconciliation'!M113+'Interest Reconciliation'!N113-'Accounting Balances'!F114</f>
        <v>0</v>
      </c>
      <c r="J114" s="182">
        <f>'Interest Reconciliation'!O113-'Accounting Balances'!G114</f>
        <v>0</v>
      </c>
      <c r="L114" s="17"/>
    </row>
    <row r="115" spans="1:13" s="53" customFormat="1" hidden="1">
      <c r="A115" s="127"/>
      <c r="B115" s="24" t="s">
        <v>91</v>
      </c>
      <c r="C115" s="32"/>
      <c r="D115" s="27" t="s">
        <v>194</v>
      </c>
      <c r="E115" s="28">
        <v>159963.97</v>
      </c>
      <c r="F115" s="29">
        <v>-50460.81</v>
      </c>
      <c r="G115" s="28">
        <v>109503.16</v>
      </c>
      <c r="I115" s="182">
        <f>'Interest Reconciliation'!L114+'Interest Reconciliation'!M114+'Interest Reconciliation'!N114-'Accounting Balances'!F115</f>
        <v>0</v>
      </c>
      <c r="J115" s="182">
        <f>'Interest Reconciliation'!O114-'Accounting Balances'!G115</f>
        <v>0</v>
      </c>
      <c r="L115" s="17"/>
    </row>
    <row r="116" spans="1:13" s="53" customFormat="1">
      <c r="A116" s="127" t="s">
        <v>109</v>
      </c>
      <c r="B116" s="24" t="s">
        <v>91</v>
      </c>
      <c r="C116" s="26" t="s">
        <v>53</v>
      </c>
      <c r="D116" s="27" t="s">
        <v>196</v>
      </c>
      <c r="E116" s="28">
        <v>109503.16</v>
      </c>
      <c r="F116" s="29">
        <v>-42836.25</v>
      </c>
      <c r="G116" s="28">
        <v>66666.91</v>
      </c>
      <c r="I116" s="182">
        <f>'Interest Reconciliation'!L115+'Interest Reconciliation'!M115+'Interest Reconciliation'!N115-'Accounting Balances'!F116</f>
        <v>0</v>
      </c>
      <c r="J116" s="182">
        <f>'Interest Reconciliation'!O115-'Accounting Balances'!G116</f>
        <v>0</v>
      </c>
      <c r="L116" s="17"/>
    </row>
    <row r="117" spans="1:13" s="53" customFormat="1">
      <c r="A117" s="127"/>
      <c r="B117" s="24" t="s">
        <v>91</v>
      </c>
      <c r="C117" s="31"/>
      <c r="D117" s="27" t="s">
        <v>197</v>
      </c>
      <c r="E117" s="28">
        <v>66666.91</v>
      </c>
      <c r="F117" s="29">
        <v>-29900.23</v>
      </c>
      <c r="G117" s="28">
        <v>36766.68</v>
      </c>
      <c r="I117" s="182">
        <f>'Interest Reconciliation'!L116+'Interest Reconciliation'!M116+'Interest Reconciliation'!N116-'Accounting Balances'!F117</f>
        <v>0</v>
      </c>
      <c r="J117" s="182">
        <f>'Interest Reconciliation'!O116-'Accounting Balances'!G117</f>
        <v>0</v>
      </c>
      <c r="L117" s="17"/>
    </row>
    <row r="118" spans="1:13" s="53" customFormat="1">
      <c r="A118" s="127"/>
      <c r="B118" s="24" t="s">
        <v>91</v>
      </c>
      <c r="C118" s="32"/>
      <c r="D118" s="27" t="s">
        <v>198</v>
      </c>
      <c r="E118" s="28">
        <v>36766.68</v>
      </c>
      <c r="F118" s="29">
        <v>-18607.57</v>
      </c>
      <c r="G118" s="28">
        <v>18159.11</v>
      </c>
      <c r="I118" s="182">
        <f>'Interest Reconciliation'!L117+'Interest Reconciliation'!M117+'Interest Reconciliation'!N117-'Accounting Balances'!F118</f>
        <v>0</v>
      </c>
      <c r="J118" s="182">
        <f>'Interest Reconciliation'!O117-'Accounting Balances'!G118</f>
        <v>3.637978807091713E-11</v>
      </c>
      <c r="L118" s="17"/>
    </row>
    <row r="119" spans="1:13" hidden="1">
      <c r="A119" s="128"/>
      <c r="B119" s="61"/>
      <c r="C119" s="61"/>
      <c r="D119" s="61"/>
      <c r="E119" s="63" t="s">
        <v>70</v>
      </c>
      <c r="F119" s="64">
        <f>SUM(F113:F115)</f>
        <v>-180614.54</v>
      </c>
      <c r="G119" s="63"/>
      <c r="H119" s="53"/>
      <c r="I119" s="53"/>
      <c r="J119" s="53"/>
      <c r="K119" s="53"/>
      <c r="L119" s="13"/>
      <c r="M119" s="13"/>
    </row>
    <row r="120" spans="1:13" s="53" customFormat="1">
      <c r="A120" s="257"/>
      <c r="B120" s="61"/>
      <c r="C120" s="61"/>
      <c r="D120" s="61"/>
      <c r="E120" s="63" t="s">
        <v>71</v>
      </c>
      <c r="F120" s="64">
        <f>SUM(F116:F118)</f>
        <v>-91344.049999999988</v>
      </c>
      <c r="G120" s="63"/>
      <c r="L120" s="13"/>
      <c r="M120" s="13"/>
    </row>
    <row r="121" spans="1:13" hidden="1">
      <c r="A121" s="142"/>
      <c r="B121" s="65"/>
      <c r="C121" s="65"/>
      <c r="D121" s="65"/>
      <c r="E121" s="67" t="s">
        <v>199</v>
      </c>
      <c r="F121" s="68">
        <f>F111+F119</f>
        <v>-3476075.41</v>
      </c>
      <c r="G121" s="67"/>
      <c r="H121" s="53"/>
      <c r="I121" s="53"/>
      <c r="J121" s="53"/>
      <c r="K121" s="53"/>
      <c r="L121" s="13"/>
      <c r="M121" s="13"/>
    </row>
    <row r="122" spans="1:13" s="53" customFormat="1">
      <c r="A122" s="142"/>
      <c r="B122" s="125"/>
      <c r="C122" s="125"/>
      <c r="D122" s="125"/>
      <c r="E122" s="67" t="s">
        <v>200</v>
      </c>
      <c r="F122" s="68">
        <f>F112+F120</f>
        <v>-3301390.67</v>
      </c>
      <c r="G122" s="265"/>
      <c r="L122" s="13"/>
      <c r="M122" s="13"/>
    </row>
    <row r="123" spans="1:13">
      <c r="A123" s="23" t="s">
        <v>42</v>
      </c>
      <c r="B123" s="22"/>
      <c r="C123" s="34" t="s">
        <v>118</v>
      </c>
      <c r="D123" s="22"/>
      <c r="E123" s="22"/>
      <c r="F123" s="22"/>
      <c r="G123" s="22"/>
      <c r="H123" s="53"/>
      <c r="I123" s="53"/>
      <c r="J123" s="53"/>
      <c r="K123" s="53"/>
      <c r="L123" s="13"/>
      <c r="M123" s="13"/>
    </row>
    <row r="124" spans="1:13" s="53" customFormat="1">
      <c r="A124" s="197"/>
      <c r="B124" s="197"/>
      <c r="C124" s="197"/>
      <c r="D124" s="197"/>
      <c r="E124" s="197"/>
      <c r="F124" s="197"/>
      <c r="G124" s="197"/>
      <c r="L124" s="13"/>
      <c r="M124" s="13"/>
    </row>
    <row r="125" spans="1:13" ht="25.5">
      <c r="A125" s="106" t="s">
        <v>43</v>
      </c>
      <c r="B125" s="107" t="s">
        <v>44</v>
      </c>
      <c r="C125" s="108" t="s">
        <v>45</v>
      </c>
      <c r="D125" s="109" t="s">
        <v>46</v>
      </c>
      <c r="E125" s="110" t="s">
        <v>47</v>
      </c>
      <c r="F125" s="109" t="s">
        <v>48</v>
      </c>
      <c r="G125" s="109" t="s">
        <v>49</v>
      </c>
      <c r="H125" s="53"/>
      <c r="I125" s="53"/>
      <c r="J125" s="53"/>
      <c r="K125" s="53"/>
    </row>
    <row r="126" spans="1:13" s="53" customFormat="1" hidden="1">
      <c r="A126" s="25">
        <v>254328</v>
      </c>
      <c r="B126" s="24" t="s">
        <v>136</v>
      </c>
      <c r="C126" s="26" t="s">
        <v>52</v>
      </c>
      <c r="D126" s="27" t="s">
        <v>192</v>
      </c>
      <c r="E126" s="28">
        <v>-843947.01</v>
      </c>
      <c r="F126" s="29">
        <v>126308.01</v>
      </c>
      <c r="G126" s="28">
        <v>-717639</v>
      </c>
      <c r="I126" s="17"/>
      <c r="J126" s="17">
        <f>G126-'Interest Reconciliation'!F128</f>
        <v>0</v>
      </c>
    </row>
    <row r="127" spans="1:13" s="53" customFormat="1" hidden="1">
      <c r="A127" s="127"/>
      <c r="B127" s="24" t="s">
        <v>136</v>
      </c>
      <c r="C127" s="31"/>
      <c r="D127" s="27" t="s">
        <v>193</v>
      </c>
      <c r="E127" s="28">
        <v>-717639</v>
      </c>
      <c r="F127" s="29">
        <v>103368.6</v>
      </c>
      <c r="G127" s="28">
        <v>-614270.4</v>
      </c>
      <c r="I127" s="182">
        <f>'Interest Reconciliation'!C129+'Interest Reconciliation'!D129+'Interest Reconciliation'!E129-'Accounting Balances'!F127</f>
        <v>0</v>
      </c>
      <c r="J127" s="17">
        <f>G127-'Interest Reconciliation'!F129</f>
        <v>0</v>
      </c>
    </row>
    <row r="128" spans="1:13" s="53" customFormat="1" hidden="1">
      <c r="A128" s="127"/>
      <c r="B128" s="24" t="s">
        <v>136</v>
      </c>
      <c r="C128" s="32"/>
      <c r="D128" s="27" t="s">
        <v>194</v>
      </c>
      <c r="E128" s="28">
        <v>-614270.4</v>
      </c>
      <c r="F128" s="29">
        <v>98300.2</v>
      </c>
      <c r="G128" s="28">
        <v>-515970.2</v>
      </c>
      <c r="I128" s="182">
        <f>'Interest Reconciliation'!C130+'Interest Reconciliation'!D130+'Interest Reconciliation'!E130-'Accounting Balances'!F128</f>
        <v>0</v>
      </c>
      <c r="J128" s="17">
        <f>G128-'Interest Reconciliation'!F130</f>
        <v>0</v>
      </c>
    </row>
    <row r="129" spans="1:12" s="53" customFormat="1">
      <c r="A129" s="25">
        <v>254328</v>
      </c>
      <c r="B129" s="24" t="s">
        <v>136</v>
      </c>
      <c r="C129" s="26" t="s">
        <v>52</v>
      </c>
      <c r="D129" s="27" t="s">
        <v>196</v>
      </c>
      <c r="E129" s="28">
        <v>-515970.2</v>
      </c>
      <c r="F129" s="29">
        <v>85369.87</v>
      </c>
      <c r="G129" s="28">
        <v>-430600.33</v>
      </c>
      <c r="I129" s="182">
        <f>'Interest Reconciliation'!C131+'Interest Reconciliation'!D131+'Interest Reconciliation'!E131-'Accounting Balances'!F129</f>
        <v>0</v>
      </c>
      <c r="J129" s="17">
        <f>G129-'Interest Reconciliation'!F131</f>
        <v>0</v>
      </c>
    </row>
    <row r="130" spans="1:12" s="53" customFormat="1">
      <c r="A130" s="127"/>
      <c r="B130" s="24" t="s">
        <v>136</v>
      </c>
      <c r="C130" s="31"/>
      <c r="D130" s="27" t="s">
        <v>197</v>
      </c>
      <c r="E130" s="28">
        <v>-430600.33</v>
      </c>
      <c r="F130" s="29">
        <v>72208.350000000006</v>
      </c>
      <c r="G130" s="28">
        <v>-358391.98</v>
      </c>
      <c r="I130" s="182">
        <f>'Interest Reconciliation'!C132+'Interest Reconciliation'!D132+'Interest Reconciliation'!E132-'Accounting Balances'!F130</f>
        <v>0</v>
      </c>
      <c r="J130" s="17">
        <f>G130-'Interest Reconciliation'!F132</f>
        <v>0</v>
      </c>
    </row>
    <row r="131" spans="1:12" s="53" customFormat="1">
      <c r="A131" s="127"/>
      <c r="B131" s="24" t="s">
        <v>136</v>
      </c>
      <c r="C131" s="32"/>
      <c r="D131" s="27" t="s">
        <v>198</v>
      </c>
      <c r="E131" s="28">
        <v>-358391.98</v>
      </c>
      <c r="F131" s="29">
        <v>64718.01</v>
      </c>
      <c r="G131" s="28">
        <v>-293673.96999999997</v>
      </c>
      <c r="I131" s="182">
        <f>'Interest Reconciliation'!C133+'Interest Reconciliation'!D133+'Interest Reconciliation'!E133-'Accounting Balances'!F131</f>
        <v>0</v>
      </c>
      <c r="J131" s="17">
        <f>G131-'Interest Reconciliation'!F133</f>
        <v>0</v>
      </c>
    </row>
    <row r="132" spans="1:12" s="53" customFormat="1" hidden="1">
      <c r="A132" s="127"/>
      <c r="B132" s="61"/>
      <c r="C132" s="61"/>
      <c r="D132" s="61"/>
      <c r="E132" s="63" t="s">
        <v>70</v>
      </c>
      <c r="F132" s="64">
        <f>SUM(F126:F128)</f>
        <v>327976.81</v>
      </c>
      <c r="G132" s="63"/>
      <c r="I132" s="140"/>
    </row>
    <row r="133" spans="1:12" s="53" customFormat="1">
      <c r="A133" s="127"/>
      <c r="B133" s="61"/>
      <c r="C133" s="268"/>
      <c r="D133" s="61"/>
      <c r="E133" s="63" t="s">
        <v>71</v>
      </c>
      <c r="F133" s="64">
        <f>SUM(F129:F131)</f>
        <v>222296.23</v>
      </c>
      <c r="G133" s="63"/>
      <c r="I133" s="140"/>
    </row>
    <row r="134" spans="1:12" s="53" customFormat="1" hidden="1">
      <c r="A134" s="25">
        <v>254328</v>
      </c>
      <c r="B134" s="24" t="s">
        <v>136</v>
      </c>
      <c r="C134" s="26" t="s">
        <v>53</v>
      </c>
      <c r="D134" s="27" t="s">
        <v>192</v>
      </c>
      <c r="E134" s="28">
        <v>0</v>
      </c>
      <c r="F134" s="29">
        <v>0</v>
      </c>
      <c r="G134" s="28">
        <v>0</v>
      </c>
      <c r="I134" s="17"/>
      <c r="J134" s="17"/>
      <c r="L134" s="17"/>
    </row>
    <row r="135" spans="1:12" s="53" customFormat="1" hidden="1">
      <c r="A135" s="127"/>
      <c r="B135" s="24" t="s">
        <v>136</v>
      </c>
      <c r="C135" s="31"/>
      <c r="D135" s="27" t="s">
        <v>193</v>
      </c>
      <c r="E135" s="28">
        <v>0</v>
      </c>
      <c r="F135" s="29">
        <v>0</v>
      </c>
      <c r="G135" s="28">
        <v>0</v>
      </c>
      <c r="I135" s="17"/>
      <c r="J135" s="17"/>
      <c r="L135" s="17"/>
    </row>
    <row r="136" spans="1:12" s="53" customFormat="1" hidden="1">
      <c r="A136" s="127"/>
      <c r="B136" s="24" t="s">
        <v>136</v>
      </c>
      <c r="C136" s="32"/>
      <c r="D136" s="27" t="s">
        <v>194</v>
      </c>
      <c r="E136" s="28">
        <v>0</v>
      </c>
      <c r="F136" s="29">
        <v>0</v>
      </c>
      <c r="G136" s="28">
        <v>0</v>
      </c>
      <c r="I136" s="17"/>
      <c r="J136" s="17"/>
      <c r="L136" s="17"/>
    </row>
    <row r="137" spans="1:12" s="53" customFormat="1">
      <c r="A137" s="25">
        <v>254328</v>
      </c>
      <c r="B137" s="24" t="s">
        <v>136</v>
      </c>
      <c r="C137" s="26" t="s">
        <v>53</v>
      </c>
      <c r="D137" s="27" t="s">
        <v>196</v>
      </c>
      <c r="E137" s="28">
        <v>0</v>
      </c>
      <c r="F137" s="29">
        <v>0</v>
      </c>
      <c r="G137" s="28">
        <v>0</v>
      </c>
      <c r="I137" s="17"/>
      <c r="J137" s="17"/>
      <c r="L137" s="17"/>
    </row>
    <row r="138" spans="1:12" s="53" customFormat="1">
      <c r="A138" s="127"/>
      <c r="B138" s="24" t="s">
        <v>136</v>
      </c>
      <c r="C138" s="31"/>
      <c r="D138" s="27" t="s">
        <v>197</v>
      </c>
      <c r="E138" s="28">
        <v>0</v>
      </c>
      <c r="F138" s="29">
        <v>0</v>
      </c>
      <c r="G138" s="28">
        <v>0</v>
      </c>
      <c r="I138" s="17"/>
      <c r="J138" s="17"/>
      <c r="L138" s="17"/>
    </row>
    <row r="139" spans="1:12" s="53" customFormat="1">
      <c r="A139" s="127"/>
      <c r="B139" s="24" t="s">
        <v>136</v>
      </c>
      <c r="C139" s="32"/>
      <c r="D139" s="27" t="s">
        <v>198</v>
      </c>
      <c r="E139" s="28">
        <v>0</v>
      </c>
      <c r="F139" s="29">
        <v>0</v>
      </c>
      <c r="G139" s="28">
        <v>0</v>
      </c>
      <c r="I139" s="17"/>
      <c r="J139" s="17"/>
      <c r="L139" s="17"/>
    </row>
    <row r="140" spans="1:12" s="53" customFormat="1" hidden="1">
      <c r="A140" s="128"/>
      <c r="B140" s="61"/>
      <c r="C140" s="61"/>
      <c r="D140" s="61"/>
      <c r="E140" s="63" t="s">
        <v>70</v>
      </c>
      <c r="F140" s="64">
        <f>SUM(F134:F136)</f>
        <v>0</v>
      </c>
      <c r="G140" s="63"/>
      <c r="I140" s="17"/>
      <c r="J140" s="17"/>
    </row>
    <row r="141" spans="1:12" s="53" customFormat="1">
      <c r="A141" s="257"/>
      <c r="B141" s="61"/>
      <c r="C141" s="268"/>
      <c r="D141" s="61"/>
      <c r="E141" s="63" t="s">
        <v>71</v>
      </c>
      <c r="F141" s="64">
        <f>SUM(F137:F139)</f>
        <v>0</v>
      </c>
      <c r="G141" s="63"/>
      <c r="I141" s="17"/>
      <c r="J141" s="17"/>
    </row>
    <row r="142" spans="1:12" s="53" customFormat="1" hidden="1">
      <c r="A142" s="125"/>
      <c r="B142" s="65"/>
      <c r="C142" s="119"/>
      <c r="D142" s="65"/>
      <c r="E142" s="67" t="s">
        <v>199</v>
      </c>
      <c r="F142" s="68">
        <f>F132+F140</f>
        <v>327976.81</v>
      </c>
      <c r="G142" s="67"/>
      <c r="I142" s="17"/>
      <c r="J142" s="17"/>
    </row>
    <row r="143" spans="1:12" s="53" customFormat="1">
      <c r="A143" s="125"/>
      <c r="B143" s="65"/>
      <c r="C143" s="119"/>
      <c r="D143" s="65"/>
      <c r="E143" s="67" t="s">
        <v>200</v>
      </c>
      <c r="F143" s="68">
        <f>F133+F141</f>
        <v>222296.23</v>
      </c>
      <c r="G143" s="67"/>
      <c r="I143" s="17"/>
      <c r="J143" s="17"/>
    </row>
    <row r="144" spans="1:12" s="53" customFormat="1" ht="15.75" hidden="1">
      <c r="A144" s="126" t="s">
        <v>114</v>
      </c>
      <c r="B144" s="24" t="s">
        <v>115</v>
      </c>
      <c r="C144" s="26" t="s">
        <v>52</v>
      </c>
      <c r="D144" s="27" t="s">
        <v>192</v>
      </c>
      <c r="E144" s="28">
        <v>0</v>
      </c>
      <c r="F144" s="29">
        <v>0</v>
      </c>
      <c r="G144" s="28">
        <v>0</v>
      </c>
      <c r="H144" s="222"/>
      <c r="I144" s="17"/>
      <c r="J144" s="17"/>
    </row>
    <row r="145" spans="1:12" s="53" customFormat="1" ht="15.75" hidden="1">
      <c r="A145" s="127"/>
      <c r="B145" s="24" t="s">
        <v>115</v>
      </c>
      <c r="C145" s="31"/>
      <c r="D145" s="27" t="s">
        <v>193</v>
      </c>
      <c r="E145" s="28">
        <v>0</v>
      </c>
      <c r="F145" s="29">
        <v>0</v>
      </c>
      <c r="G145" s="28">
        <v>0</v>
      </c>
      <c r="H145" s="222"/>
      <c r="I145" s="17"/>
      <c r="J145" s="17"/>
    </row>
    <row r="146" spans="1:12" s="53" customFormat="1" ht="15.75" hidden="1">
      <c r="A146" s="127"/>
      <c r="B146" s="24" t="s">
        <v>115</v>
      </c>
      <c r="C146" s="32"/>
      <c r="D146" s="27" t="s">
        <v>194</v>
      </c>
      <c r="E146" s="28">
        <v>0</v>
      </c>
      <c r="F146" s="29">
        <v>0</v>
      </c>
      <c r="G146" s="28">
        <v>0</v>
      </c>
      <c r="H146" s="222"/>
      <c r="I146" s="17"/>
      <c r="J146" s="17"/>
    </row>
    <row r="147" spans="1:12" s="53" customFormat="1" ht="15.75">
      <c r="A147" s="126" t="s">
        <v>114</v>
      </c>
      <c r="B147" s="24" t="s">
        <v>115</v>
      </c>
      <c r="C147" s="26" t="s">
        <v>52</v>
      </c>
      <c r="D147" s="27" t="s">
        <v>196</v>
      </c>
      <c r="E147" s="28">
        <v>0</v>
      </c>
      <c r="F147" s="29">
        <v>0</v>
      </c>
      <c r="G147" s="28">
        <v>0</v>
      </c>
      <c r="H147" s="255"/>
      <c r="I147" s="17"/>
      <c r="J147" s="17"/>
    </row>
    <row r="148" spans="1:12" s="53" customFormat="1" ht="15.75">
      <c r="A148" s="127"/>
      <c r="B148" s="24" t="s">
        <v>115</v>
      </c>
      <c r="C148" s="31"/>
      <c r="D148" s="27" t="s">
        <v>197</v>
      </c>
      <c r="E148" s="28">
        <v>0</v>
      </c>
      <c r="F148" s="29">
        <v>0</v>
      </c>
      <c r="G148" s="28">
        <v>0</v>
      </c>
      <c r="H148" s="255"/>
      <c r="I148" s="17"/>
      <c r="J148" s="17"/>
    </row>
    <row r="149" spans="1:12" s="53" customFormat="1" ht="15.75">
      <c r="A149" s="127"/>
      <c r="B149" s="24" t="s">
        <v>115</v>
      </c>
      <c r="C149" s="32"/>
      <c r="D149" s="27" t="s">
        <v>198</v>
      </c>
      <c r="E149" s="28">
        <v>0</v>
      </c>
      <c r="F149" s="29">
        <v>0</v>
      </c>
      <c r="G149" s="28">
        <v>0</v>
      </c>
      <c r="H149" s="255"/>
      <c r="I149" s="17"/>
      <c r="J149" s="17"/>
    </row>
    <row r="150" spans="1:12" hidden="1">
      <c r="A150" s="127"/>
      <c r="B150" s="61"/>
      <c r="C150" s="61"/>
      <c r="D150" s="61"/>
      <c r="E150" s="63" t="s">
        <v>70</v>
      </c>
      <c r="F150" s="64">
        <f>SUM(F144:F146)</f>
        <v>0</v>
      </c>
      <c r="G150" s="63"/>
      <c r="H150" s="53"/>
      <c r="I150" s="17"/>
      <c r="J150" s="17"/>
      <c r="K150" s="53"/>
    </row>
    <row r="151" spans="1:12" s="53" customFormat="1">
      <c r="A151" s="127"/>
      <c r="B151" s="61"/>
      <c r="C151" s="268"/>
      <c r="D151" s="61"/>
      <c r="E151" s="63" t="s">
        <v>71</v>
      </c>
      <c r="F151" s="64">
        <f>SUM(F147:F149)</f>
        <v>0</v>
      </c>
      <c r="G151" s="63"/>
      <c r="I151" s="17"/>
      <c r="J151" s="17"/>
    </row>
    <row r="152" spans="1:12" s="53" customFormat="1" hidden="1">
      <c r="A152" s="126" t="s">
        <v>114</v>
      </c>
      <c r="B152" s="24" t="s">
        <v>115</v>
      </c>
      <c r="C152" s="26" t="s">
        <v>53</v>
      </c>
      <c r="D152" s="27" t="s">
        <v>192</v>
      </c>
      <c r="E152" s="28">
        <v>0</v>
      </c>
      <c r="F152" s="29">
        <v>0</v>
      </c>
      <c r="G152" s="28">
        <v>0</v>
      </c>
      <c r="I152" s="17"/>
      <c r="J152" s="17"/>
      <c r="L152" s="17"/>
    </row>
    <row r="153" spans="1:12" s="53" customFormat="1" hidden="1">
      <c r="A153" s="127"/>
      <c r="B153" s="24" t="s">
        <v>115</v>
      </c>
      <c r="C153" s="31"/>
      <c r="D153" s="27" t="s">
        <v>193</v>
      </c>
      <c r="E153" s="28">
        <v>0</v>
      </c>
      <c r="F153" s="29">
        <v>0</v>
      </c>
      <c r="G153" s="28">
        <v>0</v>
      </c>
      <c r="I153" s="17"/>
      <c r="J153" s="17"/>
      <c r="L153" s="17"/>
    </row>
    <row r="154" spans="1:12" s="53" customFormat="1" hidden="1">
      <c r="A154" s="127"/>
      <c r="B154" s="24" t="s">
        <v>115</v>
      </c>
      <c r="C154" s="32"/>
      <c r="D154" s="27" t="s">
        <v>194</v>
      </c>
      <c r="E154" s="28">
        <v>0</v>
      </c>
      <c r="F154" s="29">
        <v>0</v>
      </c>
      <c r="G154" s="28">
        <v>0</v>
      </c>
      <c r="I154" s="17"/>
      <c r="J154" s="17"/>
      <c r="L154" s="17"/>
    </row>
    <row r="155" spans="1:12" s="53" customFormat="1">
      <c r="A155" s="126" t="s">
        <v>114</v>
      </c>
      <c r="B155" s="24" t="s">
        <v>115</v>
      </c>
      <c r="C155" s="26" t="s">
        <v>53</v>
      </c>
      <c r="D155" s="27" t="s">
        <v>196</v>
      </c>
      <c r="E155" s="28">
        <v>0</v>
      </c>
      <c r="F155" s="29">
        <v>0</v>
      </c>
      <c r="G155" s="28">
        <v>0</v>
      </c>
      <c r="I155" s="17"/>
      <c r="J155" s="17"/>
      <c r="L155" s="17"/>
    </row>
    <row r="156" spans="1:12" s="53" customFormat="1">
      <c r="A156" s="127"/>
      <c r="B156" s="24" t="s">
        <v>115</v>
      </c>
      <c r="C156" s="31"/>
      <c r="D156" s="27" t="s">
        <v>197</v>
      </c>
      <c r="E156" s="28">
        <v>0</v>
      </c>
      <c r="F156" s="29">
        <v>0</v>
      </c>
      <c r="G156" s="28">
        <v>0</v>
      </c>
      <c r="I156" s="17"/>
      <c r="J156" s="17"/>
      <c r="L156" s="17"/>
    </row>
    <row r="157" spans="1:12" s="53" customFormat="1">
      <c r="A157" s="127"/>
      <c r="B157" s="24" t="s">
        <v>115</v>
      </c>
      <c r="C157" s="32"/>
      <c r="D157" s="27" t="s">
        <v>198</v>
      </c>
      <c r="E157" s="28">
        <v>0</v>
      </c>
      <c r="F157" s="29">
        <v>0</v>
      </c>
      <c r="G157" s="28">
        <v>0</v>
      </c>
      <c r="I157" s="17"/>
      <c r="J157" s="17"/>
      <c r="L157" s="17"/>
    </row>
    <row r="158" spans="1:12" s="53" customFormat="1" hidden="1">
      <c r="A158" s="128"/>
      <c r="B158" s="61"/>
      <c r="C158" s="61"/>
      <c r="D158" s="61"/>
      <c r="E158" s="63" t="s">
        <v>70</v>
      </c>
      <c r="F158" s="64">
        <f>SUM(F152:F154)</f>
        <v>0</v>
      </c>
      <c r="G158" s="63"/>
    </row>
    <row r="159" spans="1:12" s="53" customFormat="1">
      <c r="A159" s="257"/>
      <c r="B159" s="61"/>
      <c r="C159" s="268"/>
      <c r="D159" s="61"/>
      <c r="E159" s="63" t="s">
        <v>71</v>
      </c>
      <c r="F159" s="64">
        <f>SUM(F155:F157)</f>
        <v>0</v>
      </c>
      <c r="G159" s="63"/>
    </row>
    <row r="160" spans="1:12" s="53" customFormat="1" hidden="1">
      <c r="A160" s="125"/>
      <c r="B160" s="65"/>
      <c r="C160" s="119"/>
      <c r="D160" s="65"/>
      <c r="E160" s="67" t="s">
        <v>199</v>
      </c>
      <c r="F160" s="68">
        <f>F150+F158</f>
        <v>0</v>
      </c>
      <c r="G160" s="67"/>
    </row>
    <row r="161" spans="1:11" s="53" customFormat="1">
      <c r="A161" s="125"/>
      <c r="B161" s="125"/>
      <c r="C161" s="125"/>
      <c r="D161" s="125"/>
      <c r="E161" s="67" t="s">
        <v>200</v>
      </c>
      <c r="F161" s="68">
        <f>F151+F159</f>
        <v>0</v>
      </c>
      <c r="G161" s="265"/>
    </row>
    <row r="162" spans="1:11">
      <c r="A162" s="53"/>
      <c r="B162" s="53"/>
      <c r="C162" s="53"/>
      <c r="D162" s="53"/>
      <c r="E162" s="53"/>
      <c r="F162" s="53"/>
      <c r="G162" s="53"/>
      <c r="H162" s="53"/>
      <c r="I162" s="53"/>
      <c r="J162" s="53"/>
      <c r="K162" s="53"/>
    </row>
    <row r="163" spans="1:11">
      <c r="A163" s="23" t="s">
        <v>42</v>
      </c>
      <c r="B163" s="22"/>
      <c r="C163" s="112" t="s">
        <v>112</v>
      </c>
      <c r="D163" s="22"/>
      <c r="E163" s="22"/>
      <c r="F163" s="22"/>
      <c r="G163" s="22"/>
      <c r="H163" s="53"/>
      <c r="I163" s="53"/>
      <c r="J163" s="53"/>
      <c r="K163" s="53"/>
    </row>
    <row r="164" spans="1:11">
      <c r="A164" s="22"/>
      <c r="B164" s="22"/>
      <c r="C164" s="22"/>
      <c r="D164" s="22"/>
      <c r="E164" s="22"/>
      <c r="F164" s="22"/>
      <c r="G164" s="22"/>
      <c r="H164" s="53"/>
      <c r="I164" s="53"/>
      <c r="J164" s="53"/>
      <c r="K164" s="53"/>
    </row>
    <row r="165" spans="1:11" s="53" customFormat="1" ht="31.15" customHeight="1">
      <c r="A165" s="69" t="s">
        <v>43</v>
      </c>
      <c r="B165" s="70" t="s">
        <v>44</v>
      </c>
      <c r="C165" s="71" t="s">
        <v>45</v>
      </c>
      <c r="D165" s="69" t="s">
        <v>46</v>
      </c>
      <c r="E165" s="69" t="s">
        <v>47</v>
      </c>
      <c r="F165" s="69" t="s">
        <v>48</v>
      </c>
      <c r="G165" s="69" t="s">
        <v>49</v>
      </c>
      <c r="J165" s="270" t="s">
        <v>135</v>
      </c>
      <c r="K165" s="270"/>
    </row>
    <row r="166" spans="1:11" s="53" customFormat="1" hidden="1">
      <c r="A166" s="25" t="s">
        <v>58</v>
      </c>
      <c r="B166" s="24" t="s">
        <v>59</v>
      </c>
      <c r="C166" s="26" t="s">
        <v>52</v>
      </c>
      <c r="D166" s="27" t="s">
        <v>192</v>
      </c>
      <c r="E166" s="28">
        <v>-957227</v>
      </c>
      <c r="F166" s="29">
        <v>852644.48</v>
      </c>
      <c r="G166" s="28">
        <v>-104582.52</v>
      </c>
      <c r="H166" s="120"/>
      <c r="I166" s="13"/>
      <c r="J166" s="122">
        <f t="shared" ref="J166:J171" si="0">(G6+G24+G46+G64+G87+G105+G126+G144+G306+G324)*-0.21</f>
        <v>-104582.54520000002</v>
      </c>
      <c r="K166" s="122">
        <f>J166-G166</f>
        <v>-2.5200000018230639E-2</v>
      </c>
    </row>
    <row r="167" spans="1:11" s="53" customFormat="1" hidden="1">
      <c r="A167" s="30"/>
      <c r="B167" s="24" t="s">
        <v>59</v>
      </c>
      <c r="C167" s="31"/>
      <c r="D167" s="27" t="s">
        <v>193</v>
      </c>
      <c r="E167" s="28">
        <v>-104582.52</v>
      </c>
      <c r="F167" s="29">
        <v>652053.86</v>
      </c>
      <c r="G167" s="28">
        <v>547471.34</v>
      </c>
      <c r="H167" s="120"/>
      <c r="I167" s="13"/>
      <c r="J167" s="122">
        <f t="shared" si="0"/>
        <v>547471.31460000039</v>
      </c>
      <c r="K167" s="122">
        <f>J167-G167</f>
        <v>-2.5399999576620758E-2</v>
      </c>
    </row>
    <row r="168" spans="1:11" s="53" customFormat="1" hidden="1">
      <c r="A168" s="30"/>
      <c r="B168" s="24" t="s">
        <v>59</v>
      </c>
      <c r="C168" s="32"/>
      <c r="D168" s="27" t="s">
        <v>194</v>
      </c>
      <c r="E168" s="28">
        <v>547471.34</v>
      </c>
      <c r="F168" s="29">
        <v>303996.53000000003</v>
      </c>
      <c r="G168" s="28">
        <v>851467.87</v>
      </c>
      <c r="H168" s="120"/>
      <c r="I168" s="13"/>
      <c r="J168" s="122">
        <f t="shared" si="0"/>
        <v>851467.84799999988</v>
      </c>
      <c r="K168" s="122">
        <f>J168-G168</f>
        <v>-2.2000000113621354E-2</v>
      </c>
    </row>
    <row r="169" spans="1:11" s="53" customFormat="1">
      <c r="A169" s="25" t="s">
        <v>58</v>
      </c>
      <c r="B169" s="24" t="s">
        <v>59</v>
      </c>
      <c r="C169" s="26" t="s">
        <v>52</v>
      </c>
      <c r="D169" s="27" t="s">
        <v>196</v>
      </c>
      <c r="E169" s="28">
        <v>851467.87</v>
      </c>
      <c r="F169" s="29">
        <v>816772.98</v>
      </c>
      <c r="G169" s="28">
        <v>1668240.85</v>
      </c>
      <c r="H169" s="120"/>
      <c r="I169" s="13"/>
      <c r="J169" s="122">
        <f t="shared" si="0"/>
        <v>1668240.8294999993</v>
      </c>
      <c r="K169" s="122">
        <f t="shared" ref="K169:K171" si="1">J169-G169</f>
        <v>-2.0500000799074769E-2</v>
      </c>
    </row>
    <row r="170" spans="1:11" s="53" customFormat="1">
      <c r="A170" s="30"/>
      <c r="B170" s="24" t="s">
        <v>59</v>
      </c>
      <c r="C170" s="31"/>
      <c r="D170" s="27" t="s">
        <v>197</v>
      </c>
      <c r="E170" s="28">
        <v>1668240.85</v>
      </c>
      <c r="F170" s="29">
        <v>-288744.65000000002</v>
      </c>
      <c r="G170" s="28">
        <v>1379496.2</v>
      </c>
      <c r="H170" s="120"/>
      <c r="I170" s="13"/>
      <c r="J170" s="122">
        <f t="shared" si="0"/>
        <v>1379496.1866000001</v>
      </c>
      <c r="K170" s="122">
        <f t="shared" si="1"/>
        <v>-1.3399999821558595E-2</v>
      </c>
    </row>
    <row r="171" spans="1:11" s="53" customFormat="1">
      <c r="A171" s="30"/>
      <c r="B171" s="24" t="s">
        <v>59</v>
      </c>
      <c r="C171" s="32"/>
      <c r="D171" s="27" t="s">
        <v>198</v>
      </c>
      <c r="E171" s="28">
        <v>1379496.2</v>
      </c>
      <c r="F171" s="29">
        <v>-87930.61</v>
      </c>
      <c r="G171" s="28">
        <v>1291565.5900000001</v>
      </c>
      <c r="H171" s="120"/>
      <c r="I171" s="13"/>
      <c r="J171" s="122">
        <f t="shared" si="0"/>
        <v>1291565.5766999996</v>
      </c>
      <c r="K171" s="122">
        <f t="shared" si="1"/>
        <v>-1.330000045709312E-2</v>
      </c>
    </row>
    <row r="172" spans="1:11" s="53" customFormat="1" hidden="1">
      <c r="A172" s="30"/>
      <c r="B172" s="61"/>
      <c r="C172" s="62"/>
      <c r="D172" s="61"/>
      <c r="E172" s="63" t="s">
        <v>70</v>
      </c>
      <c r="F172" s="64">
        <f>SUM(F166:F168)</f>
        <v>1808694.8699999999</v>
      </c>
      <c r="G172" s="63"/>
    </row>
    <row r="173" spans="1:11" s="53" customFormat="1">
      <c r="A173" s="30"/>
      <c r="B173" s="61"/>
      <c r="C173" s="260"/>
      <c r="D173" s="61"/>
      <c r="E173" s="63" t="s">
        <v>71</v>
      </c>
      <c r="F173" s="64">
        <f>SUM(F169:F171)</f>
        <v>440097.72</v>
      </c>
      <c r="G173" s="63"/>
    </row>
    <row r="174" spans="1:11" s="53" customFormat="1" hidden="1">
      <c r="A174" s="25" t="s">
        <v>58</v>
      </c>
      <c r="B174" s="24" t="s">
        <v>59</v>
      </c>
      <c r="C174" s="26" t="s">
        <v>53</v>
      </c>
      <c r="D174" s="27" t="s">
        <v>192</v>
      </c>
      <c r="E174" s="28">
        <v>-1882262.1</v>
      </c>
      <c r="F174" s="29">
        <v>621952.06000000006</v>
      </c>
      <c r="G174" s="28">
        <v>-1260310.04</v>
      </c>
      <c r="H174" s="120"/>
      <c r="J174" s="122">
        <f t="shared" ref="J174:J179" si="2">(G14+G32+G54+G72+G95+G113+G134+G152+G314+G332)*-0.21</f>
        <v>-1260309.8885999999</v>
      </c>
      <c r="K174" s="122">
        <f>J174-G174</f>
        <v>0.1514000000897795</v>
      </c>
    </row>
    <row r="175" spans="1:11" s="53" customFormat="1" hidden="1">
      <c r="A175" s="30"/>
      <c r="B175" s="24" t="s">
        <v>59</v>
      </c>
      <c r="C175" s="31"/>
      <c r="D175" s="27" t="s">
        <v>193</v>
      </c>
      <c r="E175" s="28">
        <v>-1260310.04</v>
      </c>
      <c r="F175" s="29">
        <v>232555.7</v>
      </c>
      <c r="G175" s="28">
        <v>-1027754.34</v>
      </c>
      <c r="H175" s="120"/>
      <c r="J175" s="122">
        <f t="shared" si="2"/>
        <v>-1027754.1834</v>
      </c>
      <c r="K175" s="122">
        <f>J175-G175</f>
        <v>0.15659999998752028</v>
      </c>
    </row>
    <row r="176" spans="1:11" s="53" customFormat="1" hidden="1">
      <c r="A176" s="30"/>
      <c r="B176" s="24" t="s">
        <v>59</v>
      </c>
      <c r="C176" s="32"/>
      <c r="D176" s="27" t="s">
        <v>194</v>
      </c>
      <c r="E176" s="28">
        <v>-1027754.34</v>
      </c>
      <c r="F176" s="29">
        <v>-155426.67000000001</v>
      </c>
      <c r="G176" s="28">
        <v>-1183181.01</v>
      </c>
      <c r="H176" s="120"/>
      <c r="J176" s="122">
        <f t="shared" si="2"/>
        <v>-1183180.8597000001</v>
      </c>
      <c r="K176" s="122">
        <f>J176-G176</f>
        <v>0.15029999986290932</v>
      </c>
    </row>
    <row r="177" spans="1:11" s="53" customFormat="1">
      <c r="A177" s="25" t="s">
        <v>58</v>
      </c>
      <c r="B177" s="24" t="s">
        <v>59</v>
      </c>
      <c r="C177" s="26" t="s">
        <v>53</v>
      </c>
      <c r="D177" s="27" t="s">
        <v>196</v>
      </c>
      <c r="E177" s="28">
        <v>-1183181.01</v>
      </c>
      <c r="F177" s="29">
        <v>220088.01</v>
      </c>
      <c r="G177" s="28">
        <v>-963093</v>
      </c>
      <c r="H177" s="120"/>
      <c r="J177" s="122">
        <f t="shared" si="2"/>
        <v>-963092.84819999989</v>
      </c>
      <c r="K177" s="122">
        <f t="shared" ref="K177:K179" si="3">J177-G177</f>
        <v>0.15180000010877848</v>
      </c>
    </row>
    <row r="178" spans="1:11" s="53" customFormat="1">
      <c r="A178" s="30"/>
      <c r="B178" s="24" t="s">
        <v>59</v>
      </c>
      <c r="C178" s="31"/>
      <c r="D178" s="27" t="s">
        <v>197</v>
      </c>
      <c r="E178" s="28">
        <v>-963093</v>
      </c>
      <c r="F178" s="29">
        <v>102636.27</v>
      </c>
      <c r="G178" s="28">
        <v>-860456.73</v>
      </c>
      <c r="H178" s="120"/>
      <c r="J178" s="122">
        <f t="shared" si="2"/>
        <v>-860456.57880000002</v>
      </c>
      <c r="K178" s="122">
        <f t="shared" si="3"/>
        <v>0.15119999996386468</v>
      </c>
    </row>
    <row r="179" spans="1:11" s="53" customFormat="1">
      <c r="A179" s="30"/>
      <c r="B179" s="24" t="s">
        <v>59</v>
      </c>
      <c r="C179" s="32"/>
      <c r="D179" s="27" t="s">
        <v>198</v>
      </c>
      <c r="E179" s="28">
        <v>-860456.73</v>
      </c>
      <c r="F179" s="29">
        <v>-76924.179999999993</v>
      </c>
      <c r="G179" s="28">
        <v>-937380.91</v>
      </c>
      <c r="H179" s="120"/>
      <c r="J179" s="122">
        <f t="shared" si="2"/>
        <v>-937380.75900000019</v>
      </c>
      <c r="K179" s="122">
        <f t="shared" si="3"/>
        <v>0.15099999983794987</v>
      </c>
    </row>
    <row r="180" spans="1:11" s="53" customFormat="1" hidden="1">
      <c r="A180" s="33"/>
      <c r="B180" s="61"/>
      <c r="C180" s="62"/>
      <c r="D180" s="61"/>
      <c r="E180" s="63" t="s">
        <v>70</v>
      </c>
      <c r="F180" s="64">
        <f>SUM(F174:F176)</f>
        <v>699081.09</v>
      </c>
      <c r="G180" s="63"/>
    </row>
    <row r="181" spans="1:11" s="53" customFormat="1">
      <c r="A181" s="263"/>
      <c r="B181" s="61"/>
      <c r="C181" s="62"/>
      <c r="D181" s="61"/>
      <c r="E181" s="63" t="s">
        <v>71</v>
      </c>
      <c r="F181" s="64">
        <f>SUM(F177:F179)</f>
        <v>245800.10000000003</v>
      </c>
      <c r="G181" s="63"/>
    </row>
    <row r="182" spans="1:11" hidden="1">
      <c r="A182" s="65"/>
      <c r="B182" s="66"/>
      <c r="C182" s="65"/>
      <c r="D182" s="65"/>
      <c r="E182" s="67" t="s">
        <v>199</v>
      </c>
      <c r="F182" s="68">
        <f>F172+F180</f>
        <v>2507775.96</v>
      </c>
      <c r="G182" s="67"/>
      <c r="H182" s="53"/>
      <c r="I182" s="53"/>
      <c r="J182" s="53"/>
      <c r="K182" s="53"/>
    </row>
    <row r="183" spans="1:11" s="53" customFormat="1">
      <c r="A183" s="125"/>
      <c r="B183" s="267"/>
      <c r="C183" s="125"/>
      <c r="D183" s="125"/>
      <c r="E183" s="67" t="s">
        <v>200</v>
      </c>
      <c r="F183" s="68">
        <f>F173+F181</f>
        <v>685897.82000000007</v>
      </c>
      <c r="G183" s="265"/>
    </row>
    <row r="184" spans="1:11" s="53" customFormat="1">
      <c r="A184" s="102"/>
      <c r="B184" s="105"/>
      <c r="C184" s="102"/>
      <c r="D184" s="102"/>
      <c r="E184" s="103"/>
      <c r="F184" s="104"/>
      <c r="G184" s="103"/>
    </row>
    <row r="185" spans="1:11" s="53" customFormat="1" ht="15.75">
      <c r="A185" s="269" t="s">
        <v>60</v>
      </c>
      <c r="B185" s="269"/>
      <c r="C185" s="269"/>
      <c r="D185" s="269"/>
      <c r="E185" s="269"/>
      <c r="F185" s="269"/>
      <c r="G185" s="269"/>
    </row>
    <row r="186" spans="1:11" s="53" customFormat="1" ht="15.75">
      <c r="A186" s="111"/>
      <c r="B186" s="111"/>
      <c r="C186" s="111"/>
      <c r="D186" s="111"/>
      <c r="E186" s="111"/>
      <c r="F186" s="111"/>
      <c r="G186" s="111"/>
    </row>
    <row r="187" spans="1:11" s="53" customFormat="1">
      <c r="A187" s="23" t="s">
        <v>42</v>
      </c>
      <c r="B187" s="22"/>
      <c r="C187" s="9" t="s">
        <v>111</v>
      </c>
      <c r="D187" s="22"/>
      <c r="E187" s="22"/>
      <c r="F187" s="22"/>
      <c r="G187" s="22"/>
    </row>
    <row r="188" spans="1:11" s="53" customFormat="1">
      <c r="A188" s="272"/>
      <c r="B188" s="272"/>
      <c r="C188" s="272"/>
      <c r="D188" s="272"/>
      <c r="E188" s="272"/>
      <c r="F188" s="272"/>
      <c r="G188" s="272"/>
    </row>
    <row r="189" spans="1:11" s="53" customFormat="1" ht="26.25">
      <c r="A189" s="69" t="s">
        <v>43</v>
      </c>
      <c r="B189" s="70" t="s">
        <v>44</v>
      </c>
      <c r="C189" s="71" t="s">
        <v>45</v>
      </c>
      <c r="D189" s="69" t="s">
        <v>46</v>
      </c>
      <c r="E189" s="69" t="s">
        <v>47</v>
      </c>
      <c r="F189" s="69" t="s">
        <v>48</v>
      </c>
      <c r="G189" s="69" t="s">
        <v>49</v>
      </c>
      <c r="K189" s="123"/>
    </row>
    <row r="190" spans="1:11" s="53" customFormat="1" hidden="1">
      <c r="A190" s="25" t="s">
        <v>62</v>
      </c>
      <c r="B190" s="24" t="s">
        <v>63</v>
      </c>
      <c r="C190" s="26" t="s">
        <v>52</v>
      </c>
      <c r="D190" s="27" t="s">
        <v>192</v>
      </c>
      <c r="E190" s="28">
        <v>0</v>
      </c>
      <c r="F190" s="29">
        <v>2838689.8</v>
      </c>
      <c r="G190" s="28">
        <v>2838689.8</v>
      </c>
    </row>
    <row r="191" spans="1:11" s="53" customFormat="1" hidden="1">
      <c r="A191" s="30"/>
      <c r="B191" s="24" t="s">
        <v>63</v>
      </c>
      <c r="C191" s="31"/>
      <c r="D191" s="27" t="s">
        <v>193</v>
      </c>
      <c r="E191" s="28">
        <v>2838689.8</v>
      </c>
      <c r="F191" s="29">
        <v>2626002.98</v>
      </c>
      <c r="G191" s="28">
        <v>5464692.7800000003</v>
      </c>
    </row>
    <row r="192" spans="1:11" s="53" customFormat="1" hidden="1">
      <c r="A192" s="30"/>
      <c r="B192" s="24" t="s">
        <v>63</v>
      </c>
      <c r="C192" s="32"/>
      <c r="D192" s="27" t="s">
        <v>194</v>
      </c>
      <c r="E192" s="28">
        <v>5464692.7800000003</v>
      </c>
      <c r="F192" s="29">
        <v>-88043.22</v>
      </c>
      <c r="G192" s="28">
        <v>5376649.5599999996</v>
      </c>
    </row>
    <row r="193" spans="1:11" s="53" customFormat="1">
      <c r="A193" s="25" t="s">
        <v>62</v>
      </c>
      <c r="B193" s="24" t="s">
        <v>63</v>
      </c>
      <c r="C193" s="26" t="s">
        <v>52</v>
      </c>
      <c r="D193" s="27" t="s">
        <v>196</v>
      </c>
      <c r="E193" s="28">
        <v>5376649.5599999996</v>
      </c>
      <c r="F193" s="29">
        <v>1919946.48</v>
      </c>
      <c r="G193" s="28">
        <v>7296596.04</v>
      </c>
    </row>
    <row r="194" spans="1:11" s="53" customFormat="1">
      <c r="A194" s="30"/>
      <c r="B194" s="24" t="s">
        <v>63</v>
      </c>
      <c r="C194" s="31"/>
      <c r="D194" s="27" t="s">
        <v>197</v>
      </c>
      <c r="E194" s="28">
        <v>7296596.04</v>
      </c>
      <c r="F194" s="29">
        <v>-738105.66</v>
      </c>
      <c r="G194" s="28">
        <v>6558490.3799999999</v>
      </c>
    </row>
    <row r="195" spans="1:11" s="53" customFormat="1">
      <c r="A195" s="30"/>
      <c r="B195" s="24" t="s">
        <v>63</v>
      </c>
      <c r="C195" s="32"/>
      <c r="D195" s="27" t="s">
        <v>198</v>
      </c>
      <c r="E195" s="28">
        <v>6558490.3799999999</v>
      </c>
      <c r="F195" s="29">
        <v>-423382.44</v>
      </c>
      <c r="G195" s="28">
        <v>6135107.9400000004</v>
      </c>
    </row>
    <row r="196" spans="1:11" s="53" customFormat="1" hidden="1">
      <c r="A196" s="33"/>
      <c r="B196" s="65"/>
      <c r="C196" s="72"/>
      <c r="D196" s="65"/>
      <c r="E196" s="67" t="s">
        <v>70</v>
      </c>
      <c r="F196" s="68">
        <f>SUM(F190:F192)</f>
        <v>5376649.5599999996</v>
      </c>
      <c r="G196" s="67"/>
    </row>
    <row r="197" spans="1:11" s="53" customFormat="1">
      <c r="A197" s="30"/>
      <c r="B197" s="65"/>
      <c r="C197" s="266"/>
      <c r="D197" s="65"/>
      <c r="E197" s="67" t="s">
        <v>71</v>
      </c>
      <c r="F197" s="68">
        <f>SUM(F193:F195)</f>
        <v>758458.37999999989</v>
      </c>
      <c r="G197" s="67"/>
    </row>
    <row r="198" spans="1:11" s="53" customFormat="1" hidden="1">
      <c r="A198" s="25" t="s">
        <v>64</v>
      </c>
      <c r="B198" s="24" t="s">
        <v>65</v>
      </c>
      <c r="C198" s="26" t="s">
        <v>52</v>
      </c>
      <c r="D198" s="27" t="s">
        <v>192</v>
      </c>
      <c r="E198" s="28">
        <v>0</v>
      </c>
      <c r="F198" s="29">
        <v>217999.59</v>
      </c>
      <c r="G198" s="28">
        <v>217999.59</v>
      </c>
    </row>
    <row r="199" spans="1:11" s="53" customFormat="1" hidden="1">
      <c r="A199" s="30"/>
      <c r="B199" s="24" t="s">
        <v>65</v>
      </c>
      <c r="C199" s="31"/>
      <c r="D199" s="27" t="s">
        <v>193</v>
      </c>
      <c r="E199" s="28">
        <v>217999.59</v>
      </c>
      <c r="F199" s="29">
        <v>-488120.74</v>
      </c>
      <c r="G199" s="28">
        <v>-270121.15000000002</v>
      </c>
    </row>
    <row r="200" spans="1:11" s="53" customFormat="1" hidden="1">
      <c r="A200" s="30"/>
      <c r="B200" s="24" t="s">
        <v>65</v>
      </c>
      <c r="C200" s="32"/>
      <c r="D200" s="27" t="s">
        <v>194</v>
      </c>
      <c r="E200" s="28">
        <v>-270121.15000000002</v>
      </c>
      <c r="F200" s="29">
        <v>486569.23</v>
      </c>
      <c r="G200" s="28">
        <v>216448.08</v>
      </c>
    </row>
    <row r="201" spans="1:11" s="53" customFormat="1">
      <c r="A201" s="25" t="s">
        <v>64</v>
      </c>
      <c r="B201" s="24" t="s">
        <v>65</v>
      </c>
      <c r="C201" s="26" t="s">
        <v>52</v>
      </c>
      <c r="D201" s="27" t="s">
        <v>196</v>
      </c>
      <c r="E201" s="28">
        <v>216448.08</v>
      </c>
      <c r="F201" s="29">
        <v>929324.33</v>
      </c>
      <c r="G201" s="28">
        <v>1145772.4099999999</v>
      </c>
    </row>
    <row r="202" spans="1:11" s="53" customFormat="1">
      <c r="A202" s="30"/>
      <c r="B202" s="24" t="s">
        <v>65</v>
      </c>
      <c r="C202" s="31"/>
      <c r="D202" s="27" t="s">
        <v>197</v>
      </c>
      <c r="E202" s="28">
        <v>1145772.4099999999</v>
      </c>
      <c r="F202" s="29">
        <v>-1590347.35</v>
      </c>
      <c r="G202" s="28">
        <v>-444574.94</v>
      </c>
    </row>
    <row r="203" spans="1:11" s="53" customFormat="1">
      <c r="A203" s="30"/>
      <c r="B203" s="24" t="s">
        <v>65</v>
      </c>
      <c r="C203" s="32"/>
      <c r="D203" s="27" t="s">
        <v>198</v>
      </c>
      <c r="E203" s="28">
        <v>-444574.94</v>
      </c>
      <c r="F203" s="29">
        <v>-1065601.81</v>
      </c>
      <c r="G203" s="28">
        <v>-1510176.75</v>
      </c>
    </row>
    <row r="204" spans="1:11" hidden="1">
      <c r="A204" s="33"/>
      <c r="B204" s="65"/>
      <c r="C204" s="72"/>
      <c r="D204" s="65"/>
      <c r="E204" s="67" t="s">
        <v>70</v>
      </c>
      <c r="F204" s="68">
        <f>SUM(F198:F200)</f>
        <v>216448.07999999996</v>
      </c>
      <c r="G204" s="67"/>
      <c r="H204" s="53"/>
      <c r="I204" s="53"/>
      <c r="J204" s="53"/>
      <c r="K204" s="53"/>
    </row>
    <row r="205" spans="1:11" s="53" customFormat="1">
      <c r="A205" s="30"/>
      <c r="B205" s="65"/>
      <c r="C205" s="266"/>
      <c r="D205" s="65"/>
      <c r="E205" s="67" t="s">
        <v>71</v>
      </c>
      <c r="F205" s="68">
        <f>SUM(F201:F203)</f>
        <v>-1726624.83</v>
      </c>
      <c r="G205" s="67"/>
    </row>
    <row r="206" spans="1:11" s="53" customFormat="1" hidden="1">
      <c r="A206" s="25" t="s">
        <v>66</v>
      </c>
      <c r="B206" s="24" t="s">
        <v>63</v>
      </c>
      <c r="C206" s="26" t="s">
        <v>53</v>
      </c>
      <c r="D206" s="27" t="s">
        <v>192</v>
      </c>
      <c r="E206" s="28">
        <v>0</v>
      </c>
      <c r="F206" s="29">
        <v>2767527.8</v>
      </c>
      <c r="G206" s="28">
        <v>2767527.8</v>
      </c>
    </row>
    <row r="207" spans="1:11" s="53" customFormat="1" hidden="1">
      <c r="A207" s="30"/>
      <c r="B207" s="24" t="s">
        <v>63</v>
      </c>
      <c r="C207" s="31"/>
      <c r="D207" s="27" t="s">
        <v>193</v>
      </c>
      <c r="E207" s="28">
        <v>2767527.8</v>
      </c>
      <c r="F207" s="29">
        <v>928483.43</v>
      </c>
      <c r="G207" s="28">
        <v>3696011.23</v>
      </c>
    </row>
    <row r="208" spans="1:11" s="53" customFormat="1" hidden="1">
      <c r="A208" s="30"/>
      <c r="B208" s="24" t="s">
        <v>63</v>
      </c>
      <c r="C208" s="32"/>
      <c r="D208" s="27" t="s">
        <v>194</v>
      </c>
      <c r="E208" s="28">
        <v>3696011.23</v>
      </c>
      <c r="F208" s="29">
        <v>-801177.51</v>
      </c>
      <c r="G208" s="28">
        <v>2894833.72</v>
      </c>
    </row>
    <row r="209" spans="1:11" s="53" customFormat="1">
      <c r="A209" s="25" t="s">
        <v>66</v>
      </c>
      <c r="B209" s="24" t="s">
        <v>63</v>
      </c>
      <c r="C209" s="26" t="s">
        <v>53</v>
      </c>
      <c r="D209" s="27" t="s">
        <v>196</v>
      </c>
      <c r="E209" s="28">
        <v>2894833.72</v>
      </c>
      <c r="F209" s="29">
        <v>907234.31</v>
      </c>
      <c r="G209" s="28">
        <v>3802068.03</v>
      </c>
    </row>
    <row r="210" spans="1:11" s="53" customFormat="1">
      <c r="A210" s="30"/>
      <c r="B210" s="24" t="s">
        <v>63</v>
      </c>
      <c r="C210" s="31"/>
      <c r="D210" s="27" t="s">
        <v>197</v>
      </c>
      <c r="E210" s="28">
        <v>3802068.03</v>
      </c>
      <c r="F210" s="29">
        <v>245066.1</v>
      </c>
      <c r="G210" s="28">
        <v>4047134.13</v>
      </c>
    </row>
    <row r="211" spans="1:11" s="53" customFormat="1">
      <c r="A211" s="30"/>
      <c r="B211" s="24" t="s">
        <v>63</v>
      </c>
      <c r="C211" s="32"/>
      <c r="D211" s="27" t="s">
        <v>198</v>
      </c>
      <c r="E211" s="28">
        <v>4047134.13</v>
      </c>
      <c r="F211" s="29">
        <v>-303942.55</v>
      </c>
      <c r="G211" s="28">
        <v>3743191.58</v>
      </c>
    </row>
    <row r="212" spans="1:11" ht="16.5" hidden="1" customHeight="1">
      <c r="A212" s="33"/>
      <c r="B212" s="65"/>
      <c r="C212" s="72"/>
      <c r="D212" s="65"/>
      <c r="E212" s="67" t="s">
        <v>70</v>
      </c>
      <c r="F212" s="68">
        <f>SUM(F206:F208)</f>
        <v>2894833.7199999997</v>
      </c>
      <c r="G212" s="67"/>
      <c r="H212" s="53"/>
      <c r="I212" s="53"/>
      <c r="J212" s="53"/>
      <c r="K212" s="53"/>
    </row>
    <row r="213" spans="1:11" s="53" customFormat="1" ht="16.5" customHeight="1">
      <c r="A213" s="30"/>
      <c r="B213" s="65"/>
      <c r="C213" s="266"/>
      <c r="D213" s="65"/>
      <c r="E213" s="67" t="s">
        <v>71</v>
      </c>
      <c r="F213" s="68">
        <f>SUM(F209:F211)</f>
        <v>848357.8600000001</v>
      </c>
      <c r="G213" s="67"/>
    </row>
    <row r="214" spans="1:11" s="53" customFormat="1" hidden="1">
      <c r="A214" s="25" t="s">
        <v>67</v>
      </c>
      <c r="B214" s="24" t="s">
        <v>65</v>
      </c>
      <c r="C214" s="26" t="s">
        <v>53</v>
      </c>
      <c r="D214" s="27" t="s">
        <v>192</v>
      </c>
      <c r="E214" s="28">
        <v>0</v>
      </c>
      <c r="F214" s="29">
        <v>316043.14</v>
      </c>
      <c r="G214" s="28">
        <v>316043.14</v>
      </c>
    </row>
    <row r="215" spans="1:11" s="53" customFormat="1" hidden="1">
      <c r="A215" s="30"/>
      <c r="B215" s="24" t="s">
        <v>65</v>
      </c>
      <c r="C215" s="31"/>
      <c r="D215" s="27" t="s">
        <v>193</v>
      </c>
      <c r="E215" s="28">
        <v>316043.14</v>
      </c>
      <c r="F215" s="29">
        <v>279948.82</v>
      </c>
      <c r="G215" s="28">
        <v>595991.96</v>
      </c>
    </row>
    <row r="216" spans="1:11" s="53" customFormat="1" hidden="1">
      <c r="A216" s="30"/>
      <c r="B216" s="24" t="s">
        <v>65</v>
      </c>
      <c r="C216" s="32"/>
      <c r="D216" s="27" t="s">
        <v>194</v>
      </c>
      <c r="E216" s="28">
        <v>595991.96</v>
      </c>
      <c r="F216" s="29">
        <v>161590.26</v>
      </c>
      <c r="G216" s="28">
        <v>757582.22</v>
      </c>
    </row>
    <row r="217" spans="1:11" s="53" customFormat="1">
      <c r="A217" s="25" t="s">
        <v>67</v>
      </c>
      <c r="B217" s="24" t="s">
        <v>65</v>
      </c>
      <c r="C217" s="26" t="s">
        <v>53</v>
      </c>
      <c r="D217" s="27" t="s">
        <v>196</v>
      </c>
      <c r="E217" s="28">
        <v>757582.22</v>
      </c>
      <c r="F217" s="29">
        <v>55589.49</v>
      </c>
      <c r="G217" s="28">
        <v>813171.71</v>
      </c>
    </row>
    <row r="218" spans="1:11" s="53" customFormat="1">
      <c r="A218" s="30"/>
      <c r="B218" s="24" t="s">
        <v>65</v>
      </c>
      <c r="C218" s="31"/>
      <c r="D218" s="27" t="s">
        <v>197</v>
      </c>
      <c r="E218" s="28">
        <v>813171.71</v>
      </c>
      <c r="F218" s="29">
        <v>158464.75</v>
      </c>
      <c r="G218" s="28">
        <v>971636.46</v>
      </c>
    </row>
    <row r="219" spans="1:11" s="53" customFormat="1">
      <c r="A219" s="30"/>
      <c r="B219" s="24" t="s">
        <v>65</v>
      </c>
      <c r="C219" s="32"/>
      <c r="D219" s="27" t="s">
        <v>198</v>
      </c>
      <c r="E219" s="28">
        <v>971636.46</v>
      </c>
      <c r="F219" s="29">
        <v>-100667.46</v>
      </c>
      <c r="G219" s="28">
        <v>870969</v>
      </c>
    </row>
    <row r="220" spans="1:11" hidden="1">
      <c r="A220" s="33"/>
      <c r="B220" s="65"/>
      <c r="C220" s="72"/>
      <c r="D220" s="65"/>
      <c r="E220" s="67" t="s">
        <v>70</v>
      </c>
      <c r="F220" s="68">
        <f>SUM(F214:F216)</f>
        <v>757582.22</v>
      </c>
      <c r="G220" s="67"/>
      <c r="H220" s="53"/>
      <c r="I220" s="53"/>
      <c r="J220" s="53"/>
      <c r="K220" s="53"/>
    </row>
    <row r="221" spans="1:11" s="53" customFormat="1">
      <c r="A221" s="257"/>
      <c r="B221" s="125"/>
      <c r="C221" s="264"/>
      <c r="D221" s="125"/>
      <c r="E221" s="67" t="s">
        <v>71</v>
      </c>
      <c r="F221" s="68">
        <f>SUM(F217:F219)</f>
        <v>113386.77999999998</v>
      </c>
      <c r="G221" s="265"/>
    </row>
    <row r="222" spans="1:11">
      <c r="A222" s="53"/>
      <c r="B222" s="53"/>
      <c r="C222" s="53"/>
      <c r="D222" s="53"/>
      <c r="E222" s="53"/>
      <c r="F222" s="53"/>
      <c r="G222" s="53"/>
      <c r="H222" s="53"/>
      <c r="I222" s="53"/>
      <c r="J222" s="53"/>
      <c r="K222" s="53"/>
    </row>
    <row r="223" spans="1:11">
      <c r="A223" s="23" t="s">
        <v>42</v>
      </c>
      <c r="B223" s="53"/>
      <c r="C223" s="114" t="s">
        <v>119</v>
      </c>
      <c r="D223" s="53"/>
      <c r="E223" s="53"/>
      <c r="F223" s="53"/>
      <c r="G223" s="53"/>
      <c r="H223" s="53"/>
      <c r="I223" s="53"/>
      <c r="J223" s="53"/>
      <c r="K223" s="53"/>
    </row>
    <row r="224" spans="1:11">
      <c r="A224" s="53"/>
      <c r="B224" s="53"/>
      <c r="C224" s="53"/>
      <c r="D224" s="53"/>
      <c r="E224" s="53"/>
      <c r="F224" s="53"/>
      <c r="G224" s="53"/>
      <c r="H224" s="53"/>
      <c r="I224" s="53"/>
      <c r="J224" s="53"/>
      <c r="K224" s="53"/>
    </row>
    <row r="225" spans="1:11" ht="26.25">
      <c r="A225" s="133" t="s">
        <v>43</v>
      </c>
      <c r="B225" s="70" t="s">
        <v>44</v>
      </c>
      <c r="C225" s="71" t="s">
        <v>45</v>
      </c>
      <c r="D225" s="69" t="s">
        <v>46</v>
      </c>
      <c r="E225" s="69" t="s">
        <v>47</v>
      </c>
      <c r="F225" s="69" t="s">
        <v>48</v>
      </c>
      <c r="G225" s="69" t="s">
        <v>49</v>
      </c>
      <c r="H225" s="53"/>
      <c r="I225" s="53"/>
      <c r="J225" s="53"/>
      <c r="K225" s="53"/>
    </row>
    <row r="226" spans="1:11" s="53" customFormat="1" hidden="1">
      <c r="A226" s="126" t="s">
        <v>120</v>
      </c>
      <c r="B226" s="116" t="s">
        <v>121</v>
      </c>
      <c r="C226" s="26" t="s">
        <v>52</v>
      </c>
      <c r="D226" s="27" t="s">
        <v>192</v>
      </c>
      <c r="E226" s="28">
        <v>0</v>
      </c>
      <c r="F226" s="29">
        <v>-128419.8</v>
      </c>
      <c r="G226" s="28">
        <v>-128419.8</v>
      </c>
    </row>
    <row r="227" spans="1:11" s="53" customFormat="1" hidden="1">
      <c r="A227" s="127"/>
      <c r="B227" s="116" t="s">
        <v>121</v>
      </c>
      <c r="C227" s="31"/>
      <c r="D227" s="27" t="s">
        <v>193</v>
      </c>
      <c r="E227" s="28">
        <v>-128419.8</v>
      </c>
      <c r="F227" s="29">
        <v>-105169.79</v>
      </c>
      <c r="G227" s="28">
        <v>-233589.59</v>
      </c>
    </row>
    <row r="228" spans="1:11" s="53" customFormat="1" hidden="1">
      <c r="A228" s="127"/>
      <c r="B228" s="116" t="s">
        <v>121</v>
      </c>
      <c r="C228" s="32"/>
      <c r="D228" s="27" t="s">
        <v>194</v>
      </c>
      <c r="E228" s="28">
        <v>-233589.59</v>
      </c>
      <c r="F228" s="29">
        <v>-99828.66</v>
      </c>
      <c r="G228" s="28">
        <v>-333418.25</v>
      </c>
    </row>
    <row r="229" spans="1:11" s="53" customFormat="1">
      <c r="A229" s="126" t="s">
        <v>120</v>
      </c>
      <c r="B229" s="116" t="s">
        <v>121</v>
      </c>
      <c r="C229" s="26" t="s">
        <v>52</v>
      </c>
      <c r="D229" s="27" t="s">
        <v>196</v>
      </c>
      <c r="E229" s="28">
        <v>-333418.25</v>
      </c>
      <c r="F229" s="29">
        <v>-86649.95</v>
      </c>
      <c r="G229" s="28">
        <v>-420068.2</v>
      </c>
    </row>
    <row r="230" spans="1:11" s="53" customFormat="1">
      <c r="A230" s="127"/>
      <c r="B230" s="116" t="s">
        <v>121</v>
      </c>
      <c r="C230" s="31"/>
      <c r="D230" s="27" t="s">
        <v>197</v>
      </c>
      <c r="E230" s="28">
        <v>-420068.2</v>
      </c>
      <c r="F230" s="29">
        <v>-73275.33</v>
      </c>
      <c r="G230" s="28">
        <v>-493343.53</v>
      </c>
    </row>
    <row r="231" spans="1:11" s="53" customFormat="1">
      <c r="A231" s="127"/>
      <c r="B231" s="116" t="s">
        <v>121</v>
      </c>
      <c r="C231" s="32"/>
      <c r="D231" s="27" t="s">
        <v>198</v>
      </c>
      <c r="E231" s="28">
        <v>-493343.53</v>
      </c>
      <c r="F231" s="29">
        <v>-65599.820000000007</v>
      </c>
      <c r="G231" s="28">
        <v>-558943.35</v>
      </c>
    </row>
    <row r="232" spans="1:11" hidden="1">
      <c r="A232" s="127"/>
      <c r="B232" s="65"/>
      <c r="C232" s="72"/>
      <c r="D232" s="65"/>
      <c r="E232" s="67" t="s">
        <v>70</v>
      </c>
      <c r="F232" s="68">
        <f>SUM(F226:F228)</f>
        <v>-333418.25</v>
      </c>
      <c r="G232" s="67"/>
      <c r="H232" s="53"/>
      <c r="I232" s="53"/>
      <c r="J232" s="53"/>
      <c r="K232" s="53"/>
    </row>
    <row r="233" spans="1:11" s="53" customFormat="1">
      <c r="A233" s="127"/>
      <c r="B233" s="65"/>
      <c r="C233" s="266"/>
      <c r="D233" s="65"/>
      <c r="E233" s="67" t="s">
        <v>71</v>
      </c>
      <c r="F233" s="68">
        <f>SUM(F229:F231)</f>
        <v>-225525.1</v>
      </c>
      <c r="G233" s="67"/>
    </row>
    <row r="234" spans="1:11" s="53" customFormat="1" hidden="1">
      <c r="A234" s="126" t="s">
        <v>122</v>
      </c>
      <c r="B234" s="116" t="s">
        <v>123</v>
      </c>
      <c r="C234" s="26" t="s">
        <v>52</v>
      </c>
      <c r="D234" s="27" t="s">
        <v>192</v>
      </c>
      <c r="E234" s="28">
        <v>0</v>
      </c>
      <c r="F234" s="29">
        <v>1138779.95</v>
      </c>
      <c r="G234" s="28">
        <v>1138779.95</v>
      </c>
    </row>
    <row r="235" spans="1:11" s="53" customFormat="1" hidden="1">
      <c r="A235" s="127"/>
      <c r="B235" s="116" t="s">
        <v>123</v>
      </c>
      <c r="C235" s="31"/>
      <c r="D235" s="27" t="s">
        <v>193</v>
      </c>
      <c r="E235" s="28">
        <v>1138779.95</v>
      </c>
      <c r="F235" s="29">
        <v>1069453.8600000001</v>
      </c>
      <c r="G235" s="28">
        <v>2208233.81</v>
      </c>
    </row>
    <row r="236" spans="1:11" s="53" customFormat="1" hidden="1">
      <c r="A236" s="127"/>
      <c r="B236" s="116" t="s">
        <v>123</v>
      </c>
      <c r="C236" s="32"/>
      <c r="D236" s="27" t="s">
        <v>194</v>
      </c>
      <c r="E236" s="28">
        <v>2208233.81</v>
      </c>
      <c r="F236" s="29">
        <v>1139896.46</v>
      </c>
      <c r="G236" s="28">
        <v>3348130.27</v>
      </c>
    </row>
    <row r="237" spans="1:11" s="53" customFormat="1">
      <c r="A237" s="126" t="s">
        <v>122</v>
      </c>
      <c r="B237" s="116" t="s">
        <v>123</v>
      </c>
      <c r="C237" s="26" t="s">
        <v>52</v>
      </c>
      <c r="D237" s="27" t="s">
        <v>196</v>
      </c>
      <c r="E237" s="28">
        <v>3348130.27</v>
      </c>
      <c r="F237" s="29">
        <v>1110548.1399999999</v>
      </c>
      <c r="G237" s="28">
        <v>4458678.41</v>
      </c>
    </row>
    <row r="238" spans="1:11" s="53" customFormat="1">
      <c r="A238" s="127"/>
      <c r="B238" s="116" t="s">
        <v>123</v>
      </c>
      <c r="C238" s="31"/>
      <c r="D238" s="27" t="s">
        <v>197</v>
      </c>
      <c r="E238" s="28">
        <v>4458678.41</v>
      </c>
      <c r="F238" s="29">
        <v>1007127.36</v>
      </c>
      <c r="G238" s="28">
        <v>5465805.7699999996</v>
      </c>
    </row>
    <row r="239" spans="1:11" s="53" customFormat="1">
      <c r="A239" s="127"/>
      <c r="B239" s="116" t="s">
        <v>123</v>
      </c>
      <c r="C239" s="32"/>
      <c r="D239" s="27" t="s">
        <v>198</v>
      </c>
      <c r="E239" s="28">
        <v>5465805.7699999996</v>
      </c>
      <c r="F239" s="29">
        <v>1118666.06</v>
      </c>
      <c r="G239" s="28">
        <v>6584471.8300000001</v>
      </c>
    </row>
    <row r="240" spans="1:11" hidden="1">
      <c r="A240" s="127"/>
      <c r="B240" s="65"/>
      <c r="C240" s="72"/>
      <c r="D240" s="65"/>
      <c r="E240" s="67" t="s">
        <v>70</v>
      </c>
      <c r="F240" s="68">
        <f>SUM(F234:F236)</f>
        <v>3348130.27</v>
      </c>
      <c r="G240" s="67"/>
      <c r="H240" s="53"/>
      <c r="I240" s="53"/>
      <c r="J240" s="53"/>
      <c r="K240" s="53"/>
    </row>
    <row r="241" spans="1:11" s="53" customFormat="1">
      <c r="A241" s="127"/>
      <c r="B241" s="65"/>
      <c r="C241" s="266"/>
      <c r="D241" s="65"/>
      <c r="E241" s="67" t="s">
        <v>71</v>
      </c>
      <c r="F241" s="68">
        <f>SUM(F237:F239)</f>
        <v>3236341.56</v>
      </c>
      <c r="G241" s="67"/>
    </row>
    <row r="242" spans="1:11" s="53" customFormat="1" hidden="1">
      <c r="A242" s="126" t="s">
        <v>124</v>
      </c>
      <c r="B242" s="116" t="s">
        <v>121</v>
      </c>
      <c r="C242" s="26" t="s">
        <v>53</v>
      </c>
      <c r="D242" s="27" t="s">
        <v>192</v>
      </c>
      <c r="E242" s="28">
        <v>0</v>
      </c>
      <c r="F242" s="29">
        <v>213785.55</v>
      </c>
      <c r="G242" s="28">
        <v>213785.55</v>
      </c>
    </row>
    <row r="243" spans="1:11" s="53" customFormat="1" hidden="1">
      <c r="A243" s="127"/>
      <c r="B243" s="116" t="s">
        <v>121</v>
      </c>
      <c r="C243" s="31"/>
      <c r="D243" s="27" t="s">
        <v>193</v>
      </c>
      <c r="E243" s="28">
        <v>213785.55</v>
      </c>
      <c r="F243" s="29">
        <v>176513.22</v>
      </c>
      <c r="G243" s="28">
        <v>390298.77</v>
      </c>
    </row>
    <row r="244" spans="1:11" s="53" customFormat="1" hidden="1">
      <c r="A244" s="127"/>
      <c r="B244" s="116" t="s">
        <v>121</v>
      </c>
      <c r="C244" s="32"/>
      <c r="D244" s="27" t="s">
        <v>194</v>
      </c>
      <c r="E244" s="28">
        <v>390298.77</v>
      </c>
      <c r="F244" s="29">
        <v>128434.38</v>
      </c>
      <c r="G244" s="28">
        <v>518733.15</v>
      </c>
    </row>
    <row r="245" spans="1:11" s="53" customFormat="1">
      <c r="A245" s="126" t="s">
        <v>124</v>
      </c>
      <c r="B245" s="116" t="s">
        <v>121</v>
      </c>
      <c r="C245" s="26" t="s">
        <v>53</v>
      </c>
      <c r="D245" s="27" t="s">
        <v>196</v>
      </c>
      <c r="E245" s="28">
        <v>518733.15</v>
      </c>
      <c r="F245" s="29">
        <v>107709.67</v>
      </c>
      <c r="G245" s="28">
        <v>626442.81999999995</v>
      </c>
    </row>
    <row r="246" spans="1:11" s="53" customFormat="1">
      <c r="A246" s="127"/>
      <c r="B246" s="116" t="s">
        <v>121</v>
      </c>
      <c r="C246" s="31"/>
      <c r="D246" s="27" t="s">
        <v>197</v>
      </c>
      <c r="E246" s="28">
        <v>626442.81999999995</v>
      </c>
      <c r="F246" s="29">
        <v>66916.28</v>
      </c>
      <c r="G246" s="28">
        <v>693359.1</v>
      </c>
    </row>
    <row r="247" spans="1:11" s="53" customFormat="1">
      <c r="A247" s="127"/>
      <c r="B247" s="116" t="s">
        <v>121</v>
      </c>
      <c r="C247" s="32"/>
      <c r="D247" s="27" t="s">
        <v>198</v>
      </c>
      <c r="E247" s="28">
        <v>693359.1</v>
      </c>
      <c r="F247" s="29">
        <v>31200.06</v>
      </c>
      <c r="G247" s="28">
        <v>724559.16</v>
      </c>
    </row>
    <row r="248" spans="1:11" hidden="1">
      <c r="A248" s="128"/>
      <c r="B248" s="65"/>
      <c r="C248" s="72"/>
      <c r="D248" s="65"/>
      <c r="E248" s="67" t="s">
        <v>70</v>
      </c>
      <c r="F248" s="68">
        <f>SUM(F242:F244)</f>
        <v>518733.15</v>
      </c>
      <c r="G248" s="67"/>
      <c r="H248" s="53"/>
      <c r="I248" s="53"/>
      <c r="J248" s="53"/>
      <c r="K248" s="53"/>
    </row>
    <row r="249" spans="1:11" s="53" customFormat="1">
      <c r="A249" s="127"/>
      <c r="B249" s="65"/>
      <c r="C249" s="266"/>
      <c r="D249" s="65"/>
      <c r="E249" s="67" t="s">
        <v>71</v>
      </c>
      <c r="F249" s="68">
        <f>SUM(F245:F247)</f>
        <v>205826.01</v>
      </c>
      <c r="G249" s="67"/>
    </row>
    <row r="250" spans="1:11" hidden="1">
      <c r="A250" s="126" t="s">
        <v>125</v>
      </c>
      <c r="B250" s="116" t="s">
        <v>123</v>
      </c>
      <c r="C250" s="26" t="s">
        <v>53</v>
      </c>
      <c r="D250" s="27" t="s">
        <v>192</v>
      </c>
      <c r="E250" s="28">
        <v>0</v>
      </c>
      <c r="F250" s="29">
        <v>69355.28</v>
      </c>
      <c r="G250" s="28">
        <v>69355.28</v>
      </c>
      <c r="H250" s="53"/>
      <c r="I250" s="53"/>
      <c r="J250" s="53"/>
      <c r="K250" s="53"/>
    </row>
    <row r="251" spans="1:11" hidden="1">
      <c r="A251" s="127"/>
      <c r="B251" s="116" t="s">
        <v>123</v>
      </c>
      <c r="C251" s="31"/>
      <c r="D251" s="27" t="s">
        <v>193</v>
      </c>
      <c r="E251" s="28">
        <v>69355.28</v>
      </c>
      <c r="F251" s="29">
        <v>62006.080000000002</v>
      </c>
      <c r="G251" s="28">
        <v>131361.35999999999</v>
      </c>
      <c r="H251" s="53"/>
      <c r="I251" s="53"/>
      <c r="J251" s="53"/>
      <c r="K251" s="53"/>
    </row>
    <row r="252" spans="1:11" s="53" customFormat="1" hidden="1">
      <c r="A252" s="127"/>
      <c r="B252" s="116" t="s">
        <v>123</v>
      </c>
      <c r="C252" s="32"/>
      <c r="D252" s="27" t="s">
        <v>194</v>
      </c>
      <c r="E252" s="28">
        <v>131361.35999999999</v>
      </c>
      <c r="F252" s="29">
        <v>50825.22</v>
      </c>
      <c r="G252" s="28">
        <v>182186.58</v>
      </c>
    </row>
    <row r="253" spans="1:11" s="53" customFormat="1">
      <c r="A253" s="126" t="s">
        <v>125</v>
      </c>
      <c r="B253" s="116" t="s">
        <v>123</v>
      </c>
      <c r="C253" s="26" t="s">
        <v>53</v>
      </c>
      <c r="D253" s="27" t="s">
        <v>196</v>
      </c>
      <c r="E253" s="28">
        <v>182186.58</v>
      </c>
      <c r="F253" s="29">
        <v>43074.49</v>
      </c>
      <c r="G253" s="28">
        <v>225261.07</v>
      </c>
    </row>
    <row r="254" spans="1:11" s="53" customFormat="1">
      <c r="A254" s="127"/>
      <c r="B254" s="116" t="s">
        <v>123</v>
      </c>
      <c r="C254" s="31"/>
      <c r="D254" s="27" t="s">
        <v>197</v>
      </c>
      <c r="E254" s="28">
        <v>225261.07</v>
      </c>
      <c r="F254" s="29">
        <v>30040.11</v>
      </c>
      <c r="G254" s="28">
        <v>255301.18</v>
      </c>
    </row>
    <row r="255" spans="1:11" s="53" customFormat="1">
      <c r="A255" s="127"/>
      <c r="B255" s="116" t="s">
        <v>123</v>
      </c>
      <c r="C255" s="32"/>
      <c r="D255" s="27" t="s">
        <v>198</v>
      </c>
      <c r="E255" s="28">
        <v>255301.18</v>
      </c>
      <c r="F255" s="29">
        <v>18681.849999999999</v>
      </c>
      <c r="G255" s="28">
        <v>273983.03000000003</v>
      </c>
    </row>
    <row r="256" spans="1:11" hidden="1">
      <c r="A256" s="128"/>
      <c r="B256" s="65"/>
      <c r="C256" s="72"/>
      <c r="D256" s="65"/>
      <c r="E256" s="67" t="s">
        <v>70</v>
      </c>
      <c r="F256" s="68">
        <f>SUM(F250:F252)</f>
        <v>182186.58</v>
      </c>
      <c r="G256" s="67"/>
      <c r="H256" s="53"/>
      <c r="I256" s="53"/>
      <c r="J256" s="53"/>
      <c r="K256" s="53"/>
    </row>
    <row r="257" spans="1:11" s="53" customFormat="1">
      <c r="A257" s="257"/>
      <c r="B257" s="125"/>
      <c r="C257" s="264"/>
      <c r="D257" s="125"/>
      <c r="E257" s="67" t="s">
        <v>71</v>
      </c>
      <c r="F257" s="68">
        <f>SUM(F253:F255)</f>
        <v>91796.450000000012</v>
      </c>
      <c r="G257" s="265"/>
    </row>
    <row r="258" spans="1:11">
      <c r="H258" s="53"/>
      <c r="I258" s="53"/>
      <c r="J258" s="53"/>
      <c r="K258" s="53"/>
    </row>
    <row r="259" spans="1:11">
      <c r="A259" s="53"/>
      <c r="B259" s="53"/>
      <c r="C259" s="53"/>
      <c r="D259" s="53"/>
      <c r="E259" s="53"/>
      <c r="F259" s="53"/>
      <c r="G259" s="53"/>
      <c r="H259" s="53"/>
      <c r="I259" s="53"/>
      <c r="J259" s="53"/>
      <c r="K259" s="53"/>
    </row>
    <row r="260" spans="1:11" s="53" customFormat="1">
      <c r="A260" s="23" t="s">
        <v>42</v>
      </c>
      <c r="B260" s="22"/>
      <c r="C260" s="115" t="s">
        <v>113</v>
      </c>
      <c r="D260" s="22"/>
      <c r="E260" s="22"/>
      <c r="F260" s="22"/>
      <c r="G260" s="22"/>
    </row>
    <row r="261" spans="1:11" s="53" customFormat="1">
      <c r="A261" s="272"/>
      <c r="B261" s="272"/>
      <c r="C261" s="272"/>
      <c r="D261" s="272"/>
      <c r="E261" s="272"/>
      <c r="F261" s="272"/>
      <c r="G261" s="272"/>
    </row>
    <row r="262" spans="1:11" s="53" customFormat="1" ht="26.25">
      <c r="A262" s="69" t="s">
        <v>43</v>
      </c>
      <c r="B262" s="70" t="s">
        <v>44</v>
      </c>
      <c r="C262" s="71" t="s">
        <v>45</v>
      </c>
      <c r="D262" s="69" t="s">
        <v>46</v>
      </c>
      <c r="E262" s="69" t="s">
        <v>47</v>
      </c>
      <c r="F262" s="69" t="s">
        <v>48</v>
      </c>
      <c r="G262" s="69" t="s">
        <v>49</v>
      </c>
    </row>
    <row r="263" spans="1:11" s="53" customFormat="1" ht="15.75" hidden="1">
      <c r="A263" s="25">
        <v>419328</v>
      </c>
      <c r="B263" s="24" t="s">
        <v>133</v>
      </c>
      <c r="C263" s="26" t="s">
        <v>52</v>
      </c>
      <c r="D263" s="27" t="s">
        <v>192</v>
      </c>
      <c r="E263" s="28">
        <v>0</v>
      </c>
      <c r="F263" s="29">
        <v>-26964.94</v>
      </c>
      <c r="G263" s="28">
        <v>-26964.94</v>
      </c>
      <c r="H263" s="111"/>
    </row>
    <row r="264" spans="1:11" hidden="1">
      <c r="A264" s="30"/>
      <c r="B264" s="24" t="s">
        <v>133</v>
      </c>
      <c r="C264" s="31"/>
      <c r="D264" s="27" t="s">
        <v>193</v>
      </c>
      <c r="E264" s="28">
        <v>-26964.94</v>
      </c>
      <c r="F264" s="29">
        <v>-24117.43</v>
      </c>
      <c r="G264" s="28">
        <v>-51082.37</v>
      </c>
      <c r="H264" s="53"/>
      <c r="I264" s="53"/>
      <c r="J264" s="53"/>
      <c r="K264" s="53"/>
    </row>
    <row r="265" spans="1:11" hidden="1">
      <c r="A265" s="30"/>
      <c r="B265" s="24" t="s">
        <v>133</v>
      </c>
      <c r="C265" s="32"/>
      <c r="D265" s="27" t="s">
        <v>194</v>
      </c>
      <c r="E265" s="28">
        <v>-51082.37</v>
      </c>
      <c r="F265" s="29">
        <v>-21193.03</v>
      </c>
      <c r="G265" s="28">
        <v>-72275.399999999994</v>
      </c>
      <c r="H265" s="53"/>
      <c r="I265" s="53"/>
      <c r="J265" s="53"/>
      <c r="K265" s="53"/>
    </row>
    <row r="266" spans="1:11" s="53" customFormat="1">
      <c r="A266" s="25">
        <v>419328</v>
      </c>
      <c r="B266" s="24" t="s">
        <v>133</v>
      </c>
      <c r="C266" s="26" t="s">
        <v>52</v>
      </c>
      <c r="D266" s="27" t="s">
        <v>196</v>
      </c>
      <c r="E266" s="28">
        <v>-72275.399999999994</v>
      </c>
      <c r="F266" s="29">
        <v>-18130.68</v>
      </c>
      <c r="G266" s="28">
        <v>-90406.080000000002</v>
      </c>
    </row>
    <row r="267" spans="1:11" s="53" customFormat="1">
      <c r="A267" s="30"/>
      <c r="B267" s="24" t="s">
        <v>133</v>
      </c>
      <c r="C267" s="31"/>
      <c r="D267" s="27" t="s">
        <v>197</v>
      </c>
      <c r="E267" s="28">
        <v>-90406.080000000002</v>
      </c>
      <c r="F267" s="29">
        <v>-15312.1</v>
      </c>
      <c r="G267" s="28">
        <v>-105718.18</v>
      </c>
    </row>
    <row r="268" spans="1:11" s="53" customFormat="1">
      <c r="A268" s="30"/>
      <c r="B268" s="24" t="s">
        <v>133</v>
      </c>
      <c r="C268" s="32"/>
      <c r="D268" s="27" t="s">
        <v>198</v>
      </c>
      <c r="E268" s="28">
        <v>-105718.18</v>
      </c>
      <c r="F268" s="29">
        <v>-15113.95</v>
      </c>
      <c r="G268" s="28">
        <v>-120832.13</v>
      </c>
    </row>
    <row r="269" spans="1:11" hidden="1">
      <c r="A269" s="30"/>
      <c r="B269" s="61"/>
      <c r="C269" s="62"/>
      <c r="D269" s="61"/>
      <c r="E269" s="63" t="s">
        <v>70</v>
      </c>
      <c r="F269" s="64">
        <f>SUM(F263:F265)</f>
        <v>-72275.399999999994</v>
      </c>
      <c r="G269" s="63"/>
      <c r="H269" s="53"/>
      <c r="I269" s="53"/>
      <c r="J269" s="53"/>
      <c r="K269" s="53"/>
    </row>
    <row r="270" spans="1:11" s="53" customFormat="1">
      <c r="A270" s="30"/>
      <c r="B270" s="61"/>
      <c r="C270" s="260"/>
      <c r="D270" s="61"/>
      <c r="E270" s="63" t="s">
        <v>71</v>
      </c>
      <c r="F270" s="64">
        <f>SUM(F266:F268)</f>
        <v>-48556.729999999996</v>
      </c>
      <c r="G270" s="63"/>
    </row>
    <row r="271" spans="1:11" hidden="1">
      <c r="A271" s="25">
        <v>419328</v>
      </c>
      <c r="B271" s="24" t="s">
        <v>133</v>
      </c>
      <c r="C271" s="26" t="s">
        <v>53</v>
      </c>
      <c r="D271" s="27" t="s">
        <v>192</v>
      </c>
      <c r="E271" s="28">
        <v>0</v>
      </c>
      <c r="F271" s="29">
        <v>-26661.89</v>
      </c>
      <c r="G271" s="28">
        <v>-26661.89</v>
      </c>
      <c r="H271" s="53"/>
      <c r="I271" s="53"/>
      <c r="J271" s="53"/>
      <c r="K271" s="53"/>
    </row>
    <row r="272" spans="1:11" hidden="1">
      <c r="A272" s="30"/>
      <c r="B272" s="24" t="s">
        <v>133</v>
      </c>
      <c r="C272" s="31"/>
      <c r="D272" s="27" t="s">
        <v>193</v>
      </c>
      <c r="E272" s="28">
        <v>-26661.89</v>
      </c>
      <c r="F272" s="29">
        <v>-26027.68</v>
      </c>
      <c r="G272" s="28">
        <v>-52689.57</v>
      </c>
      <c r="H272" s="53"/>
      <c r="I272" s="53"/>
      <c r="J272" s="53"/>
      <c r="K272" s="53"/>
    </row>
    <row r="273" spans="1:11" s="53" customFormat="1" hidden="1">
      <c r="A273" s="30"/>
      <c r="B273" s="24" t="s">
        <v>133</v>
      </c>
      <c r="C273" s="32"/>
      <c r="D273" s="27" t="s">
        <v>194</v>
      </c>
      <c r="E273" s="28">
        <v>-52689.57</v>
      </c>
      <c r="F273" s="29">
        <v>-25532.43</v>
      </c>
      <c r="G273" s="28">
        <v>-78222</v>
      </c>
    </row>
    <row r="274" spans="1:11" s="53" customFormat="1">
      <c r="A274" s="25">
        <v>419328</v>
      </c>
      <c r="B274" s="24" t="s">
        <v>133</v>
      </c>
      <c r="C274" s="26" t="s">
        <v>53</v>
      </c>
      <c r="D274" s="27" t="s">
        <v>196</v>
      </c>
      <c r="E274" s="28">
        <v>-78222</v>
      </c>
      <c r="F274" s="29">
        <v>-25154.639999999999</v>
      </c>
      <c r="G274" s="28">
        <v>-103376.64</v>
      </c>
    </row>
    <row r="275" spans="1:11" s="53" customFormat="1">
      <c r="A275" s="30"/>
      <c r="B275" s="24" t="s">
        <v>133</v>
      </c>
      <c r="C275" s="31"/>
      <c r="D275" s="27" t="s">
        <v>197</v>
      </c>
      <c r="E275" s="28">
        <v>-103376.64</v>
      </c>
      <c r="F275" s="29">
        <v>-24887.29</v>
      </c>
      <c r="G275" s="28">
        <v>-128263.93</v>
      </c>
    </row>
    <row r="276" spans="1:11" s="53" customFormat="1">
      <c r="A276" s="30"/>
      <c r="B276" s="24" t="s">
        <v>133</v>
      </c>
      <c r="C276" s="32"/>
      <c r="D276" s="27" t="s">
        <v>198</v>
      </c>
      <c r="E276" s="28">
        <v>-128263.93</v>
      </c>
      <c r="F276" s="29">
        <v>-24755.85</v>
      </c>
      <c r="G276" s="28">
        <v>-153019.78</v>
      </c>
    </row>
    <row r="277" spans="1:11" s="53" customFormat="1" hidden="1">
      <c r="A277" s="33"/>
      <c r="B277" s="61"/>
      <c r="C277" s="62"/>
      <c r="D277" s="61"/>
      <c r="E277" s="63" t="s">
        <v>70</v>
      </c>
      <c r="F277" s="64">
        <f>SUM(F271:F273)</f>
        <v>-78222</v>
      </c>
      <c r="G277" s="63"/>
    </row>
    <row r="278" spans="1:11" s="53" customFormat="1">
      <c r="A278" s="263"/>
      <c r="B278" s="61"/>
      <c r="C278" s="62"/>
      <c r="D278" s="61"/>
      <c r="E278" s="63" t="s">
        <v>71</v>
      </c>
      <c r="F278" s="64">
        <f>SUM(F274:F276)</f>
        <v>-74797.78</v>
      </c>
      <c r="G278" s="63"/>
    </row>
    <row r="279" spans="1:11" hidden="1">
      <c r="A279" s="65"/>
      <c r="B279" s="72"/>
      <c r="C279" s="65"/>
      <c r="D279" s="65"/>
      <c r="E279" s="67" t="s">
        <v>199</v>
      </c>
      <c r="F279" s="68">
        <f>F269+F277</f>
        <v>-150497.4</v>
      </c>
      <c r="G279" s="67"/>
      <c r="H279" s="53"/>
      <c r="I279" s="53"/>
      <c r="J279" s="53"/>
      <c r="K279" s="53"/>
    </row>
    <row r="280" spans="1:11" s="53" customFormat="1">
      <c r="A280" s="119"/>
      <c r="B280" s="72"/>
      <c r="C280" s="119"/>
      <c r="D280" s="65"/>
      <c r="E280" s="67" t="s">
        <v>200</v>
      </c>
      <c r="F280" s="68">
        <f>F270+F278</f>
        <v>-123354.51</v>
      </c>
      <c r="G280" s="67"/>
    </row>
    <row r="281" spans="1:11" ht="16.5" hidden="1" customHeight="1">
      <c r="A281" s="25">
        <v>431328</v>
      </c>
      <c r="B281" s="24" t="s">
        <v>134</v>
      </c>
      <c r="C281" s="26" t="s">
        <v>52</v>
      </c>
      <c r="D281" s="27" t="s">
        <v>192</v>
      </c>
      <c r="E281" s="28">
        <v>0</v>
      </c>
      <c r="F281" s="29">
        <v>20127.22</v>
      </c>
      <c r="G281" s="28">
        <v>20127.22</v>
      </c>
      <c r="H281" s="53"/>
      <c r="I281" s="53"/>
      <c r="J281" s="53"/>
      <c r="K281" s="53"/>
    </row>
    <row r="282" spans="1:11" ht="16.5" hidden="1" customHeight="1">
      <c r="A282" s="30"/>
      <c r="B282" s="24" t="s">
        <v>134</v>
      </c>
      <c r="C282" s="31"/>
      <c r="D282" s="27" t="s">
        <v>193</v>
      </c>
      <c r="E282" s="28">
        <v>20127.22</v>
      </c>
      <c r="F282" s="29">
        <v>26969.5</v>
      </c>
      <c r="G282" s="28">
        <v>47096.72</v>
      </c>
      <c r="H282" s="53"/>
      <c r="I282" s="53"/>
      <c r="J282" s="53"/>
      <c r="K282" s="53"/>
    </row>
    <row r="283" spans="1:11" s="53" customFormat="1" ht="16.5" hidden="1" customHeight="1">
      <c r="A283" s="30"/>
      <c r="B283" s="24" t="s">
        <v>134</v>
      </c>
      <c r="C283" s="32"/>
      <c r="D283" s="27" t="s">
        <v>194</v>
      </c>
      <c r="E283" s="28">
        <v>47096.72</v>
      </c>
      <c r="F283" s="29">
        <v>30201.759999999998</v>
      </c>
      <c r="G283" s="28">
        <v>77298.48</v>
      </c>
    </row>
    <row r="284" spans="1:11" s="53" customFormat="1" ht="16.5" customHeight="1">
      <c r="A284" s="25">
        <v>431328</v>
      </c>
      <c r="B284" s="24" t="s">
        <v>134</v>
      </c>
      <c r="C284" s="26" t="s">
        <v>52</v>
      </c>
      <c r="D284" s="27" t="s">
        <v>196</v>
      </c>
      <c r="E284" s="28">
        <v>77298.48</v>
      </c>
      <c r="F284" s="29">
        <v>34356.83</v>
      </c>
      <c r="G284" s="28">
        <v>111655.31</v>
      </c>
    </row>
    <row r="285" spans="1:11" s="53" customFormat="1" ht="16.5" customHeight="1">
      <c r="A285" s="30"/>
      <c r="B285" s="24" t="s">
        <v>134</v>
      </c>
      <c r="C285" s="31"/>
      <c r="D285" s="27" t="s">
        <v>197</v>
      </c>
      <c r="E285" s="28">
        <v>111655.31</v>
      </c>
      <c r="F285" s="29">
        <v>34938.589999999997</v>
      </c>
      <c r="G285" s="28">
        <v>146593.9</v>
      </c>
    </row>
    <row r="286" spans="1:11" s="53" customFormat="1" ht="16.5" customHeight="1">
      <c r="A286" s="30"/>
      <c r="B286" s="24" t="s">
        <v>134</v>
      </c>
      <c r="C286" s="32"/>
      <c r="D286" s="27" t="s">
        <v>198</v>
      </c>
      <c r="E286" s="28">
        <v>146593.9</v>
      </c>
      <c r="F286" s="29">
        <v>32314.77</v>
      </c>
      <c r="G286" s="28">
        <v>178908.67</v>
      </c>
    </row>
    <row r="287" spans="1:11" s="53" customFormat="1" ht="16.5" hidden="1" customHeight="1">
      <c r="A287" s="30"/>
      <c r="B287" s="61"/>
      <c r="C287" s="62"/>
      <c r="D287" s="61"/>
      <c r="E287" s="63" t="s">
        <v>70</v>
      </c>
      <c r="F287" s="64">
        <f>SUM(F281:F283)</f>
        <v>77298.48</v>
      </c>
      <c r="G287" s="63"/>
    </row>
    <row r="288" spans="1:11" s="53" customFormat="1" ht="16.5" customHeight="1">
      <c r="A288" s="30"/>
      <c r="B288" s="61"/>
      <c r="C288" s="260"/>
      <c r="D288" s="61"/>
      <c r="E288" s="63" t="s">
        <v>71</v>
      </c>
      <c r="F288" s="64">
        <f>SUM(F284:F286)</f>
        <v>101610.19</v>
      </c>
      <c r="G288" s="63"/>
    </row>
    <row r="289" spans="1:11" s="53" customFormat="1" ht="16.5" hidden="1" customHeight="1">
      <c r="A289" s="25">
        <v>431328</v>
      </c>
      <c r="B289" s="24" t="s">
        <v>134</v>
      </c>
      <c r="C289" s="26" t="s">
        <v>53</v>
      </c>
      <c r="D289" s="27" t="s">
        <v>192</v>
      </c>
      <c r="E289" s="28">
        <v>0</v>
      </c>
      <c r="F289" s="29">
        <v>4175.67</v>
      </c>
      <c r="G289" s="28">
        <v>4175.67</v>
      </c>
    </row>
    <row r="290" spans="1:11" s="53" customFormat="1" ht="16.5" hidden="1" customHeight="1">
      <c r="A290" s="30"/>
      <c r="B290" s="24" t="s">
        <v>134</v>
      </c>
      <c r="C290" s="31"/>
      <c r="D290" s="27" t="s">
        <v>193</v>
      </c>
      <c r="E290" s="28">
        <v>4175.67</v>
      </c>
      <c r="F290" s="29">
        <v>9999.07</v>
      </c>
      <c r="G290" s="28">
        <v>14174.74</v>
      </c>
    </row>
    <row r="291" spans="1:11" s="53" customFormat="1" ht="16.5" hidden="1" customHeight="1">
      <c r="A291" s="30"/>
      <c r="B291" s="24" t="s">
        <v>134</v>
      </c>
      <c r="C291" s="32"/>
      <c r="D291" s="27" t="s">
        <v>194</v>
      </c>
      <c r="E291" s="28">
        <v>14174.74</v>
      </c>
      <c r="F291" s="29">
        <v>10796.46</v>
      </c>
      <c r="G291" s="28">
        <v>24971.200000000001</v>
      </c>
    </row>
    <row r="292" spans="1:11" s="53" customFormat="1" ht="16.5" customHeight="1">
      <c r="A292" s="25">
        <v>431328</v>
      </c>
      <c r="B292" s="24" t="s">
        <v>134</v>
      </c>
      <c r="C292" s="26" t="s">
        <v>53</v>
      </c>
      <c r="D292" s="27" t="s">
        <v>196</v>
      </c>
      <c r="E292" s="28">
        <v>24971.200000000001</v>
      </c>
      <c r="F292" s="29">
        <v>11263.42</v>
      </c>
      <c r="G292" s="28">
        <v>36234.620000000003</v>
      </c>
    </row>
    <row r="293" spans="1:11" s="53" customFormat="1" ht="16.5" customHeight="1">
      <c r="A293" s="30"/>
      <c r="B293" s="24" t="s">
        <v>134</v>
      </c>
      <c r="C293" s="31"/>
      <c r="D293" s="27" t="s">
        <v>197</v>
      </c>
      <c r="E293" s="28">
        <v>36234.620000000003</v>
      </c>
      <c r="F293" s="29">
        <v>13144.19</v>
      </c>
      <c r="G293" s="28">
        <v>49378.81</v>
      </c>
    </row>
    <row r="294" spans="1:11" s="53" customFormat="1" ht="16.5" customHeight="1">
      <c r="A294" s="30"/>
      <c r="B294" s="24" t="s">
        <v>134</v>
      </c>
      <c r="C294" s="32"/>
      <c r="D294" s="27" t="s">
        <v>198</v>
      </c>
      <c r="E294" s="28">
        <v>49378.81</v>
      </c>
      <c r="F294" s="29">
        <v>13178.33</v>
      </c>
      <c r="G294" s="28">
        <v>62557.14</v>
      </c>
    </row>
    <row r="295" spans="1:11" s="53" customFormat="1" ht="16.5" hidden="1" customHeight="1">
      <c r="A295" s="33"/>
      <c r="B295" s="61"/>
      <c r="C295" s="62"/>
      <c r="D295" s="61"/>
      <c r="E295" s="63" t="s">
        <v>70</v>
      </c>
      <c r="F295" s="64">
        <f>SUM(F289:F291)</f>
        <v>24971.199999999997</v>
      </c>
      <c r="G295" s="63"/>
    </row>
    <row r="296" spans="1:11" s="53" customFormat="1" ht="16.5" customHeight="1">
      <c r="A296" s="263"/>
      <c r="B296" s="61"/>
      <c r="C296" s="62"/>
      <c r="D296" s="61"/>
      <c r="E296" s="63" t="s">
        <v>71</v>
      </c>
      <c r="F296" s="64">
        <f>SUM(F292:F294)</f>
        <v>37585.94</v>
      </c>
      <c r="G296" s="63"/>
    </row>
    <row r="297" spans="1:11" s="53" customFormat="1" ht="16.5" hidden="1" customHeight="1">
      <c r="A297" s="65"/>
      <c r="B297" s="72"/>
      <c r="C297" s="65"/>
      <c r="D297" s="65"/>
      <c r="E297" s="67" t="s">
        <v>199</v>
      </c>
      <c r="F297" s="68">
        <f>F287+F295</f>
        <v>102269.68</v>
      </c>
      <c r="G297" s="67"/>
    </row>
    <row r="298" spans="1:11" s="53" customFormat="1" ht="16.5" customHeight="1">
      <c r="A298" s="65"/>
      <c r="B298" s="72"/>
      <c r="C298" s="65"/>
      <c r="D298" s="65"/>
      <c r="E298" s="67" t="s">
        <v>200</v>
      </c>
      <c r="F298" s="68">
        <f>F288+F296</f>
        <v>139196.13</v>
      </c>
      <c r="G298" s="67"/>
    </row>
    <row r="299" spans="1:11" s="53" customFormat="1" hidden="1">
      <c r="A299" s="73"/>
      <c r="B299" s="73"/>
      <c r="C299" s="73"/>
      <c r="D299" s="73"/>
      <c r="E299" s="74" t="str">
        <f>E297</f>
        <v>Total Q1</v>
      </c>
      <c r="F299" s="75">
        <f>F279+F297</f>
        <v>-48227.72</v>
      </c>
      <c r="G299" s="74"/>
    </row>
    <row r="300" spans="1:11" s="53" customFormat="1">
      <c r="A300" s="261"/>
      <c r="B300" s="261"/>
      <c r="C300" s="261"/>
      <c r="D300" s="261"/>
      <c r="E300" s="74" t="str">
        <f>E298</f>
        <v>Total Q2</v>
      </c>
      <c r="F300" s="75">
        <f>F280+F298</f>
        <v>15841.62000000001</v>
      </c>
      <c r="G300" s="262"/>
    </row>
    <row r="301" spans="1:11" s="53" customFormat="1">
      <c r="A301" s="102"/>
      <c r="B301" s="102"/>
      <c r="C301" s="102"/>
      <c r="D301" s="102"/>
      <c r="E301" s="103"/>
      <c r="F301" s="104"/>
      <c r="G301" s="103"/>
    </row>
    <row r="302" spans="1:11" ht="14.45" customHeight="1">
      <c r="A302" s="269" t="s">
        <v>138</v>
      </c>
      <c r="B302" s="269"/>
      <c r="C302" s="269"/>
      <c r="D302" s="269"/>
      <c r="E302" s="269"/>
      <c r="F302" s="269"/>
      <c r="G302" s="269"/>
      <c r="H302" s="53"/>
      <c r="I302" s="53"/>
      <c r="J302" s="53"/>
      <c r="K302" s="53"/>
    </row>
    <row r="303" spans="1:11">
      <c r="A303" s="23" t="s">
        <v>42</v>
      </c>
      <c r="B303" s="53"/>
      <c r="C303" s="53"/>
      <c r="D303" s="53"/>
      <c r="E303" s="53"/>
      <c r="F303" s="53"/>
      <c r="G303" s="53"/>
      <c r="H303" s="53"/>
      <c r="I303" s="53"/>
      <c r="J303" s="53"/>
      <c r="K303" s="53"/>
    </row>
    <row r="304" spans="1:11">
      <c r="A304" s="53"/>
      <c r="B304" s="53"/>
      <c r="C304" s="53"/>
      <c r="D304" s="53"/>
      <c r="E304" s="53"/>
      <c r="F304" s="53"/>
      <c r="G304" s="53"/>
      <c r="H304" s="53"/>
      <c r="I304" s="53"/>
      <c r="J304" s="53"/>
      <c r="K304" s="53"/>
    </row>
    <row r="305" spans="1:11" ht="26.25">
      <c r="A305" s="69" t="s">
        <v>43</v>
      </c>
      <c r="B305" s="70" t="s">
        <v>44</v>
      </c>
      <c r="C305" s="71" t="s">
        <v>45</v>
      </c>
      <c r="D305" s="69" t="s">
        <v>46</v>
      </c>
      <c r="E305" s="69" t="s">
        <v>47</v>
      </c>
      <c r="F305" s="69" t="s">
        <v>48</v>
      </c>
      <c r="G305" s="69" t="s">
        <v>49</v>
      </c>
      <c r="H305" s="53"/>
      <c r="I305" s="53"/>
      <c r="J305" s="53"/>
      <c r="K305" s="53"/>
    </row>
    <row r="306" spans="1:11" hidden="1">
      <c r="A306" s="25" t="s">
        <v>81</v>
      </c>
      <c r="B306" s="24" t="s">
        <v>82</v>
      </c>
      <c r="C306" s="26" t="s">
        <v>52</v>
      </c>
      <c r="D306" s="27" t="s">
        <v>192</v>
      </c>
      <c r="E306" s="28">
        <v>0</v>
      </c>
      <c r="F306" s="29">
        <v>0</v>
      </c>
      <c r="G306" s="28">
        <v>0</v>
      </c>
      <c r="H306" s="53"/>
      <c r="I306" s="53"/>
      <c r="J306" s="53"/>
      <c r="K306" s="53"/>
    </row>
    <row r="307" spans="1:11" hidden="1">
      <c r="A307" s="30"/>
      <c r="B307" s="24" t="s">
        <v>82</v>
      </c>
      <c r="C307" s="31"/>
      <c r="D307" s="27" t="s">
        <v>193</v>
      </c>
      <c r="E307" s="28">
        <v>0</v>
      </c>
      <c r="F307" s="29">
        <v>0</v>
      </c>
      <c r="G307" s="28">
        <v>0</v>
      </c>
      <c r="H307" s="53"/>
      <c r="I307" s="53"/>
      <c r="J307" s="53"/>
      <c r="K307" s="53"/>
    </row>
    <row r="308" spans="1:11" hidden="1">
      <c r="A308" s="30"/>
      <c r="B308" s="24" t="s">
        <v>82</v>
      </c>
      <c r="C308" s="32"/>
      <c r="D308" s="27" t="s">
        <v>194</v>
      </c>
      <c r="E308" s="28">
        <v>0</v>
      </c>
      <c r="F308" s="29">
        <v>0</v>
      </c>
      <c r="G308" s="28">
        <v>0</v>
      </c>
      <c r="H308" s="53"/>
      <c r="I308" s="53"/>
      <c r="J308" s="53"/>
      <c r="K308" s="53"/>
    </row>
    <row r="309" spans="1:11" s="53" customFormat="1">
      <c r="A309" s="25" t="s">
        <v>81</v>
      </c>
      <c r="B309" s="24" t="s">
        <v>82</v>
      </c>
      <c r="C309" s="26" t="s">
        <v>52</v>
      </c>
      <c r="D309" s="27" t="s">
        <v>196</v>
      </c>
      <c r="E309" s="28">
        <v>0</v>
      </c>
      <c r="F309" s="29">
        <v>0</v>
      </c>
      <c r="G309" s="28">
        <v>0</v>
      </c>
    </row>
    <row r="310" spans="1:11" s="53" customFormat="1">
      <c r="A310" s="30"/>
      <c r="B310" s="24" t="s">
        <v>82</v>
      </c>
      <c r="C310" s="31"/>
      <c r="D310" s="27" t="s">
        <v>197</v>
      </c>
      <c r="E310" s="28">
        <v>0</v>
      </c>
      <c r="F310" s="29">
        <v>0</v>
      </c>
      <c r="G310" s="28">
        <v>0</v>
      </c>
    </row>
    <row r="311" spans="1:11" s="53" customFormat="1">
      <c r="A311" s="30"/>
      <c r="B311" s="24" t="s">
        <v>82</v>
      </c>
      <c r="C311" s="32"/>
      <c r="D311" s="27" t="s">
        <v>198</v>
      </c>
      <c r="E311" s="28">
        <v>0</v>
      </c>
      <c r="F311" s="29">
        <v>0</v>
      </c>
      <c r="G311" s="28">
        <v>0</v>
      </c>
    </row>
    <row r="312" spans="1:11" hidden="1">
      <c r="A312" s="30"/>
      <c r="B312" s="61"/>
      <c r="C312" s="62"/>
      <c r="D312" s="61"/>
      <c r="E312" s="63" t="s">
        <v>70</v>
      </c>
      <c r="F312" s="64">
        <f>SUM(F306:F308)</f>
        <v>0</v>
      </c>
      <c r="G312" s="63"/>
      <c r="H312" s="53"/>
      <c r="I312" s="53"/>
      <c r="J312" s="53"/>
      <c r="K312" s="53"/>
    </row>
    <row r="313" spans="1:11" s="53" customFormat="1">
      <c r="A313" s="30"/>
      <c r="B313" s="61"/>
      <c r="C313" s="260"/>
      <c r="D313" s="61"/>
      <c r="E313" s="63" t="s">
        <v>71</v>
      </c>
      <c r="F313" s="64">
        <f>SUM(F309:F311)</f>
        <v>0</v>
      </c>
      <c r="G313" s="63"/>
    </row>
    <row r="314" spans="1:11" hidden="1">
      <c r="A314" s="25" t="s">
        <v>81</v>
      </c>
      <c r="B314" s="24" t="s">
        <v>82</v>
      </c>
      <c r="C314" s="26" t="s">
        <v>53</v>
      </c>
      <c r="D314" s="27" t="s">
        <v>192</v>
      </c>
      <c r="E314" s="28">
        <v>-1022805.86</v>
      </c>
      <c r="F314" s="29">
        <v>1022805.86</v>
      </c>
      <c r="G314" s="28">
        <v>0</v>
      </c>
      <c r="H314" s="53"/>
      <c r="I314" s="53"/>
      <c r="J314" s="53"/>
      <c r="K314" s="53"/>
    </row>
    <row r="315" spans="1:11" hidden="1">
      <c r="A315" s="30"/>
      <c r="B315" s="24" t="s">
        <v>82</v>
      </c>
      <c r="C315" s="31"/>
      <c r="D315" s="27" t="s">
        <v>193</v>
      </c>
      <c r="E315" s="28">
        <v>0</v>
      </c>
      <c r="F315" s="29">
        <v>0</v>
      </c>
      <c r="G315" s="28">
        <v>0</v>
      </c>
      <c r="H315" s="53"/>
      <c r="I315" s="53"/>
      <c r="J315" s="53"/>
      <c r="K315" s="53"/>
    </row>
    <row r="316" spans="1:11" hidden="1">
      <c r="A316" s="30"/>
      <c r="B316" s="24" t="s">
        <v>82</v>
      </c>
      <c r="C316" s="32"/>
      <c r="D316" s="27" t="s">
        <v>194</v>
      </c>
      <c r="E316" s="28">
        <v>0</v>
      </c>
      <c r="F316" s="29">
        <v>0</v>
      </c>
      <c r="G316" s="28">
        <v>0</v>
      </c>
      <c r="H316" s="53"/>
      <c r="I316" s="53"/>
      <c r="J316" s="53"/>
      <c r="K316" s="53"/>
    </row>
    <row r="317" spans="1:11" s="53" customFormat="1">
      <c r="A317" s="25" t="s">
        <v>81</v>
      </c>
      <c r="B317" s="24" t="s">
        <v>82</v>
      </c>
      <c r="C317" s="26" t="s">
        <v>53</v>
      </c>
      <c r="D317" s="27" t="s">
        <v>196</v>
      </c>
      <c r="E317" s="28">
        <v>0</v>
      </c>
      <c r="F317" s="29">
        <v>0</v>
      </c>
      <c r="G317" s="28">
        <v>0</v>
      </c>
    </row>
    <row r="318" spans="1:11" s="53" customFormat="1">
      <c r="A318" s="30"/>
      <c r="B318" s="24" t="s">
        <v>82</v>
      </c>
      <c r="C318" s="31"/>
      <c r="D318" s="27" t="s">
        <v>197</v>
      </c>
      <c r="E318" s="28">
        <v>0</v>
      </c>
      <c r="F318" s="29">
        <v>0</v>
      </c>
      <c r="G318" s="28">
        <v>0</v>
      </c>
    </row>
    <row r="319" spans="1:11" s="53" customFormat="1">
      <c r="A319" s="30"/>
      <c r="B319" s="24" t="s">
        <v>82</v>
      </c>
      <c r="C319" s="32"/>
      <c r="D319" s="27" t="s">
        <v>198</v>
      </c>
      <c r="E319" s="28">
        <v>0</v>
      </c>
      <c r="F319" s="29">
        <v>0</v>
      </c>
      <c r="G319" s="28">
        <v>0</v>
      </c>
    </row>
    <row r="320" spans="1:11" hidden="1">
      <c r="A320" s="33"/>
      <c r="B320" s="61"/>
      <c r="C320" s="62"/>
      <c r="D320" s="61"/>
      <c r="E320" s="63" t="s">
        <v>70</v>
      </c>
      <c r="F320" s="64">
        <f>SUM(F314:F316)</f>
        <v>1022805.86</v>
      </c>
      <c r="G320" s="63"/>
      <c r="H320" s="53"/>
      <c r="I320" s="53"/>
      <c r="J320" s="53"/>
      <c r="K320" s="53"/>
    </row>
    <row r="321" spans="1:11" s="53" customFormat="1">
      <c r="A321" s="257"/>
      <c r="B321" s="61"/>
      <c r="C321" s="62"/>
      <c r="D321" s="61"/>
      <c r="E321" s="63" t="s">
        <v>71</v>
      </c>
      <c r="F321" s="64">
        <f>SUM(F317:F319)</f>
        <v>0</v>
      </c>
      <c r="G321" s="63"/>
    </row>
    <row r="322" spans="1:11" hidden="1">
      <c r="A322" s="119"/>
      <c r="B322" s="72" t="s">
        <v>130</v>
      </c>
      <c r="C322" s="65"/>
      <c r="D322" s="65"/>
      <c r="E322" s="67" t="s">
        <v>199</v>
      </c>
      <c r="F322" s="68">
        <f>F312+F320</f>
        <v>1022805.86</v>
      </c>
      <c r="G322" s="67"/>
      <c r="H322" s="53"/>
      <c r="I322" s="53"/>
      <c r="J322" s="53"/>
      <c r="K322" s="53"/>
    </row>
    <row r="323" spans="1:11" s="53" customFormat="1">
      <c r="A323" s="125"/>
      <c r="B323" s="72" t="s">
        <v>130</v>
      </c>
      <c r="C323" s="119"/>
      <c r="D323" s="65"/>
      <c r="E323" s="67" t="s">
        <v>200</v>
      </c>
      <c r="F323" s="68">
        <f>F313+F321</f>
        <v>0</v>
      </c>
      <c r="G323" s="67"/>
    </row>
    <row r="324" spans="1:11" hidden="1">
      <c r="A324" s="126" t="s">
        <v>127</v>
      </c>
      <c r="B324" s="24" t="s">
        <v>128</v>
      </c>
      <c r="C324" s="26" t="s">
        <v>52</v>
      </c>
      <c r="D324" s="27" t="s">
        <v>192</v>
      </c>
      <c r="E324" s="28">
        <v>0</v>
      </c>
      <c r="F324" s="29">
        <v>0</v>
      </c>
      <c r="G324" s="28">
        <v>0</v>
      </c>
      <c r="H324" s="53"/>
      <c r="I324" s="53"/>
      <c r="J324" s="53"/>
      <c r="K324" s="53"/>
    </row>
    <row r="325" spans="1:11" hidden="1">
      <c r="A325" s="127"/>
      <c r="B325" s="24" t="s">
        <v>128</v>
      </c>
      <c r="C325" s="31"/>
      <c r="D325" s="27" t="s">
        <v>193</v>
      </c>
      <c r="E325" s="28">
        <v>0</v>
      </c>
      <c r="F325" s="29">
        <v>0</v>
      </c>
      <c r="G325" s="28">
        <v>0</v>
      </c>
      <c r="H325" s="53"/>
      <c r="I325" s="53"/>
      <c r="J325" s="53"/>
      <c r="K325" s="53"/>
    </row>
    <row r="326" spans="1:11" hidden="1">
      <c r="A326" s="127"/>
      <c r="B326" s="24" t="s">
        <v>128</v>
      </c>
      <c r="C326" s="32"/>
      <c r="D326" s="27" t="s">
        <v>194</v>
      </c>
      <c r="E326" s="28">
        <v>0</v>
      </c>
      <c r="F326" s="29">
        <v>0</v>
      </c>
      <c r="G326" s="28">
        <v>0</v>
      </c>
      <c r="H326" s="53"/>
      <c r="I326" s="53"/>
      <c r="J326" s="53"/>
      <c r="K326" s="53"/>
    </row>
    <row r="327" spans="1:11" s="53" customFormat="1">
      <c r="A327" s="126" t="s">
        <v>127</v>
      </c>
      <c r="B327" s="24" t="s">
        <v>128</v>
      </c>
      <c r="C327" s="26" t="s">
        <v>52</v>
      </c>
      <c r="D327" s="27" t="s">
        <v>196</v>
      </c>
      <c r="E327" s="28">
        <v>0</v>
      </c>
      <c r="F327" s="29">
        <v>0</v>
      </c>
      <c r="G327" s="28">
        <v>0</v>
      </c>
    </row>
    <row r="328" spans="1:11" s="53" customFormat="1">
      <c r="A328" s="127"/>
      <c r="B328" s="24" t="s">
        <v>128</v>
      </c>
      <c r="C328" s="31"/>
      <c r="D328" s="27" t="s">
        <v>197</v>
      </c>
      <c r="E328" s="28">
        <v>0</v>
      </c>
      <c r="F328" s="29">
        <v>0</v>
      </c>
      <c r="G328" s="28">
        <v>0</v>
      </c>
    </row>
    <row r="329" spans="1:11" s="53" customFormat="1">
      <c r="A329" s="127"/>
      <c r="B329" s="24" t="s">
        <v>128</v>
      </c>
      <c r="C329" s="32"/>
      <c r="D329" s="27" t="s">
        <v>198</v>
      </c>
      <c r="E329" s="28">
        <v>0</v>
      </c>
      <c r="F329" s="29">
        <v>0</v>
      </c>
      <c r="G329" s="28">
        <v>0</v>
      </c>
    </row>
    <row r="330" spans="1:11" hidden="1">
      <c r="A330" s="127"/>
      <c r="B330" s="61"/>
      <c r="C330" s="62"/>
      <c r="D330" s="61"/>
      <c r="E330" s="63" t="s">
        <v>70</v>
      </c>
      <c r="F330" s="64">
        <f>SUM(F324:F326)</f>
        <v>0</v>
      </c>
      <c r="G330" s="63"/>
      <c r="H330" s="53"/>
      <c r="I330" s="53"/>
      <c r="J330" s="53"/>
      <c r="K330" s="53"/>
    </row>
    <row r="331" spans="1:11" s="53" customFormat="1">
      <c r="A331" s="127"/>
      <c r="B331" s="61"/>
      <c r="C331" s="260"/>
      <c r="D331" s="61"/>
      <c r="E331" s="63" t="s">
        <v>71</v>
      </c>
      <c r="F331" s="64">
        <f>SUM(F327:F329)</f>
        <v>0</v>
      </c>
      <c r="G331" s="63"/>
    </row>
    <row r="332" spans="1:11" s="53" customFormat="1" hidden="1">
      <c r="A332" s="126" t="s">
        <v>127</v>
      </c>
      <c r="B332" s="24" t="s">
        <v>128</v>
      </c>
      <c r="C332" s="26" t="s">
        <v>53</v>
      </c>
      <c r="D332" s="27" t="s">
        <v>192</v>
      </c>
      <c r="E332" s="28">
        <v>0</v>
      </c>
      <c r="F332" s="29">
        <v>-640256.81999999995</v>
      </c>
      <c r="G332" s="28">
        <v>-640256.81999999995</v>
      </c>
    </row>
    <row r="333" spans="1:11" s="53" customFormat="1" hidden="1">
      <c r="A333" s="127"/>
      <c r="B333" s="24" t="s">
        <v>128</v>
      </c>
      <c r="C333" s="31"/>
      <c r="D333" s="27" t="s">
        <v>193</v>
      </c>
      <c r="E333" s="28">
        <v>-640256.81999999995</v>
      </c>
      <c r="F333" s="29">
        <v>323514.82</v>
      </c>
      <c r="G333" s="28">
        <v>-316742</v>
      </c>
    </row>
    <row r="334" spans="1:11" s="53" customFormat="1" hidden="1">
      <c r="A334" s="127"/>
      <c r="B334" s="24" t="s">
        <v>128</v>
      </c>
      <c r="C334" s="32"/>
      <c r="D334" s="27" t="s">
        <v>194</v>
      </c>
      <c r="E334" s="28">
        <v>-316742</v>
      </c>
      <c r="F334" s="29">
        <v>265063.40999999997</v>
      </c>
      <c r="G334" s="28">
        <v>-51678.59</v>
      </c>
    </row>
    <row r="335" spans="1:11" s="53" customFormat="1">
      <c r="A335" s="126" t="s">
        <v>127</v>
      </c>
      <c r="B335" s="24" t="s">
        <v>128</v>
      </c>
      <c r="C335" s="26" t="s">
        <v>53</v>
      </c>
      <c r="D335" s="27" t="s">
        <v>196</v>
      </c>
      <c r="E335" s="28">
        <v>-51678.59</v>
      </c>
      <c r="F335" s="29">
        <v>51678.59</v>
      </c>
      <c r="G335" s="28">
        <v>0</v>
      </c>
    </row>
    <row r="336" spans="1:11" s="53" customFormat="1">
      <c r="A336" s="127"/>
      <c r="B336" s="24" t="s">
        <v>128</v>
      </c>
      <c r="C336" s="31"/>
      <c r="D336" s="27" t="s">
        <v>197</v>
      </c>
      <c r="E336" s="28">
        <v>0</v>
      </c>
      <c r="F336" s="29">
        <v>0</v>
      </c>
      <c r="G336" s="28">
        <v>0</v>
      </c>
    </row>
    <row r="337" spans="1:11" s="53" customFormat="1">
      <c r="A337" s="127"/>
      <c r="B337" s="24" t="s">
        <v>128</v>
      </c>
      <c r="C337" s="32"/>
      <c r="D337" s="27" t="s">
        <v>198</v>
      </c>
      <c r="E337" s="28">
        <v>0</v>
      </c>
      <c r="F337" s="29">
        <v>0</v>
      </c>
      <c r="G337" s="28">
        <v>0</v>
      </c>
    </row>
    <row r="338" spans="1:11" s="53" customFormat="1" hidden="1">
      <c r="A338" s="128"/>
      <c r="B338" s="61"/>
      <c r="C338" s="62"/>
      <c r="D338" s="61"/>
      <c r="E338" s="63" t="s">
        <v>70</v>
      </c>
      <c r="F338" s="64">
        <f>SUM(F332:F334)</f>
        <v>-51678.589999999967</v>
      </c>
      <c r="G338" s="63"/>
    </row>
    <row r="339" spans="1:11" s="53" customFormat="1">
      <c r="A339" s="257"/>
      <c r="B339" s="61"/>
      <c r="C339" s="62"/>
      <c r="D339" s="61"/>
      <c r="E339" s="63" t="s">
        <v>71</v>
      </c>
      <c r="F339" s="64">
        <f>SUM(F335:F337)</f>
        <v>51678.59</v>
      </c>
      <c r="G339" s="63"/>
    </row>
    <row r="340" spans="1:11" hidden="1">
      <c r="A340" s="125"/>
      <c r="B340" s="72" t="s">
        <v>131</v>
      </c>
      <c r="C340" s="65"/>
      <c r="D340" s="65"/>
      <c r="E340" s="67" t="s">
        <v>199</v>
      </c>
      <c r="F340" s="68">
        <f>F330+F338</f>
        <v>-51678.589999999967</v>
      </c>
      <c r="G340" s="67"/>
      <c r="H340" s="53"/>
      <c r="I340" s="53"/>
      <c r="J340" s="53"/>
      <c r="K340" s="53"/>
    </row>
    <row r="341" spans="1:11" s="53" customFormat="1">
      <c r="A341" s="125"/>
      <c r="B341" s="72" t="s">
        <v>131</v>
      </c>
      <c r="C341" s="119"/>
      <c r="D341" s="65"/>
      <c r="E341" s="67" t="s">
        <v>200</v>
      </c>
      <c r="F341" s="68">
        <f>F331+F339</f>
        <v>51678.59</v>
      </c>
      <c r="G341" s="67"/>
    </row>
    <row r="342" spans="1:11" hidden="1">
      <c r="A342" s="126" t="s">
        <v>129</v>
      </c>
      <c r="B342" s="24" t="s">
        <v>84</v>
      </c>
      <c r="C342" s="26" t="s">
        <v>52</v>
      </c>
      <c r="D342" s="27" t="s">
        <v>192</v>
      </c>
      <c r="E342" s="28">
        <v>0</v>
      </c>
      <c r="F342" s="29">
        <v>0</v>
      </c>
      <c r="G342" s="28">
        <v>0</v>
      </c>
      <c r="H342" s="53"/>
      <c r="I342" s="53"/>
      <c r="J342" s="53"/>
      <c r="K342" s="53"/>
    </row>
    <row r="343" spans="1:11" hidden="1">
      <c r="A343" s="127"/>
      <c r="B343" s="24" t="s">
        <v>84</v>
      </c>
      <c r="C343" s="31"/>
      <c r="D343" s="27" t="s">
        <v>193</v>
      </c>
      <c r="E343" s="28">
        <v>0</v>
      </c>
      <c r="F343" s="29">
        <v>0</v>
      </c>
      <c r="G343" s="28">
        <v>0</v>
      </c>
      <c r="H343" s="53"/>
      <c r="I343" s="53"/>
      <c r="J343" s="53"/>
      <c r="K343" s="53"/>
    </row>
    <row r="344" spans="1:11" hidden="1">
      <c r="A344" s="127"/>
      <c r="B344" s="24" t="s">
        <v>84</v>
      </c>
      <c r="C344" s="32"/>
      <c r="D344" s="27" t="s">
        <v>194</v>
      </c>
      <c r="E344" s="28">
        <v>0</v>
      </c>
      <c r="F344" s="29">
        <v>0</v>
      </c>
      <c r="G344" s="28">
        <v>0</v>
      </c>
    </row>
    <row r="345" spans="1:11" s="53" customFormat="1">
      <c r="A345" s="126" t="s">
        <v>129</v>
      </c>
      <c r="B345" s="24" t="s">
        <v>84</v>
      </c>
      <c r="C345" s="26" t="s">
        <v>52</v>
      </c>
      <c r="D345" s="27" t="s">
        <v>196</v>
      </c>
      <c r="E345" s="28">
        <v>0</v>
      </c>
      <c r="F345" s="29">
        <v>0</v>
      </c>
      <c r="G345" s="28">
        <v>0</v>
      </c>
    </row>
    <row r="346" spans="1:11" s="53" customFormat="1">
      <c r="A346" s="127"/>
      <c r="B346" s="24" t="s">
        <v>84</v>
      </c>
      <c r="C346" s="31"/>
      <c r="D346" s="27" t="s">
        <v>197</v>
      </c>
      <c r="E346" s="28">
        <v>0</v>
      </c>
      <c r="F346" s="29">
        <v>0</v>
      </c>
      <c r="G346" s="28">
        <v>0</v>
      </c>
    </row>
    <row r="347" spans="1:11" s="53" customFormat="1">
      <c r="A347" s="127"/>
      <c r="B347" s="24" t="s">
        <v>84</v>
      </c>
      <c r="C347" s="32"/>
      <c r="D347" s="27" t="s">
        <v>198</v>
      </c>
      <c r="E347" s="28">
        <v>0</v>
      </c>
      <c r="F347" s="29">
        <v>0</v>
      </c>
      <c r="G347" s="28">
        <v>0</v>
      </c>
    </row>
    <row r="348" spans="1:11" hidden="1">
      <c r="A348" s="128"/>
      <c r="B348" s="61"/>
      <c r="C348" s="62"/>
      <c r="D348" s="61"/>
      <c r="E348" s="63" t="s">
        <v>70</v>
      </c>
      <c r="F348" s="64">
        <f>SUM(F342:F344)</f>
        <v>0</v>
      </c>
      <c r="G348" s="63"/>
    </row>
    <row r="349" spans="1:11" s="53" customFormat="1">
      <c r="A349" s="127"/>
      <c r="B349" s="61"/>
      <c r="C349" s="260"/>
      <c r="D349" s="61"/>
      <c r="E349" s="63" t="s">
        <v>71</v>
      </c>
      <c r="F349" s="64">
        <f>SUM(F345:F347)</f>
        <v>0</v>
      </c>
      <c r="G349" s="63"/>
    </row>
    <row r="350" spans="1:11" hidden="1">
      <c r="A350" s="126" t="s">
        <v>83</v>
      </c>
      <c r="B350" s="24" t="s">
        <v>84</v>
      </c>
      <c r="C350" s="26" t="s">
        <v>53</v>
      </c>
      <c r="D350" s="27" t="s">
        <v>192</v>
      </c>
      <c r="E350" s="28">
        <v>0</v>
      </c>
      <c r="F350" s="29">
        <v>-382549.04</v>
      </c>
      <c r="G350" s="28">
        <v>-382549.04</v>
      </c>
    </row>
    <row r="351" spans="1:11" hidden="1">
      <c r="A351" s="127"/>
      <c r="B351" s="24" t="s">
        <v>84</v>
      </c>
      <c r="C351" s="31"/>
      <c r="D351" s="27" t="s">
        <v>193</v>
      </c>
      <c r="E351" s="28">
        <v>-382549.04</v>
      </c>
      <c r="F351" s="29">
        <v>-323514.82</v>
      </c>
      <c r="G351" s="28">
        <v>-706063.86</v>
      </c>
    </row>
    <row r="352" spans="1:11" hidden="1">
      <c r="A352" s="127"/>
      <c r="B352" s="24" t="s">
        <v>84</v>
      </c>
      <c r="C352" s="32"/>
      <c r="D352" s="27" t="s">
        <v>194</v>
      </c>
      <c r="E352" s="28">
        <v>-706063.86</v>
      </c>
      <c r="F352" s="29">
        <v>-265063.40999999997</v>
      </c>
      <c r="G352" s="28">
        <v>-971127.27</v>
      </c>
    </row>
    <row r="353" spans="1:7" s="53" customFormat="1">
      <c r="A353" s="126" t="s">
        <v>83</v>
      </c>
      <c r="B353" s="24" t="s">
        <v>84</v>
      </c>
      <c r="C353" s="26" t="s">
        <v>53</v>
      </c>
      <c r="D353" s="27" t="s">
        <v>196</v>
      </c>
      <c r="E353" s="28">
        <v>-971127.27</v>
      </c>
      <c r="F353" s="29">
        <v>-51678.59</v>
      </c>
      <c r="G353" s="28">
        <v>-1022805.86</v>
      </c>
    </row>
    <row r="354" spans="1:7" s="53" customFormat="1">
      <c r="A354" s="127"/>
      <c r="B354" s="24" t="s">
        <v>84</v>
      </c>
      <c r="C354" s="31"/>
      <c r="D354" s="27" t="s">
        <v>197</v>
      </c>
      <c r="E354" s="28">
        <v>-1022805.86</v>
      </c>
      <c r="F354" s="29">
        <v>0</v>
      </c>
      <c r="G354" s="28">
        <v>-1022805.86</v>
      </c>
    </row>
    <row r="355" spans="1:7" s="53" customFormat="1">
      <c r="A355" s="127"/>
      <c r="B355" s="24" t="s">
        <v>84</v>
      </c>
      <c r="C355" s="32"/>
      <c r="D355" s="27" t="s">
        <v>198</v>
      </c>
      <c r="E355" s="28">
        <v>-1022805.86</v>
      </c>
      <c r="F355" s="29">
        <v>0</v>
      </c>
      <c r="G355" s="28">
        <v>-1022805.86</v>
      </c>
    </row>
    <row r="356" spans="1:7" hidden="1">
      <c r="A356" s="128"/>
      <c r="B356" s="61"/>
      <c r="C356" s="62"/>
      <c r="D356" s="61"/>
      <c r="E356" s="63" t="s">
        <v>70</v>
      </c>
      <c r="F356" s="64">
        <f>SUM(F350:F352)</f>
        <v>-971127.27</v>
      </c>
      <c r="G356" s="63"/>
    </row>
    <row r="357" spans="1:7" s="53" customFormat="1">
      <c r="A357" s="257"/>
      <c r="B357" s="129"/>
      <c r="C357" s="258"/>
      <c r="D357" s="129"/>
      <c r="E357" s="63" t="s">
        <v>71</v>
      </c>
      <c r="F357" s="64">
        <f>SUM(F353:F355)</f>
        <v>-51678.59</v>
      </c>
      <c r="G357" s="259"/>
    </row>
  </sheetData>
  <mergeCells count="8">
    <mergeCell ref="A1:H1"/>
    <mergeCell ref="A185:G185"/>
    <mergeCell ref="A302:G302"/>
    <mergeCell ref="J165:K165"/>
    <mergeCell ref="I5:J5"/>
    <mergeCell ref="A188:G188"/>
    <mergeCell ref="A261:G261"/>
    <mergeCell ref="A4:G4"/>
  </mergeCells>
  <printOptions horizontalCentered="1"/>
  <pageMargins left="0.25" right="0.25" top="0.9375" bottom="0.75" header="0.3" footer="0.3"/>
  <pageSetup scale="71" fitToHeight="4" orientation="portrait" useFirstPageNumber="1" r:id="rId1"/>
  <headerFooter scaleWithDoc="0">
    <oddHeader>&amp;CAvista Corporation Decoupling Mechanism
Washington Jurisdiction
Quarterly Report for 2nd Quarter 2022</oddHeader>
    <oddFooter>&amp;Cfile: &amp;F / &amp;A</oddFooter>
  </headerFooter>
  <rowBreaks count="3" manualBreakCount="3">
    <brk id="82" max="7" man="1"/>
    <brk id="184" max="7" man="1"/>
    <brk id="259"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X187"/>
  <sheetViews>
    <sheetView view="pageBreakPreview" zoomScale="85" zoomScaleNormal="100" zoomScaleSheetLayoutView="85" workbookViewId="0">
      <selection sqref="A1:I1"/>
    </sheetView>
  </sheetViews>
  <sheetFormatPr defaultColWidth="8.85546875" defaultRowHeight="15"/>
  <cols>
    <col min="1" max="1" width="25.5703125" style="53" customWidth="1"/>
    <col min="2" max="2" width="3.85546875" style="53" customWidth="1"/>
    <col min="3" max="3" width="15.42578125" style="147" bestFit="1" customWidth="1"/>
    <col min="4" max="4" width="12.7109375" style="147" customWidth="1"/>
    <col min="5" max="5" width="15.5703125" style="147" bestFit="1" customWidth="1"/>
    <col min="6" max="6" width="15.28515625" style="147" customWidth="1"/>
    <col min="7" max="7" width="3.42578125" style="53" customWidth="1"/>
    <col min="8" max="8" width="15.85546875" style="53" bestFit="1" customWidth="1"/>
    <col min="9" max="9" width="3.85546875" style="53" customWidth="1"/>
    <col min="10" max="10" width="24.85546875" style="53" customWidth="1"/>
    <col min="11" max="11" width="4.42578125" style="53" customWidth="1"/>
    <col min="12" max="12" width="15" style="147" bestFit="1" customWidth="1"/>
    <col min="13" max="13" width="12.28515625" style="147" customWidth="1"/>
    <col min="14" max="14" width="13.140625" style="147" customWidth="1"/>
    <col min="15" max="15" width="14.5703125" style="147" customWidth="1"/>
    <col min="16" max="16" width="3.7109375" style="53" customWidth="1"/>
    <col min="17" max="17" width="12.7109375" style="53" customWidth="1"/>
    <col min="18" max="18" width="3.140625" style="53" customWidth="1"/>
    <col min="19" max="19" width="11.85546875" style="53" bestFit="1" customWidth="1"/>
    <col min="20" max="20" width="8.85546875" style="53"/>
    <col min="21" max="21" width="15" style="53" bestFit="1" customWidth="1"/>
    <col min="22" max="22" width="12.5703125" style="53" bestFit="1" customWidth="1"/>
    <col min="23" max="23" width="14" style="53" bestFit="1" customWidth="1"/>
    <col min="24" max="24" width="13.5703125" style="53" bestFit="1" customWidth="1"/>
    <col min="25" max="16384" width="8.85546875" style="53"/>
  </cols>
  <sheetData>
    <row r="1" spans="1:24" ht="28.15" customHeight="1">
      <c r="A1" s="274" t="s">
        <v>100</v>
      </c>
      <c r="B1" s="274"/>
      <c r="C1" s="274"/>
      <c r="D1" s="274"/>
      <c r="E1" s="274"/>
      <c r="F1" s="274"/>
      <c r="G1" s="274"/>
      <c r="H1" s="274"/>
      <c r="I1" s="274"/>
      <c r="J1" s="274" t="s">
        <v>100</v>
      </c>
      <c r="K1" s="274"/>
      <c r="L1" s="274"/>
      <c r="M1" s="274"/>
      <c r="N1" s="274"/>
      <c r="O1" s="274"/>
      <c r="P1" s="274"/>
      <c r="Q1" s="274"/>
      <c r="R1" s="274"/>
    </row>
    <row r="2" spans="1:24">
      <c r="C2" s="146" t="s">
        <v>105</v>
      </c>
      <c r="L2" s="146" t="s">
        <v>104</v>
      </c>
    </row>
    <row r="3" spans="1:24">
      <c r="A3" s="97"/>
      <c r="C3" s="148"/>
      <c r="H3" s="179"/>
      <c r="L3" s="148"/>
      <c r="Q3" s="179"/>
    </row>
    <row r="4" spans="1:24">
      <c r="A4" s="179"/>
      <c r="B4" s="180" t="s">
        <v>139</v>
      </c>
      <c r="C4" s="179" t="s">
        <v>103</v>
      </c>
      <c r="D4" s="179">
        <v>419328</v>
      </c>
      <c r="E4" s="179">
        <v>431328</v>
      </c>
      <c r="F4" s="179" t="s">
        <v>102</v>
      </c>
      <c r="H4" s="179" t="s">
        <v>132</v>
      </c>
      <c r="I4" s="150"/>
      <c r="K4" s="180" t="s">
        <v>140</v>
      </c>
      <c r="L4" s="179" t="s">
        <v>103</v>
      </c>
      <c r="M4" s="179">
        <v>419328</v>
      </c>
      <c r="N4" s="179">
        <v>431328</v>
      </c>
      <c r="O4" s="179" t="s">
        <v>102</v>
      </c>
      <c r="Q4" s="53" t="str">
        <f>H4</f>
        <v>Recon Check</v>
      </c>
      <c r="R4" s="150"/>
    </row>
    <row r="5" spans="1:24" ht="14.45" customHeight="1">
      <c r="A5" s="181">
        <v>44562</v>
      </c>
      <c r="C5" s="147">
        <f t="shared" ref="C5:C16" si="0">D26+D42+D61+D79+D96+D112+D128+D144</f>
        <v>6837.72</v>
      </c>
      <c r="D5" s="155">
        <v>-26964.94</v>
      </c>
      <c r="E5" s="155">
        <v>20127.22</v>
      </c>
      <c r="F5" s="147">
        <f>D5+E5</f>
        <v>-6837.7199999999975</v>
      </c>
      <c r="H5" s="147">
        <f>C5+F5</f>
        <v>0</v>
      </c>
      <c r="I5" s="150"/>
      <c r="J5" s="97">
        <f>A5</f>
        <v>44562</v>
      </c>
      <c r="L5" s="147">
        <f t="shared" ref="L5:L16" si="1">M26+M42+M61+M79+M96+M112+M128+M144</f>
        <v>22486.22</v>
      </c>
      <c r="M5" s="155">
        <v>-26661.89</v>
      </c>
      <c r="N5" s="155">
        <v>4175.67</v>
      </c>
      <c r="O5" s="147">
        <f>M5+N5</f>
        <v>-22486.22</v>
      </c>
      <c r="P5" s="147"/>
      <c r="Q5" s="147">
        <f>L5+O5</f>
        <v>0</v>
      </c>
      <c r="R5" s="150"/>
      <c r="U5" s="17"/>
      <c r="V5" s="17"/>
      <c r="W5" s="17"/>
      <c r="X5" s="17"/>
    </row>
    <row r="6" spans="1:24" ht="14.45" customHeight="1">
      <c r="A6" s="97">
        <f>EDATE(A5,1)</f>
        <v>44593</v>
      </c>
      <c r="C6" s="147">
        <f t="shared" si="0"/>
        <v>-2852.0700000000011</v>
      </c>
      <c r="D6" s="155">
        <v>-24117.43</v>
      </c>
      <c r="E6" s="155">
        <v>26969.5</v>
      </c>
      <c r="F6" s="147">
        <f t="shared" ref="F6:F15" si="2">D6+E6</f>
        <v>2852.0699999999997</v>
      </c>
      <c r="H6" s="147">
        <f t="shared" ref="H6:H16" si="3">C6+F6</f>
        <v>0</v>
      </c>
      <c r="I6" s="150"/>
      <c r="J6" s="97">
        <f t="shared" ref="J6:J16" si="4">A6</f>
        <v>44593</v>
      </c>
      <c r="L6" s="147">
        <f t="shared" si="1"/>
        <v>16028.610000000002</v>
      </c>
      <c r="M6" s="155">
        <v>-26027.68</v>
      </c>
      <c r="N6" s="155">
        <v>9999.07</v>
      </c>
      <c r="O6" s="147">
        <f t="shared" ref="O6:O16" si="5">M6+N6</f>
        <v>-16028.61</v>
      </c>
      <c r="P6" s="147"/>
      <c r="Q6" s="147">
        <f>L6+O6</f>
        <v>0</v>
      </c>
      <c r="R6" s="150"/>
      <c r="U6" s="17"/>
      <c r="V6" s="17"/>
      <c r="W6" s="17"/>
      <c r="X6" s="17"/>
    </row>
    <row r="7" spans="1:24" ht="14.45" customHeight="1">
      <c r="A7" s="97">
        <f>EDATE(A6,1)</f>
        <v>44621</v>
      </c>
      <c r="C7" s="147">
        <f t="shared" si="0"/>
        <v>-9008.73</v>
      </c>
      <c r="D7" s="155">
        <v>-21193.03</v>
      </c>
      <c r="E7" s="155">
        <v>30201.759999999998</v>
      </c>
      <c r="F7" s="147">
        <f t="shared" si="2"/>
        <v>9008.73</v>
      </c>
      <c r="H7" s="147">
        <f t="shared" si="3"/>
        <v>0</v>
      </c>
      <c r="I7" s="150"/>
      <c r="J7" s="97">
        <f t="shared" si="4"/>
        <v>44621</v>
      </c>
      <c r="L7" s="147">
        <f t="shared" si="1"/>
        <v>14735.970000000001</v>
      </c>
      <c r="M7" s="155">
        <v>-25532.43</v>
      </c>
      <c r="N7" s="155">
        <v>10796.46</v>
      </c>
      <c r="O7" s="147">
        <f t="shared" si="5"/>
        <v>-14735.970000000001</v>
      </c>
      <c r="P7" s="147"/>
      <c r="Q7" s="147">
        <f t="shared" ref="Q7:Q16" si="6">L7+O7</f>
        <v>0</v>
      </c>
      <c r="R7" s="150"/>
      <c r="U7" s="17"/>
      <c r="V7" s="17"/>
      <c r="W7" s="17"/>
      <c r="X7" s="17"/>
    </row>
    <row r="8" spans="1:24" ht="14.45" customHeight="1">
      <c r="A8" s="97">
        <f t="shared" ref="A8:A16" si="7">EDATE(A7,1)</f>
        <v>44652</v>
      </c>
      <c r="B8" s="215"/>
      <c r="C8" s="147">
        <f t="shared" si="0"/>
        <v>-16226.15</v>
      </c>
      <c r="D8" s="155">
        <v>-18130.68</v>
      </c>
      <c r="E8" s="155">
        <v>34356.83</v>
      </c>
      <c r="F8" s="147">
        <f>D8+E8</f>
        <v>16226.150000000001</v>
      </c>
      <c r="H8" s="147">
        <f>C8+F8</f>
        <v>0</v>
      </c>
      <c r="I8" s="150"/>
      <c r="J8" s="97">
        <f t="shared" si="4"/>
        <v>44652</v>
      </c>
      <c r="K8" s="215"/>
      <c r="L8" s="147">
        <f t="shared" si="1"/>
        <v>13891.219999999998</v>
      </c>
      <c r="M8" s="155">
        <v>-25154.639999999999</v>
      </c>
      <c r="N8" s="155">
        <v>11263.42</v>
      </c>
      <c r="O8" s="147">
        <f t="shared" si="5"/>
        <v>-13891.22</v>
      </c>
      <c r="P8" s="147"/>
      <c r="Q8" s="147">
        <f t="shared" si="6"/>
        <v>0</v>
      </c>
      <c r="R8" s="150"/>
      <c r="X8" s="17"/>
    </row>
    <row r="9" spans="1:24" ht="14.45" customHeight="1">
      <c r="A9" s="97">
        <f t="shared" si="7"/>
        <v>44682</v>
      </c>
      <c r="C9" s="147">
        <f t="shared" si="0"/>
        <v>-19626.490000000002</v>
      </c>
      <c r="D9" s="155">
        <v>-15312.1</v>
      </c>
      <c r="E9" s="155">
        <v>34938.589999999997</v>
      </c>
      <c r="F9" s="147">
        <f t="shared" si="2"/>
        <v>19626.489999999998</v>
      </c>
      <c r="H9" s="147">
        <f t="shared" si="3"/>
        <v>0</v>
      </c>
      <c r="I9" s="150"/>
      <c r="J9" s="97">
        <f t="shared" si="4"/>
        <v>44682</v>
      </c>
      <c r="L9" s="147">
        <f t="shared" si="1"/>
        <v>11743.099999999999</v>
      </c>
      <c r="M9" s="155">
        <v>-24887.29</v>
      </c>
      <c r="N9" s="155">
        <v>13144.19</v>
      </c>
      <c r="O9" s="147">
        <f t="shared" si="5"/>
        <v>-11743.1</v>
      </c>
      <c r="P9" s="147"/>
      <c r="Q9" s="147">
        <f t="shared" si="6"/>
        <v>0</v>
      </c>
      <c r="R9" s="150"/>
      <c r="X9" s="17"/>
    </row>
    <row r="10" spans="1:24" ht="14.45" customHeight="1">
      <c r="A10" s="97">
        <f t="shared" si="7"/>
        <v>44713</v>
      </c>
      <c r="C10" s="147">
        <f t="shared" si="0"/>
        <v>-17200.820000000003</v>
      </c>
      <c r="D10" s="155">
        <v>-15113.95</v>
      </c>
      <c r="E10" s="155">
        <v>32314.77</v>
      </c>
      <c r="F10" s="147">
        <f t="shared" si="2"/>
        <v>17200.82</v>
      </c>
      <c r="H10" s="147">
        <f t="shared" si="3"/>
        <v>0</v>
      </c>
      <c r="I10" s="150"/>
      <c r="J10" s="97">
        <f t="shared" si="4"/>
        <v>44713</v>
      </c>
      <c r="L10" s="147">
        <f t="shared" si="1"/>
        <v>11577.52</v>
      </c>
      <c r="M10" s="155">
        <v>-24755.85</v>
      </c>
      <c r="N10" s="155">
        <v>13178.33</v>
      </c>
      <c r="O10" s="147">
        <f>M10+N10</f>
        <v>-11577.519999999999</v>
      </c>
      <c r="P10" s="147"/>
      <c r="Q10" s="147">
        <f t="shared" si="6"/>
        <v>0</v>
      </c>
      <c r="R10" s="150"/>
      <c r="X10" s="17"/>
    </row>
    <row r="11" spans="1:24" ht="14.45" hidden="1" customHeight="1">
      <c r="A11" s="97">
        <f t="shared" si="7"/>
        <v>44743</v>
      </c>
      <c r="C11" s="147">
        <f t="shared" si="0"/>
        <v>0</v>
      </c>
      <c r="D11" s="149"/>
      <c r="E11" s="149"/>
      <c r="F11" s="147">
        <f t="shared" si="2"/>
        <v>0</v>
      </c>
      <c r="H11" s="147">
        <f t="shared" si="3"/>
        <v>0</v>
      </c>
      <c r="I11" s="150"/>
      <c r="J11" s="97">
        <f t="shared" si="4"/>
        <v>44743</v>
      </c>
      <c r="L11" s="147">
        <f t="shared" si="1"/>
        <v>0</v>
      </c>
      <c r="M11" s="218"/>
      <c r="N11" s="218"/>
      <c r="O11" s="147">
        <f t="shared" si="5"/>
        <v>0</v>
      </c>
      <c r="P11" s="147"/>
      <c r="Q11" s="147">
        <f t="shared" si="6"/>
        <v>0</v>
      </c>
      <c r="R11" s="150"/>
      <c r="X11" s="17"/>
    </row>
    <row r="12" spans="1:24" ht="14.45" hidden="1" customHeight="1">
      <c r="A12" s="97">
        <f t="shared" si="7"/>
        <v>44774</v>
      </c>
      <c r="C12" s="147">
        <f t="shared" si="0"/>
        <v>0</v>
      </c>
      <c r="D12" s="149"/>
      <c r="E12" s="149"/>
      <c r="F12" s="147">
        <f t="shared" si="2"/>
        <v>0</v>
      </c>
      <c r="H12" s="147">
        <f t="shared" si="3"/>
        <v>0</v>
      </c>
      <c r="I12" s="150"/>
      <c r="J12" s="97">
        <f t="shared" si="4"/>
        <v>44774</v>
      </c>
      <c r="L12" s="147">
        <f t="shared" si="1"/>
        <v>0</v>
      </c>
      <c r="M12" s="218"/>
      <c r="N12" s="218"/>
      <c r="O12" s="147">
        <f>M12+N12</f>
        <v>0</v>
      </c>
      <c r="P12" s="147"/>
      <c r="Q12" s="147">
        <f t="shared" si="6"/>
        <v>0</v>
      </c>
      <c r="X12" s="17"/>
    </row>
    <row r="13" spans="1:24" ht="14.45" hidden="1" customHeight="1">
      <c r="A13" s="97">
        <f t="shared" si="7"/>
        <v>44805</v>
      </c>
      <c r="C13" s="147">
        <f t="shared" si="0"/>
        <v>0</v>
      </c>
      <c r="D13" s="149"/>
      <c r="E13" s="149"/>
      <c r="F13" s="147">
        <f t="shared" si="2"/>
        <v>0</v>
      </c>
      <c r="H13" s="147">
        <f t="shared" si="3"/>
        <v>0</v>
      </c>
      <c r="I13" s="150"/>
      <c r="J13" s="97">
        <f t="shared" si="4"/>
        <v>44805</v>
      </c>
      <c r="L13" s="147">
        <f t="shared" si="1"/>
        <v>0</v>
      </c>
      <c r="M13" s="218"/>
      <c r="N13" s="218"/>
      <c r="O13" s="147">
        <f t="shared" si="5"/>
        <v>0</v>
      </c>
      <c r="P13" s="147"/>
      <c r="Q13" s="147">
        <f t="shared" si="6"/>
        <v>0</v>
      </c>
      <c r="R13" s="150"/>
      <c r="X13" s="17"/>
    </row>
    <row r="14" spans="1:24" hidden="1">
      <c r="A14" s="97">
        <f t="shared" si="7"/>
        <v>44835</v>
      </c>
      <c r="C14" s="147">
        <f t="shared" si="0"/>
        <v>0</v>
      </c>
      <c r="D14" s="149"/>
      <c r="E14" s="149"/>
      <c r="F14" s="147">
        <f t="shared" si="2"/>
        <v>0</v>
      </c>
      <c r="H14" s="147">
        <f t="shared" si="3"/>
        <v>0</v>
      </c>
      <c r="I14" s="150"/>
      <c r="J14" s="97">
        <f t="shared" si="4"/>
        <v>44835</v>
      </c>
      <c r="L14" s="147">
        <f t="shared" si="1"/>
        <v>0</v>
      </c>
      <c r="M14" s="218"/>
      <c r="N14" s="218"/>
      <c r="O14" s="147">
        <f t="shared" si="5"/>
        <v>0</v>
      </c>
      <c r="P14" s="147"/>
      <c r="Q14" s="147">
        <f t="shared" si="6"/>
        <v>0</v>
      </c>
      <c r="R14" s="150"/>
      <c r="X14" s="17"/>
    </row>
    <row r="15" spans="1:24" hidden="1">
      <c r="A15" s="97">
        <f t="shared" si="7"/>
        <v>44866</v>
      </c>
      <c r="C15" s="147">
        <f t="shared" si="0"/>
        <v>0</v>
      </c>
      <c r="D15" s="149"/>
      <c r="E15" s="149"/>
      <c r="F15" s="147">
        <f t="shared" si="2"/>
        <v>0</v>
      </c>
      <c r="H15" s="147">
        <f t="shared" si="3"/>
        <v>0</v>
      </c>
      <c r="I15" s="150"/>
      <c r="J15" s="97">
        <f t="shared" si="4"/>
        <v>44866</v>
      </c>
      <c r="L15" s="147">
        <f t="shared" si="1"/>
        <v>0</v>
      </c>
      <c r="M15" s="218"/>
      <c r="N15" s="218"/>
      <c r="O15" s="147">
        <f>M15+N15</f>
        <v>0</v>
      </c>
      <c r="P15" s="147"/>
      <c r="Q15" s="147">
        <f t="shared" si="6"/>
        <v>0</v>
      </c>
      <c r="R15" s="150"/>
      <c r="X15" s="17"/>
    </row>
    <row r="16" spans="1:24" hidden="1">
      <c r="A16" s="97">
        <f t="shared" si="7"/>
        <v>44896</v>
      </c>
      <c r="C16" s="147">
        <f t="shared" si="0"/>
        <v>0</v>
      </c>
      <c r="D16" s="149"/>
      <c r="E16" s="149"/>
      <c r="F16" s="147">
        <f>D16+E16</f>
        <v>0</v>
      </c>
      <c r="H16" s="147">
        <f t="shared" si="3"/>
        <v>0</v>
      </c>
      <c r="J16" s="97">
        <f t="shared" si="4"/>
        <v>44896</v>
      </c>
      <c r="L16" s="147">
        <f t="shared" si="1"/>
        <v>0</v>
      </c>
      <c r="M16" s="218"/>
      <c r="N16" s="218"/>
      <c r="O16" s="147">
        <f t="shared" si="5"/>
        <v>0</v>
      </c>
      <c r="P16" s="147"/>
      <c r="Q16" s="147">
        <f t="shared" si="6"/>
        <v>0</v>
      </c>
      <c r="X16" s="17"/>
    </row>
    <row r="17" spans="1:24" ht="14.45" customHeight="1">
      <c r="A17" s="118" t="s">
        <v>101</v>
      </c>
      <c r="B17" s="113"/>
      <c r="C17" s="151">
        <f>SUM(C5:C7)</f>
        <v>-5023.08</v>
      </c>
      <c r="D17" s="151">
        <f>SUM(D5:D7)</f>
        <v>-72275.399999999994</v>
      </c>
      <c r="E17" s="151">
        <f t="shared" ref="E17:F17" si="8">SUM(E5:E7)</f>
        <v>77298.48</v>
      </c>
      <c r="F17" s="151">
        <f t="shared" si="8"/>
        <v>5023.0800000000017</v>
      </c>
      <c r="G17" s="113"/>
      <c r="H17" s="151">
        <f>C17+F17</f>
        <v>0</v>
      </c>
      <c r="I17" s="113"/>
      <c r="J17" s="118" t="s">
        <v>101</v>
      </c>
      <c r="K17" s="113"/>
      <c r="L17" s="151">
        <f>SUM(L5:L7)</f>
        <v>53250.8</v>
      </c>
      <c r="M17" s="151">
        <f t="shared" ref="M17:O17" si="9">SUM(M5:M7)</f>
        <v>-78222</v>
      </c>
      <c r="N17" s="151">
        <f t="shared" si="9"/>
        <v>24971.199999999997</v>
      </c>
      <c r="O17" s="151">
        <f t="shared" si="9"/>
        <v>-53250.8</v>
      </c>
      <c r="P17" s="151"/>
      <c r="Q17" s="151">
        <f>L17+O17</f>
        <v>0</v>
      </c>
    </row>
    <row r="18" spans="1:24" ht="14.45" customHeight="1">
      <c r="A18" s="118" t="s">
        <v>106</v>
      </c>
      <c r="B18" s="113"/>
      <c r="C18" s="151">
        <f>SUM(C8:C10)</f>
        <v>-53053.460000000006</v>
      </c>
      <c r="D18" s="151">
        <f>SUM(D8:D10)</f>
        <v>-48556.729999999996</v>
      </c>
      <c r="E18" s="151">
        <f t="shared" ref="E18:F18" si="10">SUM(E8:E10)</f>
        <v>101610.19</v>
      </c>
      <c r="F18" s="151">
        <f t="shared" si="10"/>
        <v>53053.46</v>
      </c>
      <c r="G18" s="113"/>
      <c r="H18" s="151">
        <f t="shared" ref="H18:H21" si="11">C18+F18</f>
        <v>0</v>
      </c>
      <c r="I18" s="113"/>
      <c r="J18" s="118" t="s">
        <v>106</v>
      </c>
      <c r="K18" s="113"/>
      <c r="L18" s="151">
        <f>SUM(L8:L10)</f>
        <v>37211.839999999997</v>
      </c>
      <c r="M18" s="151">
        <f t="shared" ref="M18:O18" si="12">SUM(M8:M10)</f>
        <v>-74797.78</v>
      </c>
      <c r="N18" s="151">
        <f t="shared" si="12"/>
        <v>37585.94</v>
      </c>
      <c r="O18" s="151">
        <f t="shared" si="12"/>
        <v>-37211.839999999997</v>
      </c>
      <c r="P18" s="151"/>
      <c r="Q18" s="151">
        <f t="shared" ref="Q18:Q21" si="13">L18+O18</f>
        <v>0</v>
      </c>
    </row>
    <row r="19" spans="1:24" ht="14.45" hidden="1" customHeight="1">
      <c r="A19" s="118" t="s">
        <v>107</v>
      </c>
      <c r="B19" s="113"/>
      <c r="C19" s="151">
        <f>SUM(C11:C13)</f>
        <v>0</v>
      </c>
      <c r="D19" s="151">
        <f t="shared" ref="D19:E19" si="14">SUM(D11:D13)</f>
        <v>0</v>
      </c>
      <c r="E19" s="151">
        <f t="shared" si="14"/>
        <v>0</v>
      </c>
      <c r="F19" s="151">
        <f>SUM(F11:F13)</f>
        <v>0</v>
      </c>
      <c r="G19" s="113"/>
      <c r="H19" s="151">
        <f t="shared" si="11"/>
        <v>0</v>
      </c>
      <c r="I19" s="113"/>
      <c r="J19" s="118" t="s">
        <v>108</v>
      </c>
      <c r="K19" s="113"/>
      <c r="L19" s="151">
        <f>SUM(L11:L13)</f>
        <v>0</v>
      </c>
      <c r="M19" s="151">
        <f>SUM(M11:M13)</f>
        <v>0</v>
      </c>
      <c r="N19" s="151">
        <f t="shared" ref="N19:O19" si="15">SUM(N11:N13)</f>
        <v>0</v>
      </c>
      <c r="O19" s="151">
        <f t="shared" si="15"/>
        <v>0</v>
      </c>
      <c r="P19" s="151"/>
      <c r="Q19" s="151">
        <f t="shared" si="13"/>
        <v>0</v>
      </c>
    </row>
    <row r="20" spans="1:24" s="113" customFormat="1" hidden="1">
      <c r="A20" s="118" t="s">
        <v>110</v>
      </c>
      <c r="C20" s="151">
        <f>SUM(C14:C16)</f>
        <v>0</v>
      </c>
      <c r="D20" s="151">
        <f t="shared" ref="D20:F20" si="16">SUM(D14:D16)</f>
        <v>0</v>
      </c>
      <c r="E20" s="151">
        <f t="shared" si="16"/>
        <v>0</v>
      </c>
      <c r="F20" s="151">
        <f t="shared" si="16"/>
        <v>0</v>
      </c>
      <c r="H20" s="151">
        <f t="shared" si="11"/>
        <v>0</v>
      </c>
      <c r="J20" s="118" t="s">
        <v>110</v>
      </c>
      <c r="L20" s="151">
        <f>SUM(L14:L16)</f>
        <v>0</v>
      </c>
      <c r="M20" s="151">
        <f t="shared" ref="M20:O20" si="17">SUM(M14:M16)</f>
        <v>0</v>
      </c>
      <c r="N20" s="151">
        <f t="shared" si="17"/>
        <v>0</v>
      </c>
      <c r="O20" s="151">
        <f t="shared" si="17"/>
        <v>0</v>
      </c>
      <c r="P20" s="151"/>
      <c r="Q20" s="151">
        <f t="shared" si="13"/>
        <v>0</v>
      </c>
    </row>
    <row r="21" spans="1:24" s="113" customFormat="1">
      <c r="A21" s="118" t="s">
        <v>137</v>
      </c>
      <c r="C21" s="151">
        <f>SUM(C5:C16)</f>
        <v>-58076.540000000008</v>
      </c>
      <c r="D21" s="151">
        <f t="shared" ref="D21:F21" si="18">SUM(D5:D16)</f>
        <v>-120832.12999999999</v>
      </c>
      <c r="E21" s="151">
        <f t="shared" si="18"/>
        <v>178908.66999999998</v>
      </c>
      <c r="F21" s="151">
        <f t="shared" si="18"/>
        <v>58076.54</v>
      </c>
      <c r="H21" s="151">
        <f t="shared" si="11"/>
        <v>0</v>
      </c>
      <c r="J21" s="118" t="s">
        <v>137</v>
      </c>
      <c r="L21" s="151">
        <f>SUM(L5:L16)</f>
        <v>90462.64</v>
      </c>
      <c r="M21" s="151">
        <f t="shared" ref="M21:O21" si="19">SUM(M5:M16)</f>
        <v>-153019.78</v>
      </c>
      <c r="N21" s="151">
        <f t="shared" si="19"/>
        <v>62557.14</v>
      </c>
      <c r="O21" s="151">
        <f t="shared" si="19"/>
        <v>-90462.640000000014</v>
      </c>
      <c r="P21" s="151"/>
      <c r="Q21" s="151">
        <f t="shared" si="13"/>
        <v>0</v>
      </c>
    </row>
    <row r="22" spans="1:24" s="22" customFormat="1">
      <c r="A22" s="253"/>
      <c r="B22" s="253"/>
      <c r="C22" s="253"/>
      <c r="D22" s="253"/>
      <c r="E22" s="253"/>
      <c r="F22" s="254"/>
      <c r="J22" s="253"/>
      <c r="K22" s="253"/>
      <c r="L22" s="253"/>
      <c r="M22" s="253"/>
      <c r="N22" s="253"/>
      <c r="O22" s="254"/>
    </row>
    <row r="23" spans="1:24" ht="29.25" customHeight="1">
      <c r="A23" s="178">
        <v>186328</v>
      </c>
      <c r="B23" s="178" t="s">
        <v>52</v>
      </c>
      <c r="C23" s="148" t="s">
        <v>92</v>
      </c>
      <c r="D23" s="148" t="s">
        <v>93</v>
      </c>
      <c r="E23" s="148"/>
      <c r="F23" s="148" t="s">
        <v>95</v>
      </c>
      <c r="H23" s="179" t="s">
        <v>93</v>
      </c>
      <c r="J23" s="178">
        <f>A23</f>
        <v>186328</v>
      </c>
      <c r="K23" s="178" t="s">
        <v>53</v>
      </c>
      <c r="L23" s="148" t="s">
        <v>92</v>
      </c>
      <c r="M23" s="148" t="s">
        <v>93</v>
      </c>
      <c r="N23" s="148"/>
      <c r="O23" s="148" t="s">
        <v>95</v>
      </c>
      <c r="Q23" s="179" t="s">
        <v>93</v>
      </c>
    </row>
    <row r="24" spans="1:24" ht="15.75" thickBot="1">
      <c r="A24" s="143" t="s">
        <v>141</v>
      </c>
      <c r="B24" s="113" t="s">
        <v>142</v>
      </c>
      <c r="C24" s="148" t="s">
        <v>96</v>
      </c>
      <c r="D24" s="148" t="s">
        <v>97</v>
      </c>
      <c r="E24" s="148" t="s">
        <v>98</v>
      </c>
      <c r="F24" s="148" t="s">
        <v>94</v>
      </c>
      <c r="H24" s="179" t="s">
        <v>99</v>
      </c>
      <c r="J24" s="144" t="str">
        <f>A24</f>
        <v>Deferral - Residential</v>
      </c>
      <c r="K24" s="113" t="s">
        <v>142</v>
      </c>
      <c r="L24" s="148" t="s">
        <v>96</v>
      </c>
      <c r="M24" s="148" t="s">
        <v>97</v>
      </c>
      <c r="N24" s="148" t="s">
        <v>98</v>
      </c>
      <c r="O24" s="148" t="s">
        <v>94</v>
      </c>
      <c r="Q24" s="179" t="s">
        <v>99</v>
      </c>
    </row>
    <row r="25" spans="1:24" ht="14.45" customHeight="1">
      <c r="A25" s="97">
        <f>EDATE(A5,-1)</f>
        <v>44531</v>
      </c>
      <c r="B25" s="98"/>
      <c r="F25" s="147">
        <v>0</v>
      </c>
      <c r="J25" s="97">
        <f>A25</f>
        <v>44531</v>
      </c>
      <c r="K25" s="98"/>
      <c r="O25" s="147">
        <v>0</v>
      </c>
      <c r="U25" s="192" t="s">
        <v>177</v>
      </c>
      <c r="V25" s="193"/>
    </row>
    <row r="26" spans="1:24" ht="14.45" customHeight="1" thickBot="1">
      <c r="A26" s="97">
        <f t="shared" ref="A26:A28" si="20">A5</f>
        <v>44562</v>
      </c>
      <c r="C26" s="155">
        <v>-2838689.8</v>
      </c>
      <c r="D26" s="147">
        <f>ROUND((F25+(C26+E26)/2)*H26/12,2)</f>
        <v>-3844.06</v>
      </c>
      <c r="F26" s="147">
        <f>F25+C26+D26+E26</f>
        <v>-2842533.86</v>
      </c>
      <c r="G26" s="150"/>
      <c r="H26" s="121">
        <v>3.2500000000000001E-2</v>
      </c>
      <c r="J26" s="97">
        <f t="shared" ref="J26:J37" si="21">A26</f>
        <v>44562</v>
      </c>
      <c r="L26" s="155">
        <v>-2767527.8</v>
      </c>
      <c r="M26" s="147">
        <f>ROUND((O25+(L26+N26)/2)*Q26/12,2)</f>
        <v>-3747.69</v>
      </c>
      <c r="O26" s="147">
        <f t="shared" ref="O26:O36" si="22">O25+L26+M26+N26</f>
        <v>-2771275.4899999998</v>
      </c>
      <c r="P26" s="150"/>
      <c r="Q26" s="99">
        <f>H26</f>
        <v>3.2500000000000001E-2</v>
      </c>
      <c r="U26" s="194">
        <f>F37-'Electric Deferral'!U33</f>
        <v>-1.140180230140686E-2</v>
      </c>
      <c r="V26" s="195">
        <f>O37-'Nat Gas Deferral'!U31</f>
        <v>8.5593792609870434E-3</v>
      </c>
      <c r="W26" s="17"/>
      <c r="X26" s="182"/>
    </row>
    <row r="27" spans="1:24" ht="14.45" customHeight="1">
      <c r="A27" s="97">
        <f t="shared" si="20"/>
        <v>44593</v>
      </c>
      <c r="C27" s="155">
        <v>-2626002.98</v>
      </c>
      <c r="D27" s="147">
        <f t="shared" ref="D27:D36" si="23">ROUND((F26+(C27+E27)/2)*H27/12,2)</f>
        <v>-11254.57</v>
      </c>
      <c r="F27" s="147">
        <f t="shared" ref="F27:F37" si="24">F26+C27+D27+E27</f>
        <v>-5479791.4100000001</v>
      </c>
      <c r="G27" s="150"/>
      <c r="H27" s="99">
        <f>H26</f>
        <v>3.2500000000000001E-2</v>
      </c>
      <c r="J27" s="97">
        <f t="shared" si="21"/>
        <v>44593</v>
      </c>
      <c r="L27" s="155">
        <v>-928483.43</v>
      </c>
      <c r="M27" s="147">
        <f t="shared" ref="M27:M28" si="25">ROUND((O26+(L27+N27)/2)*Q27/12,2)</f>
        <v>-8762.86</v>
      </c>
      <c r="O27" s="147">
        <f t="shared" si="22"/>
        <v>-3708521.78</v>
      </c>
      <c r="P27" s="150"/>
      <c r="Q27" s="99">
        <f t="shared" ref="Q27:Q37" si="26">H27</f>
        <v>3.2500000000000001E-2</v>
      </c>
      <c r="U27" s="17"/>
      <c r="V27" s="182"/>
      <c r="W27" s="17"/>
      <c r="X27" s="182"/>
    </row>
    <row r="28" spans="1:24" ht="14.45" customHeight="1">
      <c r="A28" s="97">
        <f t="shared" si="20"/>
        <v>44621</v>
      </c>
      <c r="C28" s="155">
        <v>88043.22</v>
      </c>
      <c r="D28" s="147">
        <f t="shared" si="23"/>
        <v>-14721.88</v>
      </c>
      <c r="F28" s="147">
        <f>F27+C28+D28+E28</f>
        <v>-5406470.0700000003</v>
      </c>
      <c r="G28" s="150"/>
      <c r="H28" s="99">
        <f>H27</f>
        <v>3.2500000000000001E-2</v>
      </c>
      <c r="J28" s="97">
        <f t="shared" si="21"/>
        <v>44621</v>
      </c>
      <c r="L28" s="155">
        <v>801177.51</v>
      </c>
      <c r="M28" s="147">
        <f t="shared" si="25"/>
        <v>-8958.99</v>
      </c>
      <c r="O28" s="147">
        <f t="shared" si="22"/>
        <v>-2916303.26</v>
      </c>
      <c r="P28" s="150"/>
      <c r="Q28" s="99">
        <f t="shared" si="26"/>
        <v>3.2500000000000001E-2</v>
      </c>
      <c r="W28" s="17"/>
      <c r="X28" s="182"/>
    </row>
    <row r="29" spans="1:24" ht="14.25" customHeight="1">
      <c r="A29" s="97">
        <f t="shared" ref="A29:A37" si="27">A8</f>
        <v>44652</v>
      </c>
      <c r="C29" s="155">
        <v>-1919946.48</v>
      </c>
      <c r="D29" s="147">
        <f t="shared" ref="D29" si="28">ROUND((F28+(C29+E29)/2)*H29/12,2)</f>
        <v>-17242.45</v>
      </c>
      <c r="F29" s="147">
        <f t="shared" ref="F29" si="29">F28+C29+D29+E29</f>
        <v>-7343659.0000000009</v>
      </c>
      <c r="G29" s="150"/>
      <c r="H29" s="121">
        <v>3.2500000000000001E-2</v>
      </c>
      <c r="J29" s="97">
        <f t="shared" si="21"/>
        <v>44652</v>
      </c>
      <c r="L29" s="155">
        <v>-907234.31</v>
      </c>
      <c r="M29" s="147">
        <f>ROUND((O28+(L29+N29)/2)*Q29/12,2)</f>
        <v>-9126.8700000000008</v>
      </c>
      <c r="O29" s="147">
        <f>O28+L29+M29+N29</f>
        <v>-3832664.44</v>
      </c>
      <c r="P29" s="150"/>
      <c r="Q29" s="99">
        <f t="shared" si="26"/>
        <v>3.2500000000000001E-2</v>
      </c>
      <c r="W29" s="17"/>
      <c r="X29" s="182"/>
    </row>
    <row r="30" spans="1:24" ht="14.45" customHeight="1">
      <c r="A30" s="97">
        <f t="shared" si="27"/>
        <v>44682</v>
      </c>
      <c r="C30" s="155">
        <v>738105.66</v>
      </c>
      <c r="D30" s="147">
        <f t="shared" si="23"/>
        <v>-18889.560000000001</v>
      </c>
      <c r="F30" s="147">
        <f t="shared" si="24"/>
        <v>-6624442.9000000004</v>
      </c>
      <c r="G30" s="150"/>
      <c r="H30" s="99">
        <f t="shared" ref="H30:H37" si="30">H29</f>
        <v>3.2500000000000001E-2</v>
      </c>
      <c r="J30" s="97">
        <f t="shared" si="21"/>
        <v>44682</v>
      </c>
      <c r="L30" s="155">
        <v>-245066.1</v>
      </c>
      <c r="M30" s="147">
        <f t="shared" ref="M30:M37" si="31">ROUND((O29+(L30+N30)/2)*Q30/12,2)</f>
        <v>-10711.99</v>
      </c>
      <c r="O30" s="147">
        <f>O29+L30+M30+N30</f>
        <v>-4088442.5300000003</v>
      </c>
      <c r="P30" s="150"/>
      <c r="Q30" s="99">
        <f t="shared" si="26"/>
        <v>3.2500000000000001E-2</v>
      </c>
    </row>
    <row r="31" spans="1:24" ht="14.45" customHeight="1">
      <c r="A31" s="97">
        <f t="shared" si="27"/>
        <v>44713</v>
      </c>
      <c r="C31" s="155">
        <v>423382.44</v>
      </c>
      <c r="D31" s="147">
        <f t="shared" si="23"/>
        <v>-17367.87</v>
      </c>
      <c r="F31" s="147">
        <f t="shared" si="24"/>
        <v>-6218428.3300000001</v>
      </c>
      <c r="G31" s="150"/>
      <c r="H31" s="99">
        <f t="shared" si="30"/>
        <v>3.2500000000000001E-2</v>
      </c>
      <c r="J31" s="97">
        <f t="shared" si="21"/>
        <v>44713</v>
      </c>
      <c r="L31" s="155">
        <v>303942.55</v>
      </c>
      <c r="M31" s="147">
        <f t="shared" si="31"/>
        <v>-10661.28</v>
      </c>
      <c r="O31" s="147">
        <f t="shared" si="22"/>
        <v>-3795161.2600000002</v>
      </c>
      <c r="P31" s="150"/>
      <c r="Q31" s="99">
        <f t="shared" si="26"/>
        <v>3.2500000000000001E-2</v>
      </c>
    </row>
    <row r="32" spans="1:24" ht="14.45" hidden="1" customHeight="1">
      <c r="A32" s="97">
        <f t="shared" si="27"/>
        <v>44743</v>
      </c>
      <c r="C32" s="149"/>
      <c r="D32" s="147">
        <f t="shared" si="23"/>
        <v>0</v>
      </c>
      <c r="F32" s="147">
        <f t="shared" si="24"/>
        <v>-6218428.3300000001</v>
      </c>
      <c r="G32" s="150"/>
      <c r="H32" s="121">
        <v>0</v>
      </c>
      <c r="J32" s="97">
        <f t="shared" si="21"/>
        <v>44743</v>
      </c>
      <c r="L32" s="149"/>
      <c r="M32" s="147">
        <f t="shared" si="31"/>
        <v>0</v>
      </c>
      <c r="O32" s="147">
        <f t="shared" si="22"/>
        <v>-3795161.2600000002</v>
      </c>
      <c r="P32" s="150"/>
      <c r="Q32" s="99">
        <f t="shared" si="26"/>
        <v>0</v>
      </c>
    </row>
    <row r="33" spans="1:24" ht="14.45" hidden="1" customHeight="1">
      <c r="A33" s="97">
        <f t="shared" si="27"/>
        <v>44774</v>
      </c>
      <c r="C33" s="149"/>
      <c r="D33" s="147">
        <f t="shared" si="23"/>
        <v>0</v>
      </c>
      <c r="F33" s="147">
        <f t="shared" si="24"/>
        <v>-6218428.3300000001</v>
      </c>
      <c r="G33" s="150"/>
      <c r="H33" s="99">
        <f t="shared" si="30"/>
        <v>0</v>
      </c>
      <c r="J33" s="97">
        <f t="shared" si="21"/>
        <v>44774</v>
      </c>
      <c r="L33" s="149"/>
      <c r="M33" s="147">
        <f t="shared" si="31"/>
        <v>0</v>
      </c>
      <c r="O33" s="147">
        <f t="shared" si="22"/>
        <v>-3795161.2600000002</v>
      </c>
      <c r="P33" s="150"/>
      <c r="Q33" s="99">
        <f t="shared" si="26"/>
        <v>0</v>
      </c>
    </row>
    <row r="34" spans="1:24" ht="14.45" hidden="1" customHeight="1">
      <c r="A34" s="97">
        <f t="shared" si="27"/>
        <v>44805</v>
      </c>
      <c r="C34" s="149"/>
      <c r="D34" s="147">
        <f t="shared" si="23"/>
        <v>0</v>
      </c>
      <c r="F34" s="147">
        <f t="shared" si="24"/>
        <v>-6218428.3300000001</v>
      </c>
      <c r="G34" s="150"/>
      <c r="H34" s="99">
        <f t="shared" si="30"/>
        <v>0</v>
      </c>
      <c r="J34" s="97">
        <f t="shared" si="21"/>
        <v>44805</v>
      </c>
      <c r="L34" s="149"/>
      <c r="M34" s="147">
        <f t="shared" si="31"/>
        <v>0</v>
      </c>
      <c r="O34" s="147">
        <f t="shared" si="22"/>
        <v>-3795161.2600000002</v>
      </c>
      <c r="P34" s="150"/>
      <c r="Q34" s="99">
        <f t="shared" si="26"/>
        <v>0</v>
      </c>
    </row>
    <row r="35" spans="1:24" hidden="1">
      <c r="A35" s="97">
        <f t="shared" si="27"/>
        <v>44835</v>
      </c>
      <c r="C35" s="149"/>
      <c r="D35" s="147">
        <f t="shared" si="23"/>
        <v>0</v>
      </c>
      <c r="F35" s="147">
        <f t="shared" si="24"/>
        <v>-6218428.3300000001</v>
      </c>
      <c r="G35" s="150"/>
      <c r="H35" s="121">
        <v>0</v>
      </c>
      <c r="J35" s="97">
        <f t="shared" si="21"/>
        <v>44835</v>
      </c>
      <c r="L35" s="149"/>
      <c r="M35" s="147">
        <f t="shared" si="31"/>
        <v>0</v>
      </c>
      <c r="O35" s="147">
        <f t="shared" si="22"/>
        <v>-3795161.2600000002</v>
      </c>
      <c r="P35" s="150"/>
      <c r="Q35" s="99">
        <f t="shared" si="26"/>
        <v>0</v>
      </c>
    </row>
    <row r="36" spans="1:24" hidden="1">
      <c r="A36" s="97">
        <f t="shared" si="27"/>
        <v>44866</v>
      </c>
      <c r="C36" s="149"/>
      <c r="D36" s="147">
        <f t="shared" si="23"/>
        <v>0</v>
      </c>
      <c r="F36" s="147">
        <f t="shared" si="24"/>
        <v>-6218428.3300000001</v>
      </c>
      <c r="G36" s="150"/>
      <c r="H36" s="99">
        <f t="shared" si="30"/>
        <v>0</v>
      </c>
      <c r="J36" s="97">
        <f t="shared" si="21"/>
        <v>44866</v>
      </c>
      <c r="L36" s="149"/>
      <c r="M36" s="147">
        <f t="shared" si="31"/>
        <v>0</v>
      </c>
      <c r="O36" s="147">
        <f t="shared" si="22"/>
        <v>-3795161.2600000002</v>
      </c>
      <c r="P36" s="150"/>
      <c r="Q36" s="99">
        <f t="shared" si="26"/>
        <v>0</v>
      </c>
    </row>
    <row r="37" spans="1:24" hidden="1">
      <c r="A37" s="97">
        <f t="shared" si="27"/>
        <v>44896</v>
      </c>
      <c r="B37" s="98"/>
      <c r="C37" s="149"/>
      <c r="D37" s="147">
        <f>ROUND((F36+(C37+E37)/2)*H37/12,2)</f>
        <v>0</v>
      </c>
      <c r="F37" s="147">
        <f t="shared" si="24"/>
        <v>-6218428.3300000001</v>
      </c>
      <c r="H37" s="99">
        <f t="shared" si="30"/>
        <v>0</v>
      </c>
      <c r="J37" s="97">
        <f t="shared" si="21"/>
        <v>44896</v>
      </c>
      <c r="K37" s="98"/>
      <c r="L37" s="149"/>
      <c r="M37" s="147">
        <f t="shared" si="31"/>
        <v>0</v>
      </c>
      <c r="O37" s="147">
        <f>O36+L37+M37+N37</f>
        <v>-3795161.2600000002</v>
      </c>
      <c r="Q37" s="99">
        <f t="shared" si="26"/>
        <v>0</v>
      </c>
    </row>
    <row r="38" spans="1:24" ht="15.75" thickBot="1"/>
    <row r="39" spans="1:24">
      <c r="A39" s="178">
        <v>186338</v>
      </c>
      <c r="B39" s="178" t="s">
        <v>52</v>
      </c>
      <c r="C39" s="148" t="s">
        <v>92</v>
      </c>
      <c r="D39" s="148" t="s">
        <v>93</v>
      </c>
      <c r="E39" s="148"/>
      <c r="F39" s="147" t="s">
        <v>95</v>
      </c>
      <c r="H39" s="179" t="s">
        <v>93</v>
      </c>
      <c r="J39" s="178">
        <f>A39</f>
        <v>186338</v>
      </c>
      <c r="K39" s="178" t="s">
        <v>53</v>
      </c>
      <c r="L39" s="148" t="s">
        <v>92</v>
      </c>
      <c r="M39" s="148" t="s">
        <v>93</v>
      </c>
      <c r="N39" s="148"/>
      <c r="O39" s="147" t="s">
        <v>95</v>
      </c>
      <c r="Q39" s="179" t="s">
        <v>93</v>
      </c>
      <c r="U39" s="192" t="s">
        <v>177</v>
      </c>
      <c r="V39" s="193"/>
    </row>
    <row r="40" spans="1:24" ht="15.75" thickBot="1">
      <c r="A40" s="143" t="s">
        <v>143</v>
      </c>
      <c r="B40" s="113" t="s">
        <v>142</v>
      </c>
      <c r="C40" s="148" t="s">
        <v>96</v>
      </c>
      <c r="D40" s="148" t="s">
        <v>97</v>
      </c>
      <c r="E40" s="148" t="s">
        <v>98</v>
      </c>
      <c r="F40" s="147" t="s">
        <v>94</v>
      </c>
      <c r="H40" s="179" t="s">
        <v>99</v>
      </c>
      <c r="J40" s="144" t="str">
        <f>A40</f>
        <v>Deferral - Non-Residential</v>
      </c>
      <c r="K40" s="113" t="s">
        <v>142</v>
      </c>
      <c r="L40" s="148" t="s">
        <v>96</v>
      </c>
      <c r="M40" s="148" t="s">
        <v>97</v>
      </c>
      <c r="N40" s="148" t="s">
        <v>98</v>
      </c>
      <c r="O40" s="147" t="s">
        <v>94</v>
      </c>
      <c r="Q40" s="179" t="s">
        <v>99</v>
      </c>
      <c r="U40" s="194">
        <f>F53-'Electric Deferral'!U61</f>
        <v>5.6306116748601198E-3</v>
      </c>
      <c r="V40" s="195">
        <f>O53-'Nat Gas Deferral'!U57</f>
        <v>4.0723466081544757E-3</v>
      </c>
    </row>
    <row r="41" spans="1:24">
      <c r="A41" s="97">
        <f t="shared" ref="A41:A53" si="32">A25</f>
        <v>44531</v>
      </c>
      <c r="B41" s="98"/>
      <c r="F41" s="147">
        <v>0</v>
      </c>
      <c r="J41" s="97">
        <f>A41</f>
        <v>44531</v>
      </c>
      <c r="K41" s="98"/>
      <c r="O41" s="147">
        <v>0</v>
      </c>
    </row>
    <row r="42" spans="1:24" ht="14.45" customHeight="1">
      <c r="A42" s="97">
        <f t="shared" si="32"/>
        <v>44562</v>
      </c>
      <c r="C42" s="155">
        <v>-217999.59</v>
      </c>
      <c r="D42" s="147">
        <f>ROUND((F41+(C42+E42)/2)*H42/12,2)</f>
        <v>-295.20999999999998</v>
      </c>
      <c r="F42" s="147">
        <f t="shared" ref="F42:F53" si="33">F41+C42+D42+E42</f>
        <v>-218294.8</v>
      </c>
      <c r="G42" s="150"/>
      <c r="H42" s="99">
        <f t="shared" ref="H42:H53" si="34">H26</f>
        <v>3.2500000000000001E-2</v>
      </c>
      <c r="J42" s="97">
        <f t="shared" ref="J42:J53" si="35">A42</f>
        <v>44562</v>
      </c>
      <c r="L42" s="155">
        <v>-316043.14</v>
      </c>
      <c r="M42" s="147">
        <f>ROUND((O41+(L42+N42)/2)*Q42/12,2)</f>
        <v>-427.98</v>
      </c>
      <c r="O42" s="147">
        <f t="shared" ref="O42:O53" si="36">O41+L42+M42+N42</f>
        <v>-316471.12</v>
      </c>
      <c r="P42" s="150"/>
      <c r="Q42" s="99">
        <f t="shared" ref="Q42:Q53" si="37">H42</f>
        <v>3.2500000000000001E-2</v>
      </c>
    </row>
    <row r="43" spans="1:24" ht="14.45" customHeight="1">
      <c r="A43" s="97">
        <f t="shared" si="32"/>
        <v>44593</v>
      </c>
      <c r="C43" s="155">
        <v>488120.74</v>
      </c>
      <c r="D43" s="147">
        <f t="shared" ref="D43:D53" si="38">ROUND((F42+(C43+E43)/2)*H43/12,2)</f>
        <v>69.78</v>
      </c>
      <c r="F43" s="147">
        <f t="shared" si="33"/>
        <v>269895.72000000003</v>
      </c>
      <c r="G43" s="150"/>
      <c r="H43" s="99">
        <f t="shared" si="34"/>
        <v>3.2500000000000001E-2</v>
      </c>
      <c r="J43" s="97">
        <f t="shared" si="35"/>
        <v>44593</v>
      </c>
      <c r="L43" s="155">
        <v>-279948.82</v>
      </c>
      <c r="M43" s="147">
        <f t="shared" ref="M43:M53" si="39">ROUND((O42+(L43+N43)/2)*Q43/12,2)</f>
        <v>-1236.21</v>
      </c>
      <c r="O43" s="147">
        <f t="shared" si="36"/>
        <v>-597656.14999999991</v>
      </c>
      <c r="P43" s="150"/>
      <c r="Q43" s="99">
        <f t="shared" si="37"/>
        <v>3.2500000000000001E-2</v>
      </c>
      <c r="U43" s="17"/>
      <c r="V43" s="182"/>
      <c r="W43" s="17"/>
      <c r="X43" s="182"/>
    </row>
    <row r="44" spans="1:24" ht="14.45" customHeight="1">
      <c r="A44" s="97">
        <f t="shared" si="32"/>
        <v>44621</v>
      </c>
      <c r="C44" s="155">
        <v>-486569.23</v>
      </c>
      <c r="D44" s="147">
        <f t="shared" si="38"/>
        <v>72.069999999999993</v>
      </c>
      <c r="F44" s="147">
        <f t="shared" si="33"/>
        <v>-216601.43999999994</v>
      </c>
      <c r="G44" s="150"/>
      <c r="H44" s="99">
        <f t="shared" si="34"/>
        <v>3.2500000000000001E-2</v>
      </c>
      <c r="J44" s="97">
        <f t="shared" si="35"/>
        <v>44621</v>
      </c>
      <c r="L44" s="155">
        <v>-161590.26</v>
      </c>
      <c r="M44" s="147">
        <f t="shared" si="39"/>
        <v>-1837.47</v>
      </c>
      <c r="O44" s="147">
        <f t="shared" si="36"/>
        <v>-761083.87999999989</v>
      </c>
      <c r="P44" s="150"/>
      <c r="Q44" s="99">
        <f t="shared" si="37"/>
        <v>3.2500000000000001E-2</v>
      </c>
      <c r="U44" s="17"/>
      <c r="V44" s="182"/>
      <c r="W44" s="17"/>
      <c r="X44" s="182"/>
    </row>
    <row r="45" spans="1:24" ht="14.45" customHeight="1">
      <c r="A45" s="97">
        <f t="shared" si="32"/>
        <v>44652</v>
      </c>
      <c r="C45" s="155">
        <v>-929324.33</v>
      </c>
      <c r="D45" s="147">
        <f t="shared" ref="D45" si="40">ROUND((F44+(C45+E45)/2)*H45/12,2)</f>
        <v>-1845.09</v>
      </c>
      <c r="F45" s="147">
        <f t="shared" ref="F45" si="41">F44+C45+D45+E45</f>
        <v>-1147770.8600000001</v>
      </c>
      <c r="G45" s="150"/>
      <c r="H45" s="99">
        <f t="shared" si="34"/>
        <v>3.2500000000000001E-2</v>
      </c>
      <c r="J45" s="97">
        <f t="shared" si="35"/>
        <v>44652</v>
      </c>
      <c r="L45" s="155">
        <v>-55589.49</v>
      </c>
      <c r="M45" s="147">
        <f t="shared" ref="M45" si="42">ROUND((O44+(L45+N45)/2)*Q45/12,2)</f>
        <v>-2136.5500000000002</v>
      </c>
      <c r="O45" s="147">
        <f t="shared" ref="O45" si="43">O44+L45+M45+N45</f>
        <v>-818809.91999999993</v>
      </c>
      <c r="P45" s="150"/>
      <c r="Q45" s="99">
        <f t="shared" si="37"/>
        <v>3.2500000000000001E-2</v>
      </c>
      <c r="W45" s="17"/>
      <c r="X45" s="182"/>
    </row>
    <row r="46" spans="1:24" ht="14.45" customHeight="1">
      <c r="A46" s="97">
        <f t="shared" si="32"/>
        <v>44682</v>
      </c>
      <c r="C46" s="155">
        <v>1590347.35</v>
      </c>
      <c r="D46" s="147">
        <f t="shared" si="38"/>
        <v>-954.95</v>
      </c>
      <c r="F46" s="147">
        <f t="shared" si="33"/>
        <v>441621.54</v>
      </c>
      <c r="G46" s="150"/>
      <c r="H46" s="99">
        <f t="shared" si="34"/>
        <v>3.2500000000000001E-2</v>
      </c>
      <c r="J46" s="97">
        <f t="shared" si="35"/>
        <v>44682</v>
      </c>
      <c r="L46" s="155">
        <v>-158464.75</v>
      </c>
      <c r="M46" s="147">
        <f t="shared" si="39"/>
        <v>-2432.1999999999998</v>
      </c>
      <c r="O46" s="147">
        <f t="shared" si="36"/>
        <v>-979706.86999999988</v>
      </c>
      <c r="P46" s="150"/>
      <c r="Q46" s="99">
        <f t="shared" si="37"/>
        <v>3.2500000000000001E-2</v>
      </c>
      <c r="W46" s="17"/>
      <c r="X46" s="182"/>
    </row>
    <row r="47" spans="1:24" ht="14.45" customHeight="1">
      <c r="A47" s="97">
        <f t="shared" si="32"/>
        <v>44713</v>
      </c>
      <c r="B47" s="180"/>
      <c r="C47" s="155">
        <v>1065601.81</v>
      </c>
      <c r="D47" s="147">
        <f t="shared" si="38"/>
        <v>2639.06</v>
      </c>
      <c r="F47" s="147">
        <f t="shared" si="33"/>
        <v>1509862.4100000001</v>
      </c>
      <c r="G47" s="196"/>
      <c r="H47" s="99">
        <f t="shared" si="34"/>
        <v>3.2500000000000001E-2</v>
      </c>
      <c r="J47" s="97">
        <f t="shared" si="35"/>
        <v>44713</v>
      </c>
      <c r="L47" s="155">
        <v>100667.46</v>
      </c>
      <c r="M47" s="147">
        <f t="shared" si="39"/>
        <v>-2517.0500000000002</v>
      </c>
      <c r="O47" s="147">
        <f t="shared" si="36"/>
        <v>-881556.46</v>
      </c>
      <c r="P47" s="150"/>
      <c r="Q47" s="99">
        <f t="shared" si="37"/>
        <v>3.2500000000000001E-2</v>
      </c>
    </row>
    <row r="48" spans="1:24" ht="14.45" hidden="1" customHeight="1">
      <c r="A48" s="97">
        <f t="shared" si="32"/>
        <v>44743</v>
      </c>
      <c r="B48" s="180"/>
      <c r="C48" s="149"/>
      <c r="D48" s="147">
        <f t="shared" si="38"/>
        <v>0</v>
      </c>
      <c r="F48" s="147">
        <f t="shared" si="33"/>
        <v>1509862.4100000001</v>
      </c>
      <c r="G48" s="196"/>
      <c r="H48" s="99">
        <f t="shared" si="34"/>
        <v>0</v>
      </c>
      <c r="J48" s="97">
        <f t="shared" si="35"/>
        <v>44743</v>
      </c>
      <c r="L48" s="149"/>
      <c r="M48" s="147">
        <f t="shared" si="39"/>
        <v>0</v>
      </c>
      <c r="O48" s="147">
        <f t="shared" si="36"/>
        <v>-881556.46</v>
      </c>
      <c r="P48" s="150"/>
      <c r="Q48" s="99">
        <f t="shared" si="37"/>
        <v>0</v>
      </c>
    </row>
    <row r="49" spans="1:24" ht="14.45" hidden="1" customHeight="1">
      <c r="A49" s="97">
        <f t="shared" si="32"/>
        <v>44774</v>
      </c>
      <c r="B49" s="180"/>
      <c r="C49" s="149"/>
      <c r="D49" s="147">
        <f t="shared" si="38"/>
        <v>0</v>
      </c>
      <c r="F49" s="147">
        <f t="shared" si="33"/>
        <v>1509862.4100000001</v>
      </c>
      <c r="G49" s="196"/>
      <c r="H49" s="99">
        <f t="shared" si="34"/>
        <v>0</v>
      </c>
      <c r="J49" s="97">
        <f t="shared" si="35"/>
        <v>44774</v>
      </c>
      <c r="L49" s="149"/>
      <c r="M49" s="147">
        <f t="shared" si="39"/>
        <v>0</v>
      </c>
      <c r="O49" s="147">
        <f t="shared" si="36"/>
        <v>-881556.46</v>
      </c>
      <c r="P49" s="150"/>
      <c r="Q49" s="99">
        <f t="shared" si="37"/>
        <v>0</v>
      </c>
    </row>
    <row r="50" spans="1:24" ht="14.45" hidden="1" customHeight="1">
      <c r="A50" s="97">
        <f t="shared" si="32"/>
        <v>44805</v>
      </c>
      <c r="B50" s="180"/>
      <c r="C50" s="149"/>
      <c r="D50" s="147">
        <f t="shared" si="38"/>
        <v>0</v>
      </c>
      <c r="F50" s="147">
        <f>F49+C50+D50+E50</f>
        <v>1509862.4100000001</v>
      </c>
      <c r="G50" s="196"/>
      <c r="H50" s="99">
        <f t="shared" si="34"/>
        <v>0</v>
      </c>
      <c r="J50" s="97">
        <f t="shared" si="35"/>
        <v>44805</v>
      </c>
      <c r="L50" s="149"/>
      <c r="M50" s="147">
        <f t="shared" si="39"/>
        <v>0</v>
      </c>
      <c r="O50" s="147">
        <f>O49+L50+M50+N50</f>
        <v>-881556.46</v>
      </c>
      <c r="P50" s="150"/>
      <c r="Q50" s="99">
        <f t="shared" si="37"/>
        <v>0</v>
      </c>
    </row>
    <row r="51" spans="1:24" ht="14.45" hidden="1" customHeight="1">
      <c r="A51" s="97">
        <f t="shared" si="32"/>
        <v>44835</v>
      </c>
      <c r="C51" s="149"/>
      <c r="D51" s="147">
        <f t="shared" si="38"/>
        <v>0</v>
      </c>
      <c r="F51" s="147">
        <f t="shared" si="33"/>
        <v>1509862.4100000001</v>
      </c>
      <c r="G51" s="150"/>
      <c r="H51" s="99">
        <f t="shared" si="34"/>
        <v>0</v>
      </c>
      <c r="J51" s="97">
        <f t="shared" si="35"/>
        <v>44835</v>
      </c>
      <c r="L51" s="149"/>
      <c r="M51" s="147">
        <f t="shared" si="39"/>
        <v>0</v>
      </c>
      <c r="O51" s="147">
        <f t="shared" si="36"/>
        <v>-881556.46</v>
      </c>
      <c r="P51" s="150"/>
      <c r="Q51" s="99">
        <f t="shared" si="37"/>
        <v>0</v>
      </c>
    </row>
    <row r="52" spans="1:24" hidden="1">
      <c r="A52" s="97">
        <f t="shared" si="32"/>
        <v>44866</v>
      </c>
      <c r="C52" s="149"/>
      <c r="D52" s="147">
        <f t="shared" si="38"/>
        <v>0</v>
      </c>
      <c r="F52" s="147">
        <f t="shared" si="33"/>
        <v>1509862.4100000001</v>
      </c>
      <c r="G52" s="150"/>
      <c r="H52" s="99">
        <f t="shared" si="34"/>
        <v>0</v>
      </c>
      <c r="J52" s="97">
        <f t="shared" si="35"/>
        <v>44866</v>
      </c>
      <c r="L52" s="149"/>
      <c r="M52" s="147">
        <f t="shared" si="39"/>
        <v>0</v>
      </c>
      <c r="O52" s="147">
        <f t="shared" si="36"/>
        <v>-881556.46</v>
      </c>
      <c r="P52" s="150"/>
      <c r="Q52" s="99">
        <f t="shared" si="37"/>
        <v>0</v>
      </c>
    </row>
    <row r="53" spans="1:24" hidden="1">
      <c r="A53" s="97">
        <f t="shared" si="32"/>
        <v>44896</v>
      </c>
      <c r="B53" s="98"/>
      <c r="C53" s="149"/>
      <c r="D53" s="147">
        <f t="shared" si="38"/>
        <v>0</v>
      </c>
      <c r="F53" s="147">
        <f t="shared" si="33"/>
        <v>1509862.4100000001</v>
      </c>
      <c r="H53" s="99">
        <f t="shared" si="34"/>
        <v>0</v>
      </c>
      <c r="J53" s="97">
        <f t="shared" si="35"/>
        <v>44896</v>
      </c>
      <c r="K53" s="98"/>
      <c r="L53" s="149"/>
      <c r="M53" s="147">
        <f t="shared" si="39"/>
        <v>0</v>
      </c>
      <c r="O53" s="147">
        <f t="shared" si="36"/>
        <v>-881556.46</v>
      </c>
      <c r="Q53" s="99">
        <f t="shared" si="37"/>
        <v>0</v>
      </c>
    </row>
    <row r="54" spans="1:24">
      <c r="A54" s="97"/>
      <c r="B54" s="98"/>
      <c r="C54" s="149"/>
      <c r="H54" s="99"/>
      <c r="J54" s="97"/>
      <c r="K54" s="98"/>
      <c r="L54" s="149"/>
      <c r="Q54" s="99"/>
    </row>
    <row r="55" spans="1:24" s="22" customFormat="1">
      <c r="A55" s="253"/>
      <c r="C55" s="254"/>
      <c r="D55" s="254"/>
      <c r="E55" s="254"/>
      <c r="F55" s="254"/>
      <c r="G55" s="254"/>
      <c r="H55" s="254"/>
      <c r="J55" s="253"/>
      <c r="L55" s="254"/>
      <c r="M55" s="254"/>
      <c r="N55" s="254"/>
      <c r="O55" s="254"/>
    </row>
    <row r="56" spans="1:24" s="22" customFormat="1">
      <c r="A56" s="275"/>
      <c r="B56" s="275"/>
      <c r="C56" s="275"/>
      <c r="D56" s="275"/>
      <c r="E56" s="275"/>
      <c r="F56" s="275"/>
      <c r="G56" s="275"/>
      <c r="H56" s="275"/>
      <c r="L56" s="254"/>
      <c r="M56" s="254"/>
      <c r="N56" s="254"/>
      <c r="O56" s="254"/>
    </row>
    <row r="57" spans="1:24">
      <c r="A57" s="178">
        <v>182329</v>
      </c>
      <c r="B57" s="178" t="s">
        <v>52</v>
      </c>
      <c r="C57" s="148" t="s">
        <v>92</v>
      </c>
      <c r="D57" s="148" t="s">
        <v>93</v>
      </c>
      <c r="E57" s="148"/>
      <c r="F57" s="147" t="s">
        <v>95</v>
      </c>
      <c r="H57" s="179" t="s">
        <v>93</v>
      </c>
      <c r="J57" s="178">
        <f>A57</f>
        <v>182329</v>
      </c>
      <c r="K57" s="178" t="s">
        <v>53</v>
      </c>
      <c r="L57" s="148" t="s">
        <v>92</v>
      </c>
      <c r="M57" s="148" t="s">
        <v>93</v>
      </c>
      <c r="N57" s="148"/>
      <c r="O57" s="147" t="s">
        <v>95</v>
      </c>
      <c r="Q57" s="179" t="s">
        <v>93</v>
      </c>
    </row>
    <row r="58" spans="1:24" ht="31.5" customHeight="1">
      <c r="A58" s="145" t="s">
        <v>144</v>
      </c>
      <c r="B58" s="113" t="s">
        <v>142</v>
      </c>
      <c r="C58" s="148" t="s">
        <v>96</v>
      </c>
      <c r="D58" s="148" t="s">
        <v>97</v>
      </c>
      <c r="E58" s="148" t="s">
        <v>98</v>
      </c>
      <c r="F58" s="147" t="s">
        <v>94</v>
      </c>
      <c r="H58" s="179" t="s">
        <v>99</v>
      </c>
      <c r="J58" s="113" t="str">
        <f>A58</f>
        <v>Res Prior Year Pending</v>
      </c>
      <c r="K58" s="113" t="s">
        <v>142</v>
      </c>
      <c r="L58" s="148" t="s">
        <v>96</v>
      </c>
      <c r="M58" s="148" t="s">
        <v>97</v>
      </c>
      <c r="N58" s="148" t="s">
        <v>98</v>
      </c>
      <c r="O58" s="147" t="s">
        <v>94</v>
      </c>
      <c r="Q58" s="179" t="s">
        <v>99</v>
      </c>
    </row>
    <row r="59" spans="1:24">
      <c r="A59" s="97">
        <f>$A$25</f>
        <v>44531</v>
      </c>
      <c r="B59" s="98"/>
      <c r="F59" s="149">
        <v>-5123504.67</v>
      </c>
      <c r="G59" s="150"/>
      <c r="J59" s="97">
        <f>A59</f>
        <v>44531</v>
      </c>
      <c r="K59" s="98"/>
      <c r="O59" s="149">
        <v>6559457.8300000001</v>
      </c>
      <c r="P59" s="150"/>
    </row>
    <row r="60" spans="1:24">
      <c r="A60" s="184" t="s">
        <v>195</v>
      </c>
      <c r="B60" s="98"/>
      <c r="F60" s="149">
        <v>0</v>
      </c>
      <c r="I60" s="120"/>
      <c r="J60" s="117" t="str">
        <f t="shared" ref="J60:J72" si="44">A60</f>
        <v>Provision for Rate Refund - December 2021 Estimate</v>
      </c>
      <c r="K60" s="98"/>
      <c r="O60" s="149">
        <v>0</v>
      </c>
      <c r="R60" s="120"/>
    </row>
    <row r="61" spans="1:24" ht="14.45" customHeight="1">
      <c r="A61" s="97">
        <f t="shared" ref="A61:A72" si="45">A26</f>
        <v>44562</v>
      </c>
      <c r="D61" s="147">
        <f>ROUND((F59+F$60+(E61)/2)*H61/12,2)</f>
        <v>-13876.16</v>
      </c>
      <c r="F61" s="147">
        <f>F59+C61+D61+E61</f>
        <v>-5137380.83</v>
      </c>
      <c r="G61" s="150"/>
      <c r="H61" s="99">
        <f t="shared" ref="H61:H72" si="46">H26</f>
        <v>3.2500000000000001E-2</v>
      </c>
      <c r="J61" s="97">
        <f t="shared" si="44"/>
        <v>44562</v>
      </c>
      <c r="L61" s="149"/>
      <c r="M61" s="147">
        <f>ROUND((O59+O$60+(N61)/2)*Q61/12,2)</f>
        <v>17765.2</v>
      </c>
      <c r="O61" s="147">
        <f>O59+L61+M61+N61</f>
        <v>6577223.0300000003</v>
      </c>
      <c r="P61" s="150"/>
      <c r="Q61" s="99">
        <f t="shared" ref="Q61:Q72" si="47">H61</f>
        <v>3.2500000000000001E-2</v>
      </c>
    </row>
    <row r="62" spans="1:24" ht="14.45" customHeight="1">
      <c r="A62" s="97">
        <f t="shared" si="45"/>
        <v>44593</v>
      </c>
      <c r="D62" s="147">
        <f>ROUND((F61+F$60+(E62)/2)*H62/12,2)</f>
        <v>-13913.74</v>
      </c>
      <c r="F62" s="147">
        <f>F61+C62+D62+E62</f>
        <v>-5151294.57</v>
      </c>
      <c r="G62" s="150"/>
      <c r="H62" s="99">
        <f t="shared" si="46"/>
        <v>3.2500000000000001E-2</v>
      </c>
      <c r="J62" s="97">
        <f t="shared" si="44"/>
        <v>44593</v>
      </c>
      <c r="L62" s="149"/>
      <c r="M62" s="147">
        <f>ROUND((O61+O$60+(N62)/2)*Q62/12,2)</f>
        <v>17813.310000000001</v>
      </c>
      <c r="O62" s="147">
        <f t="shared" ref="O62:O72" si="48">O61+L62+M62+N62</f>
        <v>6595036.3399999999</v>
      </c>
      <c r="P62" s="150"/>
      <c r="Q62" s="99">
        <f t="shared" si="47"/>
        <v>3.2500000000000001E-2</v>
      </c>
    </row>
    <row r="63" spans="1:24" ht="14.45" customHeight="1">
      <c r="A63" s="97">
        <f t="shared" si="45"/>
        <v>44621</v>
      </c>
      <c r="D63" s="147">
        <f t="shared" ref="D63:D69" si="49">ROUND((F62+F$60+(E63)/2)*H63/12,2)</f>
        <v>-13951.42</v>
      </c>
      <c r="F63" s="147">
        <f t="shared" ref="F63:F72" si="50">F62+C63+D63+E63</f>
        <v>-5165245.99</v>
      </c>
      <c r="G63" s="150"/>
      <c r="H63" s="99">
        <f t="shared" si="46"/>
        <v>3.2500000000000001E-2</v>
      </c>
      <c r="J63" s="97">
        <f t="shared" si="44"/>
        <v>44621</v>
      </c>
      <c r="L63" s="149"/>
      <c r="M63" s="147">
        <f t="shared" ref="M63:M69" si="51">ROUND((O62+O$60+(N63)/2)*Q63/12,2)</f>
        <v>17861.560000000001</v>
      </c>
      <c r="O63" s="147">
        <f t="shared" si="48"/>
        <v>6612897.8999999994</v>
      </c>
      <c r="P63" s="150"/>
      <c r="Q63" s="99">
        <f t="shared" si="47"/>
        <v>3.2500000000000001E-2</v>
      </c>
      <c r="U63" s="17"/>
      <c r="V63" s="182"/>
      <c r="W63" s="17"/>
      <c r="X63" s="182"/>
    </row>
    <row r="64" spans="1:24" ht="14.45" customHeight="1">
      <c r="A64" s="97">
        <f t="shared" si="45"/>
        <v>44652</v>
      </c>
      <c r="D64" s="147">
        <f t="shared" si="49"/>
        <v>-13989.21</v>
      </c>
      <c r="F64" s="147">
        <f t="shared" si="50"/>
        <v>-5179235.2</v>
      </c>
      <c r="G64" s="150"/>
      <c r="H64" s="99">
        <f t="shared" si="46"/>
        <v>3.2500000000000001E-2</v>
      </c>
      <c r="J64" s="97">
        <f t="shared" si="44"/>
        <v>44652</v>
      </c>
      <c r="M64" s="147">
        <f t="shared" si="51"/>
        <v>17909.93</v>
      </c>
      <c r="O64" s="147">
        <f t="shared" si="48"/>
        <v>6630807.8299999991</v>
      </c>
      <c r="P64" s="150"/>
      <c r="Q64" s="99">
        <f t="shared" si="47"/>
        <v>3.2500000000000001E-2</v>
      </c>
      <c r="U64" s="17"/>
      <c r="V64" s="182"/>
      <c r="W64" s="17"/>
      <c r="X64" s="182"/>
    </row>
    <row r="65" spans="1:24" ht="14.45" customHeight="1">
      <c r="A65" s="97">
        <f t="shared" si="45"/>
        <v>44682</v>
      </c>
      <c r="D65" s="147">
        <f t="shared" si="49"/>
        <v>-14027.1</v>
      </c>
      <c r="F65" s="147">
        <f t="shared" si="50"/>
        <v>-5193262.3</v>
      </c>
      <c r="G65" s="150"/>
      <c r="H65" s="99">
        <f t="shared" si="46"/>
        <v>3.2500000000000001E-2</v>
      </c>
      <c r="J65" s="97">
        <f t="shared" si="44"/>
        <v>44682</v>
      </c>
      <c r="M65" s="147">
        <f t="shared" si="51"/>
        <v>17958.439999999999</v>
      </c>
      <c r="O65" s="147">
        <f t="shared" si="48"/>
        <v>6648766.2699999996</v>
      </c>
      <c r="P65" s="150"/>
      <c r="Q65" s="99">
        <f t="shared" si="47"/>
        <v>3.2500000000000001E-2</v>
      </c>
      <c r="U65" s="17"/>
      <c r="V65" s="182"/>
      <c r="W65" s="17"/>
      <c r="X65" s="182"/>
    </row>
    <row r="66" spans="1:24" ht="14.45" customHeight="1">
      <c r="A66" s="97">
        <f t="shared" si="45"/>
        <v>44713</v>
      </c>
      <c r="D66" s="147">
        <f t="shared" si="49"/>
        <v>-14065.09</v>
      </c>
      <c r="F66" s="147">
        <f t="shared" si="50"/>
        <v>-5207327.3899999997</v>
      </c>
      <c r="G66" s="150"/>
      <c r="H66" s="99">
        <f t="shared" si="46"/>
        <v>3.2500000000000001E-2</v>
      </c>
      <c r="J66" s="97">
        <f t="shared" si="44"/>
        <v>44713</v>
      </c>
      <c r="M66" s="147">
        <f t="shared" si="51"/>
        <v>18007.080000000002</v>
      </c>
      <c r="O66" s="147">
        <f t="shared" si="48"/>
        <v>6666773.3499999996</v>
      </c>
      <c r="P66" s="150"/>
      <c r="Q66" s="99">
        <f t="shared" si="47"/>
        <v>3.2500000000000001E-2</v>
      </c>
    </row>
    <row r="67" spans="1:24" ht="14.45" hidden="1" customHeight="1">
      <c r="A67" s="97">
        <f t="shared" si="45"/>
        <v>44743</v>
      </c>
      <c r="D67" s="147">
        <f t="shared" si="49"/>
        <v>0</v>
      </c>
      <c r="F67" s="147">
        <f>F66+C67+D67+E67</f>
        <v>-5207327.3899999997</v>
      </c>
      <c r="G67" s="150"/>
      <c r="H67" s="99">
        <f t="shared" si="46"/>
        <v>0</v>
      </c>
      <c r="J67" s="97">
        <f t="shared" si="44"/>
        <v>44743</v>
      </c>
      <c r="M67" s="147">
        <f t="shared" si="51"/>
        <v>0</v>
      </c>
      <c r="O67" s="147">
        <f t="shared" si="48"/>
        <v>6666773.3499999996</v>
      </c>
      <c r="P67" s="150"/>
      <c r="Q67" s="99">
        <f t="shared" si="47"/>
        <v>0</v>
      </c>
    </row>
    <row r="68" spans="1:24" ht="14.45" hidden="1" customHeight="1">
      <c r="A68" s="97">
        <f t="shared" si="45"/>
        <v>44774</v>
      </c>
      <c r="B68" s="53" t="s">
        <v>126</v>
      </c>
      <c r="C68" s="147">
        <f>-F67</f>
        <v>5207327.3899999997</v>
      </c>
      <c r="D68" s="147">
        <f>ROUND((F67+C68+(E68)/2)*H68/12,2)</f>
        <v>0</v>
      </c>
      <c r="F68" s="147">
        <f>F67+C68+D68+E68</f>
        <v>0</v>
      </c>
      <c r="G68" s="150"/>
      <c r="H68" s="99">
        <f t="shared" si="46"/>
        <v>0</v>
      </c>
      <c r="J68" s="97">
        <f t="shared" si="44"/>
        <v>44774</v>
      </c>
      <c r="K68" s="53" t="s">
        <v>126</v>
      </c>
      <c r="L68" s="147">
        <f>-O67</f>
        <v>-6666773.3499999996</v>
      </c>
      <c r="M68" s="147">
        <f>ROUND((O67+L68+(N68)/2)*Q68/12,2)</f>
        <v>0</v>
      </c>
      <c r="O68" s="147">
        <f>O67+L68+M68+N68</f>
        <v>0</v>
      </c>
      <c r="P68" s="150"/>
      <c r="Q68" s="99">
        <f t="shared" si="47"/>
        <v>0</v>
      </c>
    </row>
    <row r="69" spans="1:24" ht="14.45" hidden="1" customHeight="1">
      <c r="A69" s="97">
        <f t="shared" si="45"/>
        <v>44805</v>
      </c>
      <c r="D69" s="147">
        <f t="shared" si="49"/>
        <v>0</v>
      </c>
      <c r="F69" s="147">
        <f>F68+C69+D69+E69</f>
        <v>0</v>
      </c>
      <c r="G69" s="150"/>
      <c r="H69" s="99">
        <f t="shared" si="46"/>
        <v>0</v>
      </c>
      <c r="J69" s="97">
        <f t="shared" si="44"/>
        <v>44805</v>
      </c>
      <c r="M69" s="147">
        <f t="shared" si="51"/>
        <v>0</v>
      </c>
      <c r="O69" s="147">
        <f t="shared" si="48"/>
        <v>0</v>
      </c>
      <c r="P69" s="150"/>
      <c r="Q69" s="99">
        <f t="shared" si="47"/>
        <v>0</v>
      </c>
    </row>
    <row r="70" spans="1:24" ht="14.45" hidden="1" customHeight="1">
      <c r="A70" s="97">
        <f t="shared" si="45"/>
        <v>44835</v>
      </c>
      <c r="D70" s="147">
        <f>ROUND((F69+(E70)/2)*H70/12,2)</f>
        <v>0</v>
      </c>
      <c r="F70" s="147">
        <f t="shared" si="50"/>
        <v>0</v>
      </c>
      <c r="G70" s="150"/>
      <c r="H70" s="99">
        <f t="shared" si="46"/>
        <v>0</v>
      </c>
      <c r="J70" s="97">
        <f t="shared" si="44"/>
        <v>44835</v>
      </c>
      <c r="M70" s="147">
        <f>ROUND((O69+(N70)/2)*Q70/12,2)</f>
        <v>0</v>
      </c>
      <c r="O70" s="147">
        <f t="shared" si="48"/>
        <v>0</v>
      </c>
      <c r="P70" s="150"/>
      <c r="Q70" s="99">
        <f t="shared" si="47"/>
        <v>0</v>
      </c>
    </row>
    <row r="71" spans="1:24" hidden="1">
      <c r="A71" s="97">
        <f t="shared" si="45"/>
        <v>44866</v>
      </c>
      <c r="D71" s="147">
        <f>ROUND((F70+(E71)/2)*H71/12,2)</f>
        <v>0</v>
      </c>
      <c r="F71" s="147">
        <f t="shared" si="50"/>
        <v>0</v>
      </c>
      <c r="G71" s="150"/>
      <c r="H71" s="99">
        <f t="shared" si="46"/>
        <v>0</v>
      </c>
      <c r="J71" s="97">
        <f t="shared" si="44"/>
        <v>44866</v>
      </c>
      <c r="M71" s="147">
        <f>ROUND((O70+(N71)/2)*Q71/12,2)</f>
        <v>0</v>
      </c>
      <c r="O71" s="147">
        <f>O70+L71+M71+N71</f>
        <v>0</v>
      </c>
      <c r="P71" s="150"/>
      <c r="Q71" s="99">
        <f t="shared" si="47"/>
        <v>0</v>
      </c>
    </row>
    <row r="72" spans="1:24" hidden="1">
      <c r="A72" s="97">
        <f t="shared" si="45"/>
        <v>44896</v>
      </c>
      <c r="B72" s="98"/>
      <c r="D72" s="147">
        <f>ROUND((F71+(E72)/2)*H72/12,2)</f>
        <v>0</v>
      </c>
      <c r="F72" s="147">
        <f t="shared" si="50"/>
        <v>0</v>
      </c>
      <c r="H72" s="99">
        <f t="shared" si="46"/>
        <v>0</v>
      </c>
      <c r="J72" s="97">
        <f t="shared" si="44"/>
        <v>44896</v>
      </c>
      <c r="K72" s="98"/>
      <c r="M72" s="147">
        <f>ROUND((O71+(N72)/2)*Q72/12,2)</f>
        <v>0</v>
      </c>
      <c r="O72" s="147">
        <f t="shared" si="48"/>
        <v>0</v>
      </c>
      <c r="Q72" s="99">
        <f t="shared" si="47"/>
        <v>0</v>
      </c>
    </row>
    <row r="73" spans="1:24" hidden="1">
      <c r="A73" s="97"/>
      <c r="B73" s="101" t="s">
        <v>126</v>
      </c>
      <c r="C73" s="273" t="s">
        <v>176</v>
      </c>
      <c r="D73" s="273"/>
      <c r="E73" s="273"/>
      <c r="F73" s="273"/>
      <c r="G73" s="273"/>
      <c r="H73" s="273"/>
      <c r="K73" s="101" t="s">
        <v>126</v>
      </c>
      <c r="L73" s="273" t="s">
        <v>176</v>
      </c>
      <c r="M73" s="273"/>
      <c r="N73" s="273"/>
      <c r="O73" s="273"/>
      <c r="P73" s="273"/>
      <c r="Q73" s="273"/>
    </row>
    <row r="74" spans="1:24">
      <c r="B74" s="101"/>
      <c r="C74" s="152"/>
      <c r="D74" s="152"/>
      <c r="E74" s="152"/>
      <c r="F74" s="152"/>
      <c r="G74" s="177"/>
      <c r="H74" s="177"/>
    </row>
    <row r="75" spans="1:24" ht="30.75" customHeight="1">
      <c r="A75" s="178">
        <v>182339</v>
      </c>
      <c r="B75" s="178" t="s">
        <v>52</v>
      </c>
      <c r="C75" s="148" t="s">
        <v>92</v>
      </c>
      <c r="D75" s="148" t="s">
        <v>93</v>
      </c>
      <c r="E75" s="148"/>
      <c r="F75" s="147" t="s">
        <v>95</v>
      </c>
      <c r="H75" s="179" t="s">
        <v>93</v>
      </c>
      <c r="J75" s="178">
        <f>A75</f>
        <v>182339</v>
      </c>
      <c r="K75" s="178" t="s">
        <v>53</v>
      </c>
      <c r="L75" s="148" t="s">
        <v>92</v>
      </c>
      <c r="M75" s="148" t="s">
        <v>93</v>
      </c>
      <c r="N75" s="148"/>
      <c r="O75" s="147" t="s">
        <v>95</v>
      </c>
      <c r="Q75" s="179" t="s">
        <v>93</v>
      </c>
    </row>
    <row r="76" spans="1:24" ht="14.45" customHeight="1">
      <c r="A76" s="145" t="s">
        <v>145</v>
      </c>
      <c r="B76" s="113" t="s">
        <v>142</v>
      </c>
      <c r="C76" s="148" t="s">
        <v>96</v>
      </c>
      <c r="D76" s="148" t="s">
        <v>97</v>
      </c>
      <c r="E76" s="148" t="s">
        <v>98</v>
      </c>
      <c r="F76" s="147" t="s">
        <v>94</v>
      </c>
      <c r="H76" s="179" t="s">
        <v>99</v>
      </c>
      <c r="J76" s="113" t="str">
        <f>A76</f>
        <v>Non-Res Prior Year Pending</v>
      </c>
      <c r="K76" s="113" t="s">
        <v>142</v>
      </c>
      <c r="L76" s="148" t="s">
        <v>96</v>
      </c>
      <c r="M76" s="148" t="s">
        <v>97</v>
      </c>
      <c r="N76" s="148" t="s">
        <v>98</v>
      </c>
      <c r="O76" s="147" t="s">
        <v>94</v>
      </c>
      <c r="Q76" s="179" t="s">
        <v>99</v>
      </c>
    </row>
    <row r="77" spans="1:24">
      <c r="A77" s="97">
        <f>$A$25</f>
        <v>44531</v>
      </c>
      <c r="B77" s="98"/>
      <c r="F77" s="149">
        <v>2389111.4900000012</v>
      </c>
      <c r="G77" s="150"/>
      <c r="J77" s="97">
        <f>A77</f>
        <v>44531</v>
      </c>
      <c r="K77" s="98"/>
      <c r="O77" s="149">
        <v>2400733.6599999997</v>
      </c>
      <c r="P77" s="150"/>
    </row>
    <row r="78" spans="1:24">
      <c r="A78" s="117" t="str">
        <f>A60</f>
        <v>Provision for Rate Refund - December 2021 Estimate</v>
      </c>
      <c r="B78" s="98"/>
      <c r="F78" s="149">
        <v>0</v>
      </c>
      <c r="J78" s="117" t="str">
        <f t="shared" ref="J78:J90" si="52">A78</f>
        <v>Provision for Rate Refund - December 2021 Estimate</v>
      </c>
      <c r="K78" s="98"/>
      <c r="O78" s="149">
        <v>0</v>
      </c>
    </row>
    <row r="79" spans="1:24" ht="14.45" customHeight="1">
      <c r="A79" s="97">
        <f t="shared" ref="A79:A90" si="53">A26</f>
        <v>44562</v>
      </c>
      <c r="D79" s="147">
        <f>ROUND((F77+F$60+(E79)/2)*H79/12,2)</f>
        <v>6470.51</v>
      </c>
      <c r="F79" s="147">
        <f>F77+C79+D79+E79</f>
        <v>2395582.0000000009</v>
      </c>
      <c r="G79" s="150"/>
      <c r="H79" s="99">
        <f t="shared" ref="H79:H90" si="54">H26</f>
        <v>3.2500000000000001E-2</v>
      </c>
      <c r="J79" s="97">
        <f t="shared" si="52"/>
        <v>44562</v>
      </c>
      <c r="M79" s="147">
        <f>ROUND((O77+O$60+(N79)/2)*Q79/12,2)</f>
        <v>6501.99</v>
      </c>
      <c r="O79" s="147">
        <f>O77+L79+M79+N79</f>
        <v>2407235.65</v>
      </c>
      <c r="P79" s="150"/>
      <c r="Q79" s="99">
        <f t="shared" ref="Q79:Q90" si="55">H79</f>
        <v>3.2500000000000001E-2</v>
      </c>
    </row>
    <row r="80" spans="1:24" ht="14.45" customHeight="1">
      <c r="A80" s="97">
        <f t="shared" si="53"/>
        <v>44593</v>
      </c>
      <c r="D80" s="147">
        <f>ROUND((F79+F$60+(E80)/2)*H80/12,2)</f>
        <v>6488.03</v>
      </c>
      <c r="F80" s="147">
        <f>F79+C80+D80+E80</f>
        <v>2402070.0300000007</v>
      </c>
      <c r="G80" s="150"/>
      <c r="H80" s="99">
        <f t="shared" si="54"/>
        <v>3.2500000000000001E-2</v>
      </c>
      <c r="J80" s="97">
        <f t="shared" si="52"/>
        <v>44593</v>
      </c>
      <c r="M80" s="147">
        <f>ROUND((O79+O$60+(N80)/2)*Q80/12,2)</f>
        <v>6519.6</v>
      </c>
      <c r="O80" s="147">
        <f>O79+L80+M80+N80</f>
        <v>2413755.25</v>
      </c>
      <c r="P80" s="150"/>
      <c r="Q80" s="99">
        <f t="shared" si="55"/>
        <v>3.2500000000000001E-2</v>
      </c>
    </row>
    <row r="81" spans="1:24" ht="14.45" customHeight="1">
      <c r="A81" s="97">
        <f t="shared" si="53"/>
        <v>44621</v>
      </c>
      <c r="D81" s="147">
        <f t="shared" ref="D81:D87" si="56">ROUND((F80+F$60+(E81)/2)*H81/12,2)</f>
        <v>6505.61</v>
      </c>
      <c r="F81" s="147">
        <f>F80+C81+D81+E81</f>
        <v>2408575.6400000006</v>
      </c>
      <c r="G81" s="150"/>
      <c r="H81" s="99">
        <f t="shared" si="54"/>
        <v>3.2500000000000001E-2</v>
      </c>
      <c r="J81" s="97">
        <f t="shared" si="52"/>
        <v>44621</v>
      </c>
      <c r="M81" s="147">
        <f t="shared" ref="M81:M87" si="57">ROUND((O80+O$60+(N81)/2)*Q81/12,2)</f>
        <v>6537.25</v>
      </c>
      <c r="O81" s="147">
        <f>O80+L81+M81+N81</f>
        <v>2420292.5</v>
      </c>
      <c r="P81" s="150"/>
      <c r="Q81" s="99">
        <f t="shared" si="55"/>
        <v>3.2500000000000001E-2</v>
      </c>
      <c r="U81" s="17"/>
      <c r="V81" s="182"/>
      <c r="W81" s="17"/>
      <c r="X81" s="182"/>
    </row>
    <row r="82" spans="1:24" ht="14.45" customHeight="1">
      <c r="A82" s="97">
        <f t="shared" si="53"/>
        <v>44652</v>
      </c>
      <c r="D82" s="147">
        <f t="shared" si="56"/>
        <v>6523.23</v>
      </c>
      <c r="F82" s="147">
        <f t="shared" ref="F82:F90" si="58">F81+C82+D82+E82</f>
        <v>2415098.8700000006</v>
      </c>
      <c r="G82" s="150"/>
      <c r="H82" s="99">
        <f t="shared" si="54"/>
        <v>3.2500000000000001E-2</v>
      </c>
      <c r="J82" s="97">
        <f t="shared" si="52"/>
        <v>44652</v>
      </c>
      <c r="M82" s="147">
        <f t="shared" si="57"/>
        <v>6554.96</v>
      </c>
      <c r="O82" s="147">
        <f t="shared" ref="O82:O88" si="59">O81+L82+M82+N82</f>
        <v>2426847.46</v>
      </c>
      <c r="P82" s="150"/>
      <c r="Q82" s="99">
        <f t="shared" si="55"/>
        <v>3.2500000000000001E-2</v>
      </c>
      <c r="U82" s="17"/>
      <c r="V82" s="182"/>
      <c r="W82" s="17"/>
      <c r="X82" s="182"/>
    </row>
    <row r="83" spans="1:24" ht="14.45" customHeight="1">
      <c r="A83" s="97">
        <f t="shared" si="53"/>
        <v>44682</v>
      </c>
      <c r="D83" s="147">
        <f t="shared" si="56"/>
        <v>6540.89</v>
      </c>
      <c r="F83" s="147">
        <f t="shared" si="58"/>
        <v>2421639.7600000007</v>
      </c>
      <c r="G83" s="150"/>
      <c r="H83" s="99">
        <f t="shared" si="54"/>
        <v>3.2500000000000001E-2</v>
      </c>
      <c r="J83" s="97">
        <f t="shared" si="52"/>
        <v>44682</v>
      </c>
      <c r="M83" s="147">
        <f t="shared" si="57"/>
        <v>6572.71</v>
      </c>
      <c r="O83" s="147">
        <f t="shared" si="59"/>
        <v>2433420.17</v>
      </c>
      <c r="P83" s="150"/>
      <c r="Q83" s="99">
        <f t="shared" si="55"/>
        <v>3.2500000000000001E-2</v>
      </c>
      <c r="U83" s="17"/>
      <c r="V83" s="182"/>
      <c r="W83" s="17"/>
      <c r="X83" s="182"/>
    </row>
    <row r="84" spans="1:24" ht="14.45" customHeight="1">
      <c r="A84" s="97">
        <f t="shared" si="53"/>
        <v>44713</v>
      </c>
      <c r="D84" s="147">
        <f t="shared" si="56"/>
        <v>6558.61</v>
      </c>
      <c r="F84" s="147">
        <f t="shared" si="58"/>
        <v>2428198.3700000006</v>
      </c>
      <c r="G84" s="150"/>
      <c r="H84" s="99">
        <f t="shared" si="54"/>
        <v>3.2500000000000001E-2</v>
      </c>
      <c r="J84" s="97">
        <f t="shared" si="52"/>
        <v>44713</v>
      </c>
      <c r="M84" s="147">
        <f t="shared" si="57"/>
        <v>6590.51</v>
      </c>
      <c r="O84" s="147">
        <f t="shared" si="59"/>
        <v>2440010.6799999997</v>
      </c>
      <c r="P84" s="150"/>
      <c r="Q84" s="99">
        <f t="shared" si="55"/>
        <v>3.2500000000000001E-2</v>
      </c>
    </row>
    <row r="85" spans="1:24" ht="14.45" hidden="1" customHeight="1">
      <c r="A85" s="97">
        <f t="shared" si="53"/>
        <v>44743</v>
      </c>
      <c r="D85" s="147">
        <f t="shared" si="56"/>
        <v>0</v>
      </c>
      <c r="F85" s="147">
        <f>F84+C85+D85+E85</f>
        <v>2428198.3700000006</v>
      </c>
      <c r="G85" s="150"/>
      <c r="H85" s="99">
        <f t="shared" si="54"/>
        <v>0</v>
      </c>
      <c r="J85" s="97">
        <f t="shared" si="52"/>
        <v>44743</v>
      </c>
      <c r="M85" s="147">
        <f t="shared" si="57"/>
        <v>0</v>
      </c>
      <c r="O85" s="147">
        <f t="shared" si="59"/>
        <v>2440010.6799999997</v>
      </c>
      <c r="P85" s="150"/>
      <c r="Q85" s="99">
        <f t="shared" si="55"/>
        <v>0</v>
      </c>
    </row>
    <row r="86" spans="1:24" ht="14.45" hidden="1" customHeight="1">
      <c r="A86" s="97">
        <f t="shared" si="53"/>
        <v>44774</v>
      </c>
      <c r="B86" s="53" t="s">
        <v>126</v>
      </c>
      <c r="C86" s="147">
        <f>-F85</f>
        <v>-2428198.3700000006</v>
      </c>
      <c r="D86" s="147">
        <f>ROUND((F85+C86+(E86)/2)*H86/12,2)</f>
        <v>0</v>
      </c>
      <c r="F86" s="147">
        <f>F85+C86+D86+E86</f>
        <v>0</v>
      </c>
      <c r="G86" s="150"/>
      <c r="H86" s="99">
        <f t="shared" si="54"/>
        <v>0</v>
      </c>
      <c r="J86" s="97">
        <f t="shared" si="52"/>
        <v>44774</v>
      </c>
      <c r="K86" s="53" t="s">
        <v>126</v>
      </c>
      <c r="L86" s="147">
        <f>-O85</f>
        <v>-2440010.6799999997</v>
      </c>
      <c r="M86" s="147">
        <f>ROUND((O85+L86+(N86)/2)*Q86/12,2)</f>
        <v>0</v>
      </c>
      <c r="O86" s="147">
        <f>O85+L86+M86+N86</f>
        <v>0</v>
      </c>
      <c r="P86" s="150"/>
      <c r="Q86" s="99">
        <f t="shared" si="55"/>
        <v>0</v>
      </c>
    </row>
    <row r="87" spans="1:24" ht="14.45" hidden="1" customHeight="1">
      <c r="A87" s="97">
        <f t="shared" si="53"/>
        <v>44805</v>
      </c>
      <c r="D87" s="147">
        <f t="shared" si="56"/>
        <v>0</v>
      </c>
      <c r="F87" s="147">
        <f>F86+C87+D87+E87</f>
        <v>0</v>
      </c>
      <c r="G87" s="150"/>
      <c r="H87" s="99">
        <f t="shared" si="54"/>
        <v>0</v>
      </c>
      <c r="J87" s="97">
        <f t="shared" si="52"/>
        <v>44805</v>
      </c>
      <c r="M87" s="147">
        <f t="shared" si="57"/>
        <v>0</v>
      </c>
      <c r="O87" s="147">
        <f>O86+L87+M87+N87</f>
        <v>0</v>
      </c>
      <c r="P87" s="150"/>
      <c r="Q87" s="99">
        <f t="shared" si="55"/>
        <v>0</v>
      </c>
    </row>
    <row r="88" spans="1:24" ht="14.45" hidden="1" customHeight="1">
      <c r="A88" s="97">
        <f t="shared" si="53"/>
        <v>44835</v>
      </c>
      <c r="D88" s="147">
        <f>ROUND((F87+(E88)/2)*H88/12,2)</f>
        <v>0</v>
      </c>
      <c r="F88" s="147">
        <f>F87+C88+D88+E88</f>
        <v>0</v>
      </c>
      <c r="G88" s="150"/>
      <c r="H88" s="99">
        <f t="shared" si="54"/>
        <v>0</v>
      </c>
      <c r="J88" s="97">
        <f t="shared" si="52"/>
        <v>44835</v>
      </c>
      <c r="M88" s="147">
        <f>ROUND((O87+(N88)/2)*Q88/12,2)</f>
        <v>0</v>
      </c>
      <c r="O88" s="147">
        <f t="shared" si="59"/>
        <v>0</v>
      </c>
      <c r="P88" s="150"/>
      <c r="Q88" s="99">
        <f t="shared" si="55"/>
        <v>0</v>
      </c>
    </row>
    <row r="89" spans="1:24" hidden="1">
      <c r="A89" s="97">
        <f t="shared" si="53"/>
        <v>44866</v>
      </c>
      <c r="D89" s="147">
        <f>ROUND((F88+(E89)/2)*H89/12,2)</f>
        <v>0</v>
      </c>
      <c r="E89" s="153"/>
      <c r="F89" s="147">
        <f t="shared" si="58"/>
        <v>0</v>
      </c>
      <c r="G89" s="150"/>
      <c r="H89" s="99">
        <f t="shared" si="54"/>
        <v>0</v>
      </c>
      <c r="J89" s="97">
        <f t="shared" si="52"/>
        <v>44866</v>
      </c>
      <c r="M89" s="147">
        <f>ROUND((O88+(N89)/2)*Q89/12,2)</f>
        <v>0</v>
      </c>
      <c r="O89" s="147">
        <f>O88+L89+M89+N89</f>
        <v>0</v>
      </c>
      <c r="P89" s="150"/>
      <c r="Q89" s="99">
        <f t="shared" si="55"/>
        <v>0</v>
      </c>
    </row>
    <row r="90" spans="1:24" hidden="1">
      <c r="A90" s="97">
        <f t="shared" si="53"/>
        <v>44896</v>
      </c>
      <c r="D90" s="147">
        <f>ROUND((F89+(E90)/2)*H90/12,2)</f>
        <v>0</v>
      </c>
      <c r="F90" s="147">
        <f t="shared" si="58"/>
        <v>0</v>
      </c>
      <c r="H90" s="99">
        <f t="shared" si="54"/>
        <v>0</v>
      </c>
      <c r="J90" s="97">
        <f t="shared" si="52"/>
        <v>44896</v>
      </c>
      <c r="M90" s="147">
        <f>ROUND((O89+(N90)/2)*Q90/12,2)</f>
        <v>0</v>
      </c>
      <c r="O90" s="147">
        <f t="shared" ref="O90" si="60">O89+L90+M90+N90</f>
        <v>0</v>
      </c>
      <c r="Q90" s="99">
        <f t="shared" si="55"/>
        <v>0</v>
      </c>
    </row>
    <row r="91" spans="1:24" hidden="1">
      <c r="A91" s="97"/>
      <c r="B91" s="101" t="s">
        <v>126</v>
      </c>
      <c r="C91" s="273" t="s">
        <v>176</v>
      </c>
      <c r="D91" s="273"/>
      <c r="E91" s="273"/>
      <c r="F91" s="273"/>
      <c r="G91" s="273"/>
      <c r="H91" s="273"/>
      <c r="J91" s="97"/>
      <c r="K91" s="101" t="s">
        <v>126</v>
      </c>
      <c r="L91" s="273" t="s">
        <v>176</v>
      </c>
      <c r="M91" s="273"/>
      <c r="N91" s="273"/>
      <c r="O91" s="273"/>
      <c r="P91" s="273"/>
      <c r="Q91" s="273"/>
    </row>
    <row r="92" spans="1:24">
      <c r="A92" s="97"/>
      <c r="B92" s="101"/>
      <c r="C92" s="152"/>
      <c r="D92" s="152"/>
      <c r="E92" s="152"/>
      <c r="F92" s="152"/>
      <c r="G92" s="177"/>
      <c r="H92" s="177"/>
      <c r="J92" s="97"/>
      <c r="Q92" s="99"/>
    </row>
    <row r="93" spans="1:24" ht="29.25" customHeight="1">
      <c r="A93" s="178">
        <v>182328</v>
      </c>
      <c r="B93" s="178" t="s">
        <v>52</v>
      </c>
      <c r="C93" s="148" t="s">
        <v>92</v>
      </c>
      <c r="D93" s="148" t="s">
        <v>93</v>
      </c>
      <c r="E93" s="148"/>
      <c r="F93" s="147" t="s">
        <v>95</v>
      </c>
      <c r="H93" s="179" t="s">
        <v>93</v>
      </c>
      <c r="J93" s="178">
        <f>A93</f>
        <v>182328</v>
      </c>
      <c r="K93" s="178" t="s">
        <v>53</v>
      </c>
      <c r="L93" s="148" t="s">
        <v>92</v>
      </c>
      <c r="M93" s="148" t="s">
        <v>93</v>
      </c>
      <c r="N93" s="148"/>
      <c r="O93" s="147" t="s">
        <v>95</v>
      </c>
      <c r="Q93" s="179" t="s">
        <v>93</v>
      </c>
    </row>
    <row r="94" spans="1:24" ht="14.45" customHeight="1">
      <c r="A94" s="113" t="s">
        <v>146</v>
      </c>
      <c r="B94" s="113" t="s">
        <v>142</v>
      </c>
      <c r="C94" s="148" t="s">
        <v>96</v>
      </c>
      <c r="D94" s="148" t="s">
        <v>97</v>
      </c>
      <c r="E94" s="148" t="s">
        <v>98</v>
      </c>
      <c r="F94" s="147" t="s">
        <v>94</v>
      </c>
      <c r="H94" s="179" t="s">
        <v>99</v>
      </c>
      <c r="J94" s="113" t="str">
        <f>A94</f>
        <v xml:space="preserve">Res Surcharge Approved </v>
      </c>
      <c r="K94" s="113" t="s">
        <v>142</v>
      </c>
      <c r="L94" s="148" t="s">
        <v>96</v>
      </c>
      <c r="M94" s="148" t="s">
        <v>97</v>
      </c>
      <c r="N94" s="148" t="s">
        <v>98</v>
      </c>
      <c r="O94" s="147" t="s">
        <v>94</v>
      </c>
      <c r="Q94" s="179" t="s">
        <v>99</v>
      </c>
    </row>
    <row r="95" spans="1:24">
      <c r="A95" s="97">
        <f>$A$25</f>
        <v>44531</v>
      </c>
      <c r="B95" s="98"/>
      <c r="F95" s="154">
        <v>0</v>
      </c>
      <c r="G95" s="150"/>
      <c r="J95" s="97">
        <f t="shared" ref="J95:J107" si="61">A95</f>
        <v>44531</v>
      </c>
      <c r="K95" s="98"/>
      <c r="O95" s="154">
        <v>735648.83999999985</v>
      </c>
      <c r="P95" s="150"/>
    </row>
    <row r="96" spans="1:24">
      <c r="A96" s="97">
        <f t="shared" ref="A96:A107" si="62">A26</f>
        <v>44562</v>
      </c>
      <c r="D96" s="147">
        <f>ROUND((F95+(E96)/2)*H96/12,2)</f>
        <v>0</v>
      </c>
      <c r="E96" s="155">
        <v>0</v>
      </c>
      <c r="F96" s="147">
        <f t="shared" ref="F96:F107" si="63">F95+C96+D96+E96</f>
        <v>0</v>
      </c>
      <c r="G96" s="150"/>
      <c r="H96" s="99">
        <f t="shared" ref="H96:H107" si="64">H26</f>
        <v>3.2500000000000001E-2</v>
      </c>
      <c r="J96" s="97">
        <f t="shared" si="61"/>
        <v>44562</v>
      </c>
      <c r="M96" s="147">
        <f>ROUND((O95+(N96)/2)*Q96/12,2)</f>
        <v>1702.88</v>
      </c>
      <c r="N96" s="155">
        <v>-213785.55</v>
      </c>
      <c r="O96" s="147">
        <f t="shared" ref="O96:O107" si="65">O95+L96+M96+N96</f>
        <v>523566.16999999987</v>
      </c>
      <c r="P96" s="150"/>
      <c r="Q96" s="99">
        <f>H96</f>
        <v>3.2500000000000001E-2</v>
      </c>
    </row>
    <row r="97" spans="1:24" ht="14.45" customHeight="1">
      <c r="A97" s="97">
        <f t="shared" si="62"/>
        <v>44593</v>
      </c>
      <c r="D97" s="147">
        <f t="shared" ref="D97:D107" si="66">ROUND((F96+(E97)/2)*H97/12,2)</f>
        <v>0</v>
      </c>
      <c r="E97" s="155">
        <v>0</v>
      </c>
      <c r="F97" s="147">
        <f t="shared" si="63"/>
        <v>0</v>
      </c>
      <c r="G97" s="150"/>
      <c r="H97" s="99">
        <f t="shared" si="64"/>
        <v>3.2500000000000001E-2</v>
      </c>
      <c r="J97" s="97">
        <f t="shared" si="61"/>
        <v>44593</v>
      </c>
      <c r="M97" s="147">
        <f t="shared" ref="M97:M107" si="67">ROUND((O96+(N97)/2)*Q97/12,2)</f>
        <v>1178.96</v>
      </c>
      <c r="N97" s="155">
        <v>-176513.22</v>
      </c>
      <c r="O97" s="147">
        <f t="shared" si="65"/>
        <v>348231.90999999992</v>
      </c>
      <c r="P97" s="150"/>
      <c r="Q97" s="99">
        <f t="shared" ref="Q97:Q107" si="68">H97</f>
        <v>3.2500000000000001E-2</v>
      </c>
    </row>
    <row r="98" spans="1:24" ht="14.45" customHeight="1">
      <c r="A98" s="97">
        <f t="shared" si="62"/>
        <v>44621</v>
      </c>
      <c r="D98" s="147">
        <f t="shared" si="66"/>
        <v>0</v>
      </c>
      <c r="E98" s="155">
        <v>0</v>
      </c>
      <c r="F98" s="147">
        <f t="shared" si="63"/>
        <v>0</v>
      </c>
      <c r="G98" s="150"/>
      <c r="H98" s="99">
        <f t="shared" si="64"/>
        <v>3.2500000000000001E-2</v>
      </c>
      <c r="J98" s="97">
        <f t="shared" si="61"/>
        <v>44621</v>
      </c>
      <c r="M98" s="147">
        <f t="shared" si="67"/>
        <v>769.21</v>
      </c>
      <c r="N98" s="155">
        <v>-128434.38</v>
      </c>
      <c r="O98" s="147">
        <f t="shared" si="65"/>
        <v>220566.73999999993</v>
      </c>
      <c r="P98" s="150"/>
      <c r="Q98" s="99">
        <f t="shared" si="68"/>
        <v>3.2500000000000001E-2</v>
      </c>
      <c r="U98" s="17"/>
      <c r="V98" s="182"/>
      <c r="W98" s="17"/>
      <c r="X98" s="182"/>
    </row>
    <row r="99" spans="1:24" ht="14.45" customHeight="1">
      <c r="A99" s="97">
        <f t="shared" si="62"/>
        <v>44652</v>
      </c>
      <c r="D99" s="147">
        <f t="shared" si="66"/>
        <v>0</v>
      </c>
      <c r="E99" s="155">
        <v>0</v>
      </c>
      <c r="F99" s="147">
        <f>F98+C99+D99+E99</f>
        <v>0</v>
      </c>
      <c r="G99" s="150"/>
      <c r="H99" s="99">
        <f t="shared" si="64"/>
        <v>3.2500000000000001E-2</v>
      </c>
      <c r="J99" s="97">
        <f t="shared" si="61"/>
        <v>44652</v>
      </c>
      <c r="M99" s="147">
        <f t="shared" si="67"/>
        <v>451.51</v>
      </c>
      <c r="N99" s="155">
        <v>-107709.67</v>
      </c>
      <c r="O99" s="147">
        <f t="shared" si="65"/>
        <v>113308.57999999994</v>
      </c>
      <c r="P99" s="150"/>
      <c r="Q99" s="99">
        <f t="shared" si="68"/>
        <v>3.2500000000000001E-2</v>
      </c>
      <c r="U99" s="17"/>
      <c r="V99" s="182"/>
      <c r="W99" s="17"/>
      <c r="X99" s="182"/>
    </row>
    <row r="100" spans="1:24" ht="14.45" customHeight="1">
      <c r="A100" s="97">
        <f t="shared" si="62"/>
        <v>44682</v>
      </c>
      <c r="D100" s="147">
        <f t="shared" si="66"/>
        <v>0</v>
      </c>
      <c r="E100" s="155">
        <v>0</v>
      </c>
      <c r="F100" s="147">
        <f>F99+C100+D100+E100</f>
        <v>0</v>
      </c>
      <c r="G100" s="150"/>
      <c r="H100" s="99">
        <f t="shared" si="64"/>
        <v>3.2500000000000001E-2</v>
      </c>
      <c r="J100" s="97">
        <f t="shared" si="61"/>
        <v>44682</v>
      </c>
      <c r="M100" s="147">
        <f t="shared" si="67"/>
        <v>216.26</v>
      </c>
      <c r="N100" s="155">
        <v>-66916.28</v>
      </c>
      <c r="O100" s="147">
        <f t="shared" si="65"/>
        <v>46608.559999999939</v>
      </c>
      <c r="P100" s="150"/>
      <c r="Q100" s="99">
        <f t="shared" si="68"/>
        <v>3.2500000000000001E-2</v>
      </c>
      <c r="U100" s="17"/>
      <c r="V100" s="182"/>
      <c r="W100" s="17"/>
      <c r="X100" s="182"/>
    </row>
    <row r="101" spans="1:24" ht="14.45" customHeight="1">
      <c r="A101" s="97">
        <f t="shared" si="62"/>
        <v>44713</v>
      </c>
      <c r="D101" s="147">
        <f t="shared" si="66"/>
        <v>0</v>
      </c>
      <c r="E101" s="155">
        <v>0</v>
      </c>
      <c r="F101" s="147">
        <f t="shared" si="63"/>
        <v>0</v>
      </c>
      <c r="G101" s="150"/>
      <c r="H101" s="99">
        <f t="shared" si="64"/>
        <v>3.2500000000000001E-2</v>
      </c>
      <c r="J101" s="97">
        <f t="shared" si="61"/>
        <v>44713</v>
      </c>
      <c r="M101" s="147">
        <f t="shared" si="67"/>
        <v>83.98</v>
      </c>
      <c r="N101" s="155">
        <v>-31200.06</v>
      </c>
      <c r="O101" s="147">
        <f t="shared" si="65"/>
        <v>15492.479999999941</v>
      </c>
      <c r="P101" s="150"/>
      <c r="Q101" s="99">
        <f t="shared" si="68"/>
        <v>3.2500000000000001E-2</v>
      </c>
    </row>
    <row r="102" spans="1:24" ht="14.45" hidden="1" customHeight="1">
      <c r="A102" s="97">
        <f t="shared" si="62"/>
        <v>44743</v>
      </c>
      <c r="B102" s="53" t="s">
        <v>126</v>
      </c>
      <c r="C102" s="147">
        <f>IF(C68&lt;0,-C68,0)</f>
        <v>0</v>
      </c>
      <c r="D102" s="147">
        <f>ROUND((F101+(E102)/2)*H102/12,2)</f>
        <v>0</v>
      </c>
      <c r="E102" s="149"/>
      <c r="F102" s="147">
        <f>F101+D102+E102</f>
        <v>0</v>
      </c>
      <c r="G102" s="150"/>
      <c r="H102" s="99">
        <f t="shared" si="64"/>
        <v>0</v>
      </c>
      <c r="J102" s="97">
        <f t="shared" si="61"/>
        <v>44743</v>
      </c>
      <c r="K102" s="53" t="s">
        <v>126</v>
      </c>
      <c r="L102" s="147">
        <f>IF(L68&lt;0,-L68,0)</f>
        <v>6666773.3499999996</v>
      </c>
      <c r="M102" s="147">
        <f>ROUND((O101+(N102)/2)*Q102/12,2)</f>
        <v>0</v>
      </c>
      <c r="N102" s="149"/>
      <c r="O102" s="147">
        <f>O101+M102+N102</f>
        <v>15492.479999999941</v>
      </c>
      <c r="P102" s="150"/>
      <c r="Q102" s="99">
        <f t="shared" si="68"/>
        <v>0</v>
      </c>
    </row>
    <row r="103" spans="1:24" ht="14.45" hidden="1" customHeight="1">
      <c r="A103" s="97">
        <f t="shared" si="62"/>
        <v>44774</v>
      </c>
      <c r="B103" s="53" t="s">
        <v>126</v>
      </c>
      <c r="C103" s="147">
        <f>IF(F95&gt;0,IF(F67+F102&lt;0,-F102,-C135),IF(F67+F134&lt;0,-F102,-C135))</f>
        <v>0</v>
      </c>
      <c r="D103" s="147">
        <f>ROUND((F102+C102+C103+(E103)/2)*H103/12,2)</f>
        <v>0</v>
      </c>
      <c r="E103" s="149"/>
      <c r="F103" s="147">
        <f>F102+C102+C103+D103+E103</f>
        <v>0</v>
      </c>
      <c r="G103" s="150"/>
      <c r="H103" s="99">
        <f t="shared" si="64"/>
        <v>0</v>
      </c>
      <c r="J103" s="97">
        <f t="shared" si="61"/>
        <v>44774</v>
      </c>
      <c r="K103" s="53" t="s">
        <v>126</v>
      </c>
      <c r="L103" s="147">
        <f>IF(O95&gt;0,IF(O67+O102&lt;0,-O102,-L135),IF(O67+O134&lt;0,-O102,-L135))</f>
        <v>0</v>
      </c>
      <c r="M103" s="147">
        <f>ROUND((O102+L102+L103+(N103)/2)*Q103/12,2)</f>
        <v>0</v>
      </c>
      <c r="N103" s="149"/>
      <c r="O103" s="147">
        <f>O102+L102+L103+M103+N103</f>
        <v>6682265.8299999991</v>
      </c>
      <c r="P103" s="150"/>
      <c r="Q103" s="99">
        <f t="shared" si="68"/>
        <v>0</v>
      </c>
    </row>
    <row r="104" spans="1:24" ht="14.45" hidden="1" customHeight="1">
      <c r="A104" s="97">
        <f t="shared" si="62"/>
        <v>44805</v>
      </c>
      <c r="D104" s="147">
        <f t="shared" si="66"/>
        <v>0</v>
      </c>
      <c r="E104" s="149"/>
      <c r="F104" s="147">
        <f>F103+C104+D104+E104</f>
        <v>0</v>
      </c>
      <c r="G104" s="150"/>
      <c r="H104" s="99">
        <f t="shared" si="64"/>
        <v>0</v>
      </c>
      <c r="J104" s="97">
        <f t="shared" si="61"/>
        <v>44805</v>
      </c>
      <c r="M104" s="147">
        <f t="shared" si="67"/>
        <v>0</v>
      </c>
      <c r="N104" s="149"/>
      <c r="O104" s="147">
        <f>O103+L104+M104+N104</f>
        <v>6682265.8299999991</v>
      </c>
      <c r="P104" s="150"/>
      <c r="Q104" s="99">
        <f t="shared" si="68"/>
        <v>0</v>
      </c>
    </row>
    <row r="105" spans="1:24" ht="14.45" hidden="1" customHeight="1">
      <c r="A105" s="97">
        <f t="shared" si="62"/>
        <v>44835</v>
      </c>
      <c r="D105" s="147">
        <f t="shared" si="66"/>
        <v>0</v>
      </c>
      <c r="E105" s="149"/>
      <c r="F105" s="147">
        <f>F104+C105+D105+E105</f>
        <v>0</v>
      </c>
      <c r="G105" s="150"/>
      <c r="H105" s="99">
        <f t="shared" si="64"/>
        <v>0</v>
      </c>
      <c r="J105" s="97">
        <f t="shared" si="61"/>
        <v>44835</v>
      </c>
      <c r="M105" s="147">
        <f t="shared" si="67"/>
        <v>0</v>
      </c>
      <c r="N105" s="149"/>
      <c r="O105" s="147">
        <f>O104+L105+M105+N105</f>
        <v>6682265.8299999991</v>
      </c>
      <c r="P105" s="150"/>
      <c r="Q105" s="99">
        <f t="shared" si="68"/>
        <v>0</v>
      </c>
    </row>
    <row r="106" spans="1:24" hidden="1">
      <c r="A106" s="97">
        <f t="shared" si="62"/>
        <v>44866</v>
      </c>
      <c r="D106" s="147">
        <f t="shared" si="66"/>
        <v>0</v>
      </c>
      <c r="E106" s="149"/>
      <c r="F106" s="147">
        <f>F105+C106+D106+E106</f>
        <v>0</v>
      </c>
      <c r="G106" s="150"/>
      <c r="H106" s="99">
        <f t="shared" si="64"/>
        <v>0</v>
      </c>
      <c r="J106" s="97">
        <f t="shared" si="61"/>
        <v>44866</v>
      </c>
      <c r="M106" s="147">
        <f t="shared" si="67"/>
        <v>0</v>
      </c>
      <c r="N106" s="149"/>
      <c r="O106" s="147">
        <f>O105+L106+M106+N106</f>
        <v>6682265.8299999991</v>
      </c>
      <c r="P106" s="150"/>
      <c r="Q106" s="99">
        <f t="shared" si="68"/>
        <v>0</v>
      </c>
    </row>
    <row r="107" spans="1:24" hidden="1">
      <c r="A107" s="97">
        <f t="shared" si="62"/>
        <v>44896</v>
      </c>
      <c r="B107" s="98"/>
      <c r="C107" s="153"/>
      <c r="D107" s="147">
        <f t="shared" si="66"/>
        <v>0</v>
      </c>
      <c r="E107" s="149"/>
      <c r="F107" s="147">
        <f t="shared" si="63"/>
        <v>0</v>
      </c>
      <c r="H107" s="99">
        <f t="shared" si="64"/>
        <v>0</v>
      </c>
      <c r="J107" s="97">
        <f t="shared" si="61"/>
        <v>44896</v>
      </c>
      <c r="K107" s="98"/>
      <c r="L107" s="186"/>
      <c r="M107" s="147">
        <f t="shared" si="67"/>
        <v>0</v>
      </c>
      <c r="N107" s="149"/>
      <c r="O107" s="147">
        <f t="shared" si="65"/>
        <v>6682265.8299999991</v>
      </c>
      <c r="Q107" s="99">
        <f t="shared" si="68"/>
        <v>0</v>
      </c>
      <c r="T107" s="185"/>
    </row>
    <row r="108" spans="1:24">
      <c r="T108" s="185"/>
    </row>
    <row r="109" spans="1:24" ht="13.9" customHeight="1">
      <c r="A109" s="178">
        <v>182338</v>
      </c>
      <c r="B109" s="178" t="s">
        <v>52</v>
      </c>
      <c r="C109" s="148" t="s">
        <v>92</v>
      </c>
      <c r="D109" s="148" t="s">
        <v>93</v>
      </c>
      <c r="E109" s="148"/>
      <c r="F109" s="147" t="s">
        <v>95</v>
      </c>
      <c r="H109" s="179" t="s">
        <v>93</v>
      </c>
      <c r="J109" s="178">
        <f>A109</f>
        <v>182338</v>
      </c>
      <c r="K109" s="178" t="s">
        <v>53</v>
      </c>
      <c r="L109" s="148" t="s">
        <v>92</v>
      </c>
      <c r="M109" s="148" t="s">
        <v>93</v>
      </c>
      <c r="N109" s="148"/>
      <c r="O109" s="147" t="s">
        <v>95</v>
      </c>
      <c r="Q109" s="179" t="s">
        <v>93</v>
      </c>
      <c r="T109" s="185"/>
    </row>
    <row r="110" spans="1:24" ht="11.45" customHeight="1">
      <c r="A110" s="113" t="s">
        <v>147</v>
      </c>
      <c r="B110" s="113" t="s">
        <v>142</v>
      </c>
      <c r="C110" s="148" t="s">
        <v>96</v>
      </c>
      <c r="D110" s="148" t="s">
        <v>97</v>
      </c>
      <c r="E110" s="148" t="s">
        <v>98</v>
      </c>
      <c r="F110" s="147" t="s">
        <v>94</v>
      </c>
      <c r="H110" s="179" t="s">
        <v>99</v>
      </c>
      <c r="J110" s="113" t="str">
        <f>A110</f>
        <v xml:space="preserve">Non-Res Surcharge Approved </v>
      </c>
      <c r="K110" s="113" t="s">
        <v>142</v>
      </c>
      <c r="L110" s="148" t="s">
        <v>96</v>
      </c>
      <c r="M110" s="148" t="s">
        <v>97</v>
      </c>
      <c r="N110" s="148" t="s">
        <v>98</v>
      </c>
      <c r="O110" s="147" t="s">
        <v>94</v>
      </c>
      <c r="Q110" s="179" t="s">
        <v>99</v>
      </c>
    </row>
    <row r="111" spans="1:24" ht="16.149999999999999" customHeight="1">
      <c r="A111" s="97">
        <f>$A$25</f>
        <v>44531</v>
      </c>
      <c r="B111" s="98"/>
      <c r="F111" s="154">
        <v>8136564.1299999999</v>
      </c>
      <c r="G111" s="150"/>
      <c r="J111" s="97">
        <f t="shared" ref="J111:J123" si="69">A111</f>
        <v>44531</v>
      </c>
      <c r="K111" s="98"/>
      <c r="O111" s="154">
        <v>290117.7</v>
      </c>
      <c r="P111" s="150"/>
    </row>
    <row r="112" spans="1:24">
      <c r="A112" s="97">
        <f t="shared" ref="A112:A123" si="70">A26</f>
        <v>44562</v>
      </c>
      <c r="D112" s="147">
        <f>ROUND((F111+(E112)/2)*H112/12,2)</f>
        <v>20494.43</v>
      </c>
      <c r="E112" s="155">
        <v>-1138779.95</v>
      </c>
      <c r="F112" s="147">
        <f>F111+C112+D112+E112</f>
        <v>7018278.6099999994</v>
      </c>
      <c r="G112" s="150"/>
      <c r="H112" s="99">
        <f t="shared" ref="H112:H123" si="71">H26</f>
        <v>3.2500000000000001E-2</v>
      </c>
      <c r="J112" s="97">
        <f t="shared" si="69"/>
        <v>44562</v>
      </c>
      <c r="M112" s="147">
        <f>ROUND((O111+(N112)/2)*Q112/12,2)</f>
        <v>691.82</v>
      </c>
      <c r="N112" s="155">
        <v>-69355.28</v>
      </c>
      <c r="O112" s="147">
        <f>O111+L112+M112+N112</f>
        <v>221454.24000000002</v>
      </c>
      <c r="P112" s="150"/>
      <c r="Q112" s="99">
        <f>H112</f>
        <v>3.2500000000000001E-2</v>
      </c>
    </row>
    <row r="113" spans="1:24">
      <c r="A113" s="97">
        <f t="shared" si="70"/>
        <v>44593</v>
      </c>
      <c r="D113" s="147">
        <f t="shared" ref="D113:D123" si="72">ROUND((F112+(E113)/2)*H113/12,2)</f>
        <v>17559.62</v>
      </c>
      <c r="E113" s="155">
        <v>-1069453.8600000001</v>
      </c>
      <c r="F113" s="147">
        <f>F112+C113+D113+E113</f>
        <v>5966384.3699999992</v>
      </c>
      <c r="G113" s="150"/>
      <c r="H113" s="99">
        <f t="shared" si="71"/>
        <v>3.2500000000000001E-2</v>
      </c>
      <c r="J113" s="97">
        <f t="shared" si="69"/>
        <v>44593</v>
      </c>
      <c r="M113" s="147">
        <f t="shared" ref="M113:M123" si="73">ROUND((O112+(N113)/2)*Q113/12,2)</f>
        <v>515.80999999999995</v>
      </c>
      <c r="N113" s="155">
        <v>-62006.080000000002</v>
      </c>
      <c r="O113" s="147">
        <f>O112+L113+M113+N113</f>
        <v>159963.97000000003</v>
      </c>
      <c r="P113" s="150"/>
      <c r="Q113" s="99">
        <f t="shared" ref="Q113:Q123" si="74">H113</f>
        <v>3.2500000000000001E-2</v>
      </c>
    </row>
    <row r="114" spans="1:24">
      <c r="A114" s="97">
        <f t="shared" si="70"/>
        <v>44621</v>
      </c>
      <c r="D114" s="147">
        <f t="shared" si="72"/>
        <v>14615.35</v>
      </c>
      <c r="E114" s="155">
        <v>-1139896.46</v>
      </c>
      <c r="F114" s="147">
        <f>F113+C114+D114+E114</f>
        <v>4841103.2599999988</v>
      </c>
      <c r="G114" s="150"/>
      <c r="H114" s="99">
        <f t="shared" si="71"/>
        <v>3.2500000000000001E-2</v>
      </c>
      <c r="J114" s="97">
        <f t="shared" si="69"/>
        <v>44621</v>
      </c>
      <c r="M114" s="147">
        <f t="shared" si="73"/>
        <v>364.41</v>
      </c>
      <c r="N114" s="155">
        <v>-50825.22</v>
      </c>
      <c r="O114" s="147">
        <f>O113+L114+M114+N114</f>
        <v>109503.16000000003</v>
      </c>
      <c r="P114" s="150"/>
      <c r="Q114" s="99">
        <f t="shared" si="74"/>
        <v>3.2500000000000001E-2</v>
      </c>
      <c r="U114" s="17"/>
      <c r="V114" s="182"/>
      <c r="W114" s="17"/>
      <c r="X114" s="182"/>
    </row>
    <row r="115" spans="1:24">
      <c r="A115" s="97">
        <f t="shared" si="70"/>
        <v>44652</v>
      </c>
      <c r="D115" s="147">
        <f t="shared" si="72"/>
        <v>11607.45</v>
      </c>
      <c r="E115" s="155">
        <v>-1110548.1399999999</v>
      </c>
      <c r="F115" s="147">
        <f>F114+C115+D115+E115</f>
        <v>3742162.5699999994</v>
      </c>
      <c r="G115" s="150"/>
      <c r="H115" s="99">
        <f t="shared" si="71"/>
        <v>3.2500000000000001E-2</v>
      </c>
      <c r="J115" s="97">
        <f t="shared" si="69"/>
        <v>44652</v>
      </c>
      <c r="M115" s="147">
        <f t="shared" si="73"/>
        <v>238.24</v>
      </c>
      <c r="N115" s="155">
        <v>-43074.49</v>
      </c>
      <c r="O115" s="147">
        <f>O114+L115+M115+N115</f>
        <v>66666.910000000033</v>
      </c>
      <c r="P115" s="150"/>
      <c r="Q115" s="99">
        <f t="shared" si="74"/>
        <v>3.2500000000000001E-2</v>
      </c>
      <c r="U115" s="17"/>
      <c r="V115" s="182"/>
      <c r="W115" s="17"/>
      <c r="X115" s="182"/>
    </row>
    <row r="116" spans="1:24">
      <c r="A116" s="97">
        <f t="shared" si="70"/>
        <v>44682</v>
      </c>
      <c r="D116" s="147">
        <f t="shared" si="72"/>
        <v>8771.2099999999991</v>
      </c>
      <c r="E116" s="155">
        <v>-1007127.36</v>
      </c>
      <c r="F116" s="147">
        <f t="shared" ref="F116:F123" si="75">F115+C116+D116+E116</f>
        <v>2743806.4199999995</v>
      </c>
      <c r="G116" s="150"/>
      <c r="H116" s="99">
        <f t="shared" si="71"/>
        <v>3.2500000000000001E-2</v>
      </c>
      <c r="J116" s="97">
        <f t="shared" si="69"/>
        <v>44682</v>
      </c>
      <c r="M116" s="147">
        <f t="shared" si="73"/>
        <v>139.88</v>
      </c>
      <c r="N116" s="155">
        <v>-30040.11</v>
      </c>
      <c r="O116" s="147">
        <f t="shared" ref="O116:O123" si="76">O115+L116+M116+N116</f>
        <v>36766.680000000037</v>
      </c>
      <c r="P116" s="150"/>
      <c r="Q116" s="99">
        <f t="shared" si="74"/>
        <v>3.2500000000000001E-2</v>
      </c>
      <c r="U116" s="17"/>
      <c r="V116" s="182"/>
      <c r="W116" s="17"/>
      <c r="X116" s="182"/>
    </row>
    <row r="117" spans="1:24">
      <c r="A117" s="97">
        <f t="shared" si="70"/>
        <v>44713</v>
      </c>
      <c r="D117" s="147">
        <f t="shared" si="72"/>
        <v>5916.28</v>
      </c>
      <c r="E117" s="155">
        <v>-1118666.06</v>
      </c>
      <c r="F117" s="147">
        <f t="shared" si="75"/>
        <v>1631056.6399999992</v>
      </c>
      <c r="G117" s="150"/>
      <c r="H117" s="99">
        <f t="shared" si="71"/>
        <v>3.2500000000000001E-2</v>
      </c>
      <c r="J117" s="97">
        <f t="shared" si="69"/>
        <v>44713</v>
      </c>
      <c r="M117" s="147">
        <f t="shared" si="73"/>
        <v>74.28</v>
      </c>
      <c r="N117" s="155">
        <v>-18681.849999999999</v>
      </c>
      <c r="O117" s="147">
        <f t="shared" si="76"/>
        <v>18159.110000000037</v>
      </c>
      <c r="P117" s="150"/>
      <c r="Q117" s="99">
        <f t="shared" si="74"/>
        <v>3.2500000000000001E-2</v>
      </c>
    </row>
    <row r="118" spans="1:24" hidden="1">
      <c r="A118" s="97">
        <f t="shared" si="70"/>
        <v>44743</v>
      </c>
      <c r="B118" s="53" t="s">
        <v>126</v>
      </c>
      <c r="C118" s="147">
        <f>IF(C86&lt;0,-C86,0)</f>
        <v>2428198.3700000006</v>
      </c>
      <c r="D118" s="147">
        <f>ROUND((F117+(E118)/2)*H118/12,2)</f>
        <v>0</v>
      </c>
      <c r="E118" s="149"/>
      <c r="F118" s="147">
        <f>F117+D118+E118</f>
        <v>1631056.6399999992</v>
      </c>
      <c r="G118" s="150"/>
      <c r="H118" s="99">
        <f t="shared" si="71"/>
        <v>0</v>
      </c>
      <c r="J118" s="97">
        <f t="shared" si="69"/>
        <v>44743</v>
      </c>
      <c r="K118" s="53" t="s">
        <v>126</v>
      </c>
      <c r="L118" s="147">
        <f>IF(L86&lt;0,-L86,0)</f>
        <v>2440010.6799999997</v>
      </c>
      <c r="M118" s="147">
        <f>ROUND((O117+(N118)/2)*Q118/12,2)</f>
        <v>0</v>
      </c>
      <c r="N118" s="149"/>
      <c r="O118" s="147">
        <f>O117+M118+N118</f>
        <v>18159.110000000037</v>
      </c>
      <c r="P118" s="150"/>
      <c r="Q118" s="99">
        <f t="shared" si="74"/>
        <v>0</v>
      </c>
    </row>
    <row r="119" spans="1:24" hidden="1">
      <c r="A119" s="97">
        <f t="shared" si="70"/>
        <v>44774</v>
      </c>
      <c r="B119" s="53" t="s">
        <v>126</v>
      </c>
      <c r="C119" s="147">
        <f>IF(F111&gt;0,IF(F85+F118&lt;0,-F118,-C151),IF(F85+F150&lt;0,-F118,-C151))</f>
        <v>0</v>
      </c>
      <c r="D119" s="147">
        <f>ROUND((F118+C118+C119+(E119)/2)*H119/12,2)</f>
        <v>0</v>
      </c>
      <c r="E119" s="149"/>
      <c r="F119" s="147">
        <f>F118+C118+C119+D119+E119</f>
        <v>4059255.01</v>
      </c>
      <c r="G119" s="150"/>
      <c r="H119" s="99">
        <f t="shared" si="71"/>
        <v>0</v>
      </c>
      <c r="J119" s="97">
        <f t="shared" si="69"/>
        <v>44774</v>
      </c>
      <c r="K119" s="53" t="s">
        <v>126</v>
      </c>
      <c r="L119" s="147">
        <f>IF(O111&gt;0,IF(O85+O118&lt;0,-O118,-L151),IF(O85+O150&lt;0,-O118,-L151))</f>
        <v>0</v>
      </c>
      <c r="M119" s="147">
        <f>ROUND((O118+L118+L119+(N119)/2)*Q119/12,2)</f>
        <v>0</v>
      </c>
      <c r="N119" s="149"/>
      <c r="O119" s="147">
        <f>O118+L118+L119+M119+N119</f>
        <v>2458169.7899999996</v>
      </c>
      <c r="P119" s="150"/>
      <c r="Q119" s="99">
        <f t="shared" si="74"/>
        <v>0</v>
      </c>
    </row>
    <row r="120" spans="1:24" hidden="1">
      <c r="A120" s="97">
        <f t="shared" si="70"/>
        <v>44805</v>
      </c>
      <c r="D120" s="147">
        <f t="shared" si="72"/>
        <v>0</v>
      </c>
      <c r="E120" s="149"/>
      <c r="F120" s="147">
        <f>F119+C120+D120+E120</f>
        <v>4059255.01</v>
      </c>
      <c r="G120" s="150"/>
      <c r="H120" s="99">
        <f t="shared" si="71"/>
        <v>0</v>
      </c>
      <c r="J120" s="97">
        <f t="shared" si="69"/>
        <v>44805</v>
      </c>
      <c r="M120" s="147">
        <f t="shared" si="73"/>
        <v>0</v>
      </c>
      <c r="N120" s="149"/>
      <c r="O120" s="147">
        <f>O119+L120+M120+N120</f>
        <v>2458169.7899999996</v>
      </c>
      <c r="P120" s="150"/>
      <c r="Q120" s="99">
        <f t="shared" si="74"/>
        <v>0</v>
      </c>
      <c r="S120" s="147"/>
    </row>
    <row r="121" spans="1:24" hidden="1">
      <c r="A121" s="97">
        <f t="shared" si="70"/>
        <v>44835</v>
      </c>
      <c r="D121" s="147">
        <f t="shared" si="72"/>
        <v>0</v>
      </c>
      <c r="E121" s="149"/>
      <c r="F121" s="147">
        <f>F120+C121+D121+E121</f>
        <v>4059255.01</v>
      </c>
      <c r="G121" s="187"/>
      <c r="H121" s="99">
        <f t="shared" si="71"/>
        <v>0</v>
      </c>
      <c r="J121" s="97">
        <f t="shared" si="69"/>
        <v>44835</v>
      </c>
      <c r="M121" s="147">
        <f t="shared" si="73"/>
        <v>0</v>
      </c>
      <c r="N121" s="149"/>
      <c r="O121" s="147">
        <f>O120+L121+M121+N121</f>
        <v>2458169.7899999996</v>
      </c>
      <c r="P121" s="150"/>
      <c r="Q121" s="99">
        <f t="shared" si="74"/>
        <v>0</v>
      </c>
    </row>
    <row r="122" spans="1:24" hidden="1">
      <c r="A122" s="97">
        <f t="shared" si="70"/>
        <v>44866</v>
      </c>
      <c r="D122" s="147">
        <f t="shared" si="72"/>
        <v>0</v>
      </c>
      <c r="E122" s="149"/>
      <c r="F122" s="147">
        <f t="shared" si="75"/>
        <v>4059255.01</v>
      </c>
      <c r="G122" s="187"/>
      <c r="H122" s="99">
        <f t="shared" si="71"/>
        <v>0</v>
      </c>
      <c r="J122" s="97">
        <f t="shared" si="69"/>
        <v>44866</v>
      </c>
      <c r="M122" s="147">
        <f t="shared" si="73"/>
        <v>0</v>
      </c>
      <c r="N122" s="149"/>
      <c r="O122" s="147">
        <f t="shared" si="76"/>
        <v>2458169.7899999996</v>
      </c>
      <c r="P122" s="150"/>
      <c r="Q122" s="99">
        <f t="shared" si="74"/>
        <v>0</v>
      </c>
    </row>
    <row r="123" spans="1:24" hidden="1">
      <c r="A123" s="97">
        <f t="shared" si="70"/>
        <v>44896</v>
      </c>
      <c r="D123" s="147">
        <f t="shared" si="72"/>
        <v>0</v>
      </c>
      <c r="E123" s="149"/>
      <c r="F123" s="147">
        <f t="shared" si="75"/>
        <v>4059255.01</v>
      </c>
      <c r="H123" s="99">
        <f t="shared" si="71"/>
        <v>0</v>
      </c>
      <c r="J123" s="97">
        <f t="shared" si="69"/>
        <v>44896</v>
      </c>
      <c r="M123" s="147">
        <f t="shared" si="73"/>
        <v>0</v>
      </c>
      <c r="N123" s="149"/>
      <c r="O123" s="147">
        <f t="shared" si="76"/>
        <v>2458169.7899999996</v>
      </c>
      <c r="Q123" s="99">
        <f t="shared" si="74"/>
        <v>0</v>
      </c>
    </row>
    <row r="124" spans="1:24">
      <c r="A124" s="97"/>
      <c r="H124" s="99"/>
      <c r="J124" s="97"/>
      <c r="Q124" s="99"/>
    </row>
    <row r="125" spans="1:24">
      <c r="A125" s="178">
        <v>254328</v>
      </c>
      <c r="B125" s="178" t="s">
        <v>52</v>
      </c>
      <c r="C125" s="148" t="s">
        <v>92</v>
      </c>
      <c r="D125" s="148" t="s">
        <v>93</v>
      </c>
      <c r="E125" s="148"/>
      <c r="F125" s="147" t="s">
        <v>95</v>
      </c>
      <c r="H125" s="179" t="s">
        <v>93</v>
      </c>
      <c r="J125" s="178">
        <f>A125</f>
        <v>254328</v>
      </c>
      <c r="K125" s="178" t="s">
        <v>53</v>
      </c>
      <c r="L125" s="148" t="s">
        <v>92</v>
      </c>
      <c r="M125" s="148" t="s">
        <v>93</v>
      </c>
      <c r="N125" s="148"/>
      <c r="O125" s="147" t="s">
        <v>95</v>
      </c>
      <c r="Q125" s="179" t="s">
        <v>93</v>
      </c>
    </row>
    <row r="126" spans="1:24">
      <c r="A126" s="113" t="s">
        <v>148</v>
      </c>
      <c r="B126" s="113" t="s">
        <v>142</v>
      </c>
      <c r="C126" s="148" t="s">
        <v>96</v>
      </c>
      <c r="D126" s="148" t="s">
        <v>97</v>
      </c>
      <c r="E126" s="148" t="s">
        <v>98</v>
      </c>
      <c r="F126" s="147" t="s">
        <v>94</v>
      </c>
      <c r="H126" s="179" t="s">
        <v>99</v>
      </c>
      <c r="J126" s="113" t="str">
        <f>A126</f>
        <v>Res Rebate Approved</v>
      </c>
      <c r="K126" s="113" t="s">
        <v>142</v>
      </c>
      <c r="L126" s="148" t="s">
        <v>96</v>
      </c>
      <c r="M126" s="148" t="s">
        <v>97</v>
      </c>
      <c r="N126" s="148" t="s">
        <v>98</v>
      </c>
      <c r="O126" s="147" t="s">
        <v>94</v>
      </c>
      <c r="Q126" s="179" t="s">
        <v>99</v>
      </c>
    </row>
    <row r="127" spans="1:24">
      <c r="A127" s="97">
        <f>$A$25</f>
        <v>44531</v>
      </c>
      <c r="B127" s="98"/>
      <c r="F127" s="154">
        <v>-843947.01000000024</v>
      </c>
      <c r="G127" s="150"/>
      <c r="J127" s="97">
        <f t="shared" ref="J127:J139" si="77">A127</f>
        <v>44531</v>
      </c>
      <c r="K127" s="98"/>
      <c r="O127" s="154">
        <v>0</v>
      </c>
      <c r="P127" s="150"/>
    </row>
    <row r="128" spans="1:24">
      <c r="A128" s="97">
        <f t="shared" ref="A128:A139" si="78">A26</f>
        <v>44562</v>
      </c>
      <c r="D128" s="147">
        <f>ROUND((F127+(E128)/2)*H128/12,2)</f>
        <v>-2111.79</v>
      </c>
      <c r="E128" s="155">
        <v>128419.8</v>
      </c>
      <c r="F128" s="147">
        <f t="shared" ref="F128:F139" si="79">F127+C128+D128+E128</f>
        <v>-717639.00000000023</v>
      </c>
      <c r="G128" s="150"/>
      <c r="H128" s="99">
        <f t="shared" ref="H128:H139" si="80">H26</f>
        <v>3.2500000000000001E-2</v>
      </c>
      <c r="J128" s="97">
        <f t="shared" si="77"/>
        <v>44562</v>
      </c>
      <c r="M128" s="147">
        <f>ROUND((O127+(N128)/2)*Q128/12,2)</f>
        <v>0</v>
      </c>
      <c r="N128" s="155">
        <v>0</v>
      </c>
      <c r="O128" s="147">
        <f t="shared" ref="O128:O139" si="81">O127+L128+M128+N128</f>
        <v>0</v>
      </c>
      <c r="P128" s="150"/>
      <c r="Q128" s="99">
        <f>H128</f>
        <v>3.2500000000000001E-2</v>
      </c>
    </row>
    <row r="129" spans="1:24">
      <c r="A129" s="97">
        <f t="shared" si="78"/>
        <v>44593</v>
      </c>
      <c r="D129" s="147">
        <f t="shared" ref="D129:D139" si="82">ROUND((F128+(E129)/2)*H129/12,2)</f>
        <v>-1801.19</v>
      </c>
      <c r="E129" s="155">
        <v>105169.79</v>
      </c>
      <c r="F129" s="147">
        <f t="shared" si="79"/>
        <v>-614270.40000000014</v>
      </c>
      <c r="G129" s="150"/>
      <c r="H129" s="99">
        <f t="shared" si="80"/>
        <v>3.2500000000000001E-2</v>
      </c>
      <c r="J129" s="97">
        <f t="shared" si="77"/>
        <v>44593</v>
      </c>
      <c r="M129" s="147">
        <f t="shared" ref="M129:M139" si="83">ROUND((O128+(N129)/2)*Q129/12,2)</f>
        <v>0</v>
      </c>
      <c r="N129" s="155">
        <v>0</v>
      </c>
      <c r="O129" s="147">
        <f t="shared" si="81"/>
        <v>0</v>
      </c>
      <c r="P129" s="150"/>
      <c r="Q129" s="99">
        <f t="shared" ref="Q129:Q139" si="84">H129</f>
        <v>3.2500000000000001E-2</v>
      </c>
    </row>
    <row r="130" spans="1:24">
      <c r="A130" s="97">
        <f t="shared" si="78"/>
        <v>44621</v>
      </c>
      <c r="D130" s="147">
        <f t="shared" si="82"/>
        <v>-1528.46</v>
      </c>
      <c r="E130" s="155">
        <v>99828.66</v>
      </c>
      <c r="F130" s="147">
        <f t="shared" si="79"/>
        <v>-515970.20000000007</v>
      </c>
      <c r="G130" s="150"/>
      <c r="H130" s="99">
        <f t="shared" si="80"/>
        <v>3.2500000000000001E-2</v>
      </c>
      <c r="J130" s="97">
        <f t="shared" si="77"/>
        <v>44621</v>
      </c>
      <c r="M130" s="147">
        <f t="shared" si="83"/>
        <v>0</v>
      </c>
      <c r="N130" s="155">
        <v>0</v>
      </c>
      <c r="O130" s="147">
        <f t="shared" si="81"/>
        <v>0</v>
      </c>
      <c r="P130" s="150"/>
      <c r="Q130" s="99">
        <f t="shared" si="84"/>
        <v>3.2500000000000001E-2</v>
      </c>
      <c r="U130" s="17"/>
      <c r="V130" s="182"/>
      <c r="W130" s="17"/>
      <c r="X130" s="182"/>
    </row>
    <row r="131" spans="1:24">
      <c r="A131" s="97">
        <f t="shared" si="78"/>
        <v>44652</v>
      </c>
      <c r="D131" s="147">
        <f t="shared" si="82"/>
        <v>-1280.08</v>
      </c>
      <c r="E131" s="155">
        <v>86649.95</v>
      </c>
      <c r="F131" s="147">
        <f t="shared" si="79"/>
        <v>-430600.33000000007</v>
      </c>
      <c r="G131" s="150"/>
      <c r="H131" s="99">
        <f t="shared" si="80"/>
        <v>3.2500000000000001E-2</v>
      </c>
      <c r="J131" s="97">
        <f t="shared" si="77"/>
        <v>44652</v>
      </c>
      <c r="M131" s="147">
        <f t="shared" si="83"/>
        <v>0</v>
      </c>
      <c r="N131" s="155">
        <v>0</v>
      </c>
      <c r="O131" s="147">
        <f t="shared" si="81"/>
        <v>0</v>
      </c>
      <c r="P131" s="150"/>
      <c r="Q131" s="99">
        <f t="shared" si="84"/>
        <v>3.2500000000000001E-2</v>
      </c>
      <c r="U131" s="17"/>
      <c r="V131" s="182"/>
      <c r="W131" s="17"/>
      <c r="X131" s="182"/>
    </row>
    <row r="132" spans="1:24">
      <c r="A132" s="97">
        <f t="shared" si="78"/>
        <v>44682</v>
      </c>
      <c r="D132" s="147">
        <f t="shared" si="82"/>
        <v>-1066.98</v>
      </c>
      <c r="E132" s="155">
        <v>73275.33</v>
      </c>
      <c r="F132" s="147">
        <f t="shared" si="79"/>
        <v>-358391.98000000004</v>
      </c>
      <c r="G132" s="150"/>
      <c r="H132" s="99">
        <f t="shared" si="80"/>
        <v>3.2500000000000001E-2</v>
      </c>
      <c r="J132" s="97">
        <f t="shared" si="77"/>
        <v>44682</v>
      </c>
      <c r="M132" s="147">
        <f t="shared" si="83"/>
        <v>0</v>
      </c>
      <c r="N132" s="155">
        <v>0</v>
      </c>
      <c r="O132" s="147">
        <f t="shared" si="81"/>
        <v>0</v>
      </c>
      <c r="P132" s="150"/>
      <c r="Q132" s="99">
        <f t="shared" si="84"/>
        <v>3.2500000000000001E-2</v>
      </c>
      <c r="U132" s="17"/>
      <c r="V132" s="182"/>
      <c r="W132" s="17"/>
      <c r="X132" s="182"/>
    </row>
    <row r="133" spans="1:24">
      <c r="A133" s="97">
        <f t="shared" si="78"/>
        <v>44713</v>
      </c>
      <c r="D133" s="147">
        <f t="shared" si="82"/>
        <v>-881.81</v>
      </c>
      <c r="E133" s="155">
        <v>65599.820000000007</v>
      </c>
      <c r="F133" s="147">
        <f t="shared" si="79"/>
        <v>-293673.97000000003</v>
      </c>
      <c r="G133" s="150"/>
      <c r="H133" s="99">
        <f t="shared" si="80"/>
        <v>3.2500000000000001E-2</v>
      </c>
      <c r="J133" s="97">
        <f t="shared" si="77"/>
        <v>44713</v>
      </c>
      <c r="M133" s="147">
        <f t="shared" si="83"/>
        <v>0</v>
      </c>
      <c r="N133" s="155">
        <v>0</v>
      </c>
      <c r="O133" s="147">
        <f t="shared" si="81"/>
        <v>0</v>
      </c>
      <c r="P133" s="150"/>
      <c r="Q133" s="99">
        <f t="shared" si="84"/>
        <v>3.2500000000000001E-2</v>
      </c>
    </row>
    <row r="134" spans="1:24" hidden="1">
      <c r="A134" s="97">
        <f t="shared" si="78"/>
        <v>44743</v>
      </c>
      <c r="B134" s="53" t="s">
        <v>126</v>
      </c>
      <c r="C134" s="147">
        <f>IF(C68&gt;0,-C68,0)</f>
        <v>-5207327.3899999997</v>
      </c>
      <c r="D134" s="147">
        <f>ROUND((F133+(E134)/2)*H134/12,2)</f>
        <v>0</v>
      </c>
      <c r="E134" s="183"/>
      <c r="F134" s="147">
        <f>F133+D134+E134</f>
        <v>-293673.97000000003</v>
      </c>
      <c r="G134" s="150"/>
      <c r="H134" s="99">
        <f t="shared" si="80"/>
        <v>0</v>
      </c>
      <c r="J134" s="97">
        <f t="shared" si="77"/>
        <v>44743</v>
      </c>
      <c r="K134" s="53" t="s">
        <v>126</v>
      </c>
      <c r="L134" s="147">
        <f>IF(L68&gt;0,-L68,0)</f>
        <v>0</v>
      </c>
      <c r="M134" s="147">
        <f>ROUND((O133+(N134)/2)*Q134/12,2)</f>
        <v>0</v>
      </c>
      <c r="N134" s="183"/>
      <c r="O134" s="147">
        <f>O133+M134+N134</f>
        <v>0</v>
      </c>
      <c r="P134" s="150"/>
      <c r="Q134" s="99">
        <f t="shared" si="84"/>
        <v>0</v>
      </c>
    </row>
    <row r="135" spans="1:24" hidden="1">
      <c r="A135" s="97">
        <f t="shared" si="78"/>
        <v>44774</v>
      </c>
      <c r="B135" s="53" t="s">
        <v>126</v>
      </c>
      <c r="C135" s="147">
        <f>IF(F127&gt;=0,IF(F67+F102&lt;0,-C103,-C134),IF(F67+F134&gt;0,-F134,-C103))</f>
        <v>0</v>
      </c>
      <c r="D135" s="147">
        <f>ROUND((F134+C134+C135+(E135)/2)*H135/12,2)</f>
        <v>0</v>
      </c>
      <c r="E135" s="183"/>
      <c r="F135" s="147">
        <f>F134+C134+C135+D135+E135</f>
        <v>-5501001.3599999994</v>
      </c>
      <c r="G135" s="150"/>
      <c r="H135" s="99">
        <f t="shared" si="80"/>
        <v>0</v>
      </c>
      <c r="J135" s="97">
        <f t="shared" si="77"/>
        <v>44774</v>
      </c>
      <c r="K135" s="53" t="s">
        <v>126</v>
      </c>
      <c r="L135" s="147">
        <f>IF(O127&gt;=0,IF(O67+O102&lt;0,-L103,-L134),IF(O67+O134&gt;0,-O134,-L103))</f>
        <v>0</v>
      </c>
      <c r="M135" s="147">
        <f>ROUND((O134+L134+L135+(N135)/2)*Q135/12,2)</f>
        <v>0</v>
      </c>
      <c r="N135" s="183"/>
      <c r="O135" s="147">
        <f>O134+L134+L135+M135+N135</f>
        <v>0</v>
      </c>
      <c r="P135" s="187"/>
      <c r="Q135" s="99">
        <f t="shared" si="84"/>
        <v>0</v>
      </c>
    </row>
    <row r="136" spans="1:24" hidden="1">
      <c r="A136" s="97">
        <f t="shared" si="78"/>
        <v>44805</v>
      </c>
      <c r="D136" s="147">
        <f t="shared" si="82"/>
        <v>0</v>
      </c>
      <c r="E136" s="183"/>
      <c r="F136" s="147">
        <f t="shared" si="79"/>
        <v>-5501001.3599999994</v>
      </c>
      <c r="G136" s="150"/>
      <c r="H136" s="99">
        <f t="shared" si="80"/>
        <v>0</v>
      </c>
      <c r="J136" s="97">
        <f t="shared" si="77"/>
        <v>44805</v>
      </c>
      <c r="M136" s="147">
        <f t="shared" si="83"/>
        <v>0</v>
      </c>
      <c r="N136" s="183"/>
      <c r="O136" s="147">
        <f t="shared" si="81"/>
        <v>0</v>
      </c>
      <c r="P136" s="150"/>
      <c r="Q136" s="99">
        <f t="shared" si="84"/>
        <v>0</v>
      </c>
    </row>
    <row r="137" spans="1:24" hidden="1">
      <c r="A137" s="97">
        <f t="shared" si="78"/>
        <v>44835</v>
      </c>
      <c r="D137" s="147">
        <f t="shared" si="82"/>
        <v>0</v>
      </c>
      <c r="E137" s="183"/>
      <c r="F137" s="147">
        <f t="shared" si="79"/>
        <v>-5501001.3599999994</v>
      </c>
      <c r="G137" s="150"/>
      <c r="H137" s="99">
        <f t="shared" si="80"/>
        <v>0</v>
      </c>
      <c r="J137" s="97">
        <f t="shared" si="77"/>
        <v>44835</v>
      </c>
      <c r="M137" s="147">
        <f t="shared" si="83"/>
        <v>0</v>
      </c>
      <c r="N137" s="183"/>
      <c r="O137" s="147">
        <f t="shared" si="81"/>
        <v>0</v>
      </c>
      <c r="P137" s="150"/>
      <c r="Q137" s="99">
        <f t="shared" si="84"/>
        <v>0</v>
      </c>
    </row>
    <row r="138" spans="1:24" hidden="1">
      <c r="A138" s="97">
        <f t="shared" si="78"/>
        <v>44866</v>
      </c>
      <c r="D138" s="147">
        <f t="shared" si="82"/>
        <v>0</v>
      </c>
      <c r="E138" s="183"/>
      <c r="F138" s="147">
        <f t="shared" si="79"/>
        <v>-5501001.3599999994</v>
      </c>
      <c r="G138" s="150"/>
      <c r="H138" s="99">
        <f t="shared" si="80"/>
        <v>0</v>
      </c>
      <c r="J138" s="97">
        <f t="shared" si="77"/>
        <v>44866</v>
      </c>
      <c r="M138" s="147">
        <f t="shared" si="83"/>
        <v>0</v>
      </c>
      <c r="N138" s="183"/>
      <c r="O138" s="147">
        <f t="shared" si="81"/>
        <v>0</v>
      </c>
      <c r="P138" s="150"/>
      <c r="Q138" s="99">
        <f t="shared" si="84"/>
        <v>0</v>
      </c>
    </row>
    <row r="139" spans="1:24" hidden="1">
      <c r="A139" s="97">
        <f t="shared" si="78"/>
        <v>44896</v>
      </c>
      <c r="B139" s="98"/>
      <c r="D139" s="147">
        <f t="shared" si="82"/>
        <v>0</v>
      </c>
      <c r="E139" s="183"/>
      <c r="F139" s="147">
        <f t="shared" si="79"/>
        <v>-5501001.3599999994</v>
      </c>
      <c r="H139" s="99">
        <f t="shared" si="80"/>
        <v>0</v>
      </c>
      <c r="J139" s="97">
        <f t="shared" si="77"/>
        <v>44896</v>
      </c>
      <c r="K139" s="98"/>
      <c r="M139" s="147">
        <f t="shared" si="83"/>
        <v>0</v>
      </c>
      <c r="N139" s="183"/>
      <c r="O139" s="147">
        <f t="shared" si="81"/>
        <v>0</v>
      </c>
      <c r="Q139" s="99">
        <f t="shared" si="84"/>
        <v>0</v>
      </c>
    </row>
    <row r="140" spans="1:24">
      <c r="A140" s="97"/>
    </row>
    <row r="141" spans="1:24">
      <c r="A141" s="178">
        <v>254338</v>
      </c>
      <c r="B141" s="178" t="s">
        <v>52</v>
      </c>
      <c r="C141" s="148" t="s">
        <v>92</v>
      </c>
      <c r="D141" s="148" t="s">
        <v>93</v>
      </c>
      <c r="E141" s="148"/>
      <c r="F141" s="147" t="s">
        <v>95</v>
      </c>
      <c r="H141" s="179" t="s">
        <v>93</v>
      </c>
      <c r="J141" s="178">
        <f>A141</f>
        <v>254338</v>
      </c>
      <c r="K141" s="178" t="s">
        <v>53</v>
      </c>
      <c r="L141" s="148" t="s">
        <v>92</v>
      </c>
      <c r="M141" s="148" t="s">
        <v>93</v>
      </c>
      <c r="N141" s="148"/>
      <c r="O141" s="147" t="s">
        <v>95</v>
      </c>
      <c r="Q141" s="179" t="s">
        <v>93</v>
      </c>
    </row>
    <row r="142" spans="1:24">
      <c r="A142" s="113" t="s">
        <v>149</v>
      </c>
      <c r="B142" s="113" t="s">
        <v>142</v>
      </c>
      <c r="C142" s="148" t="s">
        <v>96</v>
      </c>
      <c r="D142" s="148" t="s">
        <v>97</v>
      </c>
      <c r="E142" s="148" t="s">
        <v>98</v>
      </c>
      <c r="F142" s="147" t="s">
        <v>94</v>
      </c>
      <c r="H142" s="179" t="s">
        <v>99</v>
      </c>
      <c r="J142" s="113" t="str">
        <f>A142</f>
        <v>Non-Res Rebate Approved</v>
      </c>
      <c r="K142" s="113" t="s">
        <v>142</v>
      </c>
      <c r="L142" s="148" t="s">
        <v>96</v>
      </c>
      <c r="M142" s="148" t="s">
        <v>97</v>
      </c>
      <c r="N142" s="148" t="s">
        <v>98</v>
      </c>
      <c r="O142" s="147" t="s">
        <v>94</v>
      </c>
      <c r="Q142" s="179" t="s">
        <v>99</v>
      </c>
    </row>
    <row r="143" spans="1:24">
      <c r="A143" s="97">
        <f>$A$25</f>
        <v>44531</v>
      </c>
      <c r="B143" s="98"/>
      <c r="F143" s="154">
        <v>0</v>
      </c>
      <c r="G143" s="150"/>
      <c r="J143" s="97">
        <f t="shared" ref="J143:J155" si="85">A143</f>
        <v>44531</v>
      </c>
      <c r="K143" s="98"/>
      <c r="O143" s="154">
        <v>0</v>
      </c>
      <c r="P143" s="150"/>
    </row>
    <row r="144" spans="1:24">
      <c r="A144" s="97">
        <f t="shared" ref="A144:A155" si="86">A26</f>
        <v>44562</v>
      </c>
      <c r="D144" s="147">
        <f>ROUND((F143+(E144)/2)*H144/12,2)</f>
        <v>0</v>
      </c>
      <c r="E144" s="155">
        <v>0</v>
      </c>
      <c r="F144" s="147">
        <f>F143+C144+D144+E144</f>
        <v>0</v>
      </c>
      <c r="G144" s="150"/>
      <c r="H144" s="99">
        <f t="shared" ref="H144:H155" si="87">H26</f>
        <v>3.2500000000000001E-2</v>
      </c>
      <c r="J144" s="97">
        <f t="shared" si="85"/>
        <v>44562</v>
      </c>
      <c r="M144" s="147">
        <f>ROUND((O143+(N144)/2)*Q144/12,2)</f>
        <v>0</v>
      </c>
      <c r="N144" s="155">
        <v>0</v>
      </c>
      <c r="O144" s="147">
        <f>O143+L144+M144+N144</f>
        <v>0</v>
      </c>
      <c r="P144" s="150"/>
      <c r="Q144" s="99">
        <f>H144</f>
        <v>3.2500000000000001E-2</v>
      </c>
    </row>
    <row r="145" spans="1:24">
      <c r="A145" s="97">
        <f t="shared" si="86"/>
        <v>44593</v>
      </c>
      <c r="D145" s="147">
        <f t="shared" ref="D145:D155" si="88">ROUND((F144+(E145)/2)*H145/12,2)</f>
        <v>0</v>
      </c>
      <c r="E145" s="155">
        <v>0</v>
      </c>
      <c r="F145" s="147">
        <f>F144+C145+D145+E145</f>
        <v>0</v>
      </c>
      <c r="G145" s="150"/>
      <c r="H145" s="99">
        <f t="shared" si="87"/>
        <v>3.2500000000000001E-2</v>
      </c>
      <c r="J145" s="97">
        <f t="shared" si="85"/>
        <v>44593</v>
      </c>
      <c r="M145" s="147">
        <f t="shared" ref="M145:M155" si="89">ROUND((O144+(N145)/2)*Q145/12,2)</f>
        <v>0</v>
      </c>
      <c r="N145" s="155">
        <v>0</v>
      </c>
      <c r="O145" s="147">
        <f>O144+L145+M145+N145</f>
        <v>0</v>
      </c>
      <c r="P145" s="150"/>
      <c r="Q145" s="99">
        <f t="shared" ref="Q145:Q155" si="90">H145</f>
        <v>3.2500000000000001E-2</v>
      </c>
    </row>
    <row r="146" spans="1:24">
      <c r="A146" s="97">
        <f t="shared" si="86"/>
        <v>44621</v>
      </c>
      <c r="D146" s="147">
        <f t="shared" si="88"/>
        <v>0</v>
      </c>
      <c r="E146" s="155">
        <v>0</v>
      </c>
      <c r="F146" s="147">
        <f>F145+C146+D146+E146</f>
        <v>0</v>
      </c>
      <c r="G146" s="150"/>
      <c r="H146" s="99">
        <f t="shared" si="87"/>
        <v>3.2500000000000001E-2</v>
      </c>
      <c r="J146" s="97">
        <f t="shared" si="85"/>
        <v>44621</v>
      </c>
      <c r="M146" s="147">
        <f t="shared" si="89"/>
        <v>0</v>
      </c>
      <c r="N146" s="155">
        <v>0</v>
      </c>
      <c r="O146" s="147">
        <f>O145+L146+M146+N146</f>
        <v>0</v>
      </c>
      <c r="P146" s="150"/>
      <c r="Q146" s="99">
        <f t="shared" si="90"/>
        <v>3.2500000000000001E-2</v>
      </c>
      <c r="U146" s="17"/>
      <c r="V146" s="182"/>
      <c r="W146" s="17"/>
      <c r="X146" s="182"/>
    </row>
    <row r="147" spans="1:24">
      <c r="A147" s="97">
        <f t="shared" si="86"/>
        <v>44652</v>
      </c>
      <c r="D147" s="147">
        <f t="shared" si="88"/>
        <v>0</v>
      </c>
      <c r="E147" s="155">
        <v>0</v>
      </c>
      <c r="F147" s="147">
        <f t="shared" ref="F147:F155" si="91">F146+C147+D147+E147</f>
        <v>0</v>
      </c>
      <c r="G147" s="150"/>
      <c r="H147" s="99">
        <f t="shared" si="87"/>
        <v>3.2500000000000001E-2</v>
      </c>
      <c r="J147" s="97">
        <f t="shared" si="85"/>
        <v>44652</v>
      </c>
      <c r="M147" s="147">
        <f t="shared" si="89"/>
        <v>0</v>
      </c>
      <c r="N147" s="155">
        <v>0</v>
      </c>
      <c r="O147" s="147">
        <f t="shared" ref="O147:O155" si="92">O146+L147+M147+N147</f>
        <v>0</v>
      </c>
      <c r="P147" s="150"/>
      <c r="Q147" s="99">
        <f t="shared" si="90"/>
        <v>3.2500000000000001E-2</v>
      </c>
      <c r="U147" s="17"/>
      <c r="V147" s="182"/>
      <c r="W147" s="17"/>
      <c r="X147" s="182"/>
    </row>
    <row r="148" spans="1:24">
      <c r="A148" s="97">
        <f t="shared" si="86"/>
        <v>44682</v>
      </c>
      <c r="D148" s="147">
        <f t="shared" si="88"/>
        <v>0</v>
      </c>
      <c r="E148" s="155">
        <v>0</v>
      </c>
      <c r="F148" s="147">
        <f t="shared" si="91"/>
        <v>0</v>
      </c>
      <c r="G148" s="150"/>
      <c r="H148" s="99">
        <f t="shared" si="87"/>
        <v>3.2500000000000001E-2</v>
      </c>
      <c r="J148" s="97">
        <f t="shared" si="85"/>
        <v>44682</v>
      </c>
      <c r="M148" s="147">
        <f t="shared" si="89"/>
        <v>0</v>
      </c>
      <c r="N148" s="155">
        <v>0</v>
      </c>
      <c r="O148" s="147">
        <f t="shared" si="92"/>
        <v>0</v>
      </c>
      <c r="P148" s="150"/>
      <c r="Q148" s="99">
        <f t="shared" si="90"/>
        <v>3.2500000000000001E-2</v>
      </c>
      <c r="U148" s="17"/>
      <c r="V148" s="182"/>
      <c r="W148" s="17"/>
      <c r="X148" s="182"/>
    </row>
    <row r="149" spans="1:24">
      <c r="A149" s="97">
        <f t="shared" si="86"/>
        <v>44713</v>
      </c>
      <c r="D149" s="147">
        <f t="shared" si="88"/>
        <v>0</v>
      </c>
      <c r="E149" s="155">
        <v>0</v>
      </c>
      <c r="F149" s="147">
        <f t="shared" si="91"/>
        <v>0</v>
      </c>
      <c r="G149" s="150"/>
      <c r="H149" s="99">
        <f t="shared" si="87"/>
        <v>3.2500000000000001E-2</v>
      </c>
      <c r="J149" s="97">
        <f t="shared" si="85"/>
        <v>44713</v>
      </c>
      <c r="M149" s="147">
        <f t="shared" si="89"/>
        <v>0</v>
      </c>
      <c r="N149" s="155">
        <v>0</v>
      </c>
      <c r="O149" s="147">
        <f t="shared" si="92"/>
        <v>0</v>
      </c>
      <c r="P149" s="150"/>
      <c r="Q149" s="99">
        <f t="shared" si="90"/>
        <v>3.2500000000000001E-2</v>
      </c>
    </row>
    <row r="150" spans="1:24" hidden="1">
      <c r="A150" s="97">
        <f t="shared" si="86"/>
        <v>44743</v>
      </c>
      <c r="B150" s="53" t="s">
        <v>126</v>
      </c>
      <c r="C150" s="147">
        <f>IF(C86&gt;0,-C86,0)</f>
        <v>0</v>
      </c>
      <c r="D150" s="147">
        <f>ROUND((F149+(E150)/2)*H150/12,2)</f>
        <v>0</v>
      </c>
      <c r="E150" s="183"/>
      <c r="F150" s="147">
        <f>F149+D150+E150</f>
        <v>0</v>
      </c>
      <c r="G150" s="150"/>
      <c r="H150" s="99">
        <f t="shared" si="87"/>
        <v>0</v>
      </c>
      <c r="J150" s="97">
        <f t="shared" si="85"/>
        <v>44743</v>
      </c>
      <c r="K150" s="53" t="s">
        <v>126</v>
      </c>
      <c r="L150" s="147">
        <f>IF(L86&gt;0,-L86,0)</f>
        <v>0</v>
      </c>
      <c r="M150" s="147">
        <f>ROUND((O149+(N150)/2)*Q150/12,2)</f>
        <v>0</v>
      </c>
      <c r="N150" s="183"/>
      <c r="O150" s="147">
        <f>O149+M150+N150</f>
        <v>0</v>
      </c>
      <c r="P150" s="150"/>
      <c r="Q150" s="99">
        <f t="shared" si="90"/>
        <v>0</v>
      </c>
    </row>
    <row r="151" spans="1:24" hidden="1">
      <c r="A151" s="97">
        <f t="shared" si="86"/>
        <v>44774</v>
      </c>
      <c r="B151" s="53" t="s">
        <v>126</v>
      </c>
      <c r="C151" s="147">
        <f>IF(F143&gt;=0,IF(F85+F118&lt;0,-C119,-C150),IF(F85+F150&gt;0,-F150,-C119))</f>
        <v>0</v>
      </c>
      <c r="D151" s="147">
        <f>ROUND((F150+C150+C151+(E151)/2)*H151/12,2)</f>
        <v>0</v>
      </c>
      <c r="E151" s="183"/>
      <c r="F151" s="147">
        <f>F150+C150+C151+D151+E151</f>
        <v>0</v>
      </c>
      <c r="G151" s="150"/>
      <c r="H151" s="99">
        <f t="shared" si="87"/>
        <v>0</v>
      </c>
      <c r="J151" s="97">
        <f t="shared" si="85"/>
        <v>44774</v>
      </c>
      <c r="K151" s="53" t="s">
        <v>126</v>
      </c>
      <c r="L151" s="147">
        <f>IF(O143&gt;=0,IF(O85+O118&lt;0,-L119,-L150),IF(O85+O150&gt;0,-O150,-L119))</f>
        <v>0</v>
      </c>
      <c r="M151" s="147">
        <f>ROUND((O150+L150+L151+(N151)/2)*Q151/12,2)</f>
        <v>0</v>
      </c>
      <c r="N151" s="183"/>
      <c r="O151" s="147">
        <f>O150+L150+L151+M151+N151</f>
        <v>0</v>
      </c>
      <c r="P151" s="150"/>
      <c r="Q151" s="99">
        <f t="shared" si="90"/>
        <v>0</v>
      </c>
    </row>
    <row r="152" spans="1:24" hidden="1">
      <c r="A152" s="97">
        <f t="shared" si="86"/>
        <v>44805</v>
      </c>
      <c r="D152" s="147">
        <f t="shared" si="88"/>
        <v>0</v>
      </c>
      <c r="E152" s="183"/>
      <c r="F152" s="147">
        <f t="shared" si="91"/>
        <v>0</v>
      </c>
      <c r="G152" s="150"/>
      <c r="H152" s="99">
        <f t="shared" si="87"/>
        <v>0</v>
      </c>
      <c r="J152" s="97">
        <f t="shared" si="85"/>
        <v>44805</v>
      </c>
      <c r="M152" s="147">
        <f t="shared" si="89"/>
        <v>0</v>
      </c>
      <c r="N152" s="183"/>
      <c r="O152" s="147">
        <f t="shared" si="92"/>
        <v>0</v>
      </c>
      <c r="P152" s="150"/>
      <c r="Q152" s="99">
        <f t="shared" si="90"/>
        <v>0</v>
      </c>
    </row>
    <row r="153" spans="1:24" hidden="1">
      <c r="A153" s="97">
        <f t="shared" si="86"/>
        <v>44835</v>
      </c>
      <c r="D153" s="147">
        <f t="shared" si="88"/>
        <v>0</v>
      </c>
      <c r="E153" s="183"/>
      <c r="F153" s="147">
        <f t="shared" si="91"/>
        <v>0</v>
      </c>
      <c r="G153" s="150"/>
      <c r="H153" s="99">
        <f t="shared" si="87"/>
        <v>0</v>
      </c>
      <c r="J153" s="97">
        <f t="shared" si="85"/>
        <v>44835</v>
      </c>
      <c r="M153" s="147">
        <f t="shared" si="89"/>
        <v>0</v>
      </c>
      <c r="N153" s="183"/>
      <c r="O153" s="147">
        <f t="shared" si="92"/>
        <v>0</v>
      </c>
      <c r="P153" s="150"/>
      <c r="Q153" s="99">
        <f t="shared" si="90"/>
        <v>0</v>
      </c>
    </row>
    <row r="154" spans="1:24" hidden="1">
      <c r="A154" s="97">
        <f t="shared" si="86"/>
        <v>44866</v>
      </c>
      <c r="D154" s="147">
        <f t="shared" si="88"/>
        <v>0</v>
      </c>
      <c r="E154" s="183"/>
      <c r="F154" s="147">
        <f t="shared" si="91"/>
        <v>0</v>
      </c>
      <c r="G154" s="150"/>
      <c r="H154" s="99">
        <f t="shared" si="87"/>
        <v>0</v>
      </c>
      <c r="J154" s="97">
        <f t="shared" si="85"/>
        <v>44866</v>
      </c>
      <c r="M154" s="147">
        <f t="shared" si="89"/>
        <v>0</v>
      </c>
      <c r="N154" s="183"/>
      <c r="O154" s="147">
        <f t="shared" si="92"/>
        <v>0</v>
      </c>
      <c r="P154" s="150"/>
      <c r="Q154" s="99">
        <f t="shared" si="90"/>
        <v>0</v>
      </c>
    </row>
    <row r="155" spans="1:24" hidden="1">
      <c r="A155" s="97">
        <f t="shared" si="86"/>
        <v>44896</v>
      </c>
      <c r="D155" s="147">
        <f t="shared" si="88"/>
        <v>0</v>
      </c>
      <c r="E155" s="183"/>
      <c r="F155" s="147">
        <f t="shared" si="91"/>
        <v>0</v>
      </c>
      <c r="H155" s="99">
        <f t="shared" si="87"/>
        <v>0</v>
      </c>
      <c r="J155" s="97">
        <f t="shared" si="85"/>
        <v>44896</v>
      </c>
      <c r="M155" s="147">
        <f t="shared" si="89"/>
        <v>0</v>
      </c>
      <c r="N155" s="183"/>
      <c r="O155" s="147">
        <f t="shared" si="92"/>
        <v>0</v>
      </c>
      <c r="Q155" s="99">
        <f t="shared" si="90"/>
        <v>0</v>
      </c>
    </row>
    <row r="156" spans="1:24">
      <c r="A156" s="97"/>
    </row>
    <row r="157" spans="1:24">
      <c r="A157" s="178">
        <v>253311</v>
      </c>
      <c r="B157" s="178" t="s">
        <v>52</v>
      </c>
      <c r="C157" s="148" t="s">
        <v>92</v>
      </c>
      <c r="D157" s="148" t="s">
        <v>93</v>
      </c>
      <c r="E157" s="148"/>
      <c r="F157" s="147" t="s">
        <v>95</v>
      </c>
      <c r="H157" s="179" t="s">
        <v>93</v>
      </c>
      <c r="J157" s="178">
        <f>A157</f>
        <v>253311</v>
      </c>
      <c r="K157" s="178" t="s">
        <v>53</v>
      </c>
      <c r="L157" s="148" t="s">
        <v>92</v>
      </c>
      <c r="M157" s="148" t="s">
        <v>93</v>
      </c>
      <c r="N157" s="148"/>
      <c r="O157" s="147" t="s">
        <v>95</v>
      </c>
      <c r="Q157" s="179" t="s">
        <v>93</v>
      </c>
    </row>
    <row r="158" spans="1:24">
      <c r="A158" s="113" t="s">
        <v>150</v>
      </c>
      <c r="B158" s="113" t="s">
        <v>142</v>
      </c>
      <c r="C158" s="148" t="s">
        <v>96</v>
      </c>
      <c r="D158" s="148" t="s">
        <v>97</v>
      </c>
      <c r="E158" s="148" t="s">
        <v>98</v>
      </c>
      <c r="F158" s="147" t="s">
        <v>94</v>
      </c>
      <c r="H158" s="179" t="s">
        <v>99</v>
      </c>
      <c r="J158" s="113" t="str">
        <f>A158</f>
        <v>3% Contra Deferral</v>
      </c>
      <c r="K158" s="113" t="s">
        <v>142</v>
      </c>
      <c r="L158" s="148" t="s">
        <v>96</v>
      </c>
      <c r="M158" s="148" t="s">
        <v>97</v>
      </c>
      <c r="N158" s="148" t="s">
        <v>98</v>
      </c>
      <c r="O158" s="147" t="s">
        <v>94</v>
      </c>
      <c r="Q158" s="179" t="s">
        <v>99</v>
      </c>
    </row>
    <row r="159" spans="1:24">
      <c r="A159" s="97">
        <f>$A$25</f>
        <v>44531</v>
      </c>
      <c r="B159" s="98"/>
      <c r="F159" s="188">
        <v>0</v>
      </c>
      <c r="G159" s="150"/>
      <c r="J159" s="97">
        <f t="shared" ref="J159:J171" si="93">A159</f>
        <v>44531</v>
      </c>
      <c r="K159" s="98"/>
      <c r="O159" s="188">
        <v>0</v>
      </c>
      <c r="P159" s="150"/>
    </row>
    <row r="160" spans="1:24">
      <c r="A160" s="97">
        <f t="shared" ref="A160:A171" si="94">A26</f>
        <v>44562</v>
      </c>
      <c r="C160" s="155"/>
      <c r="D160" s="147">
        <f>ROUND((F159+(C160+E160)/2)*H160/12,2)</f>
        <v>0</v>
      </c>
      <c r="E160" s="155">
        <v>0</v>
      </c>
      <c r="F160" s="147">
        <f>F159+C160+D160+E160</f>
        <v>0</v>
      </c>
      <c r="G160" s="150"/>
      <c r="H160" s="99">
        <v>0</v>
      </c>
      <c r="J160" s="97">
        <f t="shared" si="93"/>
        <v>44562</v>
      </c>
      <c r="L160" s="155"/>
      <c r="M160" s="147">
        <f>ROUND((O159+(L160+N160)/2)*Q160/12,2)</f>
        <v>0</v>
      </c>
      <c r="N160" s="155">
        <v>0</v>
      </c>
      <c r="O160" s="147">
        <f>O159+L160+M160+N160</f>
        <v>0</v>
      </c>
      <c r="P160" s="150"/>
      <c r="Q160" s="99">
        <f>H160</f>
        <v>0</v>
      </c>
    </row>
    <row r="161" spans="1:24">
      <c r="A161" s="97">
        <f t="shared" si="94"/>
        <v>44593</v>
      </c>
      <c r="C161" s="155"/>
      <c r="D161" s="147">
        <f t="shared" ref="D161:D171" si="95">ROUND((F160+(C161+E161)/2)*H161/12,2)</f>
        <v>0</v>
      </c>
      <c r="E161" s="155">
        <v>0</v>
      </c>
      <c r="F161" s="147">
        <f>F160+C161+D161+E161</f>
        <v>0</v>
      </c>
      <c r="G161" s="150"/>
      <c r="H161" s="99">
        <f>H160</f>
        <v>0</v>
      </c>
      <c r="J161" s="97">
        <f t="shared" si="93"/>
        <v>44593</v>
      </c>
      <c r="L161" s="155"/>
      <c r="M161" s="147">
        <f t="shared" ref="M161:M171" si="96">ROUND((O160+(L161+N161)/2)*Q161/12,2)</f>
        <v>0</v>
      </c>
      <c r="N161" s="155">
        <v>0</v>
      </c>
      <c r="O161" s="147">
        <f>O160+L161+M161+N161</f>
        <v>0</v>
      </c>
      <c r="P161" s="150"/>
      <c r="Q161" s="99">
        <f t="shared" ref="Q161:Q171" si="97">H161</f>
        <v>0</v>
      </c>
    </row>
    <row r="162" spans="1:24">
      <c r="A162" s="97">
        <f t="shared" si="94"/>
        <v>44621</v>
      </c>
      <c r="C162" s="155"/>
      <c r="D162" s="147">
        <f t="shared" si="95"/>
        <v>0</v>
      </c>
      <c r="E162" s="155">
        <v>0</v>
      </c>
      <c r="F162" s="147">
        <f>F161+C162+D162+E162</f>
        <v>0</v>
      </c>
      <c r="G162" s="150"/>
      <c r="H162" s="99">
        <f t="shared" ref="H162:H171" si="98">H161</f>
        <v>0</v>
      </c>
      <c r="J162" s="97">
        <f t="shared" si="93"/>
        <v>44621</v>
      </c>
      <c r="L162" s="155"/>
      <c r="M162" s="147">
        <f t="shared" si="96"/>
        <v>0</v>
      </c>
      <c r="N162" s="155">
        <v>0</v>
      </c>
      <c r="O162" s="147">
        <f>O161+L162+M162+N162</f>
        <v>0</v>
      </c>
      <c r="P162" s="150"/>
      <c r="Q162" s="99">
        <f t="shared" si="97"/>
        <v>0</v>
      </c>
      <c r="U162" s="17"/>
      <c r="V162" s="182"/>
      <c r="W162" s="17"/>
      <c r="X162" s="182"/>
    </row>
    <row r="163" spans="1:24">
      <c r="A163" s="97">
        <f t="shared" si="94"/>
        <v>44652</v>
      </c>
      <c r="C163" s="155"/>
      <c r="D163" s="147">
        <f t="shared" si="95"/>
        <v>0</v>
      </c>
      <c r="E163" s="155">
        <v>0</v>
      </c>
      <c r="F163" s="147">
        <f t="shared" ref="F163:F171" si="99">F162+C163+D163+E163</f>
        <v>0</v>
      </c>
      <c r="G163" s="150"/>
      <c r="H163" s="99">
        <f t="shared" si="98"/>
        <v>0</v>
      </c>
      <c r="J163" s="97">
        <f t="shared" si="93"/>
        <v>44652</v>
      </c>
      <c r="L163" s="155"/>
      <c r="M163" s="147">
        <f t="shared" si="96"/>
        <v>0</v>
      </c>
      <c r="N163" s="155">
        <v>0</v>
      </c>
      <c r="O163" s="147">
        <f t="shared" ref="O163:O171" si="100">O162+L163+M163+N163</f>
        <v>0</v>
      </c>
      <c r="P163" s="150"/>
      <c r="Q163" s="99">
        <f t="shared" si="97"/>
        <v>0</v>
      </c>
      <c r="U163" s="17"/>
      <c r="V163" s="182"/>
      <c r="W163" s="17"/>
      <c r="X163" s="182"/>
    </row>
    <row r="164" spans="1:24">
      <c r="A164" s="97">
        <f t="shared" si="94"/>
        <v>44682</v>
      </c>
      <c r="C164" s="155"/>
      <c r="D164" s="147">
        <f t="shared" si="95"/>
        <v>0</v>
      </c>
      <c r="E164" s="155">
        <v>0</v>
      </c>
      <c r="F164" s="147">
        <f t="shared" si="99"/>
        <v>0</v>
      </c>
      <c r="G164" s="150"/>
      <c r="H164" s="99">
        <f t="shared" si="98"/>
        <v>0</v>
      </c>
      <c r="J164" s="97">
        <f t="shared" si="93"/>
        <v>44682</v>
      </c>
      <c r="L164" s="155"/>
      <c r="M164" s="147">
        <f t="shared" si="96"/>
        <v>0</v>
      </c>
      <c r="N164" s="155">
        <v>0</v>
      </c>
      <c r="O164" s="147">
        <f t="shared" si="100"/>
        <v>0</v>
      </c>
      <c r="P164" s="150"/>
      <c r="Q164" s="99">
        <f t="shared" si="97"/>
        <v>0</v>
      </c>
      <c r="U164" s="17"/>
      <c r="V164" s="182"/>
      <c r="W164" s="17"/>
      <c r="X164" s="182"/>
    </row>
    <row r="165" spans="1:24">
      <c r="A165" s="97">
        <f t="shared" si="94"/>
        <v>44713</v>
      </c>
      <c r="C165" s="155"/>
      <c r="D165" s="147">
        <f t="shared" si="95"/>
        <v>0</v>
      </c>
      <c r="E165" s="155">
        <v>0</v>
      </c>
      <c r="F165" s="147">
        <f t="shared" si="99"/>
        <v>0</v>
      </c>
      <c r="G165" s="150"/>
      <c r="H165" s="99">
        <f t="shared" si="98"/>
        <v>0</v>
      </c>
      <c r="J165" s="97">
        <f t="shared" si="93"/>
        <v>44713</v>
      </c>
      <c r="L165" s="155"/>
      <c r="M165" s="147">
        <f t="shared" si="96"/>
        <v>0</v>
      </c>
      <c r="N165" s="155">
        <v>0</v>
      </c>
      <c r="O165" s="147">
        <f t="shared" si="100"/>
        <v>0</v>
      </c>
      <c r="P165" s="150"/>
      <c r="Q165" s="99">
        <f t="shared" si="97"/>
        <v>0</v>
      </c>
    </row>
    <row r="166" spans="1:24" hidden="1">
      <c r="A166" s="97">
        <f t="shared" si="94"/>
        <v>44743</v>
      </c>
      <c r="C166" s="155"/>
      <c r="D166" s="147">
        <f t="shared" si="95"/>
        <v>0</v>
      </c>
      <c r="E166" s="149"/>
      <c r="F166" s="147">
        <f t="shared" si="99"/>
        <v>0</v>
      </c>
      <c r="G166" s="150"/>
      <c r="H166" s="99">
        <f t="shared" si="98"/>
        <v>0</v>
      </c>
      <c r="J166" s="97">
        <f t="shared" si="93"/>
        <v>44743</v>
      </c>
      <c r="L166" s="155"/>
      <c r="M166" s="147">
        <f t="shared" si="96"/>
        <v>0</v>
      </c>
      <c r="N166" s="149"/>
      <c r="O166" s="147">
        <f t="shared" si="100"/>
        <v>0</v>
      </c>
      <c r="P166" s="150"/>
      <c r="Q166" s="99">
        <f t="shared" si="97"/>
        <v>0</v>
      </c>
    </row>
    <row r="167" spans="1:24" hidden="1">
      <c r="A167" s="97">
        <f t="shared" si="94"/>
        <v>44774</v>
      </c>
      <c r="C167" s="155"/>
      <c r="D167" s="147">
        <f t="shared" si="95"/>
        <v>0</v>
      </c>
      <c r="E167" s="149"/>
      <c r="F167" s="147">
        <f t="shared" si="99"/>
        <v>0</v>
      </c>
      <c r="G167" s="150"/>
      <c r="H167" s="99">
        <f t="shared" si="98"/>
        <v>0</v>
      </c>
      <c r="J167" s="97">
        <f t="shared" si="93"/>
        <v>44774</v>
      </c>
      <c r="L167" s="155"/>
      <c r="M167" s="147">
        <f t="shared" si="96"/>
        <v>0</v>
      </c>
      <c r="N167" s="149"/>
      <c r="O167" s="147">
        <f t="shared" si="100"/>
        <v>0</v>
      </c>
      <c r="P167" s="150"/>
      <c r="Q167" s="99">
        <f t="shared" si="97"/>
        <v>0</v>
      </c>
    </row>
    <row r="168" spans="1:24" hidden="1">
      <c r="A168" s="97">
        <f t="shared" si="94"/>
        <v>44805</v>
      </c>
      <c r="C168" s="155"/>
      <c r="D168" s="147">
        <f t="shared" si="95"/>
        <v>0</v>
      </c>
      <c r="E168" s="149"/>
      <c r="F168" s="147">
        <f t="shared" si="99"/>
        <v>0</v>
      </c>
      <c r="G168" s="150"/>
      <c r="H168" s="99">
        <f t="shared" si="98"/>
        <v>0</v>
      </c>
      <c r="J168" s="97">
        <f t="shared" si="93"/>
        <v>44805</v>
      </c>
      <c r="L168" s="155"/>
      <c r="M168" s="147">
        <f t="shared" si="96"/>
        <v>0</v>
      </c>
      <c r="N168" s="149"/>
      <c r="O168" s="147">
        <f t="shared" si="100"/>
        <v>0</v>
      </c>
      <c r="P168" s="150"/>
      <c r="Q168" s="99">
        <f t="shared" si="97"/>
        <v>0</v>
      </c>
    </row>
    <row r="169" spans="1:24" hidden="1">
      <c r="A169" s="97">
        <f t="shared" si="94"/>
        <v>44835</v>
      </c>
      <c r="C169" s="155"/>
      <c r="D169" s="147">
        <f t="shared" si="95"/>
        <v>0</v>
      </c>
      <c r="E169" s="149"/>
      <c r="F169" s="147">
        <f t="shared" si="99"/>
        <v>0</v>
      </c>
      <c r="G169" s="150"/>
      <c r="H169" s="99">
        <f t="shared" si="98"/>
        <v>0</v>
      </c>
      <c r="J169" s="97">
        <f t="shared" si="93"/>
        <v>44835</v>
      </c>
      <c r="L169" s="155"/>
      <c r="M169" s="147">
        <f t="shared" si="96"/>
        <v>0</v>
      </c>
      <c r="N169" s="149"/>
      <c r="O169" s="147">
        <f t="shared" si="100"/>
        <v>0</v>
      </c>
      <c r="P169" s="150"/>
      <c r="Q169" s="99">
        <f t="shared" si="97"/>
        <v>0</v>
      </c>
    </row>
    <row r="170" spans="1:24" hidden="1">
      <c r="A170" s="97">
        <f t="shared" si="94"/>
        <v>44866</v>
      </c>
      <c r="C170" s="155"/>
      <c r="D170" s="147">
        <f t="shared" si="95"/>
        <v>0</v>
      </c>
      <c r="E170" s="149"/>
      <c r="F170" s="147">
        <f t="shared" si="99"/>
        <v>0</v>
      </c>
      <c r="G170" s="150"/>
      <c r="H170" s="99">
        <f t="shared" si="98"/>
        <v>0</v>
      </c>
      <c r="J170" s="97">
        <f t="shared" si="93"/>
        <v>44866</v>
      </c>
      <c r="L170" s="155"/>
      <c r="M170" s="147">
        <f t="shared" si="96"/>
        <v>0</v>
      </c>
      <c r="N170" s="149"/>
      <c r="O170" s="147">
        <f t="shared" si="100"/>
        <v>0</v>
      </c>
      <c r="P170" s="150"/>
      <c r="Q170" s="99">
        <f t="shared" si="97"/>
        <v>0</v>
      </c>
    </row>
    <row r="171" spans="1:24" hidden="1">
      <c r="A171" s="97">
        <f t="shared" si="94"/>
        <v>44896</v>
      </c>
      <c r="C171" s="155"/>
      <c r="D171" s="147">
        <f t="shared" si="95"/>
        <v>0</v>
      </c>
      <c r="E171" s="149"/>
      <c r="F171" s="147">
        <f t="shared" si="99"/>
        <v>0</v>
      </c>
      <c r="H171" s="99">
        <f t="shared" si="98"/>
        <v>0</v>
      </c>
      <c r="J171" s="97">
        <f t="shared" si="93"/>
        <v>44896</v>
      </c>
      <c r="L171" s="155"/>
      <c r="M171" s="147">
        <f t="shared" si="96"/>
        <v>0</v>
      </c>
      <c r="N171" s="149"/>
      <c r="O171" s="147">
        <f t="shared" si="100"/>
        <v>0</v>
      </c>
      <c r="Q171" s="99">
        <f t="shared" si="97"/>
        <v>0</v>
      </c>
    </row>
    <row r="173" spans="1:24">
      <c r="A173" s="178">
        <v>253312</v>
      </c>
      <c r="B173" s="178" t="s">
        <v>52</v>
      </c>
      <c r="C173" s="148" t="s">
        <v>92</v>
      </c>
      <c r="D173" s="148" t="s">
        <v>93</v>
      </c>
      <c r="E173" s="148"/>
      <c r="F173" s="147" t="s">
        <v>95</v>
      </c>
      <c r="H173" s="179" t="s">
        <v>93</v>
      </c>
      <c r="J173" s="178">
        <f>A173</f>
        <v>253312</v>
      </c>
      <c r="K173" s="178" t="s">
        <v>53</v>
      </c>
      <c r="L173" s="148" t="s">
        <v>92</v>
      </c>
      <c r="M173" s="148" t="s">
        <v>93</v>
      </c>
      <c r="N173" s="148"/>
      <c r="O173" s="147" t="s">
        <v>95</v>
      </c>
      <c r="Q173" s="179" t="s">
        <v>93</v>
      </c>
    </row>
    <row r="174" spans="1:24">
      <c r="A174" s="113" t="s">
        <v>151</v>
      </c>
      <c r="B174" s="113" t="s">
        <v>142</v>
      </c>
      <c r="C174" s="148" t="s">
        <v>96</v>
      </c>
      <c r="D174" s="148" t="s">
        <v>97</v>
      </c>
      <c r="E174" s="148" t="s">
        <v>98</v>
      </c>
      <c r="F174" s="147" t="s">
        <v>94</v>
      </c>
      <c r="H174" s="179" t="s">
        <v>99</v>
      </c>
      <c r="J174" s="113" t="str">
        <f>A174</f>
        <v>Prior 3% Contra Deferral</v>
      </c>
      <c r="K174" s="113" t="s">
        <v>142</v>
      </c>
      <c r="L174" s="148" t="s">
        <v>96</v>
      </c>
      <c r="M174" s="148" t="s">
        <v>97</v>
      </c>
      <c r="N174" s="148" t="s">
        <v>98</v>
      </c>
      <c r="O174" s="147" t="s">
        <v>94</v>
      </c>
      <c r="Q174" s="179" t="s">
        <v>99</v>
      </c>
    </row>
    <row r="175" spans="1:24">
      <c r="A175" s="97">
        <f>$A$25</f>
        <v>44531</v>
      </c>
      <c r="B175" s="98"/>
      <c r="F175" s="189">
        <v>0</v>
      </c>
      <c r="G175" s="150"/>
      <c r="J175" s="97">
        <f t="shared" ref="J175:J187" si="101">A175</f>
        <v>44531</v>
      </c>
      <c r="K175" s="98"/>
      <c r="O175" s="189">
        <v>-1022805.86</v>
      </c>
      <c r="P175" s="150"/>
    </row>
    <row r="176" spans="1:24">
      <c r="A176" s="97">
        <f t="shared" ref="A176:A187" si="102">A26</f>
        <v>44562</v>
      </c>
      <c r="D176" s="147">
        <f>ROUND((F175+(C176+E176)/2)*H176/12,2)</f>
        <v>0</v>
      </c>
      <c r="E176" s="155">
        <v>0</v>
      </c>
      <c r="F176" s="147">
        <f>F175+C176+D176+E176</f>
        <v>0</v>
      </c>
      <c r="G176" s="150"/>
      <c r="H176" s="99">
        <v>0</v>
      </c>
      <c r="J176" s="97">
        <f t="shared" si="101"/>
        <v>44562</v>
      </c>
      <c r="M176" s="147">
        <f>ROUND((O175+(L176+N176)/2)*Q176/12,2)</f>
        <v>0</v>
      </c>
      <c r="N176" s="155">
        <v>382549.04000000004</v>
      </c>
      <c r="O176" s="147">
        <f>O175+L176+M176+N176</f>
        <v>-640256.81999999995</v>
      </c>
      <c r="P176" s="150"/>
      <c r="Q176" s="99">
        <f>H176</f>
        <v>0</v>
      </c>
    </row>
    <row r="177" spans="1:24">
      <c r="A177" s="97">
        <f t="shared" si="102"/>
        <v>44593</v>
      </c>
      <c r="D177" s="147">
        <f t="shared" ref="D177:D187" si="103">ROUND((F176+(C177+E177)/2)*H177/12,2)</f>
        <v>0</v>
      </c>
      <c r="E177" s="155">
        <v>0</v>
      </c>
      <c r="F177" s="147">
        <f>F176+C177+D177+E177</f>
        <v>0</v>
      </c>
      <c r="G177" s="150"/>
      <c r="H177" s="99">
        <f>H176</f>
        <v>0</v>
      </c>
      <c r="J177" s="97">
        <f t="shared" si="101"/>
        <v>44593</v>
      </c>
      <c r="M177" s="147">
        <f t="shared" ref="M177:M187" si="104">ROUND((O176+(L177+N177)/2)*Q177/12,2)</f>
        <v>0</v>
      </c>
      <c r="N177" s="155">
        <v>323514.81999999995</v>
      </c>
      <c r="O177" s="147">
        <f>O176+L177+M177+N177</f>
        <v>-316742</v>
      </c>
      <c r="P177" s="150"/>
      <c r="Q177" s="99">
        <f t="shared" ref="Q177:Q187" si="105">H177</f>
        <v>0</v>
      </c>
    </row>
    <row r="178" spans="1:24">
      <c r="A178" s="97">
        <f t="shared" si="102"/>
        <v>44621</v>
      </c>
      <c r="D178" s="147">
        <f t="shared" si="103"/>
        <v>0</v>
      </c>
      <c r="E178" s="155">
        <v>0</v>
      </c>
      <c r="F178" s="147">
        <f>F177+C178+D178+E178</f>
        <v>0</v>
      </c>
      <c r="G178" s="150"/>
      <c r="H178" s="99">
        <f t="shared" ref="H178:H187" si="106">H177</f>
        <v>0</v>
      </c>
      <c r="J178" s="97">
        <f t="shared" si="101"/>
        <v>44621</v>
      </c>
      <c r="M178" s="147">
        <f t="shared" si="104"/>
        <v>0</v>
      </c>
      <c r="N178" s="155">
        <v>265063.41000000003</v>
      </c>
      <c r="O178" s="147">
        <f>O177+L178+M178+N178</f>
        <v>-51678.589999999967</v>
      </c>
      <c r="P178" s="150"/>
      <c r="Q178" s="99">
        <f t="shared" si="105"/>
        <v>0</v>
      </c>
      <c r="U178" s="17"/>
      <c r="V178" s="182"/>
      <c r="W178" s="17"/>
      <c r="X178" s="182"/>
    </row>
    <row r="179" spans="1:24">
      <c r="A179" s="97">
        <f t="shared" si="102"/>
        <v>44652</v>
      </c>
      <c r="D179" s="147">
        <f t="shared" si="103"/>
        <v>0</v>
      </c>
      <c r="E179" s="155">
        <v>0</v>
      </c>
      <c r="F179" s="147">
        <f t="shared" ref="F179:F187" si="107">F178+C179+D179+E179</f>
        <v>0</v>
      </c>
      <c r="G179" s="150"/>
      <c r="H179" s="99">
        <f t="shared" si="106"/>
        <v>0</v>
      </c>
      <c r="J179" s="97">
        <f t="shared" si="101"/>
        <v>44652</v>
      </c>
      <c r="M179" s="147">
        <f t="shared" si="104"/>
        <v>0</v>
      </c>
      <c r="N179" s="155">
        <v>51678.59</v>
      </c>
      <c r="O179" s="147">
        <f t="shared" ref="O179:O187" si="108">O178+L179+M179+N179</f>
        <v>0</v>
      </c>
      <c r="P179" s="150"/>
      <c r="Q179" s="99">
        <f t="shared" si="105"/>
        <v>0</v>
      </c>
      <c r="U179" s="17"/>
      <c r="V179" s="182"/>
      <c r="W179" s="17"/>
      <c r="X179" s="182"/>
    </row>
    <row r="180" spans="1:24">
      <c r="A180" s="97">
        <f t="shared" si="102"/>
        <v>44682</v>
      </c>
      <c r="D180" s="147">
        <f t="shared" si="103"/>
        <v>0</v>
      </c>
      <c r="E180" s="155">
        <v>0</v>
      </c>
      <c r="F180" s="147">
        <f t="shared" si="107"/>
        <v>0</v>
      </c>
      <c r="G180" s="150"/>
      <c r="H180" s="99">
        <f t="shared" si="106"/>
        <v>0</v>
      </c>
      <c r="J180" s="97">
        <f t="shared" si="101"/>
        <v>44682</v>
      </c>
      <c r="M180" s="147">
        <f t="shared" si="104"/>
        <v>0</v>
      </c>
      <c r="N180" s="155">
        <v>0</v>
      </c>
      <c r="O180" s="147">
        <f t="shared" si="108"/>
        <v>0</v>
      </c>
      <c r="P180" s="150"/>
      <c r="Q180" s="99">
        <f t="shared" si="105"/>
        <v>0</v>
      </c>
      <c r="U180" s="17"/>
      <c r="V180" s="182"/>
      <c r="W180" s="17"/>
      <c r="X180" s="182"/>
    </row>
    <row r="181" spans="1:24">
      <c r="A181" s="97">
        <f t="shared" si="102"/>
        <v>44713</v>
      </c>
      <c r="D181" s="147">
        <f t="shared" si="103"/>
        <v>0</v>
      </c>
      <c r="E181" s="155">
        <v>0</v>
      </c>
      <c r="F181" s="147">
        <f t="shared" si="107"/>
        <v>0</v>
      </c>
      <c r="G181" s="150"/>
      <c r="H181" s="99">
        <f t="shared" si="106"/>
        <v>0</v>
      </c>
      <c r="J181" s="97">
        <f t="shared" si="101"/>
        <v>44713</v>
      </c>
      <c r="M181" s="147">
        <f t="shared" si="104"/>
        <v>0</v>
      </c>
      <c r="N181" s="155">
        <v>0</v>
      </c>
      <c r="O181" s="147">
        <f t="shared" si="108"/>
        <v>0</v>
      </c>
      <c r="P181" s="150"/>
      <c r="Q181" s="99">
        <f t="shared" si="105"/>
        <v>0</v>
      </c>
    </row>
    <row r="182" spans="1:24" hidden="1">
      <c r="A182" s="97">
        <f t="shared" si="102"/>
        <v>44743</v>
      </c>
      <c r="D182" s="147">
        <f t="shared" si="103"/>
        <v>0</v>
      </c>
      <c r="E182" s="155"/>
      <c r="F182" s="147">
        <f t="shared" si="107"/>
        <v>0</v>
      </c>
      <c r="G182" s="150"/>
      <c r="H182" s="99">
        <f t="shared" si="106"/>
        <v>0</v>
      </c>
      <c r="J182" s="97">
        <f t="shared" si="101"/>
        <v>44743</v>
      </c>
      <c r="M182" s="147">
        <f t="shared" si="104"/>
        <v>0</v>
      </c>
      <c r="N182" s="155"/>
      <c r="O182" s="147">
        <f t="shared" si="108"/>
        <v>0</v>
      </c>
      <c r="P182" s="150"/>
      <c r="Q182" s="99">
        <f t="shared" si="105"/>
        <v>0</v>
      </c>
    </row>
    <row r="183" spans="1:24" hidden="1">
      <c r="A183" s="97">
        <f t="shared" si="102"/>
        <v>44774</v>
      </c>
      <c r="D183" s="147">
        <f t="shared" si="103"/>
        <v>0</v>
      </c>
      <c r="E183" s="155"/>
      <c r="F183" s="147">
        <f t="shared" si="107"/>
        <v>0</v>
      </c>
      <c r="G183" s="150"/>
      <c r="H183" s="99">
        <f t="shared" si="106"/>
        <v>0</v>
      </c>
      <c r="J183" s="97">
        <f t="shared" si="101"/>
        <v>44774</v>
      </c>
      <c r="M183" s="147">
        <f t="shared" si="104"/>
        <v>0</v>
      </c>
      <c r="N183" s="155"/>
      <c r="O183" s="147">
        <f t="shared" si="108"/>
        <v>0</v>
      </c>
      <c r="P183" s="150"/>
      <c r="Q183" s="99">
        <f t="shared" si="105"/>
        <v>0</v>
      </c>
    </row>
    <row r="184" spans="1:24" hidden="1">
      <c r="A184" s="97">
        <f t="shared" si="102"/>
        <v>44805</v>
      </c>
      <c r="D184" s="147">
        <f t="shared" si="103"/>
        <v>0</v>
      </c>
      <c r="E184" s="155"/>
      <c r="F184" s="147">
        <f t="shared" si="107"/>
        <v>0</v>
      </c>
      <c r="G184" s="150"/>
      <c r="H184" s="99">
        <f t="shared" si="106"/>
        <v>0</v>
      </c>
      <c r="J184" s="97">
        <f t="shared" si="101"/>
        <v>44805</v>
      </c>
      <c r="M184" s="147">
        <f t="shared" si="104"/>
        <v>0</v>
      </c>
      <c r="N184" s="155"/>
      <c r="O184" s="147">
        <f t="shared" si="108"/>
        <v>0</v>
      </c>
      <c r="P184" s="150"/>
      <c r="Q184" s="99">
        <f t="shared" si="105"/>
        <v>0</v>
      </c>
    </row>
    <row r="185" spans="1:24" hidden="1">
      <c r="A185" s="97">
        <f t="shared" si="102"/>
        <v>44835</v>
      </c>
      <c r="D185" s="147">
        <f t="shared" si="103"/>
        <v>0</v>
      </c>
      <c r="E185" s="155"/>
      <c r="F185" s="147">
        <f t="shared" si="107"/>
        <v>0</v>
      </c>
      <c r="G185" s="150"/>
      <c r="H185" s="99">
        <f t="shared" si="106"/>
        <v>0</v>
      </c>
      <c r="J185" s="97">
        <f t="shared" si="101"/>
        <v>44835</v>
      </c>
      <c r="M185" s="147">
        <f t="shared" si="104"/>
        <v>0</v>
      </c>
      <c r="N185" s="155"/>
      <c r="O185" s="147">
        <f t="shared" si="108"/>
        <v>0</v>
      </c>
      <c r="P185" s="150"/>
      <c r="Q185" s="99">
        <f t="shared" si="105"/>
        <v>0</v>
      </c>
    </row>
    <row r="186" spans="1:24" hidden="1">
      <c r="A186" s="97">
        <f t="shared" si="102"/>
        <v>44866</v>
      </c>
      <c r="D186" s="147">
        <f t="shared" si="103"/>
        <v>0</v>
      </c>
      <c r="E186" s="155"/>
      <c r="F186" s="147">
        <f t="shared" si="107"/>
        <v>0</v>
      </c>
      <c r="G186" s="150"/>
      <c r="H186" s="99">
        <f t="shared" si="106"/>
        <v>0</v>
      </c>
      <c r="J186" s="97">
        <f t="shared" si="101"/>
        <v>44866</v>
      </c>
      <c r="M186" s="147">
        <f t="shared" si="104"/>
        <v>0</v>
      </c>
      <c r="N186" s="155"/>
      <c r="O186" s="147">
        <f t="shared" si="108"/>
        <v>0</v>
      </c>
      <c r="P186" s="150"/>
      <c r="Q186" s="99">
        <f t="shared" si="105"/>
        <v>0</v>
      </c>
    </row>
    <row r="187" spans="1:24" hidden="1">
      <c r="A187" s="97">
        <f t="shared" si="102"/>
        <v>44896</v>
      </c>
      <c r="D187" s="147">
        <f t="shared" si="103"/>
        <v>0</v>
      </c>
      <c r="E187" s="155"/>
      <c r="F187" s="147">
        <f t="shared" si="107"/>
        <v>0</v>
      </c>
      <c r="H187" s="99">
        <f t="shared" si="106"/>
        <v>0</v>
      </c>
      <c r="J187" s="97">
        <f t="shared" si="101"/>
        <v>44896</v>
      </c>
      <c r="M187" s="147">
        <f t="shared" si="104"/>
        <v>0</v>
      </c>
      <c r="N187" s="155"/>
      <c r="O187" s="147">
        <f t="shared" si="108"/>
        <v>0</v>
      </c>
      <c r="Q187" s="99">
        <f t="shared" si="105"/>
        <v>0</v>
      </c>
    </row>
  </sheetData>
  <mergeCells count="7">
    <mergeCell ref="C73:H73"/>
    <mergeCell ref="C91:H91"/>
    <mergeCell ref="A1:I1"/>
    <mergeCell ref="J1:R1"/>
    <mergeCell ref="L73:Q73"/>
    <mergeCell ref="L91:Q91"/>
    <mergeCell ref="A56:H56"/>
  </mergeCells>
  <printOptions horizontalCentered="1"/>
  <pageMargins left="0.25" right="0.25" top="0.9375" bottom="0.75" header="0.3" footer="0.3"/>
  <pageSetup scale="73" fitToWidth="2" fitToHeight="2" orientation="portrait" useFirstPageNumber="1" r:id="rId1"/>
  <headerFooter scaleWithDoc="0">
    <oddHeader>&amp;CAvista Corporation Decoupling Mechanism
Washington Jurisdiction
Quarterly Report for 2nd Quarter 2022</oddHeader>
    <oddFooter>&amp;Cfile: &amp;F / &amp;A</oddFooter>
  </headerFooter>
  <rowBreaks count="1" manualBreakCount="1">
    <brk id="92" max="17" man="1"/>
  </rowBreaks>
  <colBreaks count="1" manualBreakCount="1">
    <brk id="9" max="187"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W39"/>
  <sheetViews>
    <sheetView view="pageBreakPreview" zoomScale="115" zoomScaleNormal="100" zoomScaleSheetLayoutView="115" workbookViewId="0"/>
  </sheetViews>
  <sheetFormatPr defaultRowHeight="15"/>
  <cols>
    <col min="1" max="1" width="2.85546875" customWidth="1"/>
    <col min="2" max="2" width="24.85546875" customWidth="1"/>
    <col min="3" max="3" width="13.7109375" customWidth="1"/>
    <col min="4" max="4" width="15.28515625" customWidth="1"/>
    <col min="5" max="5" width="10.140625" customWidth="1"/>
    <col min="6" max="6" width="9.28515625" customWidth="1"/>
    <col min="7" max="7" width="8" customWidth="1"/>
    <col min="8" max="8" width="8.28515625" style="53" customWidth="1"/>
    <col min="9" max="9" width="11.5703125" customWidth="1"/>
    <col min="10" max="10" width="8.5703125" customWidth="1"/>
    <col min="11" max="11" width="11.5703125" hidden="1" customWidth="1"/>
    <col min="12" max="12" width="8.5703125" customWidth="1"/>
    <col min="17" max="17" width="13.28515625" bestFit="1" customWidth="1"/>
    <col min="18" max="18" width="11.5703125" bestFit="1" customWidth="1"/>
    <col min="19" max="20" width="13.28515625" bestFit="1" customWidth="1"/>
  </cols>
  <sheetData>
    <row r="1" spans="1:23" ht="28.9" customHeight="1">
      <c r="A1" t="s">
        <v>61</v>
      </c>
    </row>
    <row r="2" spans="1:23" s="19" customFormat="1" ht="14.45" customHeight="1">
      <c r="A2" s="38"/>
      <c r="B2" s="38"/>
      <c r="C2" s="38"/>
      <c r="D2" s="38"/>
      <c r="E2" s="38"/>
      <c r="F2" s="38"/>
      <c r="G2" s="38"/>
      <c r="H2" s="60"/>
      <c r="I2" s="38"/>
      <c r="J2" s="38"/>
      <c r="K2" s="38"/>
    </row>
    <row r="3" spans="1:23" s="19" customFormat="1" ht="131.25" customHeight="1">
      <c r="A3" s="276" t="s">
        <v>201</v>
      </c>
      <c r="B3" s="276"/>
      <c r="C3" s="276"/>
      <c r="D3" s="276"/>
      <c r="E3" s="276"/>
      <c r="F3" s="276"/>
      <c r="G3" s="276"/>
      <c r="H3" s="276"/>
      <c r="I3" s="276"/>
      <c r="J3" s="276"/>
      <c r="K3" s="276"/>
      <c r="M3" s="169"/>
      <c r="N3" s="169"/>
      <c r="O3" s="169"/>
      <c r="P3" s="169"/>
      <c r="Q3" s="169"/>
      <c r="R3" s="169"/>
      <c r="S3" s="169"/>
      <c r="T3" s="169"/>
      <c r="U3" s="169"/>
      <c r="V3" s="169"/>
      <c r="W3" s="169"/>
    </row>
    <row r="4" spans="1:23" ht="14.45" customHeight="1"/>
    <row r="5" spans="1:23" ht="14.45" customHeight="1">
      <c r="A5" s="279" t="s">
        <v>76</v>
      </c>
      <c r="B5" s="279"/>
      <c r="C5" s="279"/>
      <c r="D5" s="279"/>
      <c r="E5" s="279"/>
      <c r="F5" s="279"/>
      <c r="G5" s="279"/>
      <c r="H5" s="279"/>
      <c r="I5" s="279"/>
      <c r="J5" s="279"/>
      <c r="K5" s="279"/>
    </row>
    <row r="6" spans="1:23" s="19" customFormat="1" ht="13.9" customHeight="1">
      <c r="A6" s="279" t="s">
        <v>77</v>
      </c>
      <c r="B6" s="279"/>
      <c r="C6" s="279"/>
      <c r="D6" s="279"/>
      <c r="E6" s="279"/>
      <c r="F6" s="279"/>
      <c r="G6" s="279"/>
      <c r="H6" s="279"/>
      <c r="I6" s="279"/>
      <c r="J6" s="279"/>
      <c r="K6" s="279"/>
    </row>
    <row r="7" spans="1:23" ht="43.5" customHeight="1">
      <c r="A7" s="35"/>
      <c r="B7" s="35"/>
      <c r="C7" s="35"/>
      <c r="E7" s="40" t="s">
        <v>70</v>
      </c>
      <c r="F7" s="40" t="s">
        <v>71</v>
      </c>
      <c r="G7" s="43" t="s">
        <v>80</v>
      </c>
      <c r="H7" s="59" t="s">
        <v>85</v>
      </c>
      <c r="I7" s="81" t="s">
        <v>173</v>
      </c>
      <c r="J7" s="40" t="s">
        <v>72</v>
      </c>
      <c r="K7" s="176" t="s">
        <v>175</v>
      </c>
      <c r="L7" s="35"/>
    </row>
    <row r="8" spans="1:23" ht="14.45" customHeight="1">
      <c r="A8" s="39" t="s">
        <v>68</v>
      </c>
      <c r="B8" s="14"/>
      <c r="C8" s="14"/>
      <c r="E8" s="14"/>
      <c r="F8" s="14"/>
      <c r="G8" s="14"/>
      <c r="H8" s="14"/>
      <c r="I8" s="14"/>
      <c r="J8" s="14"/>
      <c r="K8" s="14"/>
      <c r="L8" s="14"/>
    </row>
    <row r="9" spans="1:23" ht="14.45" customHeight="1">
      <c r="A9" s="36"/>
      <c r="B9" s="36" t="s">
        <v>69</v>
      </c>
      <c r="C9" s="36"/>
      <c r="E9" s="42">
        <v>184</v>
      </c>
      <c r="F9" s="42">
        <v>107</v>
      </c>
      <c r="G9" s="55"/>
      <c r="H9" s="79"/>
      <c r="I9" s="42">
        <v>291</v>
      </c>
      <c r="J9" s="174">
        <v>5.2999999999999999E-2</v>
      </c>
      <c r="K9" s="36"/>
      <c r="L9" s="36"/>
    </row>
    <row r="10" spans="1:23" ht="14.45" customHeight="1">
      <c r="A10" s="36"/>
      <c r="B10" s="36" t="s">
        <v>78</v>
      </c>
      <c r="C10" s="36"/>
      <c r="E10" s="41">
        <v>25.58</v>
      </c>
      <c r="F10" s="41">
        <v>3.61</v>
      </c>
      <c r="G10" s="56"/>
      <c r="H10" s="80"/>
      <c r="I10" s="41">
        <v>29.21</v>
      </c>
      <c r="J10" s="174">
        <v>6.8000000000000005E-2</v>
      </c>
      <c r="K10" s="36"/>
      <c r="L10" s="36"/>
    </row>
    <row r="11" spans="1:23">
      <c r="B11" s="19" t="s">
        <v>79</v>
      </c>
      <c r="E11" s="41">
        <v>-25.58</v>
      </c>
      <c r="F11" s="41">
        <v>-3.61</v>
      </c>
      <c r="G11" s="41"/>
      <c r="H11" s="41"/>
      <c r="I11" s="41">
        <v>-29.21</v>
      </c>
      <c r="J11" s="53"/>
      <c r="K11" s="41">
        <v>-0.05</v>
      </c>
    </row>
    <row r="12" spans="1:23" s="19" customFormat="1" ht="6" customHeight="1">
      <c r="E12" s="41"/>
      <c r="F12" s="41"/>
      <c r="G12" s="56"/>
      <c r="H12" s="76"/>
      <c r="I12" s="41"/>
      <c r="J12" s="53"/>
    </row>
    <row r="13" spans="1:23">
      <c r="A13" s="39" t="s">
        <v>73</v>
      </c>
      <c r="B13" s="14"/>
      <c r="C13" s="14"/>
      <c r="E13" s="14"/>
      <c r="F13" s="14"/>
      <c r="G13" s="57"/>
      <c r="H13" s="77"/>
      <c r="I13" s="190"/>
      <c r="J13" s="173"/>
      <c r="K13" s="37"/>
      <c r="L13" s="37"/>
    </row>
    <row r="14" spans="1:23">
      <c r="A14" s="36"/>
      <c r="B14" s="36" t="s">
        <v>69</v>
      </c>
      <c r="C14" s="36"/>
      <c r="E14" s="42">
        <v>-321</v>
      </c>
      <c r="F14" s="42">
        <v>-788</v>
      </c>
      <c r="G14" s="55"/>
      <c r="H14" s="79"/>
      <c r="I14" s="42">
        <v>-1109</v>
      </c>
      <c r="J14" s="174">
        <v>-0.04</v>
      </c>
      <c r="K14" s="37"/>
      <c r="L14" s="37"/>
    </row>
    <row r="15" spans="1:23" ht="14.45" customHeight="1">
      <c r="A15" s="36"/>
      <c r="B15" s="36" t="s">
        <v>78</v>
      </c>
      <c r="C15" s="36"/>
      <c r="E15" s="41">
        <v>6.21</v>
      </c>
      <c r="F15" s="41">
        <v>-49.55</v>
      </c>
      <c r="G15" s="56"/>
      <c r="H15" s="80"/>
      <c r="I15" s="41">
        <v>-43.32</v>
      </c>
      <c r="J15" s="174">
        <v>-1.9E-2</v>
      </c>
      <c r="K15" s="37"/>
      <c r="L15" s="37"/>
    </row>
    <row r="16" spans="1:23">
      <c r="B16" s="19" t="s">
        <v>79</v>
      </c>
      <c r="E16" s="41">
        <v>-6.21</v>
      </c>
      <c r="F16" s="41">
        <v>49.55</v>
      </c>
      <c r="G16" s="41"/>
      <c r="H16" s="41"/>
      <c r="I16" s="41">
        <v>43.32</v>
      </c>
      <c r="J16" s="53"/>
      <c r="K16" s="41">
        <v>0.01</v>
      </c>
    </row>
    <row r="17" spans="1:19" s="19" customFormat="1" ht="9" customHeight="1">
      <c r="G17" s="22"/>
      <c r="H17" s="78"/>
      <c r="I17" s="53"/>
      <c r="J17" s="53"/>
    </row>
    <row r="18" spans="1:19" ht="14.45" customHeight="1">
      <c r="A18" s="39" t="s">
        <v>74</v>
      </c>
      <c r="B18" s="14"/>
      <c r="C18" s="14"/>
      <c r="E18" s="14"/>
      <c r="F18" s="14"/>
      <c r="G18" s="57"/>
      <c r="H18" s="77"/>
      <c r="I18" s="190"/>
      <c r="J18" s="173"/>
    </row>
    <row r="19" spans="1:19" ht="14.45" customHeight="1">
      <c r="A19" s="36"/>
      <c r="B19" s="36" t="s">
        <v>69</v>
      </c>
      <c r="C19" s="36"/>
      <c r="E19" s="42">
        <v>6</v>
      </c>
      <c r="F19" s="42">
        <v>22</v>
      </c>
      <c r="G19" s="55"/>
      <c r="H19" s="79"/>
      <c r="I19" s="42">
        <v>28</v>
      </c>
      <c r="J19" s="174">
        <v>6.3E-2</v>
      </c>
    </row>
    <row r="20" spans="1:19">
      <c r="A20" s="36"/>
      <c r="B20" s="36" t="s">
        <v>78</v>
      </c>
      <c r="C20" s="36"/>
      <c r="E20" s="41">
        <v>18.149999999999999</v>
      </c>
      <c r="F20" s="41">
        <v>5.33</v>
      </c>
      <c r="G20" s="56"/>
      <c r="H20" s="80"/>
      <c r="I20" s="41">
        <v>23.5</v>
      </c>
      <c r="J20" s="174">
        <v>0.10199999999999999</v>
      </c>
    </row>
    <row r="21" spans="1:19" s="19" customFormat="1">
      <c r="A21" s="36"/>
      <c r="B21" s="19" t="s">
        <v>79</v>
      </c>
      <c r="C21" s="36"/>
      <c r="E21" s="41">
        <v>-18.149999999999999</v>
      </c>
      <c r="F21" s="41">
        <v>-5.33</v>
      </c>
      <c r="G21" s="41"/>
      <c r="H21" s="41"/>
      <c r="I21" s="41">
        <v>-23.5</v>
      </c>
      <c r="J21" s="175"/>
      <c r="K21" s="41">
        <v>-0.12</v>
      </c>
    </row>
    <row r="22" spans="1:19" ht="9" customHeight="1">
      <c r="A22" s="19"/>
      <c r="B22" s="19"/>
      <c r="C22" s="19"/>
      <c r="E22" s="19"/>
      <c r="F22" s="19"/>
      <c r="G22" s="22"/>
      <c r="H22" s="78"/>
      <c r="I22" s="53"/>
      <c r="J22" s="53"/>
    </row>
    <row r="23" spans="1:19">
      <c r="A23" s="39" t="s">
        <v>75</v>
      </c>
      <c r="B23" s="14"/>
      <c r="C23" s="14"/>
      <c r="E23" s="14"/>
      <c r="F23" s="14"/>
      <c r="G23" s="57"/>
      <c r="H23" s="77"/>
      <c r="I23" s="190"/>
      <c r="J23" s="173"/>
    </row>
    <row r="24" spans="1:19">
      <c r="A24" s="36"/>
      <c r="B24" s="36" t="s">
        <v>69</v>
      </c>
      <c r="C24" s="36"/>
      <c r="E24" s="42">
        <v>-148</v>
      </c>
      <c r="F24" s="42">
        <v>34</v>
      </c>
      <c r="G24" s="55"/>
      <c r="H24" s="79"/>
      <c r="I24" s="42">
        <v>-113</v>
      </c>
      <c r="J24" s="174">
        <v>-1.0999999999999999E-2</v>
      </c>
    </row>
    <row r="25" spans="1:19">
      <c r="A25" s="36"/>
      <c r="B25" s="36" t="s">
        <v>78</v>
      </c>
      <c r="C25" s="36"/>
      <c r="E25" s="41">
        <v>243.98</v>
      </c>
      <c r="F25" s="41">
        <v>36.369999999999997</v>
      </c>
      <c r="G25" s="56"/>
      <c r="H25" s="80"/>
      <c r="I25" s="41">
        <v>279.94</v>
      </c>
      <c r="J25" s="174">
        <v>9.8000000000000004E-2</v>
      </c>
    </row>
    <row r="26" spans="1:19">
      <c r="B26" s="19" t="s">
        <v>79</v>
      </c>
      <c r="E26" s="41">
        <v>-243.98</v>
      </c>
      <c r="F26" s="41">
        <v>-36.369999999999997</v>
      </c>
      <c r="G26" s="41"/>
      <c r="H26" s="41"/>
      <c r="I26" s="41">
        <v>-279.94</v>
      </c>
      <c r="J26" s="53"/>
      <c r="K26" s="41">
        <v>-4.07</v>
      </c>
    </row>
    <row r="29" spans="1:19" ht="108.75" customHeight="1">
      <c r="A29" s="277" t="s">
        <v>202</v>
      </c>
      <c r="B29" s="277"/>
      <c r="C29" s="277"/>
      <c r="D29" s="277"/>
      <c r="E29" s="277"/>
      <c r="F29" s="277"/>
      <c r="G29" s="277"/>
      <c r="H29" s="277"/>
      <c r="I29" s="277"/>
      <c r="J29" s="277"/>
      <c r="K29" s="277"/>
      <c r="L29" s="35"/>
      <c r="M29" s="35"/>
      <c r="N29" s="35"/>
      <c r="O29" s="35"/>
      <c r="P29" s="35"/>
      <c r="Q29" s="35"/>
      <c r="R29" s="35"/>
      <c r="S29" s="35"/>
    </row>
    <row r="30" spans="1:19">
      <c r="A30" s="277"/>
      <c r="B30" s="277"/>
      <c r="C30" s="277"/>
      <c r="D30" s="277"/>
      <c r="E30" s="277"/>
      <c r="F30" s="277"/>
      <c r="G30" s="277"/>
      <c r="H30" s="277"/>
      <c r="I30" s="277"/>
      <c r="J30" s="277"/>
      <c r="K30" s="277"/>
      <c r="L30" s="35"/>
      <c r="M30" s="35"/>
      <c r="N30" s="35"/>
      <c r="O30" s="35"/>
      <c r="P30" s="35"/>
      <c r="Q30" s="35"/>
      <c r="R30" s="35"/>
    </row>
    <row r="31" spans="1:19" ht="15" customHeight="1">
      <c r="A31" s="170"/>
      <c r="B31" s="170"/>
      <c r="C31" s="170"/>
      <c r="D31" s="170"/>
      <c r="E31" s="170"/>
      <c r="F31" s="170"/>
      <c r="G31" s="170"/>
      <c r="H31" s="170"/>
      <c r="I31" s="170"/>
      <c r="J31" s="170"/>
      <c r="K31" s="170"/>
      <c r="L31" s="35"/>
      <c r="M31" s="35"/>
      <c r="N31" s="35"/>
      <c r="O31" s="35"/>
      <c r="P31" s="35"/>
      <c r="Q31" s="35"/>
      <c r="R31" s="35"/>
      <c r="S31" s="35"/>
    </row>
    <row r="32" spans="1:19">
      <c r="A32" s="22"/>
      <c r="B32" s="198"/>
      <c r="C32" s="200"/>
      <c r="D32" s="22"/>
      <c r="E32" s="22"/>
      <c r="F32" s="171"/>
      <c r="G32" s="171"/>
      <c r="H32" s="22"/>
      <c r="I32" s="278"/>
      <c r="J32" s="278"/>
      <c r="K32" s="22"/>
      <c r="L32" s="171"/>
      <c r="M32" s="171"/>
      <c r="N32" s="171"/>
      <c r="O32" s="35"/>
      <c r="P32" s="35"/>
      <c r="Q32" s="35"/>
      <c r="R32" s="35"/>
      <c r="S32" s="35"/>
    </row>
    <row r="33" spans="1:20">
      <c r="A33" s="22"/>
      <c r="B33" s="198"/>
      <c r="C33" s="216"/>
      <c r="D33" s="216"/>
      <c r="E33" s="216"/>
      <c r="F33" s="22"/>
      <c r="G33" s="22"/>
      <c r="H33" s="22"/>
      <c r="I33" s="22"/>
      <c r="J33" s="22"/>
      <c r="K33" s="22"/>
      <c r="L33" s="171"/>
      <c r="M33" s="171"/>
      <c r="N33" s="171"/>
      <c r="O33" s="35"/>
      <c r="P33" s="35"/>
      <c r="Q33" s="199"/>
      <c r="R33" s="35"/>
      <c r="S33" s="35"/>
    </row>
    <row r="34" spans="1:20">
      <c r="A34" s="22"/>
      <c r="B34" s="216"/>
      <c r="C34" s="219"/>
      <c r="D34" s="219"/>
      <c r="E34" s="220"/>
      <c r="F34" s="172"/>
      <c r="G34" s="172"/>
      <c r="H34" s="22"/>
      <c r="I34" s="22"/>
      <c r="J34" s="22"/>
      <c r="K34" s="22"/>
      <c r="L34" s="171"/>
      <c r="M34" s="171"/>
      <c r="N34" s="171"/>
      <c r="O34" s="35"/>
      <c r="P34" s="35"/>
      <c r="Q34" s="199"/>
      <c r="R34" s="199"/>
      <c r="S34" s="199"/>
    </row>
    <row r="35" spans="1:20">
      <c r="B35" s="216"/>
      <c r="C35" s="219"/>
      <c r="D35" s="219"/>
      <c r="E35" s="220"/>
      <c r="Q35" s="17"/>
      <c r="R35" s="17"/>
      <c r="S35" s="17"/>
      <c r="T35" s="13"/>
    </row>
    <row r="36" spans="1:20">
      <c r="B36" s="217"/>
      <c r="C36" s="219"/>
      <c r="D36" s="17"/>
      <c r="E36" s="220"/>
      <c r="Q36" s="17"/>
      <c r="R36" s="17"/>
      <c r="S36" s="17"/>
    </row>
    <row r="37" spans="1:20" s="53" customFormat="1">
      <c r="B37" s="217"/>
      <c r="C37" s="219"/>
      <c r="D37" s="17"/>
      <c r="E37" s="220"/>
      <c r="Q37" s="17"/>
      <c r="R37" s="17"/>
      <c r="S37" s="17"/>
    </row>
    <row r="38" spans="1:20">
      <c r="B38" s="221"/>
      <c r="C38" s="219"/>
      <c r="D38" s="17"/>
      <c r="E38" s="220"/>
      <c r="Q38" s="17"/>
    </row>
    <row r="39" spans="1:20">
      <c r="B39" s="221"/>
      <c r="C39" s="219"/>
      <c r="Q39" s="17"/>
    </row>
  </sheetData>
  <mergeCells count="6">
    <mergeCell ref="A3:K3"/>
    <mergeCell ref="A29:K29"/>
    <mergeCell ref="I32:J32"/>
    <mergeCell ref="A5:K5"/>
    <mergeCell ref="A6:K6"/>
    <mergeCell ref="A30:K30"/>
  </mergeCells>
  <printOptions horizontalCentered="1"/>
  <pageMargins left="0.25" right="0.25" top="0.9375" bottom="0.75" header="0.3" footer="0.3"/>
  <pageSetup scale="91" orientation="portrait" useFirstPageNumber="1" r:id="rId1"/>
  <headerFooter scaleWithDoc="0">
    <oddHeader>&amp;CAvista Corporation Decoupling Mechanism
Washington Jurisdiction
Quarterly Report for 2nd Quarter 2022</oddHeader>
    <oddFooter>&amp;Cfile: &amp;F /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2022-08-29T07:00:00+00:00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038369CC-19DB-429F-964A-649EB076C876}"/>
</file>

<file path=customXml/itemProps2.xml><?xml version="1.0" encoding="utf-8"?>
<ds:datastoreItem xmlns:ds="http://schemas.openxmlformats.org/officeDocument/2006/customXml" ds:itemID="{72ED8486-F875-48D2-8E9E-47BACF5D3248}"/>
</file>

<file path=customXml/itemProps3.xml><?xml version="1.0" encoding="utf-8"?>
<ds:datastoreItem xmlns:ds="http://schemas.openxmlformats.org/officeDocument/2006/customXml" ds:itemID="{69C83F0E-9B35-40D0-B92D-D10594559FC0}"/>
</file>

<file path=customXml/itemProps4.xml><?xml version="1.0" encoding="utf-8"?>
<ds:datastoreItem xmlns:ds="http://schemas.openxmlformats.org/officeDocument/2006/customXml" ds:itemID="{54A58A0A-AF69-4510-89C8-8EB6DEA5C8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'Nat Gas Deferral'!Print_Area</vt:lpstr>
      <vt:lpstr>Notes!Print_Area</vt:lpstr>
      <vt:lpstr>'Electric Deferral'!Print_Titles</vt:lpstr>
      <vt:lpstr>'Interest Reconciliation'!Print_Titles</vt:lpstr>
      <vt:lpstr>'Nat Gas Deferral'!Print_Titles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2022-08-24T19:30:58Z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y fmtid="{D5CDD505-2E9C-101B-9397-08002B2CF9AE}" pid="7" name="IsEFSEC">
    <vt:bool>false</vt:bool>
  </property>
</Properties>
</file>