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g-200568/Staffs Testimony and Exhibits/"/>
    </mc:Choice>
  </mc:AlternateContent>
  <xr:revisionPtr revIDLastSave="0" documentId="13_ncr:1_{8FB9AB3F-5E6C-4D3E-B595-CD8BD4A78BBF}" xr6:coauthVersionLast="45" xr6:coauthVersionMax="45" xr10:uidLastSave="{00000000-0000-0000-0000-000000000000}"/>
  <bookViews>
    <workbookView xWindow="28680" yWindow="-120" windowWidth="29040" windowHeight="17640" xr2:uid="{DA1BD2F3-965B-4AEA-9BB5-63356210CF20}"/>
  </bookViews>
  <sheets>
    <sheet name="Exh. DJP-2 Pg 1 of 3" sheetId="3" r:id="rId1"/>
    <sheet name="Exh. DJP-2 Pg 2 of 3" sheetId="1" r:id="rId2"/>
    <sheet name="Exh. DJP-2 Pg 3 of 3" sheetId="2" r:id="rId3"/>
  </sheets>
  <externalReferences>
    <externalReference r:id="rId4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" l="1"/>
  <c r="E40" i="3"/>
  <c r="E38" i="3"/>
  <c r="E37" i="3"/>
  <c r="E22" i="3"/>
  <c r="E25" i="3"/>
  <c r="E29" i="3"/>
  <c r="E31" i="3"/>
  <c r="E32" i="3"/>
  <c r="E33" i="3"/>
  <c r="C44" i="3"/>
  <c r="C42" i="3"/>
  <c r="C40" i="3"/>
  <c r="C16" i="3"/>
  <c r="C38" i="3"/>
  <c r="C37" i="3"/>
  <c r="D44" i="3" l="1"/>
  <c r="E44" i="3" s="1"/>
  <c r="A44" i="3"/>
  <c r="A37" i="3"/>
  <c r="D42" i="3"/>
  <c r="D40" i="3"/>
  <c r="D38" i="3"/>
  <c r="D37" i="3"/>
  <c r="D32" i="3"/>
  <c r="D31" i="3"/>
  <c r="D29" i="3"/>
  <c r="D18" i="3"/>
  <c r="C18" i="3"/>
  <c r="C32" i="3" s="1"/>
  <c r="C33" i="3" s="1"/>
  <c r="E16" i="3"/>
  <c r="E18" i="3" s="1"/>
  <c r="D33" i="3" l="1"/>
  <c r="A38" i="3" l="1"/>
  <c r="A39" i="3" s="1"/>
  <c r="A40" i="3" s="1"/>
  <c r="A41" i="3" s="1"/>
  <c r="A42" i="3" s="1"/>
  <c r="E34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C34" i="3" l="1"/>
  <c r="D34" i="3"/>
  <c r="E34" i="1" l="1"/>
  <c r="J36" i="2" l="1"/>
  <c r="J35" i="2"/>
  <c r="J34" i="2"/>
  <c r="J33" i="2"/>
  <c r="J32" i="2"/>
  <c r="J31" i="2"/>
  <c r="J30" i="2"/>
  <c r="J29" i="2"/>
  <c r="J28" i="2"/>
  <c r="H27" i="2"/>
  <c r="J27" i="2" s="1"/>
  <c r="H26" i="2"/>
  <c r="J26" i="2" s="1"/>
  <c r="H25" i="2"/>
  <c r="J25" i="2" s="1"/>
  <c r="J24" i="2"/>
  <c r="J23" i="2"/>
  <c r="J22" i="2"/>
  <c r="J21" i="2"/>
  <c r="G15" i="2"/>
  <c r="H15" i="2" s="1"/>
  <c r="G14" i="2"/>
  <c r="H14" i="2" s="1"/>
  <c r="G13" i="2"/>
  <c r="H13" i="2" s="1"/>
  <c r="G12" i="2"/>
  <c r="H12" i="2" s="1"/>
  <c r="H16" i="2" l="1"/>
  <c r="J37" i="2"/>
  <c r="K37" i="2" s="1"/>
  <c r="H37" i="2"/>
  <c r="E32" i="1"/>
  <c r="E28" i="1"/>
  <c r="E22" i="1"/>
  <c r="G39" i="1"/>
  <c r="F32" i="1"/>
  <c r="E25" i="1"/>
  <c r="E29" i="1" s="1"/>
  <c r="E30" i="1" s="1"/>
  <c r="E31" i="1" s="1"/>
  <c r="G33" i="1" l="1"/>
  <c r="G32" i="1"/>
  <c r="G27" i="1"/>
  <c r="G19" i="1"/>
  <c r="F28" i="1"/>
  <c r="G28" i="1" s="1"/>
  <c r="F25" i="1"/>
  <c r="F22" i="1"/>
  <c r="G22" i="1" s="1"/>
  <c r="F29" i="1" l="1"/>
  <c r="G25" i="1"/>
  <c r="F30" i="1" l="1"/>
  <c r="G29" i="1"/>
  <c r="G30" i="1" l="1"/>
  <c r="F31" i="1"/>
  <c r="F34" i="1" s="1"/>
  <c r="G31" i="1" l="1"/>
  <c r="G34" i="1"/>
</calcChain>
</file>

<file path=xl/sharedStrings.xml><?xml version="1.0" encoding="utf-8"?>
<sst xmlns="http://schemas.openxmlformats.org/spreadsheetml/2006/main" count="133" uniqueCount="108">
  <si>
    <t>Cascade Natural Gas Corporation</t>
  </si>
  <si>
    <t>Pro Forma Plant Additions</t>
  </si>
  <si>
    <t>Twelve Months Ended December 31, 2019</t>
  </si>
  <si>
    <t>Ln.</t>
  </si>
  <si>
    <t>2019 Property Tax Rate [1]</t>
  </si>
  <si>
    <t>Property Tax</t>
  </si>
  <si>
    <t>Total Investment</t>
  </si>
  <si>
    <t>Ln 1</t>
  </si>
  <si>
    <t>Depreciation Expense</t>
  </si>
  <si>
    <t xml:space="preserve">   Accumulated Depr. (Avg)</t>
  </si>
  <si>
    <t>Accum Tax depreciation</t>
  </si>
  <si>
    <t>Deferred Tax</t>
  </si>
  <si>
    <t xml:space="preserve">   Accum Def Tax (Avg)</t>
  </si>
  <si>
    <t>FIT</t>
  </si>
  <si>
    <t>Rate Bate</t>
  </si>
  <si>
    <t>2020 New Customer Revenue Adjustment</t>
  </si>
  <si>
    <t>Exhibit IDM-7, Column (Y), Line 584</t>
  </si>
  <si>
    <t>Investment from DCP-2</t>
  </si>
  <si>
    <t>Staff</t>
  </si>
  <si>
    <t>Proposed</t>
  </si>
  <si>
    <t>Adjustment</t>
  </si>
  <si>
    <t>Company</t>
  </si>
  <si>
    <t>Difference</t>
  </si>
  <si>
    <t>Per UTC Staff DR No. 127</t>
  </si>
  <si>
    <t>Revenue Requirement Effect (from the Summary of Adjustments)</t>
  </si>
  <si>
    <t>Ln 1 * 0.011582</t>
  </si>
  <si>
    <t xml:space="preserve">2020 Plant Additions Tab </t>
  </si>
  <si>
    <t>RR Model</t>
  </si>
  <si>
    <t>Ln 5 / 2</t>
  </si>
  <si>
    <t>Ln 4 *3.75%</t>
  </si>
  <si>
    <t>(Ln 7 - Ln 5) * .21</t>
  </si>
  <si>
    <t>Ln 8 / 2</t>
  </si>
  <si>
    <t>Ln 5 * .21</t>
  </si>
  <si>
    <t>Ln 4 - Ln 6 - Ln 9</t>
  </si>
  <si>
    <t>Line No.</t>
  </si>
  <si>
    <t xml:space="preserve">Function            </t>
  </si>
  <si>
    <t xml:space="preserve">Funding Project - Description      </t>
  </si>
  <si>
    <t xml:space="preserve">Account No. </t>
  </si>
  <si>
    <t>WA Alloc</t>
  </si>
  <si>
    <t xml:space="preserve">WA                     </t>
  </si>
  <si>
    <t>Gas Distribution</t>
  </si>
  <si>
    <t>FP-300233 - ARLINGTON 6" HP REINFORCEMENT</t>
  </si>
  <si>
    <t>FP-317060 - FRL; 10" HP; BELL; 2900' STATEBRIDG</t>
  </si>
  <si>
    <t>FP-318482 RF; 4"; PE; Moses Lake 1,800'</t>
  </si>
  <si>
    <t>FP-316586 - RP; R-187 ARLINGTON GATE</t>
  </si>
  <si>
    <t>FERC</t>
  </si>
  <si>
    <t>per DR responses</t>
  </si>
  <si>
    <t>Depr. Rate</t>
  </si>
  <si>
    <t>Depreciation</t>
  </si>
  <si>
    <t>Acct</t>
  </si>
  <si>
    <t>Investment</t>
  </si>
  <si>
    <t>UG-200278</t>
  </si>
  <si>
    <t>Expense</t>
  </si>
  <si>
    <t>Totals</t>
  </si>
  <si>
    <t>Comparison of Company vs Staff Adjustment</t>
  </si>
  <si>
    <t>A</t>
  </si>
  <si>
    <t>B</t>
  </si>
  <si>
    <t>C</t>
  </si>
  <si>
    <t>D</t>
  </si>
  <si>
    <t>E</t>
  </si>
  <si>
    <t xml:space="preserve">F = D * E </t>
  </si>
  <si>
    <t>G</t>
  </si>
  <si>
    <t>H</t>
  </si>
  <si>
    <t>I</t>
  </si>
  <si>
    <t>J</t>
  </si>
  <si>
    <t>F = E - D</t>
  </si>
  <si>
    <t>Exh. DJP-2</t>
  </si>
  <si>
    <t>Docket UG-200568</t>
  </si>
  <si>
    <t>Page 2 of 3</t>
  </si>
  <si>
    <t>Page 3 of 3</t>
  </si>
  <si>
    <t>Per DJP-3</t>
  </si>
  <si>
    <t>Actual Cost</t>
  </si>
  <si>
    <t>Actual In Service Date Per DJP-3</t>
  </si>
  <si>
    <t>Cascade Natural Gas</t>
  </si>
  <si>
    <t>D = C - B</t>
  </si>
  <si>
    <t>Cascade</t>
  </si>
  <si>
    <t>Line</t>
  </si>
  <si>
    <t>No.</t>
  </si>
  <si>
    <t>Operating Revenues</t>
  </si>
  <si>
    <t>Natural Gas Sales</t>
  </si>
  <si>
    <t>Gas Transportation Revenue</t>
  </si>
  <si>
    <t>Other Operating Revenues</t>
  </si>
  <si>
    <t xml:space="preserve">    REVENUE</t>
  </si>
  <si>
    <t>Operating Expenses</t>
  </si>
  <si>
    <t xml:space="preserve">  Nat. Gas/Production Costs</t>
  </si>
  <si>
    <t xml:space="preserve">  Revenue Taxes</t>
  </si>
  <si>
    <t>Production</t>
  </si>
  <si>
    <t>Distribution</t>
  </si>
  <si>
    <t>Customer Accounts</t>
  </si>
  <si>
    <t>Customer Service</t>
  </si>
  <si>
    <t>Sales</t>
  </si>
  <si>
    <t>Administrative and General</t>
  </si>
  <si>
    <t>Depreciation &amp; Amortization</t>
  </si>
  <si>
    <t>Regulatory Debits</t>
  </si>
  <si>
    <t>Taxes Other Than Income</t>
  </si>
  <si>
    <t>State &amp; Federal Income Taxes</t>
  </si>
  <si>
    <t xml:space="preserve">     Total Operating Expenses </t>
  </si>
  <si>
    <t>Net Operating Income</t>
  </si>
  <si>
    <t>Rate Base</t>
  </si>
  <si>
    <t xml:space="preserve">  Total Plant in Service</t>
  </si>
  <si>
    <t xml:space="preserve">  Total Accumulated Depreciation</t>
  </si>
  <si>
    <t xml:space="preserve">  Customer Adv. For Construction</t>
  </si>
  <si>
    <t>Def. Accumlated Income Taxes</t>
  </si>
  <si>
    <t xml:space="preserve">  Working Capital Allowance</t>
  </si>
  <si>
    <t>TOTAL RATE BASE</t>
  </si>
  <si>
    <t xml:space="preserve">  Revenue Requirement Effect</t>
  </si>
  <si>
    <t>Page 1 of 3</t>
  </si>
  <si>
    <t>Pro Forma Plant Additions Adjustment 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</si>
</sst>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dd\-mmm\-yy"/>
    <numFmt numFmtId="167" formatCode="hh:mm\ AM/PM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Protection="0">
      <alignment horizontal="right"/>
    </xf>
    <xf numFmtId="43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44" fontId="0" fillId="0" borderId="0" xfId="2" applyFont="1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2" applyFont="1" applyAlignment="1">
      <alignment horizontal="center"/>
    </xf>
    <xf numFmtId="165" fontId="0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14" fontId="5" fillId="0" borderId="0" xfId="5" applyNumberFormat="1" applyFont="1" applyAlignment="1">
      <alignment horizontal="center" vertical="center" wrapText="1"/>
    </xf>
    <xf numFmtId="0" fontId="8" fillId="0" borderId="0" xfId="6" applyFont="1"/>
    <xf numFmtId="43" fontId="8" fillId="0" borderId="0" xfId="1" applyFont="1" applyFill="1"/>
    <xf numFmtId="43" fontId="8" fillId="0" borderId="2" xfId="1" applyFont="1" applyFill="1" applyBorder="1"/>
    <xf numFmtId="39" fontId="8" fillId="0" borderId="0" xfId="6" applyNumberFormat="1" applyFont="1"/>
    <xf numFmtId="0" fontId="8" fillId="0" borderId="0" xfId="6" applyFont="1" applyAlignment="1">
      <alignment horizontal="center"/>
    </xf>
    <xf numFmtId="14" fontId="8" fillId="0" borderId="0" xfId="6" applyNumberFormat="1" applyFont="1"/>
    <xf numFmtId="39" fontId="8" fillId="0" borderId="1" xfId="6" applyNumberFormat="1" applyFont="1" applyBorder="1"/>
    <xf numFmtId="43" fontId="8" fillId="0" borderId="0" xfId="1" applyFont="1" applyFill="1" applyBorder="1"/>
    <xf numFmtId="0" fontId="8" fillId="0" borderId="0" xfId="6" applyFont="1" applyAlignment="1">
      <alignment horizontal="right"/>
    </xf>
    <xf numFmtId="14" fontId="8" fillId="0" borderId="0" xfId="6" applyNumberFormat="1" applyFont="1" applyAlignment="1">
      <alignment horizontal="center"/>
    </xf>
    <xf numFmtId="0" fontId="8" fillId="0" borderId="1" xfId="6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8" fillId="0" borderId="1" xfId="6" applyNumberFormat="1" applyFont="1" applyBorder="1" applyAlignment="1">
      <alignment horizontal="center"/>
    </xf>
    <xf numFmtId="10" fontId="8" fillId="0" borderId="0" xfId="3" applyNumberFormat="1" applyFont="1" applyFill="1"/>
    <xf numFmtId="4" fontId="8" fillId="0" borderId="0" xfId="6" applyNumberFormat="1" applyFont="1"/>
    <xf numFmtId="10" fontId="3" fillId="0" borderId="0" xfId="3" applyNumberFormat="1" applyFont="1" applyFill="1"/>
    <xf numFmtId="0" fontId="8" fillId="0" borderId="1" xfId="6" applyFont="1" applyBorder="1"/>
    <xf numFmtId="10" fontId="8" fillId="0" borderId="1" xfId="3" applyNumberFormat="1" applyFont="1" applyFill="1" applyBorder="1"/>
    <xf numFmtId="4" fontId="8" fillId="0" borderId="1" xfId="6" applyNumberFormat="1" applyFont="1" applyBorder="1"/>
    <xf numFmtId="39" fontId="3" fillId="0" borderId="0" xfId="0" applyNumberFormat="1" applyFont="1"/>
    <xf numFmtId="0" fontId="7" fillId="0" borderId="0" xfId="0" applyFont="1" applyAlignment="1">
      <alignment horizontal="center" vertical="top" wrapText="1"/>
    </xf>
    <xf numFmtId="164" fontId="0" fillId="0" borderId="0" xfId="1" applyNumberFormat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4" fontId="8" fillId="0" borderId="1" xfId="6" applyNumberFormat="1" applyFont="1" applyBorder="1"/>
    <xf numFmtId="44" fontId="8" fillId="0" borderId="2" xfId="2" applyFont="1" applyFill="1" applyBorder="1"/>
    <xf numFmtId="44" fontId="8" fillId="0" borderId="0" xfId="2" applyFont="1"/>
    <xf numFmtId="44" fontId="5" fillId="0" borderId="0" xfId="2" applyFont="1"/>
    <xf numFmtId="164" fontId="0" fillId="0" borderId="1" xfId="1" applyNumberFormat="1" applyFont="1" applyBorder="1"/>
    <xf numFmtId="0" fontId="9" fillId="0" borderId="0" xfId="0" applyFont="1"/>
    <xf numFmtId="0" fontId="5" fillId="0" borderId="0" xfId="7" applyFont="1" applyAlignment="1">
      <alignment horizontal="left"/>
    </xf>
    <xf numFmtId="0" fontId="5" fillId="0" borderId="0" xfId="7" quotePrefix="1" applyFont="1" applyAlignment="1">
      <alignment horizontal="left"/>
    </xf>
    <xf numFmtId="166" fontId="8" fillId="0" borderId="0" xfId="8" applyNumberFormat="1" applyFont="1"/>
    <xf numFmtId="167" fontId="8" fillId="0" borderId="0" xfId="8" applyNumberFormat="1" applyFont="1" applyAlignment="1">
      <alignment horizontal="center"/>
    </xf>
    <xf numFmtId="0" fontId="8" fillId="0" borderId="0" xfId="8" applyFont="1" applyAlignment="1">
      <alignment horizontal="center"/>
    </xf>
    <xf numFmtId="0" fontId="8" fillId="0" borderId="0" xfId="8" applyFont="1"/>
    <xf numFmtId="164" fontId="10" fillId="0" borderId="0" xfId="1" applyNumberFormat="1" applyFont="1" applyBorder="1" applyAlignment="1">
      <alignment horizontal="center"/>
    </xf>
    <xf numFmtId="0" fontId="5" fillId="0" borderId="0" xfId="8" quotePrefix="1" applyFont="1"/>
    <xf numFmtId="37" fontId="8" fillId="0" borderId="0" xfId="8" applyNumberFormat="1" applyFont="1" applyAlignment="1">
      <alignment horizontal="center"/>
    </xf>
    <xf numFmtId="0" fontId="5" fillId="0" borderId="0" xfId="7" applyFont="1"/>
    <xf numFmtId="37" fontId="8" fillId="0" borderId="0" xfId="8" applyNumberFormat="1" applyFont="1"/>
    <xf numFmtId="0" fontId="8" fillId="0" borderId="0" xfId="7" applyFont="1"/>
    <xf numFmtId="37" fontId="8" fillId="0" borderId="0" xfId="9" applyNumberFormat="1" applyFont="1" applyFill="1" applyBorder="1">
      <alignment horizontal="right"/>
    </xf>
    <xf numFmtId="37" fontId="8" fillId="0" borderId="0" xfId="10" applyNumberFormat="1" applyFont="1" applyFill="1" applyBorder="1"/>
    <xf numFmtId="37" fontId="11" fillId="0" borderId="1" xfId="10" applyNumberFormat="1" applyFont="1" applyFill="1" applyBorder="1"/>
    <xf numFmtId="5" fontId="5" fillId="0" borderId="0" xfId="9" applyNumberFormat="1" applyFont="1" applyFill="1" applyBorder="1">
      <alignment horizontal="right"/>
    </xf>
    <xf numFmtId="0" fontId="8" fillId="0" borderId="0" xfId="11" applyFont="1" applyAlignment="1">
      <alignment horizontal="left" indent="1"/>
    </xf>
    <xf numFmtId="37" fontId="9" fillId="0" borderId="0" xfId="0" applyNumberFormat="1" applyFont="1"/>
    <xf numFmtId="5" fontId="8" fillId="0" borderId="0" xfId="9" applyNumberFormat="1" applyFont="1" applyFill="1" applyBorder="1">
      <alignment horizontal="right"/>
    </xf>
    <xf numFmtId="5" fontId="8" fillId="0" borderId="3" xfId="9" applyNumberFormat="1" applyFont="1" applyFill="1" applyBorder="1">
      <alignment horizontal="right"/>
    </xf>
    <xf numFmtId="164" fontId="3" fillId="0" borderId="0" xfId="1" applyNumberFormat="1" applyFont="1"/>
    <xf numFmtId="5" fontId="8" fillId="0" borderId="0" xfId="10" applyNumberFormat="1" applyFont="1" applyFill="1" applyBorder="1"/>
    <xf numFmtId="0" fontId="5" fillId="0" borderId="0" xfId="8" applyFont="1"/>
    <xf numFmtId="37" fontId="5" fillId="0" borderId="0" xfId="9" applyNumberFormat="1" applyFont="1" applyFill="1" applyBorder="1">
      <alignment horizontal="right"/>
    </xf>
    <xf numFmtId="5" fontId="5" fillId="0" borderId="4" xfId="8" applyNumberFormat="1" applyFont="1" applyBorder="1"/>
    <xf numFmtId="0" fontId="7" fillId="0" borderId="0" xfId="0" applyFont="1" applyAlignment="1">
      <alignment horizontal="right"/>
    </xf>
    <xf numFmtId="37" fontId="8" fillId="0" borderId="1" xfId="10" applyNumberFormat="1" applyFont="1" applyFill="1" applyBorder="1"/>
    <xf numFmtId="0" fontId="5" fillId="0" borderId="0" xfId="7" quotePrefix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7" fillId="0" borderId="0" xfId="0" applyFont="1" applyAlignment="1">
      <alignment horizontal="center"/>
    </xf>
  </cellXfs>
  <cellStyles count="12">
    <cellStyle name="Comma" xfId="1" builtinId="3"/>
    <cellStyle name="Comma 52" xfId="10" xr:uid="{ADED62AB-69F2-4C8E-8072-96371653A697}"/>
    <cellStyle name="Currency" xfId="2" builtinId="4"/>
    <cellStyle name="Currency 18" xfId="9" xr:uid="{C93D3ADB-6D40-4A71-82AE-EB74E5A030B7}"/>
    <cellStyle name="Normal" xfId="0" builtinId="0"/>
    <cellStyle name="Normal 2 11" xfId="5" xr:uid="{16555489-4102-469A-86E4-F66DDBE3A4AD}"/>
    <cellStyle name="Normal 604" xfId="6" xr:uid="{C48C75CE-6606-4587-AA1B-B2428D75FC5A}"/>
    <cellStyle name="Normal 89" xfId="4" xr:uid="{80D971B4-BE4E-4FD6-BD6C-430C48BDEA0C}"/>
    <cellStyle name="Normal 91" xfId="11" xr:uid="{A0F9F37D-5192-426C-86DC-A76B28E1361B}"/>
    <cellStyle name="Normal 92" xfId="7" xr:uid="{514DEE8A-F079-4E9E-9F3A-78B85CD938C4}"/>
    <cellStyle name="Normal 95" xfId="8" xr:uid="{CACD3C2C-D83E-44B6-B7F3-BD8183F9201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.%20KMH-2%20through%20KMH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 KMH 2 - ROO Summary Sheet"/>
      <sheetName val="Exh KMH - 3 Summary of Adj."/>
      <sheetName val="Exh KMH - 4 Rev Req Calc"/>
      <sheetName val="Exh KMH-5 - Conversion Factor"/>
      <sheetName val="Exh KMH-6 TY Audit Adj. UTC-1"/>
      <sheetName val="Exh KMH-7 CRM Adj. Pg 1"/>
      <sheetName val="Exh KMH-7 Annualize CRM Adj P2"/>
      <sheetName val="KMH-9 Int Coord. Adj. Pg 1"/>
      <sheetName val="KMH-9 Int Coord. Adj. Pg 2"/>
      <sheetName val="BREAK"/>
      <sheetName val="adj. work paper"/>
      <sheetName val="Capital Structure Calculation"/>
      <sheetName val="KMH-1T Table 1"/>
      <sheetName val="Pro Forma Plant Additions"/>
      <sheetName val="DJP - 2020 Plant Additions"/>
      <sheetName val="Operating Report"/>
      <sheetName val="Supporting Explanations"/>
      <sheetName val="JH Restate &amp; PF Wage Adjust"/>
      <sheetName val="MAOP UG-160787 Deferral"/>
      <sheetName val="Workpaper - Support Documents &gt;"/>
      <sheetName val="Index"/>
      <sheetName val="Rate Base"/>
      <sheetName val="Plant in Serv &amp; Accum Depr"/>
      <sheetName val="Adv for Const. &amp; Def Tax"/>
      <sheetName val="State Allocation Formulas"/>
      <sheetName val="Adjustment Workpapers---&gt;"/>
      <sheetName val="Advertising Adj"/>
      <sheetName val="Restate Revenues Adjustment"/>
      <sheetName val="EOP Revenue Adjustment"/>
      <sheetName val="EOP Depreciation Expense Adj"/>
      <sheetName val="Executive Incentives"/>
      <sheetName val=" Working Capital (AMA)"/>
    </sheetNames>
    <sheetDataSet>
      <sheetData sheetId="0"/>
      <sheetData sheetId="1"/>
      <sheetData sheetId="2"/>
      <sheetData sheetId="3">
        <row r="25">
          <cell r="C25">
            <v>0.75481349214407267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J14">
            <v>6.928999999999999E-2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0C70D-CB42-46D0-9EA2-FBF02CE2DD00}">
  <sheetPr>
    <pageSetUpPr fitToPage="1"/>
  </sheetPr>
  <dimension ref="A1:P44"/>
  <sheetViews>
    <sheetView tabSelected="1" workbookViewId="0">
      <selection activeCell="E43" sqref="E43"/>
    </sheetView>
  </sheetViews>
  <sheetFormatPr defaultColWidth="8.7265625" defaultRowHeight="15.5" x14ac:dyDescent="0.35"/>
  <cols>
    <col min="1" max="1" width="5.453125" style="7" customWidth="1"/>
    <col min="2" max="2" width="37.453125" style="48" customWidth="1"/>
    <col min="3" max="3" width="25.08984375" style="48" bestFit="1" customWidth="1"/>
    <col min="4" max="4" width="15.1796875" style="48" customWidth="1"/>
    <col min="5" max="5" width="17.26953125" style="48" customWidth="1"/>
    <col min="6" max="6" width="11.08984375" style="48" bestFit="1" customWidth="1"/>
    <col min="7" max="16384" width="8.7265625" style="48"/>
  </cols>
  <sheetData>
    <row r="1" spans="1:16" x14ac:dyDescent="0.35">
      <c r="G1" s="74" t="s">
        <v>66</v>
      </c>
    </row>
    <row r="2" spans="1:16" x14ac:dyDescent="0.35">
      <c r="B2" s="49" t="s">
        <v>73</v>
      </c>
      <c r="C2" s="49"/>
      <c r="D2" s="49"/>
      <c r="E2" s="49"/>
      <c r="F2" s="49"/>
      <c r="G2" s="74" t="s">
        <v>67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35">
      <c r="B3" s="49" t="s">
        <v>107</v>
      </c>
      <c r="C3" s="49"/>
      <c r="D3" s="49"/>
      <c r="E3" s="49"/>
      <c r="F3" s="49"/>
      <c r="G3" s="74" t="s">
        <v>106</v>
      </c>
      <c r="H3" s="49"/>
      <c r="I3" s="49"/>
      <c r="J3" s="49"/>
      <c r="K3" s="49"/>
      <c r="L3" s="49"/>
      <c r="M3" s="49"/>
      <c r="N3" s="49"/>
      <c r="O3" s="49"/>
      <c r="P3" s="49"/>
    </row>
    <row r="4" spans="1:16" x14ac:dyDescent="0.35">
      <c r="B4" s="50" t="s">
        <v>2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35">
      <c r="B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7" spans="1:16" x14ac:dyDescent="0.35">
      <c r="B7" s="51"/>
      <c r="C7" s="76"/>
      <c r="D7" s="76"/>
      <c r="E7" s="76"/>
    </row>
    <row r="8" spans="1:16" x14ac:dyDescent="0.35">
      <c r="B8" s="51"/>
      <c r="D8" s="50"/>
      <c r="E8" s="50"/>
    </row>
    <row r="9" spans="1:16" s="7" customFormat="1" x14ac:dyDescent="0.35">
      <c r="B9" s="52" t="s">
        <v>55</v>
      </c>
      <c r="C9" s="53" t="s">
        <v>56</v>
      </c>
      <c r="D9" s="7" t="s">
        <v>57</v>
      </c>
      <c r="E9" s="53" t="s">
        <v>74</v>
      </c>
    </row>
    <row r="10" spans="1:16" s="7" customFormat="1" x14ac:dyDescent="0.35">
      <c r="B10" s="52"/>
      <c r="C10" s="53" t="s">
        <v>75</v>
      </c>
      <c r="D10" s="53" t="s">
        <v>18</v>
      </c>
      <c r="E10" s="48"/>
    </row>
    <row r="11" spans="1:16" x14ac:dyDescent="0.35">
      <c r="B11" s="54"/>
      <c r="C11" s="53" t="s">
        <v>19</v>
      </c>
      <c r="D11" s="53" t="s">
        <v>19</v>
      </c>
      <c r="E11" s="53" t="s">
        <v>22</v>
      </c>
    </row>
    <row r="12" spans="1:16" x14ac:dyDescent="0.35">
      <c r="A12" s="7" t="s">
        <v>76</v>
      </c>
      <c r="B12" s="54"/>
      <c r="C12" s="55" t="s">
        <v>23</v>
      </c>
    </row>
    <row r="13" spans="1:16" x14ac:dyDescent="0.35">
      <c r="A13" s="7" t="s">
        <v>77</v>
      </c>
      <c r="B13" s="56"/>
      <c r="C13" s="57"/>
      <c r="D13" s="57"/>
      <c r="E13" s="57"/>
    </row>
    <row r="14" spans="1:16" x14ac:dyDescent="0.35">
      <c r="B14" s="58" t="s">
        <v>78</v>
      </c>
      <c r="C14" s="59"/>
      <c r="D14" s="59"/>
      <c r="E14" s="59"/>
    </row>
    <row r="15" spans="1:16" x14ac:dyDescent="0.35">
      <c r="A15" s="7">
        <v>1</v>
      </c>
      <c r="B15" s="60" t="s">
        <v>79</v>
      </c>
      <c r="C15" s="61"/>
      <c r="D15" s="61"/>
      <c r="E15" s="61"/>
    </row>
    <row r="16" spans="1:16" x14ac:dyDescent="0.35">
      <c r="A16" s="7">
        <v>2</v>
      </c>
      <c r="B16" s="60" t="s">
        <v>80</v>
      </c>
      <c r="C16" s="62">
        <f>+'Exh. DJP-2 Pg 2 of 3'!E36</f>
        <v>1281027.22</v>
      </c>
      <c r="D16" s="62">
        <v>0</v>
      </c>
      <c r="E16" s="62">
        <f>+D16-C16</f>
        <v>-1281027.22</v>
      </c>
    </row>
    <row r="17" spans="1:6" x14ac:dyDescent="0.35">
      <c r="A17" s="7">
        <v>3</v>
      </c>
      <c r="B17" s="60" t="s">
        <v>81</v>
      </c>
      <c r="C17" s="63"/>
      <c r="D17" s="63"/>
      <c r="E17" s="63"/>
    </row>
    <row r="18" spans="1:6" x14ac:dyDescent="0.35">
      <c r="A18" s="7">
        <v>4</v>
      </c>
      <c r="B18" s="58" t="s">
        <v>82</v>
      </c>
      <c r="C18" s="64">
        <f>SUM(C15:C17)</f>
        <v>1281027.22</v>
      </c>
      <c r="D18" s="64">
        <f>SUM(D15:D17)</f>
        <v>0</v>
      </c>
      <c r="E18" s="64">
        <f>SUM(E15:E17)</f>
        <v>-1281027.22</v>
      </c>
    </row>
    <row r="19" spans="1:6" x14ac:dyDescent="0.35">
      <c r="B19" s="58"/>
      <c r="C19" s="64"/>
      <c r="D19" s="64"/>
      <c r="E19" s="64"/>
    </row>
    <row r="20" spans="1:6" x14ac:dyDescent="0.35">
      <c r="B20" s="58" t="s">
        <v>83</v>
      </c>
      <c r="C20" s="64"/>
      <c r="D20" s="64"/>
      <c r="E20" s="64"/>
    </row>
    <row r="21" spans="1:6" x14ac:dyDescent="0.35">
      <c r="A21" s="7">
        <v>5</v>
      </c>
      <c r="B21" s="60" t="s">
        <v>84</v>
      </c>
      <c r="C21" s="62"/>
      <c r="D21" s="62"/>
      <c r="E21" s="62"/>
    </row>
    <row r="22" spans="1:6" x14ac:dyDescent="0.35">
      <c r="A22" s="7">
        <v>6</v>
      </c>
      <c r="B22" s="60" t="s">
        <v>85</v>
      </c>
      <c r="C22" s="62">
        <v>51907</v>
      </c>
      <c r="D22" s="62">
        <v>0</v>
      </c>
      <c r="E22" s="62">
        <f>+D22-C22</f>
        <v>-51907</v>
      </c>
    </row>
    <row r="23" spans="1:6" x14ac:dyDescent="0.35">
      <c r="A23" s="7">
        <f t="shared" ref="A23:A34" si="0">+A22+1</f>
        <v>7</v>
      </c>
      <c r="B23" s="65" t="s">
        <v>86</v>
      </c>
      <c r="C23" s="62"/>
      <c r="D23" s="62"/>
      <c r="E23" s="62"/>
    </row>
    <row r="24" spans="1:6" x14ac:dyDescent="0.35">
      <c r="A24" s="7">
        <f t="shared" si="0"/>
        <v>8</v>
      </c>
      <c r="B24" s="65" t="s">
        <v>87</v>
      </c>
      <c r="C24" s="62"/>
      <c r="D24" s="62"/>
      <c r="E24" s="62"/>
      <c r="F24" s="66"/>
    </row>
    <row r="25" spans="1:6" x14ac:dyDescent="0.35">
      <c r="A25" s="7">
        <f t="shared" si="0"/>
        <v>9</v>
      </c>
      <c r="B25" s="65" t="s">
        <v>88</v>
      </c>
      <c r="C25" s="61">
        <v>5150</v>
      </c>
      <c r="D25" s="61">
        <v>0</v>
      </c>
      <c r="E25" s="61">
        <f>+D25-C25</f>
        <v>-5150</v>
      </c>
    </row>
    <row r="26" spans="1:6" x14ac:dyDescent="0.35">
      <c r="A26" s="7">
        <f t="shared" si="0"/>
        <v>10</v>
      </c>
      <c r="B26" s="65" t="s">
        <v>89</v>
      </c>
      <c r="C26" s="61"/>
      <c r="D26" s="67"/>
      <c r="E26" s="67"/>
    </row>
    <row r="27" spans="1:6" x14ac:dyDescent="0.35">
      <c r="A27" s="7">
        <f t="shared" si="0"/>
        <v>11</v>
      </c>
      <c r="B27" s="65" t="s">
        <v>90</v>
      </c>
      <c r="C27" s="62"/>
      <c r="D27" s="62"/>
      <c r="E27" s="62"/>
    </row>
    <row r="28" spans="1:6" x14ac:dyDescent="0.35">
      <c r="A28" s="7">
        <f t="shared" si="0"/>
        <v>12</v>
      </c>
      <c r="B28" s="65" t="s">
        <v>91</v>
      </c>
      <c r="C28" s="62"/>
      <c r="D28" s="62"/>
      <c r="E28" s="62"/>
    </row>
    <row r="29" spans="1:6" x14ac:dyDescent="0.35">
      <c r="A29" s="7">
        <f t="shared" si="0"/>
        <v>13</v>
      </c>
      <c r="B29" s="65" t="s">
        <v>92</v>
      </c>
      <c r="C29" s="62">
        <v>2842571</v>
      </c>
      <c r="D29" s="62">
        <f>+'Exh. DJP-2 Pg 3 of 3'!J37</f>
        <v>111546.63769500001</v>
      </c>
      <c r="E29" s="62">
        <f>+D29-C29</f>
        <v>-2731024.362305</v>
      </c>
    </row>
    <row r="30" spans="1:6" x14ac:dyDescent="0.35">
      <c r="A30" s="7">
        <f t="shared" si="0"/>
        <v>14</v>
      </c>
      <c r="B30" s="65" t="s">
        <v>93</v>
      </c>
      <c r="C30" s="62"/>
      <c r="D30" s="62"/>
      <c r="E30" s="62"/>
    </row>
    <row r="31" spans="1:6" x14ac:dyDescent="0.35">
      <c r="A31" s="7">
        <f t="shared" si="0"/>
        <v>15</v>
      </c>
      <c r="B31" s="65" t="s">
        <v>94</v>
      </c>
      <c r="C31" s="62">
        <v>765625</v>
      </c>
      <c r="D31" s="62">
        <f>+'Exh. DJP-2 Pg 2 of 3'!F22</f>
        <v>79460.277684507775</v>
      </c>
      <c r="E31" s="62">
        <f>+D31-C31</f>
        <v>-686164.72231549222</v>
      </c>
    </row>
    <row r="32" spans="1:6" x14ac:dyDescent="0.35">
      <c r="A32" s="7">
        <f t="shared" si="0"/>
        <v>16</v>
      </c>
      <c r="B32" s="65" t="s">
        <v>95</v>
      </c>
      <c r="C32" s="62">
        <f>(+C18-C22-C25-C29-C31)*0.21</f>
        <v>-500687.41380000004</v>
      </c>
      <c r="D32" s="62">
        <f>+(D31+D29)*-0.21</f>
        <v>-40111.452229696632</v>
      </c>
      <c r="E32" s="62">
        <f>+D32-C32</f>
        <v>460575.96157030342</v>
      </c>
    </row>
    <row r="33" spans="1:6" x14ac:dyDescent="0.35">
      <c r="A33" s="7">
        <f t="shared" si="0"/>
        <v>17</v>
      </c>
      <c r="B33" s="58" t="s">
        <v>96</v>
      </c>
      <c r="C33" s="62">
        <f>SUM(C21:C32)-0.4</f>
        <v>3164565.1861999999</v>
      </c>
      <c r="D33" s="62">
        <f>SUM(D21:D32)</f>
        <v>150895.46314981114</v>
      </c>
      <c r="E33" s="62">
        <f>+D33-C33</f>
        <v>-3013669.7230501887</v>
      </c>
    </row>
    <row r="34" spans="1:6" ht="16" thickBot="1" x14ac:dyDescent="0.4">
      <c r="A34" s="7">
        <f t="shared" si="0"/>
        <v>18</v>
      </c>
      <c r="B34" s="58" t="s">
        <v>97</v>
      </c>
      <c r="C34" s="68">
        <f>+C18-C33</f>
        <v>-1883537.9661999999</v>
      </c>
      <c r="D34" s="68">
        <f>+D18-D33</f>
        <v>-150895.46314981114</v>
      </c>
      <c r="E34" s="68">
        <f>+E18-E33</f>
        <v>1732642.5030501888</v>
      </c>
      <c r="F34" s="69"/>
    </row>
    <row r="35" spans="1:6" ht="16" thickTop="1" x14ac:dyDescent="0.35">
      <c r="B35" s="58"/>
      <c r="C35" s="62"/>
      <c r="D35" s="62"/>
      <c r="E35" s="62"/>
      <c r="F35" s="8"/>
    </row>
    <row r="36" spans="1:6" x14ac:dyDescent="0.35">
      <c r="B36" s="58" t="s">
        <v>98</v>
      </c>
      <c r="C36" s="62"/>
      <c r="D36" s="62"/>
      <c r="E36" s="62"/>
      <c r="F36" s="8"/>
    </row>
    <row r="37" spans="1:6" x14ac:dyDescent="0.35">
      <c r="A37" s="7">
        <f>+A34+1</f>
        <v>19</v>
      </c>
      <c r="B37" s="60" t="s">
        <v>99</v>
      </c>
      <c r="C37" s="62">
        <f>+'Exh. DJP-2 Pg 2 of 3'!E19</f>
        <v>66105637.280000001</v>
      </c>
      <c r="D37" s="62">
        <f>+'Exh. DJP-2 Pg 3 of 3'!H16</f>
        <v>6860763.3300000001</v>
      </c>
      <c r="E37" s="62">
        <f>+D37-C37</f>
        <v>-59244873.950000003</v>
      </c>
      <c r="F37" s="8"/>
    </row>
    <row r="38" spans="1:6" x14ac:dyDescent="0.35">
      <c r="A38" s="7">
        <f t="shared" ref="A38:A42" si="1">+A37+1</f>
        <v>20</v>
      </c>
      <c r="B38" s="60" t="s">
        <v>100</v>
      </c>
      <c r="C38" s="62">
        <f>-'Exh. DJP-2 Pg 2 of 3'!E28</f>
        <v>-1421285.33</v>
      </c>
      <c r="D38" s="62">
        <f>-'Exh. DJP-2 Pg 2 of 3'!F28</f>
        <v>-55773.318847500006</v>
      </c>
      <c r="E38" s="62">
        <f>+D38-C38</f>
        <v>1365512.0111525001</v>
      </c>
      <c r="F38" s="8"/>
    </row>
    <row r="39" spans="1:6" x14ac:dyDescent="0.35">
      <c r="A39" s="7">
        <f t="shared" si="1"/>
        <v>21</v>
      </c>
      <c r="B39" s="60" t="s">
        <v>101</v>
      </c>
      <c r="C39" s="62"/>
      <c r="D39" s="62"/>
      <c r="E39" s="62"/>
      <c r="F39" s="8"/>
    </row>
    <row r="40" spans="1:6" x14ac:dyDescent="0.35">
      <c r="A40" s="7">
        <f t="shared" si="1"/>
        <v>22</v>
      </c>
      <c r="B40" s="60" t="s">
        <v>102</v>
      </c>
      <c r="C40" s="62">
        <f>-'Exh. DJP-2 Pg 2 of 3'!E31</f>
        <v>38178.972510000007</v>
      </c>
      <c r="D40" s="62">
        <f>-'Exh. DJP-2 Pg 2 of 3'!F31</f>
        <v>-15301.858653899993</v>
      </c>
      <c r="E40" s="62">
        <f>+D40-C40</f>
        <v>-53480.831163900002</v>
      </c>
      <c r="F40" s="8"/>
    </row>
    <row r="41" spans="1:6" x14ac:dyDescent="0.35">
      <c r="A41" s="7">
        <f t="shared" si="1"/>
        <v>23</v>
      </c>
      <c r="B41" s="60" t="s">
        <v>103</v>
      </c>
      <c r="C41" s="75"/>
      <c r="D41" s="75"/>
      <c r="E41" s="75"/>
      <c r="F41" s="8"/>
    </row>
    <row r="42" spans="1:6" x14ac:dyDescent="0.35">
      <c r="A42" s="7">
        <f t="shared" si="1"/>
        <v>24</v>
      </c>
      <c r="B42" s="58" t="s">
        <v>104</v>
      </c>
      <c r="C42" s="70">
        <f>SUM(C37:C41)</f>
        <v>64722530.922510006</v>
      </c>
      <c r="D42" s="70">
        <f>SUM(D37:D41)</f>
        <v>6789688.1524986001</v>
      </c>
      <c r="E42" s="70">
        <f>+D42-C42</f>
        <v>-57932842.770011403</v>
      </c>
      <c r="F42" s="8"/>
    </row>
    <row r="43" spans="1:6" x14ac:dyDescent="0.35">
      <c r="B43" s="71"/>
      <c r="C43" s="72"/>
      <c r="D43" s="72"/>
      <c r="E43" s="72"/>
      <c r="F43" s="8"/>
    </row>
    <row r="44" spans="1:6" x14ac:dyDescent="0.35">
      <c r="A44" s="7">
        <f>+A42+1</f>
        <v>25</v>
      </c>
      <c r="B44" s="71" t="s">
        <v>105</v>
      </c>
      <c r="C44" s="73">
        <f>((+C42*0.07544)-C34)/'[1]Exh KMH-5 - Conversion Factor'!$C$25</f>
        <v>8964076.2511736806</v>
      </c>
      <c r="D44" s="73">
        <f>((+D42*'[1]Capital Structure Calculation'!$J$14)-D34)/'[1]Exh KMH-5 - Conversion Factor'!$C$25</f>
        <v>823187.39887845074</v>
      </c>
      <c r="E44" s="73">
        <f>D44-C44</f>
        <v>-8140888.8522952301</v>
      </c>
      <c r="F44" s="69"/>
    </row>
  </sheetData>
  <mergeCells count="1">
    <mergeCell ref="C7:E7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D9FD-1046-4ABD-AE80-2415A7316735}">
  <sheetPr>
    <pageSetUpPr fitToPage="1"/>
  </sheetPr>
  <dimension ref="A1:G50"/>
  <sheetViews>
    <sheetView zoomScale="110" zoomScaleNormal="110" workbookViewId="0">
      <pane xSplit="4" ySplit="16" topLeftCell="E17" activePane="bottomRight" state="frozen"/>
      <selection pane="topRight" activeCell="E1" sqref="E1"/>
      <selection pane="bottomLeft" activeCell="A9" sqref="A9"/>
      <selection pane="bottomRight" activeCell="G1" sqref="G1:G3"/>
    </sheetView>
  </sheetViews>
  <sheetFormatPr defaultRowHeight="14.5" x14ac:dyDescent="0.35"/>
  <cols>
    <col min="1" max="1" width="3.81640625" style="3" customWidth="1"/>
    <col min="2" max="2" width="36.1796875" bestFit="1" customWidth="1"/>
    <col min="4" max="4" width="22.1796875" bestFit="1" customWidth="1"/>
    <col min="5" max="5" width="21.54296875" style="2" bestFit="1" customWidth="1"/>
    <col min="6" max="6" width="14.54296875" style="2" bestFit="1" customWidth="1"/>
    <col min="7" max="7" width="16" style="1" bestFit="1" customWidth="1"/>
  </cols>
  <sheetData>
    <row r="1" spans="1:7" ht="15.5" x14ac:dyDescent="0.35">
      <c r="G1" s="74" t="s">
        <v>66</v>
      </c>
    </row>
    <row r="2" spans="1:7" ht="15.5" x14ac:dyDescent="0.35">
      <c r="G2" s="74" t="s">
        <v>67</v>
      </c>
    </row>
    <row r="3" spans="1:7" ht="15.5" x14ac:dyDescent="0.35">
      <c r="G3" s="74" t="s">
        <v>68</v>
      </c>
    </row>
    <row r="6" spans="1:7" x14ac:dyDescent="0.35">
      <c r="D6" s="77" t="s">
        <v>0</v>
      </c>
      <c r="E6" s="77"/>
    </row>
    <row r="7" spans="1:7" x14ac:dyDescent="0.35">
      <c r="D7" s="77" t="s">
        <v>1</v>
      </c>
      <c r="E7" s="77"/>
    </row>
    <row r="8" spans="1:7" x14ac:dyDescent="0.35">
      <c r="D8" s="77" t="s">
        <v>54</v>
      </c>
      <c r="E8" s="77"/>
    </row>
    <row r="11" spans="1:7" x14ac:dyDescent="0.35">
      <c r="B11" t="s">
        <v>2</v>
      </c>
    </row>
    <row r="13" spans="1:7" x14ac:dyDescent="0.35">
      <c r="B13" s="3" t="s">
        <v>55</v>
      </c>
      <c r="C13" s="3" t="s">
        <v>56</v>
      </c>
      <c r="D13" s="3" t="s">
        <v>57</v>
      </c>
      <c r="E13" s="4" t="s">
        <v>58</v>
      </c>
      <c r="F13" s="4" t="s">
        <v>59</v>
      </c>
      <c r="G13" s="5" t="s">
        <v>65</v>
      </c>
    </row>
    <row r="14" spans="1:7" s="3" customFormat="1" x14ac:dyDescent="0.35">
      <c r="E14" s="4" t="s">
        <v>21</v>
      </c>
      <c r="F14" s="4" t="s">
        <v>18</v>
      </c>
      <c r="G14" s="1"/>
    </row>
    <row r="15" spans="1:7" s="3" customFormat="1" x14ac:dyDescent="0.35">
      <c r="E15" s="4" t="s">
        <v>20</v>
      </c>
      <c r="F15" s="4" t="s">
        <v>19</v>
      </c>
      <c r="G15" s="5"/>
    </row>
    <row r="16" spans="1:7" x14ac:dyDescent="0.35">
      <c r="A16" s="3" t="s">
        <v>3</v>
      </c>
      <c r="B16" s="41"/>
      <c r="C16" s="41"/>
      <c r="D16" s="41"/>
      <c r="E16" s="42" t="s">
        <v>23</v>
      </c>
      <c r="F16" s="39" t="s">
        <v>20</v>
      </c>
      <c r="G16" s="40" t="s">
        <v>22</v>
      </c>
    </row>
    <row r="17" spans="1:7" x14ac:dyDescent="0.35">
      <c r="B17" s="41"/>
      <c r="C17" s="41"/>
      <c r="D17" s="41"/>
      <c r="E17" s="42"/>
      <c r="F17" s="39"/>
      <c r="G17" s="40"/>
    </row>
    <row r="18" spans="1:7" x14ac:dyDescent="0.35">
      <c r="B18" s="41"/>
      <c r="C18" s="41"/>
      <c r="D18" s="41"/>
      <c r="E18" s="42"/>
      <c r="F18" s="39"/>
      <c r="G18" s="40"/>
    </row>
    <row r="19" spans="1:7" x14ac:dyDescent="0.35">
      <c r="A19" s="3">
        <v>1</v>
      </c>
      <c r="B19" t="s">
        <v>17</v>
      </c>
      <c r="E19" s="6">
        <v>66105637.280000001</v>
      </c>
      <c r="F19" s="6">
        <v>6860763.3299999991</v>
      </c>
      <c r="G19" s="6">
        <f>+F19-E19</f>
        <v>-59244873.950000003</v>
      </c>
    </row>
    <row r="21" spans="1:7" x14ac:dyDescent="0.35">
      <c r="A21" s="3">
        <v>2</v>
      </c>
      <c r="B21" t="s">
        <v>4</v>
      </c>
      <c r="C21">
        <v>1.1581842116175691E-2</v>
      </c>
    </row>
    <row r="22" spans="1:7" x14ac:dyDescent="0.35">
      <c r="A22" s="3">
        <v>3</v>
      </c>
      <c r="B22" t="s">
        <v>5</v>
      </c>
      <c r="D22" t="s">
        <v>25</v>
      </c>
      <c r="E22" s="2">
        <f>+E19*C21</f>
        <v>765625.05396613781</v>
      </c>
      <c r="F22" s="2">
        <f>+F19*C21</f>
        <v>79460.277684507775</v>
      </c>
      <c r="G22" s="2">
        <f>+F22-E22</f>
        <v>-686164.77628163004</v>
      </c>
    </row>
    <row r="23" spans="1:7" x14ac:dyDescent="0.35">
      <c r="G23" s="2"/>
    </row>
    <row r="24" spans="1:7" x14ac:dyDescent="0.35">
      <c r="G24" s="2"/>
    </row>
    <row r="25" spans="1:7" x14ac:dyDescent="0.35">
      <c r="A25" s="3">
        <v>4</v>
      </c>
      <c r="B25" t="s">
        <v>6</v>
      </c>
      <c r="D25" t="s">
        <v>7</v>
      </c>
      <c r="E25" s="2">
        <f>+E19</f>
        <v>66105637.280000001</v>
      </c>
      <c r="F25" s="2">
        <f>+F19</f>
        <v>6860763.3299999991</v>
      </c>
      <c r="G25" s="2">
        <f>+F25-E25</f>
        <v>-59244873.950000003</v>
      </c>
    </row>
    <row r="26" spans="1:7" x14ac:dyDescent="0.35">
      <c r="G26" s="2"/>
    </row>
    <row r="27" spans="1:7" x14ac:dyDescent="0.35">
      <c r="A27" s="3">
        <v>5</v>
      </c>
      <c r="B27" t="s">
        <v>8</v>
      </c>
      <c r="C27" t="s">
        <v>27</v>
      </c>
      <c r="D27" t="s">
        <v>26</v>
      </c>
      <c r="E27" s="2">
        <v>2842570.66</v>
      </c>
      <c r="F27" s="2">
        <v>111546.63769500001</v>
      </c>
      <c r="G27" s="2">
        <f>+F27-E27</f>
        <v>-2731024.0223050001</v>
      </c>
    </row>
    <row r="28" spans="1:7" x14ac:dyDescent="0.35">
      <c r="A28" s="3">
        <v>6</v>
      </c>
      <c r="B28" t="s">
        <v>9</v>
      </c>
      <c r="D28" t="s">
        <v>28</v>
      </c>
      <c r="E28" s="2">
        <f>+E27/2</f>
        <v>1421285.33</v>
      </c>
      <c r="F28" s="2">
        <f>+F27/2</f>
        <v>55773.318847500006</v>
      </c>
      <c r="G28" s="2">
        <f t="shared" ref="G28:G34" si="0">+F28-E28</f>
        <v>-1365512.0111525001</v>
      </c>
    </row>
    <row r="29" spans="1:7" x14ac:dyDescent="0.35">
      <c r="A29" s="3">
        <v>7</v>
      </c>
      <c r="B29" t="s">
        <v>10</v>
      </c>
      <c r="D29" t="s">
        <v>29</v>
      </c>
      <c r="E29" s="2">
        <f>+E25*0.0375</f>
        <v>2478961.398</v>
      </c>
      <c r="F29" s="2">
        <f>+F25*0.0375</f>
        <v>257278.62487499995</v>
      </c>
      <c r="G29" s="2">
        <f t="shared" si="0"/>
        <v>-2221682.7731250003</v>
      </c>
    </row>
    <row r="30" spans="1:7" x14ac:dyDescent="0.35">
      <c r="A30" s="3">
        <v>8</v>
      </c>
      <c r="B30" t="s">
        <v>11</v>
      </c>
      <c r="D30" t="s">
        <v>30</v>
      </c>
      <c r="E30" s="2">
        <f>+(E29-E27)*0.21</f>
        <v>-76357.945020000014</v>
      </c>
      <c r="F30" s="2">
        <f>+(F29-F27)*0.21</f>
        <v>30603.717307799987</v>
      </c>
      <c r="G30" s="2">
        <f t="shared" si="0"/>
        <v>106961.6623278</v>
      </c>
    </row>
    <row r="31" spans="1:7" x14ac:dyDescent="0.35">
      <c r="A31" s="3">
        <v>9</v>
      </c>
      <c r="B31" t="s">
        <v>12</v>
      </c>
      <c r="D31" t="s">
        <v>31</v>
      </c>
      <c r="E31" s="2">
        <f>+E30/2</f>
        <v>-38178.972510000007</v>
      </c>
      <c r="F31" s="2">
        <f>+F30/2</f>
        <v>15301.858653899993</v>
      </c>
      <c r="G31" s="2">
        <f t="shared" si="0"/>
        <v>53480.831163900002</v>
      </c>
    </row>
    <row r="32" spans="1:7" x14ac:dyDescent="0.35">
      <c r="A32" s="3">
        <v>10</v>
      </c>
      <c r="B32" t="s">
        <v>13</v>
      </c>
      <c r="D32" t="s">
        <v>32</v>
      </c>
      <c r="E32" s="47">
        <f>+E27*0.21</f>
        <v>596939.83860000002</v>
      </c>
      <c r="F32" s="47">
        <f>+F27*0.21</f>
        <v>23424.793915950002</v>
      </c>
      <c r="G32" s="47">
        <f t="shared" si="0"/>
        <v>-573515.04468405002</v>
      </c>
    </row>
    <row r="33" spans="1:7" x14ac:dyDescent="0.35">
      <c r="G33" s="2">
        <f t="shared" si="0"/>
        <v>0</v>
      </c>
    </row>
    <row r="34" spans="1:7" x14ac:dyDescent="0.35">
      <c r="A34" s="3">
        <v>11</v>
      </c>
      <c r="B34" t="s">
        <v>14</v>
      </c>
      <c r="D34" t="s">
        <v>33</v>
      </c>
      <c r="E34" s="6">
        <f>+E25-E28-E31</f>
        <v>64722530.922510006</v>
      </c>
      <c r="F34" s="6">
        <f>+F25-F28-F31</f>
        <v>6789688.1524985991</v>
      </c>
      <c r="G34" s="6">
        <f t="shared" si="0"/>
        <v>-57932842.77001141</v>
      </c>
    </row>
    <row r="35" spans="1:7" x14ac:dyDescent="0.35">
      <c r="G35" s="2"/>
    </row>
    <row r="36" spans="1:7" x14ac:dyDescent="0.35">
      <c r="A36" s="3">
        <v>12</v>
      </c>
      <c r="B36" t="s">
        <v>15</v>
      </c>
      <c r="E36" s="2">
        <v>1281027.22</v>
      </c>
      <c r="F36" s="2">
        <v>0</v>
      </c>
      <c r="G36" s="2">
        <v>0</v>
      </c>
    </row>
    <row r="37" spans="1:7" x14ac:dyDescent="0.35">
      <c r="B37" t="s">
        <v>16</v>
      </c>
      <c r="G37" s="2"/>
    </row>
    <row r="38" spans="1:7" x14ac:dyDescent="0.35">
      <c r="G38" s="2"/>
    </row>
    <row r="39" spans="1:7" x14ac:dyDescent="0.35">
      <c r="A39" s="3">
        <v>13</v>
      </c>
      <c r="B39" t="s">
        <v>24</v>
      </c>
      <c r="E39" s="2">
        <v>8964076</v>
      </c>
      <c r="F39" s="2">
        <v>823187.39887845062</v>
      </c>
      <c r="G39" s="2">
        <f>+F39-E39</f>
        <v>-8140888.6011215495</v>
      </c>
    </row>
    <row r="40" spans="1:7" x14ac:dyDescent="0.35">
      <c r="G40" s="2"/>
    </row>
    <row r="41" spans="1:7" x14ac:dyDescent="0.35">
      <c r="G41" s="2"/>
    </row>
    <row r="42" spans="1:7" x14ac:dyDescent="0.35">
      <c r="G42" s="2"/>
    </row>
    <row r="43" spans="1:7" x14ac:dyDescent="0.35">
      <c r="G43" s="2"/>
    </row>
    <row r="44" spans="1:7" x14ac:dyDescent="0.35">
      <c r="G44" s="2"/>
    </row>
    <row r="45" spans="1:7" x14ac:dyDescent="0.35">
      <c r="G45" s="2"/>
    </row>
    <row r="46" spans="1:7" x14ac:dyDescent="0.35">
      <c r="G46" s="2"/>
    </row>
    <row r="47" spans="1:7" x14ac:dyDescent="0.35">
      <c r="G47" s="2"/>
    </row>
    <row r="48" spans="1:7" x14ac:dyDescent="0.35">
      <c r="G48" s="2"/>
    </row>
    <row r="49" spans="7:7" x14ac:dyDescent="0.35">
      <c r="G49" s="2"/>
    </row>
    <row r="50" spans="7:7" x14ac:dyDescent="0.35">
      <c r="G50" s="2"/>
    </row>
  </sheetData>
  <mergeCells count="3">
    <mergeCell ref="D6:E6"/>
    <mergeCell ref="D7:E7"/>
    <mergeCell ref="D8:E8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8FFA-0A2A-4601-B585-C1AD9B1DE802}">
  <sheetPr>
    <pageSetUpPr fitToPage="1"/>
  </sheetPr>
  <dimension ref="A1:L39"/>
  <sheetViews>
    <sheetView workbookViewId="0">
      <selection activeCell="K1" sqref="K1:K3"/>
    </sheetView>
  </sheetViews>
  <sheetFormatPr defaultColWidth="9.1796875" defaultRowHeight="15.5" x14ac:dyDescent="0.35"/>
  <cols>
    <col min="1" max="1" width="9.1796875" style="7"/>
    <col min="2" max="2" width="14.1796875" style="8" bestFit="1" customWidth="1"/>
    <col min="3" max="3" width="52.26953125" style="8" customWidth="1"/>
    <col min="4" max="4" width="17.26953125" style="8" bestFit="1" customWidth="1"/>
    <col min="5" max="5" width="18.81640625" style="8" bestFit="1" customWidth="1"/>
    <col min="6" max="6" width="9.81640625" style="8" bestFit="1" customWidth="1"/>
    <col min="7" max="7" width="22.1796875" style="8" bestFit="1" customWidth="1"/>
    <col min="8" max="8" width="18" style="8" bestFit="1" customWidth="1"/>
    <col min="9" max="9" width="12.26953125" style="8" bestFit="1" customWidth="1"/>
    <col min="10" max="10" width="16" style="9" bestFit="1" customWidth="1"/>
    <col min="11" max="11" width="14.54296875" style="8" bestFit="1" customWidth="1"/>
    <col min="12" max="12" width="9.1796875" style="8"/>
    <col min="13" max="13" width="16.453125" style="8" bestFit="1" customWidth="1"/>
    <col min="14" max="14" width="15" style="8" bestFit="1" customWidth="1"/>
    <col min="15" max="16" width="9.1796875" style="8"/>
    <col min="17" max="17" width="12.453125" style="8" bestFit="1" customWidth="1"/>
    <col min="18" max="16384" width="9.1796875" style="8"/>
  </cols>
  <sheetData>
    <row r="1" spans="1:11" x14ac:dyDescent="0.35">
      <c r="K1" s="74" t="s">
        <v>66</v>
      </c>
    </row>
    <row r="2" spans="1:11" x14ac:dyDescent="0.35">
      <c r="K2" s="74" t="s">
        <v>67</v>
      </c>
    </row>
    <row r="3" spans="1:11" x14ac:dyDescent="0.35">
      <c r="K3" s="74" t="s">
        <v>69</v>
      </c>
    </row>
    <row r="4" spans="1:11" x14ac:dyDescent="0.35">
      <c r="K4" s="10"/>
    </row>
    <row r="5" spans="1:11" x14ac:dyDescent="0.35">
      <c r="E5" s="79" t="s">
        <v>0</v>
      </c>
      <c r="F5" s="79"/>
      <c r="G5" s="79"/>
    </row>
    <row r="6" spans="1:11" x14ac:dyDescent="0.35">
      <c r="D6" s="78" t="s">
        <v>1</v>
      </c>
      <c r="E6" s="78"/>
      <c r="F6" s="78"/>
      <c r="G6" s="78"/>
      <c r="H6" s="78"/>
      <c r="K6" s="10"/>
    </row>
    <row r="7" spans="1:11" x14ac:dyDescent="0.35">
      <c r="D7" s="78" t="s">
        <v>2</v>
      </c>
      <c r="E7" s="78"/>
      <c r="F7" s="78"/>
      <c r="G7" s="78"/>
      <c r="H7" s="78"/>
      <c r="K7" s="10"/>
    </row>
    <row r="8" spans="1:11" x14ac:dyDescent="0.35">
      <c r="K8" s="10"/>
    </row>
    <row r="10" spans="1:11" s="7" customFormat="1" x14ac:dyDescent="0.35">
      <c r="B10" s="7" t="s">
        <v>55</v>
      </c>
      <c r="C10" s="7" t="s">
        <v>56</v>
      </c>
      <c r="D10" s="7" t="s">
        <v>57</v>
      </c>
      <c r="E10" s="7" t="s">
        <v>58</v>
      </c>
      <c r="F10" s="11" t="s">
        <v>59</v>
      </c>
      <c r="G10" s="7" t="s">
        <v>60</v>
      </c>
      <c r="H10" s="7" t="s">
        <v>61</v>
      </c>
      <c r="I10" s="7" t="s">
        <v>62</v>
      </c>
      <c r="J10" s="12" t="s">
        <v>63</v>
      </c>
      <c r="K10" s="7" t="s">
        <v>64</v>
      </c>
    </row>
    <row r="11" spans="1:11" ht="45" x14ac:dyDescent="0.35">
      <c r="A11" s="13" t="s">
        <v>34</v>
      </c>
      <c r="B11" s="14" t="s">
        <v>35</v>
      </c>
      <c r="C11" s="14" t="s">
        <v>36</v>
      </c>
      <c r="D11" s="15" t="s">
        <v>37</v>
      </c>
      <c r="E11" s="16" t="s">
        <v>70</v>
      </c>
      <c r="F11" s="14" t="s">
        <v>38</v>
      </c>
      <c r="G11" s="14" t="s">
        <v>39</v>
      </c>
      <c r="H11" s="14" t="s">
        <v>71</v>
      </c>
      <c r="I11" s="14"/>
      <c r="J11" s="17"/>
      <c r="K11" s="38" t="s">
        <v>72</v>
      </c>
    </row>
    <row r="12" spans="1:11" x14ac:dyDescent="0.35">
      <c r="A12" s="7">
        <v>1</v>
      </c>
      <c r="B12" s="18" t="s">
        <v>40</v>
      </c>
      <c r="C12" s="18" t="s">
        <v>41</v>
      </c>
      <c r="D12" s="19">
        <v>376.2</v>
      </c>
      <c r="E12" s="44">
        <v>4130605.97</v>
      </c>
      <c r="F12" s="18"/>
      <c r="G12" s="45">
        <f>+E12</f>
        <v>4130605.97</v>
      </c>
      <c r="H12" s="45">
        <f>+G12</f>
        <v>4130605.97</v>
      </c>
      <c r="I12" s="22"/>
      <c r="J12" s="23"/>
      <c r="K12" s="9">
        <v>43857</v>
      </c>
    </row>
    <row r="13" spans="1:11" x14ac:dyDescent="0.35">
      <c r="A13" s="7">
        <v>2</v>
      </c>
      <c r="B13" s="18" t="s">
        <v>40</v>
      </c>
      <c r="C13" s="8" t="s">
        <v>42</v>
      </c>
      <c r="D13" s="19">
        <v>376.2</v>
      </c>
      <c r="E13" s="20">
        <v>1512200.81</v>
      </c>
      <c r="F13" s="18"/>
      <c r="G13" s="21">
        <f>+E13</f>
        <v>1512200.81</v>
      </c>
      <c r="H13" s="21">
        <f>+G13</f>
        <v>1512200.81</v>
      </c>
      <c r="I13" s="22"/>
      <c r="K13" s="9">
        <v>43853</v>
      </c>
    </row>
    <row r="14" spans="1:11" x14ac:dyDescent="0.35">
      <c r="A14" s="7">
        <v>3</v>
      </c>
      <c r="B14" s="18" t="s">
        <v>40</v>
      </c>
      <c r="C14" s="8" t="s">
        <v>43</v>
      </c>
      <c r="D14" s="19">
        <v>376.3</v>
      </c>
      <c r="E14" s="20">
        <v>212170.31</v>
      </c>
      <c r="F14" s="18"/>
      <c r="G14" s="21">
        <f>+E14</f>
        <v>212170.31</v>
      </c>
      <c r="H14" s="21">
        <f>+G14</f>
        <v>212170.31</v>
      </c>
      <c r="I14" s="22"/>
      <c r="K14" s="9">
        <v>40247</v>
      </c>
    </row>
    <row r="15" spans="1:11" x14ac:dyDescent="0.35">
      <c r="A15" s="7">
        <v>4</v>
      </c>
      <c r="B15" s="18" t="s">
        <v>40</v>
      </c>
      <c r="C15" s="18" t="s">
        <v>44</v>
      </c>
      <c r="D15" s="19">
        <v>378</v>
      </c>
      <c r="E15" s="20">
        <v>1005786.24</v>
      </c>
      <c r="F15" s="18"/>
      <c r="G15" s="21">
        <f>+E15</f>
        <v>1005786.24</v>
      </c>
      <c r="H15" s="24">
        <f>+G15</f>
        <v>1005786.24</v>
      </c>
      <c r="I15" s="22"/>
      <c r="K15" s="9">
        <v>44043</v>
      </c>
    </row>
    <row r="16" spans="1:11" x14ac:dyDescent="0.35">
      <c r="B16" s="18"/>
      <c r="C16" s="18"/>
      <c r="D16" s="19"/>
      <c r="E16" s="25"/>
      <c r="F16" s="18"/>
      <c r="G16" s="21"/>
      <c r="H16" s="46">
        <f>SUM(H12:H15)</f>
        <v>6860763.3300000001</v>
      </c>
      <c r="I16" s="22"/>
    </row>
    <row r="17" spans="1:12" x14ac:dyDescent="0.35">
      <c r="B17" s="18"/>
      <c r="C17" s="18"/>
      <c r="D17" s="19"/>
      <c r="E17" s="19"/>
      <c r="F17" s="18"/>
      <c r="G17" s="18"/>
      <c r="H17" s="21"/>
      <c r="I17" s="18"/>
      <c r="J17" s="23"/>
    </row>
    <row r="18" spans="1:12" x14ac:dyDescent="0.35">
      <c r="B18" s="18"/>
      <c r="C18" s="18"/>
      <c r="D18" s="19"/>
      <c r="E18" s="19"/>
      <c r="F18" s="18"/>
      <c r="G18" s="34"/>
      <c r="H18" s="24"/>
      <c r="I18" s="34"/>
      <c r="J18" s="43"/>
    </row>
    <row r="19" spans="1:12" x14ac:dyDescent="0.35">
      <c r="B19" s="26"/>
      <c r="C19" s="18"/>
      <c r="D19" s="19"/>
      <c r="E19" s="19"/>
      <c r="F19" s="18"/>
      <c r="G19" s="22" t="s">
        <v>45</v>
      </c>
      <c r="H19" s="22" t="s">
        <v>46</v>
      </c>
      <c r="I19" s="22" t="s">
        <v>47</v>
      </c>
      <c r="J19" s="27" t="s">
        <v>48</v>
      </c>
    </row>
    <row r="20" spans="1:12" x14ac:dyDescent="0.35">
      <c r="B20" s="22"/>
      <c r="C20" s="18"/>
      <c r="D20" s="19"/>
      <c r="F20" s="18"/>
      <c r="G20" s="28" t="s">
        <v>49</v>
      </c>
      <c r="H20" s="28" t="s">
        <v>50</v>
      </c>
      <c r="I20" s="29" t="s">
        <v>51</v>
      </c>
      <c r="J20" s="30" t="s">
        <v>52</v>
      </c>
    </row>
    <row r="21" spans="1:12" x14ac:dyDescent="0.35">
      <c r="A21" s="7">
        <v>5</v>
      </c>
      <c r="B21" s="22"/>
      <c r="C21" s="26"/>
      <c r="D21" s="19"/>
      <c r="E21" s="19"/>
      <c r="F21" s="18"/>
      <c r="G21" s="18">
        <v>303</v>
      </c>
      <c r="H21" s="21"/>
      <c r="I21" s="31">
        <v>0.12809999999999999</v>
      </c>
      <c r="J21" s="32">
        <f>+H21*I21</f>
        <v>0</v>
      </c>
    </row>
    <row r="22" spans="1:12" x14ac:dyDescent="0.35">
      <c r="A22" s="7">
        <v>6</v>
      </c>
      <c r="B22" s="26"/>
      <c r="F22" s="18"/>
      <c r="G22" s="18">
        <v>367.1</v>
      </c>
      <c r="H22" s="21"/>
      <c r="I22" s="31">
        <v>1.4999999999999999E-2</v>
      </c>
      <c r="J22" s="32">
        <f t="shared" ref="J22:J36" si="0">+H22*I22</f>
        <v>0</v>
      </c>
      <c r="L22" s="33"/>
    </row>
    <row r="23" spans="1:12" x14ac:dyDescent="0.35">
      <c r="A23" s="7">
        <v>7</v>
      </c>
      <c r="B23" s="26"/>
      <c r="C23" s="26"/>
      <c r="D23" s="19"/>
      <c r="E23" s="19"/>
      <c r="F23" s="18"/>
      <c r="G23" s="18">
        <v>374.2</v>
      </c>
      <c r="H23" s="21"/>
      <c r="I23" s="31">
        <v>1.6399999999999998E-2</v>
      </c>
      <c r="J23" s="32">
        <f t="shared" si="0"/>
        <v>0</v>
      </c>
      <c r="L23" s="33"/>
    </row>
    <row r="24" spans="1:12" x14ac:dyDescent="0.35">
      <c r="A24" s="7">
        <v>8</v>
      </c>
      <c r="B24" s="26"/>
      <c r="C24" s="18"/>
      <c r="D24" s="19"/>
      <c r="E24" s="19"/>
      <c r="F24" s="18"/>
      <c r="G24" s="18">
        <v>376.1</v>
      </c>
      <c r="H24" s="21"/>
      <c r="I24" s="31">
        <v>3.56E-2</v>
      </c>
      <c r="J24" s="32">
        <f t="shared" si="0"/>
        <v>0</v>
      </c>
      <c r="L24" s="33"/>
    </row>
    <row r="25" spans="1:12" x14ac:dyDescent="0.35">
      <c r="A25" s="7">
        <v>9</v>
      </c>
      <c r="B25" s="26"/>
      <c r="C25" s="18"/>
      <c r="D25" s="19"/>
      <c r="E25" s="19"/>
      <c r="F25" s="18"/>
      <c r="G25" s="18">
        <v>376.2</v>
      </c>
      <c r="H25" s="45">
        <f>E12+E13</f>
        <v>5642806.7800000003</v>
      </c>
      <c r="I25" s="31">
        <v>1.52E-2</v>
      </c>
      <c r="J25" s="45">
        <f t="shared" si="0"/>
        <v>85770.663056000005</v>
      </c>
      <c r="L25" s="33"/>
    </row>
    <row r="26" spans="1:12" x14ac:dyDescent="0.35">
      <c r="A26" s="7">
        <v>10</v>
      </c>
      <c r="B26" s="26"/>
      <c r="C26" s="18"/>
      <c r="D26" s="19"/>
      <c r="E26" s="19"/>
      <c r="F26" s="18"/>
      <c r="G26" s="18">
        <v>376.3</v>
      </c>
      <c r="H26" s="21">
        <f>E14</f>
        <v>212170.31</v>
      </c>
      <c r="I26" s="31">
        <v>2.81E-2</v>
      </c>
      <c r="J26" s="32">
        <f t="shared" si="0"/>
        <v>5961.9857110000003</v>
      </c>
      <c r="L26" s="33"/>
    </row>
    <row r="27" spans="1:12" x14ac:dyDescent="0.35">
      <c r="A27" s="7">
        <v>11</v>
      </c>
      <c r="B27" s="26"/>
      <c r="C27" s="18"/>
      <c r="D27" s="19"/>
      <c r="E27" s="19"/>
      <c r="F27" s="18"/>
      <c r="G27" s="18">
        <v>378</v>
      </c>
      <c r="H27" s="21">
        <f>E15</f>
        <v>1005786.24</v>
      </c>
      <c r="I27" s="31">
        <v>1.9699999999999999E-2</v>
      </c>
      <c r="J27" s="32">
        <f t="shared" si="0"/>
        <v>19813.988927999999</v>
      </c>
      <c r="L27" s="33"/>
    </row>
    <row r="28" spans="1:12" x14ac:dyDescent="0.35">
      <c r="A28" s="7">
        <v>12</v>
      </c>
      <c r="B28" s="26"/>
      <c r="C28" s="18"/>
      <c r="D28" s="19"/>
      <c r="E28" s="19"/>
      <c r="F28" s="18"/>
      <c r="G28" s="18">
        <v>380.1</v>
      </c>
      <c r="H28" s="21"/>
      <c r="I28" s="31">
        <v>3.4700000000000002E-2</v>
      </c>
      <c r="J28" s="32">
        <f t="shared" si="0"/>
        <v>0</v>
      </c>
      <c r="L28" s="33"/>
    </row>
    <row r="29" spans="1:12" x14ac:dyDescent="0.35">
      <c r="A29" s="7">
        <v>13</v>
      </c>
      <c r="B29" s="18"/>
      <c r="C29" s="18"/>
      <c r="D29" s="19"/>
      <c r="E29" s="19"/>
      <c r="F29" s="18"/>
      <c r="G29" s="8">
        <v>380.3</v>
      </c>
      <c r="H29" s="21"/>
      <c r="I29" s="33">
        <v>3.3599999999999998E-2</v>
      </c>
      <c r="J29" s="32">
        <f t="shared" si="0"/>
        <v>0</v>
      </c>
      <c r="L29" s="33"/>
    </row>
    <row r="30" spans="1:12" x14ac:dyDescent="0.35">
      <c r="A30" s="7">
        <v>14</v>
      </c>
      <c r="B30" s="18"/>
      <c r="C30" s="18"/>
      <c r="D30" s="19"/>
      <c r="E30" s="19"/>
      <c r="F30" s="18"/>
      <c r="G30" s="18">
        <v>381</v>
      </c>
      <c r="H30" s="21"/>
      <c r="I30" s="31">
        <v>2.6099999999999998E-2</v>
      </c>
      <c r="J30" s="32">
        <f t="shared" si="0"/>
        <v>0</v>
      </c>
      <c r="L30" s="33"/>
    </row>
    <row r="31" spans="1:12" x14ac:dyDescent="0.35">
      <c r="A31" s="7">
        <v>15</v>
      </c>
      <c r="B31" s="18"/>
      <c r="C31" s="18"/>
      <c r="D31" s="19"/>
      <c r="E31" s="19"/>
      <c r="F31" s="18"/>
      <c r="G31" s="18">
        <v>383</v>
      </c>
      <c r="H31" s="21"/>
      <c r="I31" s="31">
        <v>2.1600000000000001E-2</v>
      </c>
      <c r="J31" s="32">
        <f t="shared" si="0"/>
        <v>0</v>
      </c>
      <c r="L31" s="33"/>
    </row>
    <row r="32" spans="1:12" x14ac:dyDescent="0.35">
      <c r="A32" s="7">
        <v>16</v>
      </c>
      <c r="B32" s="18"/>
      <c r="C32" s="18"/>
      <c r="D32" s="19"/>
      <c r="E32" s="19"/>
      <c r="F32" s="18"/>
      <c r="G32" s="18">
        <v>385</v>
      </c>
      <c r="H32" s="21"/>
      <c r="I32" s="31">
        <v>1.7000000000000001E-2</v>
      </c>
      <c r="J32" s="32">
        <f t="shared" si="0"/>
        <v>0</v>
      </c>
      <c r="L32" s="33"/>
    </row>
    <row r="33" spans="1:12" x14ac:dyDescent="0.35">
      <c r="A33" s="7">
        <v>17</v>
      </c>
      <c r="B33" s="18"/>
      <c r="C33" s="18"/>
      <c r="D33" s="19"/>
      <c r="E33" s="19"/>
      <c r="F33" s="18"/>
      <c r="G33" s="18">
        <v>390.1</v>
      </c>
      <c r="H33" s="21"/>
      <c r="I33" s="31">
        <v>1.44E-2</v>
      </c>
      <c r="J33" s="32">
        <f t="shared" si="0"/>
        <v>0</v>
      </c>
      <c r="L33" s="33"/>
    </row>
    <row r="34" spans="1:12" x14ac:dyDescent="0.35">
      <c r="A34" s="7">
        <v>18</v>
      </c>
      <c r="B34" s="18"/>
      <c r="C34" s="18"/>
      <c r="D34" s="19"/>
      <c r="E34" s="19"/>
      <c r="F34" s="18"/>
      <c r="G34" s="18">
        <v>394.1</v>
      </c>
      <c r="H34" s="21"/>
      <c r="I34" s="31">
        <v>0.1066</v>
      </c>
      <c r="J34" s="32">
        <f t="shared" si="0"/>
        <v>0</v>
      </c>
      <c r="L34" s="33"/>
    </row>
    <row r="35" spans="1:12" x14ac:dyDescent="0.35">
      <c r="A35" s="7">
        <v>19</v>
      </c>
      <c r="B35" s="18"/>
      <c r="C35" s="18"/>
      <c r="D35" s="19"/>
      <c r="E35" s="19"/>
      <c r="F35" s="18"/>
      <c r="G35" s="18">
        <v>396.2</v>
      </c>
      <c r="H35" s="21"/>
      <c r="I35" s="31">
        <v>9.6300000000000011E-2</v>
      </c>
      <c r="J35" s="32">
        <f t="shared" si="0"/>
        <v>0</v>
      </c>
      <c r="L35" s="33"/>
    </row>
    <row r="36" spans="1:12" x14ac:dyDescent="0.35">
      <c r="A36" s="7">
        <v>20</v>
      </c>
      <c r="B36" s="18"/>
      <c r="C36" s="18"/>
      <c r="D36" s="19"/>
      <c r="E36" s="19"/>
      <c r="F36" s="18"/>
      <c r="G36" s="34">
        <v>397.2</v>
      </c>
      <c r="H36" s="24"/>
      <c r="I36" s="35">
        <v>5.5300000000000002E-2</v>
      </c>
      <c r="J36" s="36">
        <f t="shared" si="0"/>
        <v>0</v>
      </c>
      <c r="L36" s="33"/>
    </row>
    <row r="37" spans="1:12" x14ac:dyDescent="0.35">
      <c r="A37" s="7">
        <v>21</v>
      </c>
      <c r="B37" s="18"/>
      <c r="C37" s="18"/>
      <c r="D37" s="19"/>
      <c r="E37" s="19"/>
      <c r="F37" s="18" t="s">
        <v>53</v>
      </c>
      <c r="G37" s="18"/>
      <c r="H37" s="46">
        <f>SUM(H21:H36)</f>
        <v>6860763.3300000001</v>
      </c>
      <c r="I37" s="18"/>
      <c r="J37" s="46">
        <f>SUM(J21:J36)</f>
        <v>111546.63769500001</v>
      </c>
      <c r="K37" s="8">
        <f>+J37/H37</f>
        <v>1.6258633672326373E-2</v>
      </c>
    </row>
    <row r="39" spans="1:12" x14ac:dyDescent="0.35">
      <c r="G39" s="10"/>
      <c r="H39" s="37"/>
    </row>
  </sheetData>
  <mergeCells count="3">
    <mergeCell ref="D6:H6"/>
    <mergeCell ref="D7:H7"/>
    <mergeCell ref="E5:G5"/>
  </mergeCells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Date1 xmlns="dc463f71-b30c-4ab2-9473-d307f9d35888">2020-11-19T22:53:30+00:00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BC1E0-C5B2-4D82-A418-F9BDADBCE03B}"/>
</file>

<file path=customXml/itemProps2.xml><?xml version="1.0" encoding="utf-8"?>
<ds:datastoreItem xmlns:ds="http://schemas.openxmlformats.org/officeDocument/2006/customXml" ds:itemID="{5527FBA5-409B-4813-8193-AC4D9246AD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F48E4E-273B-4206-93BE-FE9BCE809A5F}">
  <ds:schemaRefs>
    <ds:schemaRef ds:uri="http://www.w3.org/XML/1998/namespace"/>
    <ds:schemaRef ds:uri="24f70c62-691b-492e-ba59-9d389529a97e"/>
    <ds:schemaRef ds:uri="http://schemas.microsoft.com/sharepoint/v3/field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0689114-bdb9-4146-803a-240f5368dce0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ED6D9DB8-77FE-4D82-A734-180639A99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Exh. DJP-2 Pg 1 of 3</vt:lpstr>
      <vt:lpstr>Exh. DJP-2 Pg 2 of 3</vt:lpstr>
      <vt:lpstr>Exh. DJP-2 Pg 3 of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Erdahl, Betty Ann (UTC)</dc:creator>
  <dc:description/>
  <cp:lastModifiedBy>Erdahl, Betty Ann (UTC)</cp:lastModifiedBy>
  <cp:lastPrinted>2020-11-12T18:49:34Z</cp:lastPrinted>
  <dcterms:created xsi:type="dcterms:W3CDTF">2020-11-03T18:53:59Z</dcterms:created>
  <dcterms:modified xsi:type="dcterms:W3CDTF">2020-11-12T18:49:47Z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gkrs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