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4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17.xml" ContentType="application/vnd.openxmlformats-officedocument.spreadsheetml.externalLink+xml"/>
  <Override PartName="/xl/printerSettings/printerSettings5.bin" ContentType="application/vnd.openxmlformats-officedocument.spreadsheetml.printerSettings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2.xml" ContentType="application/vnd.openxmlformats-officedocument.spreadsheetml.externalLink+xml"/>
  <Override PartName="/xl/printerSettings/printerSettings6.bin" ContentType="application/vnd.openxmlformats-officedocument.spreadsheetml.printerSettings"/>
  <Override PartName="/xl/externalLinks/externalLink1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estdpt1.puget.com\soppw\LoadStud\E3 and Cadmus\2023\2023 Decarb study for stipulation o\"/>
    </mc:Choice>
  </mc:AlternateContent>
  <bookViews>
    <workbookView xWindow="0" yWindow="0" windowWidth="23280" windowHeight="11250" firstSheet="1" activeTab="2"/>
  </bookViews>
  <sheets>
    <sheet name="2022-2026budget" sheetId="4" state="hidden" r:id="rId1"/>
    <sheet name="Sept GRC Settlement B" sheetId="21" r:id="rId2"/>
    <sheet name="Dec Settlement B" sheetId="26" r:id="rId3"/>
    <sheet name="Settlement H Constrained area " sheetId="25" r:id="rId4"/>
    <sheet name="working papers" sheetId="12" r:id="rId5"/>
    <sheet name="Scenario Cost Data Summary" sheetId="10" r:id="rId6"/>
    <sheet name="Scenario O&amp;M 2024-2050" sheetId="14" r:id="rId7"/>
    <sheet name="Scenario capex 2024-2050" sheetId="17" r:id="rId8"/>
    <sheet name="Customer summary" sheetId="9" r:id="rId9"/>
    <sheet name="Customer Count Cadmus" sheetId="20" r:id="rId10"/>
    <sheet name="NCC-JBsummary" sheetId="13" state="hidden" r:id="rId11"/>
    <sheet name="20yr breakout - edits" sheetId="3" state="hidden" r:id="rId12"/>
    <sheet name="20 yr breakout-original" sheetId="7" state="hidden" r:id="rId13"/>
    <sheet name="2020 - 20 yr plan" sheetId="1" state="hidden" r:id="rId14"/>
    <sheet name="avg category spend" sheetId="5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2">#REF!</definedName>
    <definedName name="\a" localSheetId="7">#REF!</definedName>
    <definedName name="\a">#REF!</definedName>
    <definedName name="\b" localSheetId="2">#REF!</definedName>
    <definedName name="\b" localSheetId="7">#REF!</definedName>
    <definedName name="\b">#REF!</definedName>
    <definedName name="_ASD2" localSheetId="2">#REF!</definedName>
    <definedName name="_ASD2" localSheetId="7">#REF!</definedName>
    <definedName name="_ASD2">#REF!</definedName>
    <definedName name="_xlnm._FilterDatabase" localSheetId="11" hidden="1">'20yr breakout - edits'!$A$1:$V$35</definedName>
    <definedName name="_www1" localSheetId="2" hidden="1">{#N/A,#N/A,FALSE,"schA"}</definedName>
    <definedName name="_www1" hidden="1">{#N/A,#N/A,FALSE,"schA"}</definedName>
    <definedName name="Acq1BookLife">'[1]Thermal Acq Inputs'!$H$46</definedName>
    <definedName name="Acq1CapPer">'[1]Thermal Acq Inputs'!$H$47</definedName>
    <definedName name="Acq1StrartDate">'[1]Thermal Acq Inputs'!$H$48</definedName>
    <definedName name="Acq2BookLife">'[1]Thermal Acq Inputs'!$H$111</definedName>
    <definedName name="Acq2CapPer">'[1]Thermal Acq Inputs'!$H$112</definedName>
    <definedName name="Acq2StartDate">'[1]Thermal Acq Inputs'!$H$113</definedName>
    <definedName name="Acq3BookLife">'[1]Thermal Acq Inputs'!$H$177</definedName>
    <definedName name="Acq3CapPer">'[1]Thermal Acq Inputs'!$H$178</definedName>
    <definedName name="Acq3StartDate">'[1]Thermal Acq Inputs'!$H$179</definedName>
    <definedName name="Acq4BookLife">'[1]Thermal Acq Inputs'!$H$242</definedName>
    <definedName name="Acq4CapPer">'[1]Thermal Acq Inputs'!$H$243</definedName>
    <definedName name="Acq4StartDate">'[1]Thermal Acq Inputs'!$H$244</definedName>
    <definedName name="Acq5BookLife">'[1]Thermal Acq Inputs'!$H$308</definedName>
    <definedName name="Acq5CapPer">'[1]Thermal Acq Inputs'!$H$309</definedName>
    <definedName name="Acq5StartDate">'[1]Thermal Acq Inputs'!$H$310</definedName>
    <definedName name="AcqTherm_01">[1]LPProblem!$C$20</definedName>
    <definedName name="AcqTherm_02">[1]LPProblem!$C$21</definedName>
    <definedName name="AcqTherm_03">[1]LPProblem!$C$22</definedName>
    <definedName name="AcqTherm_04">[1]LPProblem!$C$23</definedName>
    <definedName name="AcqTherm_05">[1]LPProblem!$C$24</definedName>
    <definedName name="AcqWind_01">[1]LPProblem!$C$25</definedName>
    <definedName name="AcqWind_02">[1]LPProblem!$C$26</definedName>
    <definedName name="AcqWind_03">[1]LPProblem!$C$27</definedName>
    <definedName name="AcqWind_04">[1]LPProblem!$C$28</definedName>
    <definedName name="AcqWind_05">[1]LPProblem!$C$29</definedName>
    <definedName name="ActualType" localSheetId="2">#REF!</definedName>
    <definedName name="ActualType" localSheetId="7">#REF!</definedName>
    <definedName name="ActualType">#REF!</definedName>
    <definedName name="adj_rev_temp" localSheetId="2">[2]Sheet1!#REF!</definedName>
    <definedName name="adj_rev_temp" localSheetId="7">[2]Sheet1!#REF!</definedName>
    <definedName name="adj_rev_temp">[2]Sheet1!#REF!</definedName>
    <definedName name="Aero_FOM" localSheetId="2">#REF!</definedName>
    <definedName name="Aero_FOM" localSheetId="7">#REF!</definedName>
    <definedName name="Aero_FOM">#REF!</definedName>
    <definedName name="Aero_Gas_Trans" localSheetId="2">#REF!</definedName>
    <definedName name="Aero_Gas_Trans" localSheetId="7">#REF!</definedName>
    <definedName name="Aero_Gas_Trans">#REF!</definedName>
    <definedName name="Aero_Trans" localSheetId="2">#REF!</definedName>
    <definedName name="Aero_Trans" localSheetId="7">#REF!</definedName>
    <definedName name="Aero_Trans">#REF!</definedName>
    <definedName name="amort_exp" localSheetId="2">[2]Sheet1!#REF!</definedName>
    <definedName name="amort_exp" localSheetId="7">[2]Sheet1!#REF!</definedName>
    <definedName name="amort_exp">[2]Sheet1!#REF!</definedName>
    <definedName name="AS_OF_DATE" localSheetId="2">#REF!</definedName>
    <definedName name="AS_OF_DATE" localSheetId="7">#REF!</definedName>
    <definedName name="AS_OF_DATE">#REF!</definedName>
    <definedName name="ASD" localSheetId="2">#REF!</definedName>
    <definedName name="ASD" localSheetId="7">#REF!</definedName>
    <definedName name="ASD">#REF!</definedName>
    <definedName name="asofdate" localSheetId="2">#REF!</definedName>
    <definedName name="asofdate" localSheetId="7">#REF!</definedName>
    <definedName name="asofdate">#REF!</definedName>
    <definedName name="AssumptionOutput" localSheetId="7">#REF!</definedName>
    <definedName name="AssumptionOutput">#REF!</definedName>
    <definedName name="ASSUMPTIONS" localSheetId="7">#REF!</definedName>
    <definedName name="ASSUMPTIONS">#REF!</definedName>
    <definedName name="balsh1stqtr97" localSheetId="2">'Dec Settlement B'!balsh1stqtr97</definedName>
    <definedName name="balsh1stqtr97">[0]!balsh1stqtr97</definedName>
    <definedName name="balshet2ndqtr" localSheetId="2">'Dec Settlement B'!balshet2ndqtr</definedName>
    <definedName name="balshet2ndqtr">[0]!balshet2ndqtr</definedName>
    <definedName name="Base_Year" localSheetId="2">#REF!</definedName>
    <definedName name="Base_Year" localSheetId="7">#REF!</definedName>
    <definedName name="Base_Year">#REF!</definedName>
    <definedName name="Batteries" localSheetId="2">#REF!</definedName>
    <definedName name="Batteries" localSheetId="7">#REF!</definedName>
    <definedName name="Batteries">#REF!</definedName>
    <definedName name="Batteries_2" localSheetId="2">#REF!</definedName>
    <definedName name="Batteries_2" localSheetId="7">#REF!</definedName>
    <definedName name="Batteries_2">#REF!</definedName>
    <definedName name="BatteriesBookLife" localSheetId="7">#REF!</definedName>
    <definedName name="BatteriesBookLife">#REF!</definedName>
    <definedName name="Battery_FOM" localSheetId="7">#REF!</definedName>
    <definedName name="Battery_FOM">#REF!</definedName>
    <definedName name="BB" localSheetId="7">[2]Sheet1!#REF!</definedName>
    <definedName name="BB">[2]Sheet1!#REF!</definedName>
    <definedName name="BBB" localSheetId="7">[2]Sheet1!#REF!</definedName>
    <definedName name="BBB">[2]Sheet1!#REF!</definedName>
    <definedName name="benrate" localSheetId="2">#REF!</definedName>
    <definedName name="benrate" localSheetId="7">#REF!</definedName>
    <definedName name="benrate">#REF!</definedName>
    <definedName name="BIO_CAP">[3]Assumptions!$M$8</definedName>
    <definedName name="BIO_FOM" localSheetId="2">#REF!</definedName>
    <definedName name="BIO_FOM" localSheetId="7">#REF!</definedName>
    <definedName name="BIO_FOM">#REF!</definedName>
    <definedName name="Bio_RECcredit" localSheetId="2">#REF!</definedName>
    <definedName name="Bio_RECcredit" localSheetId="7">#REF!</definedName>
    <definedName name="Bio_RECcredit">#REF!</definedName>
    <definedName name="Bio_Rev_Esc" localSheetId="2">#REF!</definedName>
    <definedName name="Bio_Rev_Esc" localSheetId="7">#REF!</definedName>
    <definedName name="Bio_Rev_Esc">#REF!</definedName>
    <definedName name="Bio_VOM_Esc" localSheetId="7">#REF!</definedName>
    <definedName name="Bio_VOM_Esc">#REF!</definedName>
    <definedName name="Biomass" localSheetId="7">#REF!</definedName>
    <definedName name="Biomass">#REF!</definedName>
    <definedName name="Biomass_PeakCredit" localSheetId="7">#REF!</definedName>
    <definedName name="Biomass_PeakCredit">#REF!</definedName>
    <definedName name="Biomoss_lineloss">[4]Assumptions!$N$7</definedName>
    <definedName name="BioPTCLastYear" localSheetId="2">#REF!</definedName>
    <definedName name="BioPTCLastYear" localSheetId="7">#REF!</definedName>
    <definedName name="BioPTCLastYear">#REF!</definedName>
    <definedName name="BioPTCLoss" localSheetId="2">#REF!</definedName>
    <definedName name="BioPTCLoss" localSheetId="7">#REF!</definedName>
    <definedName name="BioPTCLoss">#REF!</definedName>
    <definedName name="BndleA">[1]LPProblem!$R$20</definedName>
    <definedName name="BndleB">[1]LPProblem!$R$21</definedName>
    <definedName name="BndleC">[1]LPProblem!$R$22</definedName>
    <definedName name="BndleD">[1]LPProblem!$R$23</definedName>
    <definedName name="BndleE">[1]LPProblem!$R$24</definedName>
    <definedName name="BndleF">[1]LPProblem!$R$25</definedName>
    <definedName name="BndleG">[1]LPProblem!$R$26</definedName>
    <definedName name="BndleH">[1]LPProblem!$R$27</definedName>
    <definedName name="BndleI">[1]LPProblem!$R$28</definedName>
    <definedName name="BndleJ">[1]LPProblem!$R$29</definedName>
    <definedName name="brdepr" localSheetId="2">#REF!</definedName>
    <definedName name="brdepr" localSheetId="7">#REF!</definedName>
    <definedName name="brdepr">#REF!</definedName>
    <definedName name="breval" localSheetId="2">#REF!</definedName>
    <definedName name="breval" localSheetId="7">#REF!</definedName>
    <definedName name="breval">#REF!</definedName>
    <definedName name="brfin" localSheetId="2">#REF!</definedName>
    <definedName name="brfin" localSheetId="7">#REF!</definedName>
    <definedName name="brfin">#REF!</definedName>
    <definedName name="briacst" localSheetId="7">#REF!</definedName>
    <definedName name="briacst">#REF!</definedName>
    <definedName name="briact" localSheetId="7">#REF!</definedName>
    <definedName name="briact">#REF!</definedName>
    <definedName name="briash" localSheetId="7">#REF!</definedName>
    <definedName name="briash">#REF!</definedName>
    <definedName name="bricum" localSheetId="7">#REF!</definedName>
    <definedName name="bricum">#REF!</definedName>
    <definedName name="brimo" localSheetId="7">#REF!</definedName>
    <definedName name="brimo">#REF!</definedName>
    <definedName name="brimw" localSheetId="7">#REF!</definedName>
    <definedName name="brimw">#REF!</definedName>
    <definedName name="brirev" localSheetId="7">#REF!</definedName>
    <definedName name="brirev">#REF!</definedName>
    <definedName name="brisust" localSheetId="7">#REF!</definedName>
    <definedName name="brisust">#REF!</definedName>
    <definedName name="briytd" localSheetId="7">#REF!</definedName>
    <definedName name="briytd">#REF!</definedName>
    <definedName name="broinc" localSheetId="7">#REF!</definedName>
    <definedName name="broinc">#REF!</definedName>
    <definedName name="bromfuel" localSheetId="7">#REF!</definedName>
    <definedName name="bromfuel">#REF!</definedName>
    <definedName name="brshex" localSheetId="7">#REF!</definedName>
    <definedName name="brshex">#REF!</definedName>
    <definedName name="Budget1997" localSheetId="2">'Dec Settlement B'!Budget1997</definedName>
    <definedName name="Budget1997">[0]!Budget1997</definedName>
    <definedName name="bun" localSheetId="2">#REF!</definedName>
    <definedName name="bun" localSheetId="7">#REF!</definedName>
    <definedName name="bun">#REF!</definedName>
    <definedName name="BusiLineexp" localSheetId="2">'Dec Settlement B'!BusiLineexp</definedName>
    <definedName name="BusiLineexp">[0]!BusiLineexp</definedName>
    <definedName name="BUV" localSheetId="2">#REF!</definedName>
    <definedName name="BUV" localSheetId="7">#REF!</definedName>
    <definedName name="BUV">#REF!</definedName>
    <definedName name="CapacityNeed" localSheetId="2">#REF!</definedName>
    <definedName name="CapacityNeed" localSheetId="7">#REF!</definedName>
    <definedName name="CapacityNeed">#REF!</definedName>
    <definedName name="capandrates" localSheetId="2">'Dec Settlement B'!capandrates</definedName>
    <definedName name="capandrates">[0]!capandrates</definedName>
    <definedName name="CapEx_ITC" localSheetId="2">#REF!</definedName>
    <definedName name="CapEx_ITC" localSheetId="7">#REF!</definedName>
    <definedName name="CapEx_ITC">#REF!</definedName>
    <definedName name="CapEx_ITC_Wind3">'[1]Wind Acq Inputs'!$J$128</definedName>
    <definedName name="CapEx_ITC_Wind4">'[1]Wind Acq Inputs'!$J$167</definedName>
    <definedName name="CapexEsc" localSheetId="2">#REF!</definedName>
    <definedName name="CapexEsc" localSheetId="7">#REF!</definedName>
    <definedName name="CapexEsc">#REF!</definedName>
    <definedName name="CaseDescription" localSheetId="2">#REF!</definedName>
    <definedName name="CaseDescription" localSheetId="7">#REF!</definedName>
    <definedName name="CaseDescription">#REF!</definedName>
    <definedName name="CBWorkbookPriority" hidden="1">-1894858854</definedName>
    <definedName name="CCCT" localSheetId="2">#REF!</definedName>
    <definedName name="CCCT" localSheetId="7">#REF!</definedName>
    <definedName name="CCCT">#REF!</definedName>
    <definedName name="CCGT_East_Rev_Esc" localSheetId="2">#REF!</definedName>
    <definedName name="CCGT_East_Rev_Esc" localSheetId="7">#REF!</definedName>
    <definedName name="CCGT_East_Rev_Esc">#REF!</definedName>
    <definedName name="CCGT_East_VOM_Esc" localSheetId="7">#REF!</definedName>
    <definedName name="CCGT_East_VOM_Esc">#REF!</definedName>
    <definedName name="CCGT_FOM" localSheetId="7">#REF!</definedName>
    <definedName name="CCGT_FOM">#REF!</definedName>
    <definedName name="CCGT_FOR" localSheetId="7">#REF!</definedName>
    <definedName name="CCGT_FOR">#REF!</definedName>
    <definedName name="CCGT_Rev_Esc" localSheetId="7">#REF!</definedName>
    <definedName name="CCGT_Rev_Esc">#REF!</definedName>
    <definedName name="CCGT_VOM_Esc" localSheetId="7">#REF!</definedName>
    <definedName name="CCGT_VOM_Esc">#REF!</definedName>
    <definedName name="CCGTeast_FOM" localSheetId="7">#REF!</definedName>
    <definedName name="CCGTeast_FOM">#REF!</definedName>
    <definedName name="Choices_Wrapper" localSheetId="2">'Dec Settlement B'!Choices_Wrapper</definedName>
    <definedName name="Choices_Wrapper">[0]!Choices_Wrapper</definedName>
    <definedName name="Coal_PeakCredit" localSheetId="2">#REF!</definedName>
    <definedName name="Coal_PeakCredit" localSheetId="7">#REF!</definedName>
    <definedName name="Coal_PeakCredit">#REF!</definedName>
    <definedName name="Coal_Prices">[5]Summary!$A$49</definedName>
    <definedName name="CoalPropTaxRate" localSheetId="2">#REF!</definedName>
    <definedName name="CoalPropTaxRate" localSheetId="7">#REF!</definedName>
    <definedName name="CoalPropTaxRate">#REF!</definedName>
    <definedName name="Colstrip_Add_Share">'[4]Colstrip Inputs'!$M$199</definedName>
    <definedName name="common" localSheetId="2">#REF!</definedName>
    <definedName name="common" localSheetId="7">#REF!</definedName>
    <definedName name="common">#REF!</definedName>
    <definedName name="Common_Lbr12" localSheetId="2">#REF!</definedName>
    <definedName name="Common_Lbr12" localSheetId="7">#REF!</definedName>
    <definedName name="Common_Lbr12">#REF!</definedName>
    <definedName name="Common_Lbr34" localSheetId="2">#REF!</definedName>
    <definedName name="Common_Lbr34" localSheetId="7">#REF!</definedName>
    <definedName name="Common_Lbr34">#REF!</definedName>
    <definedName name="Common_TB12" localSheetId="7">#REF!</definedName>
    <definedName name="Common_TB12">#REF!</definedName>
    <definedName name="Common_TB34" localSheetId="7">#REF!</definedName>
    <definedName name="Common_TB34">#REF!</definedName>
    <definedName name="Common12" localSheetId="7">#REF!</definedName>
    <definedName name="Common12">#REF!</definedName>
    <definedName name="Common34" localSheetId="7">#REF!</definedName>
    <definedName name="Common34">#REF!</definedName>
    <definedName name="Commoncost">[6]Sheet2!$B$12</definedName>
    <definedName name="Commoncost1">[6]Sheet2!$C$12</definedName>
    <definedName name="cono_yes" localSheetId="2">[2]Sheet1!#REF!</definedName>
    <definedName name="cono_yes" localSheetId="7">[2]Sheet1!#REF!</definedName>
    <definedName name="cono_yes">[2]Sheet1!#REF!</definedName>
    <definedName name="Constraint1" localSheetId="2">#REF!</definedName>
    <definedName name="Constraint1" localSheetId="7">#REF!</definedName>
    <definedName name="Constraint1">#REF!</definedName>
    <definedName name="Constraint2" localSheetId="2">#REF!</definedName>
    <definedName name="Constraint2" localSheetId="7">#REF!</definedName>
    <definedName name="Constraint2">#REF!</definedName>
    <definedName name="Constraint3" localSheetId="2">#REF!</definedName>
    <definedName name="Constraint3" localSheetId="7">#REF!</definedName>
    <definedName name="Constraint3">#REF!</definedName>
    <definedName name="Constraint4" localSheetId="7">#REF!</definedName>
    <definedName name="Constraint4">#REF!</definedName>
    <definedName name="Constraint5" localSheetId="7">#REF!</definedName>
    <definedName name="Constraint5">#REF!</definedName>
    <definedName name="Constraint6" localSheetId="7">#REF!</definedName>
    <definedName name="Constraint6">#REF!</definedName>
    <definedName name="Contract_FOM" localSheetId="7">#REF!</definedName>
    <definedName name="Contract_FOM">#REF!</definedName>
    <definedName name="ConversionFactor" localSheetId="7">#REF!</definedName>
    <definedName name="ConversionFactor">#REF!</definedName>
    <definedName name="Costdebt" localSheetId="7">#REF!</definedName>
    <definedName name="Costdebt">#REF!</definedName>
    <definedName name="costeq" localSheetId="7">#REF!</definedName>
    <definedName name="costeq">#REF!</definedName>
    <definedName name="costpref" localSheetId="7">#REF!</definedName>
    <definedName name="costpref">#REF!</definedName>
    <definedName name="CostSwitch" localSheetId="7">#REF!</definedName>
    <definedName name="CostSwitch">#REF!</definedName>
    <definedName name="Create_Easton_Cost_Report" localSheetId="7">[5]!Create_Easton_Cost_Report</definedName>
    <definedName name="Create_Easton_Cost_Report">[5]!Create_Easton_Cost_Report</definedName>
    <definedName name="CreditTable" localSheetId="2">#REF!</definedName>
    <definedName name="CreditTable" localSheetId="7">#REF!</definedName>
    <definedName name="CreditTable">#REF!</definedName>
    <definedName name="crit" localSheetId="2">#REF!</definedName>
    <definedName name="crit" localSheetId="7">#REF!</definedName>
    <definedName name="crit">#REF!</definedName>
    <definedName name="CSIssue" localSheetId="2">#REF!</definedName>
    <definedName name="CSIssue" localSheetId="7">#REF!</definedName>
    <definedName name="CSIssue">#REF!</definedName>
    <definedName name="ctacst" localSheetId="7">#REF!</definedName>
    <definedName name="ctacst">#REF!</definedName>
    <definedName name="ctact" localSheetId="7">#REF!</definedName>
    <definedName name="ctact">#REF!</definedName>
    <definedName name="ctash" localSheetId="7">#REF!</definedName>
    <definedName name="ctash">#REF!</definedName>
    <definedName name="ctgcum" localSheetId="7">#REF!</definedName>
    <definedName name="ctgcum">#REF!</definedName>
    <definedName name="ctgmo" localSheetId="7">#REF!</definedName>
    <definedName name="ctgmo">#REF!</definedName>
    <definedName name="ctgmw" localSheetId="7">#REF!</definedName>
    <definedName name="ctgmw">#REF!</definedName>
    <definedName name="ctrev" localSheetId="7">#REF!</definedName>
    <definedName name="ctrev">#REF!</definedName>
    <definedName name="ctsust" localSheetId="7">#REF!</definedName>
    <definedName name="ctsust">#REF!</definedName>
    <definedName name="ctytd" localSheetId="7">#REF!</definedName>
    <definedName name="ctytd">#REF!</definedName>
    <definedName name="CurveNumbers" localSheetId="2">'[7]Forward Curves'!#REF!</definedName>
    <definedName name="CurveNumbers" localSheetId="7">'[7]Forward Curves'!#REF!</definedName>
    <definedName name="CurveNumbers">'[7]Forward Curves'!#REF!</definedName>
    <definedName name="dasfjakl" localSheetId="2">#REF!</definedName>
    <definedName name="dasfjakl" localSheetId="7">#REF!</definedName>
    <definedName name="dasfjakl">#REF!</definedName>
    <definedName name="data">[8]log!$A$2:$D$512</definedName>
    <definedName name="DE">[1]LPProblem!$K$39</definedName>
    <definedName name="Debt">[6]Sheet3!$B$2</definedName>
    <definedName name="Debtcost">[6]Sheet2!$B$10</definedName>
    <definedName name="Debtcost1">[6]Sheet2!$C$10</definedName>
    <definedName name="DebtPerc" localSheetId="2">#REF!</definedName>
    <definedName name="DebtPerc" localSheetId="7">#REF!</definedName>
    <definedName name="DebtPerc">#REF!</definedName>
    <definedName name="decomm_a" localSheetId="2">[2]Sheet1!#REF!</definedName>
    <definedName name="decomm_a" localSheetId="7">[2]Sheet1!#REF!</definedName>
    <definedName name="decomm_a">[2]Sheet1!#REF!</definedName>
    <definedName name="decomm_b" localSheetId="7">[2]Sheet1!#REF!</definedName>
    <definedName name="decomm_b">[2]Sheet1!#REF!</definedName>
    <definedName name="def_tax_adder" localSheetId="7">[2]Sheet1!#REF!</definedName>
    <definedName name="def_tax_adder">[2]Sheet1!#REF!</definedName>
    <definedName name="DemandResponse" localSheetId="7">[4]LPProblem!#REF!</definedName>
    <definedName name="DemandResponse">[4]LPProblem!#REF!</definedName>
    <definedName name="DemandResponse1">[1]LPProblem!$U$20</definedName>
    <definedName name="DemandResponse2">[1]LPProblem!$U$21</definedName>
    <definedName name="DemandResponse3">[1]LPProblem!$U$22</definedName>
    <definedName name="DemandResponse4">[1]LPProblem!$U$23</definedName>
    <definedName name="DemandResponse5">[1]LPProblem!$U$24</definedName>
    <definedName name="Deprate">[9]Deprate!$A:$V</definedName>
    <definedName name="Depreciation" localSheetId="2">'Dec Settlement B'!Depreciation</definedName>
    <definedName name="Depreciation">[0]!Depreciation</definedName>
    <definedName name="DetailData" localSheetId="2">#REF!</definedName>
    <definedName name="DetailData" localSheetId="7">#REF!</definedName>
    <definedName name="DetailData">#REF!</definedName>
    <definedName name="df" localSheetId="2">[10]Assumptions!#REF!</definedName>
    <definedName name="df" localSheetId="7">[10]Assumptions!#REF!</definedName>
    <definedName name="df">[10]Assumptions!#REF!</definedName>
    <definedName name="DFDelta" localSheetId="2">#REF!</definedName>
    <definedName name="DFDelta" localSheetId="7">#REF!</definedName>
    <definedName name="DFDelta">#REF!</definedName>
    <definedName name="DFPurchase" localSheetId="2">#REF!</definedName>
    <definedName name="DFPurchase" localSheetId="7">#REF!</definedName>
    <definedName name="DFPurchase">#REF!</definedName>
    <definedName name="DivRate" localSheetId="2">#REF!</definedName>
    <definedName name="DivRate" localSheetId="7">#REF!</definedName>
    <definedName name="DivRate">#REF!</definedName>
    <definedName name="DJE" localSheetId="7">#REF!</definedName>
    <definedName name="DJE">#REF!</definedName>
    <definedName name="drate_nuc" localSheetId="2">[2]Sheet1!#REF!</definedName>
    <definedName name="drate_nuc" localSheetId="7">[2]Sheet1!#REF!</definedName>
    <definedName name="drate_nuc">[2]Sheet1!#REF!</definedName>
    <definedName name="drate_oth_new" localSheetId="2">[2]Sheet1!#REF!</definedName>
    <definedName name="drate_oth_new" localSheetId="7">[2]Sheet1!#REF!</definedName>
    <definedName name="drate_oth_new">[2]Sheet1!#REF!</definedName>
    <definedName name="DSR">[1]LPProblem!$R$20:$R$29</definedName>
    <definedName name="DSR_PeakCredit" localSheetId="2">#REF!</definedName>
    <definedName name="DSR_PeakCredit" localSheetId="7">#REF!</definedName>
    <definedName name="DSR_PeakCredit">#REF!</definedName>
    <definedName name="DSRTotal" localSheetId="2">#REF!</definedName>
    <definedName name="DSRTotal" localSheetId="7">#REF!</definedName>
    <definedName name="DSRTotal">#REF!</definedName>
    <definedName name="EffTaxRate" localSheetId="2">#REF!</definedName>
    <definedName name="EffTaxRate" localSheetId="7">#REF!</definedName>
    <definedName name="EffTaxRate">#REF!</definedName>
    <definedName name="emc797act" localSheetId="2">'Dec Settlement B'!emc797act</definedName>
    <definedName name="emc797act">[0]!emc797act</definedName>
    <definedName name="EMC797sum" localSheetId="2">'Dec Settlement B'!EMC797sum</definedName>
    <definedName name="EMC797sum">[0]!EMC797sum</definedName>
    <definedName name="EMC97budget" localSheetId="2">'Dec Settlement B'!EMC97budget</definedName>
    <definedName name="EMC97budget">[0]!EMC97budget</definedName>
    <definedName name="EMCeva2ndqtr" localSheetId="2">'Dec Settlement B'!EMCeva2ndqtr</definedName>
    <definedName name="EMCeva2ndqtr">[0]!EMCeva2ndqtr</definedName>
    <definedName name="emissallo" localSheetId="2">'Dec Settlement B'!emissallo</definedName>
    <definedName name="emissallo">[0]!emissallo</definedName>
    <definedName name="emp_ann_pct" localSheetId="2">[2]Sheet1!#REF!</definedName>
    <definedName name="emp_ann_pct" localSheetId="7">[2]Sheet1!#REF!</definedName>
    <definedName name="emp_ann_pct">[2]Sheet1!#REF!</definedName>
    <definedName name="EndDate" localSheetId="2">#REF!</definedName>
    <definedName name="EndDate" localSheetId="7">#REF!</definedName>
    <definedName name="EndDate">#REF!</definedName>
    <definedName name="ener_lp4" localSheetId="2">[2]Sheet1!#REF!</definedName>
    <definedName name="ener_lp4" localSheetId="7">[2]Sheet1!#REF!</definedName>
    <definedName name="ener_lp4">[2]Sheet1!#REF!</definedName>
    <definedName name="ener_lp5" localSheetId="2">[2]Sheet1!#REF!</definedName>
    <definedName name="ener_lp5" localSheetId="7">[2]Sheet1!#REF!</definedName>
    <definedName name="ener_lp5">[2]Sheet1!#REF!</definedName>
    <definedName name="ener_oth" localSheetId="2">[2]Sheet1!#REF!</definedName>
    <definedName name="ener_oth" localSheetId="7">[2]Sheet1!#REF!</definedName>
    <definedName name="ener_oth">[2]Sheet1!#REF!</definedName>
    <definedName name="ener_res" localSheetId="2">[2]Sheet1!#REF!</definedName>
    <definedName name="ener_res" localSheetId="7">[2]Sheet1!#REF!</definedName>
    <definedName name="ener_res">[2]Sheet1!#REF!</definedName>
    <definedName name="enercost" localSheetId="2">[2]Sheet1!#REF!</definedName>
    <definedName name="enercost" localSheetId="7">[2]Sheet1!#REF!</definedName>
    <definedName name="enercost">[2]Sheet1!#REF!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eq_employees" localSheetId="2">[2]Sheet1!#REF!</definedName>
    <definedName name="eq_employees" localSheetId="7">[2]Sheet1!#REF!</definedName>
    <definedName name="eq_employees">[2]Sheet1!#REF!</definedName>
    <definedName name="EquityCost" localSheetId="2">#REF!</definedName>
    <definedName name="EquityCost" localSheetId="7">#REF!</definedName>
    <definedName name="EquityCost">#REF!</definedName>
    <definedName name="EquityPerc" localSheetId="2">#REF!</definedName>
    <definedName name="EquityPerc" localSheetId="7">#REF!</definedName>
    <definedName name="EquityPerc">#REF!</definedName>
    <definedName name="Exch_FOM" localSheetId="2">#REF!</definedName>
    <definedName name="Exch_FOM" localSheetId="7">#REF!</definedName>
    <definedName name="Exch_FOM">#REF!</definedName>
    <definedName name="ExpectedCost_20yr" localSheetId="7">#REF!</definedName>
    <definedName name="ExpectedCost_20yr">#REF!</definedName>
    <definedName name="ext_funds" localSheetId="2">[2]Sheet1!#REF!</definedName>
    <definedName name="ext_funds" localSheetId="7">[2]Sheet1!#REF!</definedName>
    <definedName name="ext_funds">[2]Sheet1!#REF!</definedName>
    <definedName name="f_needs" localSheetId="2">[2]Sheet1!#REF!</definedName>
    <definedName name="f_needs" localSheetId="7">[2]Sheet1!#REF!</definedName>
    <definedName name="f_needs">[2]Sheet1!#REF!</definedName>
    <definedName name="f_sources" localSheetId="2">[2]Sheet1!#REF!</definedName>
    <definedName name="f_sources" localSheetId="7">[2]Sheet1!#REF!</definedName>
    <definedName name="f_sources">[2]Sheet1!#REF!</definedName>
    <definedName name="fas_106_ret" localSheetId="2">[2]Sheet1!#REF!</definedName>
    <definedName name="fas_106_ret" localSheetId="7">[2]Sheet1!#REF!</definedName>
    <definedName name="fas_106_ret">[2]Sheet1!#REF!</definedName>
    <definedName name="FedTaxRate" localSheetId="2">#REF!</definedName>
    <definedName name="FedTaxRate" localSheetId="7">#REF!</definedName>
    <definedName name="FedTaxRate">#REF!</definedName>
    <definedName name="Field_Names">[5]MC1!$V$3</definedName>
    <definedName name="fincosts" localSheetId="2">'Dec Settlement B'!fincosts</definedName>
    <definedName name="fincosts">[0]!fincosts</definedName>
    <definedName name="FinDecisionBio" localSheetId="2">#REF!</definedName>
    <definedName name="FinDecisionBio" localSheetId="7">#REF!</definedName>
    <definedName name="FinDecisionBio">#REF!</definedName>
    <definedName name="FinDecisionWind" localSheetId="2">#REF!</definedName>
    <definedName name="FinDecisionWind" localSheetId="7">#REF!</definedName>
    <definedName name="FinDecisionWind">#REF!</definedName>
    <definedName name="FixedPPA_01">[1]LPProblem!$C$30</definedName>
    <definedName name="FixedPPA_02">[1]LPProblem!$C$31</definedName>
    <definedName name="FixedPPA_03">[1]LPProblem!$C$32</definedName>
    <definedName name="FixedPPA_04">[1]LPProblem!$C$33</definedName>
    <definedName name="FixedPPA_05">[1]LPProblem!$C$34</definedName>
    <definedName name="FixedPPA_06">[1]LPProblem!$C$35</definedName>
    <definedName name="FixedPPA_07">[1]LPProblem!$C$36</definedName>
    <definedName name="FixedPPA_08">[1]LPProblem!$C$37</definedName>
    <definedName name="FixedPPA_09">[1]LPProblem!$C$38</definedName>
    <definedName name="FixedPPA_10">[1]LPProblem!$C$39</definedName>
    <definedName name="FixedPPA_PeakCredit" localSheetId="2">#REF!</definedName>
    <definedName name="FixedPPA_PeakCredit" localSheetId="7">#REF!</definedName>
    <definedName name="FixedPPA_PeakCredit">#REF!</definedName>
    <definedName name="FixedPPA1_CapPer">'[1]Fixed Price PPA Inputs'!$C$25</definedName>
    <definedName name="FixedPPA1_RECcredit">'[1]Fixed Price PPA Inputs'!$C$26</definedName>
    <definedName name="FixedPPA1_RPSMult">'[1]Fixed Price PPA Inputs'!$C$27</definedName>
    <definedName name="FixedPPA10_CapPer">'[1]Fixed Price PPA Inputs'!$C$304</definedName>
    <definedName name="FixedPPA10_RECcredit">'[1]Fixed Price PPA Inputs'!$C$305</definedName>
    <definedName name="FixedPPA10_RPSMult">'[1]Fixed Price PPA Inputs'!$C$306</definedName>
    <definedName name="FixedPPA2_CapPer">'[1]Fixed Price PPA Inputs'!$C$56</definedName>
    <definedName name="FixedPPA2_RECcredit">'[1]Fixed Price PPA Inputs'!$C$57</definedName>
    <definedName name="FixedPPA2_RPSMult">'[1]Fixed Price PPA Inputs'!$C$58</definedName>
    <definedName name="FixedPPA3_CapPer">'[1]Fixed Price PPA Inputs'!$C$87</definedName>
    <definedName name="FixedPPA3_RECcredit">'[1]Fixed Price PPA Inputs'!$C$88</definedName>
    <definedName name="FixedPPA3_RPSMult">'[1]Fixed Price PPA Inputs'!$C$89</definedName>
    <definedName name="FixedPPA4_CapPer">'[1]Fixed Price PPA Inputs'!$C$118</definedName>
    <definedName name="FixedPPA4_RECcredit">'[1]Fixed Price PPA Inputs'!$C$119</definedName>
    <definedName name="FixedPPA4_RPSMult">'[1]Fixed Price PPA Inputs'!$C$120</definedName>
    <definedName name="FixedPPA5_CapPer">'[1]Fixed Price PPA Inputs'!$C$149</definedName>
    <definedName name="FixedPPA5_RECcredit">'[1]Fixed Price PPA Inputs'!$C$150</definedName>
    <definedName name="FixedPPA5_RPSMult">'[1]Fixed Price PPA Inputs'!$C$151</definedName>
    <definedName name="FixedPPA6_CapPer">'[1]Fixed Price PPA Inputs'!$C$180</definedName>
    <definedName name="FixedPPA6_RECcredit">'[1]Fixed Price PPA Inputs'!$C$181</definedName>
    <definedName name="FixedPPA6_RPSMult">'[1]Fixed Price PPA Inputs'!$C$182</definedName>
    <definedName name="FixedPPA7_CapPer">'[1]Fixed Price PPA Inputs'!$C$211</definedName>
    <definedName name="FixedPPA7_RECcredit">'[1]Fixed Price PPA Inputs'!$C$212</definedName>
    <definedName name="FixedPPA7_RPSMult">'[1]Fixed Price PPA Inputs'!$C$213</definedName>
    <definedName name="FixedPPA8_CapPer">'[1]Fixed Price PPA Inputs'!$C$242</definedName>
    <definedName name="FixedPPA8_RECcredit">'[1]Fixed Price PPA Inputs'!$C$243</definedName>
    <definedName name="FixedPPA8_RPSMult">'[1]Fixed Price PPA Inputs'!$C$244</definedName>
    <definedName name="FixedPPA9_CapPer">'[1]Fixed Price PPA Inputs'!$C$273</definedName>
    <definedName name="FixedPPA9_RECcredit">'[1]Fixed Price PPA Inputs'!$C$274</definedName>
    <definedName name="FixedPPA9_RPSMult">'[1]Fixed Price PPA Inputs'!$C$275</definedName>
    <definedName name="FixPPA10IDSwitch">'[1]Fixed Price PPA Inputs'!$C$307</definedName>
    <definedName name="FixPPA1IDSwitch">'[1]Fixed Price PPA Inputs'!$C$28</definedName>
    <definedName name="FixPPA2IDSwitch">'[1]Fixed Price PPA Inputs'!$C$59</definedName>
    <definedName name="FixPPA3IDSwitch">'[1]Fixed Price PPA Inputs'!$C$90</definedName>
    <definedName name="FixPPA4IDSwitch">'[1]Fixed Price PPA Inputs'!$C$121</definedName>
    <definedName name="FixPPA5IDSwitch">'[1]Fixed Price PPA Inputs'!$C$152</definedName>
    <definedName name="FixPPA6IDSwitch">'[1]Fixed Price PPA Inputs'!$C$183</definedName>
    <definedName name="FixPPA7IDSwitch">'[1]Fixed Price PPA Inputs'!$C$214</definedName>
    <definedName name="FixPPA8IDSwitch">'[1]Fixed Price PPA Inputs'!$C$245</definedName>
    <definedName name="FixPPA9IDSwitch">'[1]Fixed Price PPA Inputs'!$C$276</definedName>
    <definedName name="Flow4_PeakCredit" localSheetId="2">#REF!</definedName>
    <definedName name="Flow4_PeakCredit" localSheetId="7">#REF!</definedName>
    <definedName name="Flow4_PeakCredit">#REF!</definedName>
    <definedName name="Flow6_PeakCredit" localSheetId="2">#REF!</definedName>
    <definedName name="Flow6_PeakCredit" localSheetId="7">#REF!</definedName>
    <definedName name="Flow6_PeakCredit">#REF!</definedName>
    <definedName name="FlowBatteryBookLife">[11]Assumptions!$C$35</definedName>
    <definedName name="flowchart" localSheetId="2">'Dec Settlement B'!flowchart</definedName>
    <definedName name="flowchart">[0]!flowchart</definedName>
    <definedName name="FOMEsc" localSheetId="2">#REF!</definedName>
    <definedName name="FOMEsc" localSheetId="7">#REF!</definedName>
    <definedName name="FOMEsc">#REF!</definedName>
    <definedName name="Forecast" localSheetId="2">#REF!</definedName>
    <definedName name="Forecast" localSheetId="7">#REF!</definedName>
    <definedName name="Forecast">#REF!</definedName>
    <definedName name="Frame_FOM" localSheetId="2">#REF!</definedName>
    <definedName name="Frame_FOM" localSheetId="7">#REF!</definedName>
    <definedName name="Frame_FOM">#REF!</definedName>
    <definedName name="fuel_ferc" localSheetId="2">[2]Sheet1!#REF!</definedName>
    <definedName name="fuel_ferc" localSheetId="7">[2]Sheet1!#REF!</definedName>
    <definedName name="fuel_ferc">[2]Sheet1!#REF!</definedName>
    <definedName name="fuel_lp4" localSheetId="2">[2]Sheet1!#REF!</definedName>
    <definedName name="fuel_lp4" localSheetId="7">[2]Sheet1!#REF!</definedName>
    <definedName name="fuel_lp4">[2]Sheet1!#REF!</definedName>
    <definedName name="fuel_lp5" localSheetId="2">[2]Sheet1!#REF!</definedName>
    <definedName name="fuel_lp5" localSheetId="7">[2]Sheet1!#REF!</definedName>
    <definedName name="fuel_lp5">[2]Sheet1!#REF!</definedName>
    <definedName name="fuel_oth" localSheetId="2">[2]Sheet1!#REF!</definedName>
    <definedName name="fuel_oth" localSheetId="7">[2]Sheet1!#REF!</definedName>
    <definedName name="fuel_oth">[2]Sheet1!#REF!</definedName>
    <definedName name="fuel_puc" localSheetId="7">[2]Sheet1!#REF!</definedName>
    <definedName name="fuel_puc">[2]Sheet1!#REF!</definedName>
    <definedName name="fuel_res" localSheetId="7">[2]Sheet1!#REF!</definedName>
    <definedName name="fuel_res">[2]Sheet1!#REF!</definedName>
    <definedName name="fuel_ugi" localSheetId="7">[2]Sheet1!#REF!</definedName>
    <definedName name="fuel_ugi">[2]Sheet1!#REF!</definedName>
    <definedName name="Fuel_Unit">[5]MC1!$V$4:$AG$11</definedName>
    <definedName name="Fuelexp" localSheetId="2">'Dec Settlement B'!Fuelexp</definedName>
    <definedName name="Fuelexp">[0]!Fuelexp</definedName>
    <definedName name="Gas_Prices">[5]Summary!$A$142</definedName>
    <definedName name="GAS_TRANSPORT_CCGT" localSheetId="2">#REF!</definedName>
    <definedName name="GAS_TRANSPORT_CCGT" localSheetId="7">#REF!</definedName>
    <definedName name="GAS_TRANSPORT_CCGT">#REF!</definedName>
    <definedName name="GasTranspEsc" localSheetId="2">#REF!</definedName>
    <definedName name="GasTranspEsc" localSheetId="7">#REF!</definedName>
    <definedName name="GasTranspEsc">#REF!</definedName>
    <definedName name="gen_emp_red" localSheetId="2">[2]Sheet1!#REF!</definedName>
    <definedName name="gen_emp_red" localSheetId="7">[2]Sheet1!#REF!</definedName>
    <definedName name="gen_emp_red">[2]Sheet1!#REF!</definedName>
    <definedName name="Generic_Resources" localSheetId="2">#REF!</definedName>
    <definedName name="Generic_Resources" localSheetId="7">#REF!</definedName>
    <definedName name="Generic_Resources">#REF!</definedName>
    <definedName name="GenRec20" localSheetId="2">#REF!</definedName>
    <definedName name="GenRec20" localSheetId="7">#REF!</definedName>
    <definedName name="GenRec20">#REF!</definedName>
    <definedName name="GenRec5" localSheetId="2">#REF!</definedName>
    <definedName name="GenRec5" localSheetId="7">#REF!</definedName>
    <definedName name="GenRec5">#REF!</definedName>
    <definedName name="Geo_RECcredit" localSheetId="7">#REF!</definedName>
    <definedName name="Geo_RECcredit">#REF!</definedName>
    <definedName name="ghr12_rate_up" localSheetId="7">[2]Sheet1!#REF!</definedName>
    <definedName name="ghr12_rate_up">[2]Sheet1!#REF!</definedName>
    <definedName name="ghr66_rate_up" localSheetId="7">[2]Sheet1!#REF!</definedName>
    <definedName name="ghr66_rate_up">[2]Sheet1!#REF!</definedName>
    <definedName name="ghsl_rate_up" localSheetId="7">[2]Sheet1!#REF!</definedName>
    <definedName name="ghsl_rate_up">[2]Sheet1!#REF!</definedName>
    <definedName name="ghugi_rate_up" localSheetId="7">[2]Sheet1!#REF!</definedName>
    <definedName name="ghugi_rate_up">[2]Sheet1!#REF!</definedName>
    <definedName name="GrifCallData" localSheetId="2">#REF!</definedName>
    <definedName name="GrifCallData" localSheetId="7">#REF!</definedName>
    <definedName name="GrifCallData">#REF!</definedName>
    <definedName name="GrifDuctData" localSheetId="2">#REF!</definedName>
    <definedName name="GrifDuctData" localSheetId="7">#REF!</definedName>
    <definedName name="GrifDuctData">#REF!</definedName>
    <definedName name="GrifGenData" localSheetId="2">#REF!</definedName>
    <definedName name="GrifGenData" localSheetId="7">#REF!</definedName>
    <definedName name="GrifGenData">#REF!</definedName>
    <definedName name="grtax" localSheetId="7">#REF!</definedName>
    <definedName name="grtax">#REF!</definedName>
    <definedName name="GTInsRate" localSheetId="7">#REF!</definedName>
    <definedName name="GTInsRate">#REF!</definedName>
    <definedName name="GTratio" localSheetId="7">#REF!</definedName>
    <definedName name="GTratio">#REF!</definedName>
    <definedName name="hhcum" localSheetId="7">#REF!</definedName>
    <definedName name="hhcum">#REF!</definedName>
    <definedName name="hhmo" localSheetId="7">#REF!</definedName>
    <definedName name="hhmo">#REF!</definedName>
    <definedName name="hhmw" localSheetId="7">#REF!</definedName>
    <definedName name="hhmw">#REF!</definedName>
    <definedName name="hhydact" localSheetId="7">#REF!</definedName>
    <definedName name="hhydact">#REF!</definedName>
    <definedName name="hhytd" localSheetId="7">#REF!</definedName>
    <definedName name="hhytd">#REF!</definedName>
    <definedName name="hltacst" localSheetId="7">#REF!</definedName>
    <definedName name="hltacst">#REF!</definedName>
    <definedName name="hltact" localSheetId="7">#REF!</definedName>
    <definedName name="hltact">#REF!</definedName>
    <definedName name="hltash" localSheetId="7">#REF!</definedName>
    <definedName name="hltash">#REF!</definedName>
    <definedName name="hltcum" localSheetId="7">#REF!</definedName>
    <definedName name="hltcum">#REF!</definedName>
    <definedName name="hltmo" localSheetId="7">#REF!</definedName>
    <definedName name="hltmo">#REF!</definedName>
    <definedName name="hltmw" localSheetId="7">#REF!</definedName>
    <definedName name="hltmw">#REF!</definedName>
    <definedName name="hltrev" localSheetId="7">#REF!</definedName>
    <definedName name="hltrev">#REF!</definedName>
    <definedName name="hltsust" localSheetId="7">#REF!</definedName>
    <definedName name="hltsust">#REF!</definedName>
    <definedName name="hltytd" localSheetId="7">#REF!</definedName>
    <definedName name="hltytd">#REF!</definedName>
    <definedName name="holidays" localSheetId="7">#REF!</definedName>
    <definedName name="holidays">#REF!</definedName>
    <definedName name="hydacst" localSheetId="7">#REF!</definedName>
    <definedName name="hydacst">#REF!</definedName>
    <definedName name="hydash" localSheetId="7">#REF!</definedName>
    <definedName name="hydash">#REF!</definedName>
    <definedName name="hydrev" localSheetId="7">#REF!</definedName>
    <definedName name="hydrev">#REF!</definedName>
    <definedName name="Hydro_PeakCredit" localSheetId="7">#REF!</definedName>
    <definedName name="Hydro_PeakCredit">#REF!</definedName>
    <definedName name="hydsust" localSheetId="7">#REF!</definedName>
    <definedName name="hydsust">#REF!</definedName>
    <definedName name="IDN" localSheetId="7">#REF!</definedName>
    <definedName name="IDN">#REF!</definedName>
    <definedName name="IDSolar_LineLoss">[4]Assumptions!$P$7</definedName>
    <definedName name="inctaxrate">0.4</definedName>
    <definedName name="indytd" localSheetId="2">#REF!</definedName>
    <definedName name="indytd" localSheetId="7">#REF!</definedName>
    <definedName name="indytd">#REF!</definedName>
    <definedName name="inflation" localSheetId="2">#REF!</definedName>
    <definedName name="inflation" localSheetId="7">#REF!</definedName>
    <definedName name="inflation">#REF!</definedName>
    <definedName name="inflation1" localSheetId="2">#REF!</definedName>
    <definedName name="inflation1" localSheetId="7">#REF!</definedName>
    <definedName name="inflation1">#REF!</definedName>
    <definedName name="init_book_depr" localSheetId="2">[2]Sheet1!#REF!</definedName>
    <definedName name="init_book_depr" localSheetId="7">[2]Sheet1!#REF!</definedName>
    <definedName name="init_book_depr">[2]Sheet1!#REF!</definedName>
    <definedName name="InsEsc" localSheetId="2">#REF!</definedName>
    <definedName name="InsEsc" localSheetId="7">#REF!</definedName>
    <definedName name="InsEsc">#REF!</definedName>
    <definedName name="InsRate" localSheetId="2">#REF!</definedName>
    <definedName name="InsRate" localSheetId="7">#REF!</definedName>
    <definedName name="InsRate">#REF!</definedName>
    <definedName name="int_real" localSheetId="2">[2]Sheet1!#REF!</definedName>
    <definedName name="int_real" localSheetId="7">[2]Sheet1!#REF!</definedName>
    <definedName name="int_real">[2]Sheet1!#REF!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_AMORT_WIND1">'[1]Wind Acq Inputs'!$N$38</definedName>
    <definedName name="ITC_AMORT_WIND2">'[1]Wind Acq Inputs'!$N$82</definedName>
    <definedName name="ITC_AMORT_WIND3">'[1]Wind Acq Inputs'!$N$125</definedName>
    <definedName name="ITC_AMORT_WIND4">'[1]Wind Acq Inputs'!$N$167</definedName>
    <definedName name="ITC_BASIS_WIND2">'[1]Wind Acq Inputs'!$N$81</definedName>
    <definedName name="ITC_BASIS_WIND3">'[1]Wind Acq Inputs'!$N$124</definedName>
    <definedName name="ITC_BASIS_WIND4">'[1]Wind Acq Inputs'!$N$166</definedName>
    <definedName name="ITC_BASIS_WIND5">'[1]Wind Acq Inputs'!$N$209</definedName>
    <definedName name="ITC_PERCENT_Wind1">'[1]Wind Acq Inputs'!$N$36</definedName>
    <definedName name="ITC_PERCENT_WIND2">'[1]Wind Acq Inputs'!$N$80</definedName>
    <definedName name="ITC_PERCENT_WIND3">'[1]Wind Acq Inputs'!$N$123</definedName>
    <definedName name="ITC_PERCENT_WIND4">'[1]Wind Acq Inputs'!$N$165</definedName>
    <definedName name="ITC_PERCENT_WIND5">'[1]Wind Acq Inputs'!$N$208</definedName>
    <definedName name="ITC_Rate" localSheetId="2">#REF!</definedName>
    <definedName name="ITC_Rate" localSheetId="7">#REF!</definedName>
    <definedName name="ITC_Rate">#REF!</definedName>
    <definedName name="ITC_TaxBasisAdj" localSheetId="2">#REF!</definedName>
    <definedName name="ITC_TaxBasisAdj" localSheetId="7">#REF!</definedName>
    <definedName name="ITC_TaxBasisAdj">#REF!</definedName>
    <definedName name="ITCLastYear" localSheetId="2">#REF!</definedName>
    <definedName name="ITCLastYear" localSheetId="7">#REF!</definedName>
    <definedName name="ITCLastYear">#REF!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 localSheetId="2">#REF!</definedName>
    <definedName name="JPosData" localSheetId="7">#REF!</definedName>
    <definedName name="JPosData">#REF!</definedName>
    <definedName name="LiIon2_PeakCredit">[4]Assumptions!$K$23</definedName>
    <definedName name="LiIon4_PeakCredit">[4]Assumptions!$K$24</definedName>
    <definedName name="LineLoss" localSheetId="2">#REF!</definedName>
    <definedName name="LineLoss" localSheetId="7">#REF!</definedName>
    <definedName name="LineLoss">#REF!</definedName>
    <definedName name="LTPPADebtPerc" localSheetId="2">#REF!</definedName>
    <definedName name="LTPPADebtPerc" localSheetId="7">#REF!</definedName>
    <definedName name="LTPPADebtPerc">#REF!</definedName>
    <definedName name="Macro1" localSheetId="2">'Dec Settlement B'!Macro1</definedName>
    <definedName name="Macro1">[0]!Macro1</definedName>
    <definedName name="macro2" localSheetId="2">'Dec Settlement B'!macro2</definedName>
    <definedName name="macro2">[0]!macro2</definedName>
    <definedName name="MACRS" localSheetId="2">#REF!</definedName>
    <definedName name="MACRS" localSheetId="7">#REF!</definedName>
    <definedName name="MACRS">#REF!</definedName>
    <definedName name="mccacst" localSheetId="2">#REF!</definedName>
    <definedName name="mccacst" localSheetId="7">#REF!</definedName>
    <definedName name="mccacst">#REF!</definedName>
    <definedName name="mccact" localSheetId="2">#REF!</definedName>
    <definedName name="mccact" localSheetId="7">#REF!</definedName>
    <definedName name="mccact">#REF!</definedName>
    <definedName name="mccash" localSheetId="7">#REF!</definedName>
    <definedName name="mccash">#REF!</definedName>
    <definedName name="mcccum" localSheetId="7">#REF!</definedName>
    <definedName name="mcccum">#REF!</definedName>
    <definedName name="mccmo" localSheetId="7">#REF!</definedName>
    <definedName name="mccmo">#REF!</definedName>
    <definedName name="mccmw" localSheetId="7">#REF!</definedName>
    <definedName name="mccmw">#REF!</definedName>
    <definedName name="mccrev" localSheetId="7">#REF!</definedName>
    <definedName name="mccrev">#REF!</definedName>
    <definedName name="mccsust" localSheetId="7">#REF!</definedName>
    <definedName name="mccsust">#REF!</definedName>
    <definedName name="mccytd" localSheetId="7">#REF!</definedName>
    <definedName name="mccytd">#REF!</definedName>
    <definedName name="mcoacst" localSheetId="7">#REF!</definedName>
    <definedName name="mcoacst">#REF!</definedName>
    <definedName name="mcoact" localSheetId="7">#REF!</definedName>
    <definedName name="mcoact">#REF!</definedName>
    <definedName name="mcoash" localSheetId="7">#REF!</definedName>
    <definedName name="mcoash">#REF!</definedName>
    <definedName name="mcocum" localSheetId="7">#REF!</definedName>
    <definedName name="mcocum">#REF!</definedName>
    <definedName name="mcomo" localSheetId="7">#REF!</definedName>
    <definedName name="mcomo">#REF!</definedName>
    <definedName name="mcomw" localSheetId="7">#REF!</definedName>
    <definedName name="mcomw">#REF!</definedName>
    <definedName name="mcorev" localSheetId="7">#REF!</definedName>
    <definedName name="mcorev">#REF!</definedName>
    <definedName name="mcosust" localSheetId="7">#REF!</definedName>
    <definedName name="mcosust">#REF!</definedName>
    <definedName name="mcoytd" localSheetId="7">#REF!</definedName>
    <definedName name="mcoytd">#REF!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ktExposure" localSheetId="2">#REF!</definedName>
    <definedName name="MktExposure" localSheetId="7">#REF!</definedName>
    <definedName name="MktExposure">#REF!</definedName>
    <definedName name="mohrs" localSheetId="2">#REF!</definedName>
    <definedName name="mohrs" localSheetId="7">#REF!</definedName>
    <definedName name="mohrs">#REF!</definedName>
    <definedName name="monacst" localSheetId="2">#REF!</definedName>
    <definedName name="monacst" localSheetId="7">#REF!</definedName>
    <definedName name="monacst">#REF!</definedName>
    <definedName name="monact" localSheetId="7">#REF!</definedName>
    <definedName name="monact">#REF!</definedName>
    <definedName name="monash" localSheetId="7">#REF!</definedName>
    <definedName name="monash">#REF!</definedName>
    <definedName name="moncum" localSheetId="7">#REF!</definedName>
    <definedName name="moncum">#REF!</definedName>
    <definedName name="monmo" localSheetId="7">#REF!</definedName>
    <definedName name="monmo">#REF!</definedName>
    <definedName name="monmw" localSheetId="7">#REF!</definedName>
    <definedName name="monmw">#REF!</definedName>
    <definedName name="monrev" localSheetId="7">#REF!</definedName>
    <definedName name="monrev">#REF!</definedName>
    <definedName name="monsust" localSheetId="7">#REF!</definedName>
    <definedName name="monsust">#REF!</definedName>
    <definedName name="monytd" localSheetId="7">#REF!</definedName>
    <definedName name="monytd">#REF!</definedName>
    <definedName name="MT_WIND_TRANMISSION" localSheetId="7">#REF!</definedName>
    <definedName name="MT_WIND_TRANMISSION">#REF!</definedName>
    <definedName name="MTWind_LineLoss">[4]Assumptions!$M$7</definedName>
    <definedName name="MTWind_PeakCredit" localSheetId="2">#REF!</definedName>
    <definedName name="MTWind_PeakCredit" localSheetId="7">#REF!</definedName>
    <definedName name="MTWind_PeakCredit">#REF!</definedName>
    <definedName name="MWAdd">'[1]Book Life'!$B$80</definedName>
    <definedName name="new_debt" localSheetId="2">[2]Sheet1!#REF!</definedName>
    <definedName name="new_debt" localSheetId="7">[2]Sheet1!#REF!</definedName>
    <definedName name="new_debt">[2]Sheet1!#REF!</definedName>
    <definedName name="new_debt_total" localSheetId="2">[2]Sheet1!#REF!</definedName>
    <definedName name="new_debt_total" localSheetId="7">[2]Sheet1!#REF!</definedName>
    <definedName name="new_debt_total">[2]Sheet1!#REF!</definedName>
    <definedName name="new_equity" localSheetId="2">[2]Sheet1!#REF!</definedName>
    <definedName name="new_equity" localSheetId="7">[2]Sheet1!#REF!</definedName>
    <definedName name="new_equity">[2]Sheet1!#REF!</definedName>
    <definedName name="new_pref" localSheetId="2">[2]Sheet1!#REF!</definedName>
    <definedName name="new_pref" localSheetId="7">[2]Sheet1!#REF!</definedName>
    <definedName name="new_pref">[2]Sheet1!#REF!</definedName>
    <definedName name="nuc_emp_red" localSheetId="7">[2]Sheet1!#REF!</definedName>
    <definedName name="nuc_emp_red">[2]Sheet1!#REF!</definedName>
    <definedName name="nuc_sf_depr_a" localSheetId="7">[2]Sheet1!#REF!</definedName>
    <definedName name="nuc_sf_depr_a">[2]Sheet1!#REF!</definedName>
    <definedName name="nuc_sf_depr_b" localSheetId="7">[2]Sheet1!#REF!</definedName>
    <definedName name="nuc_sf_depr_b">[2]Sheet1!#REF!</definedName>
    <definedName name="nuc_sf_depr_c" localSheetId="7">[2]Sheet1!#REF!</definedName>
    <definedName name="nuc_sf_depr_c">[2]Sheet1!#REF!</definedName>
    <definedName name="nuc_sf_depr_d" localSheetId="7">[2]Sheet1!#REF!</definedName>
    <definedName name="nuc_sf_depr_d">[2]Sheet1!#REF!</definedName>
    <definedName name="nuc_wage_0" localSheetId="7">[2]Sheet1!#REF!</definedName>
    <definedName name="nuc_wage_0">[2]Sheet1!#REF!</definedName>
    <definedName name="nuc797act" localSheetId="2">'Dec Settlement B'!nuc797act</definedName>
    <definedName name="nuc797act">[0]!nuc797act</definedName>
    <definedName name="NUC797sum" localSheetId="2">'Dec Settlement B'!NUC797sum</definedName>
    <definedName name="NUC797sum">[0]!NUC797sum</definedName>
    <definedName name="nuc97budget" localSheetId="2">'Dec Settlement B'!nuc97budget</definedName>
    <definedName name="nuc97budget">[0]!nuc97budget</definedName>
    <definedName name="NUCEVA2ndqtr" localSheetId="2">'Dec Settlement B'!NUCEVA2ndqtr</definedName>
    <definedName name="NUCEVA2ndqtr">[0]!NUCEVA2ndqtr</definedName>
    <definedName name="Nuclear_Prices">[5]Summary!$A$189</definedName>
    <definedName name="nugd_lp4" localSheetId="7">[2]Sheet1!#REF!</definedName>
    <definedName name="nugd_lp4">[2]Sheet1!#REF!</definedName>
    <definedName name="nugd_lp5" localSheetId="7">[2]Sheet1!#REF!</definedName>
    <definedName name="nugd_lp5">[2]Sheet1!#REF!</definedName>
    <definedName name="nugd_oth" localSheetId="7">[2]Sheet1!#REF!</definedName>
    <definedName name="nugd_oth">[2]Sheet1!#REF!</definedName>
    <definedName name="nugd_res" localSheetId="7">[2]Sheet1!#REF!</definedName>
    <definedName name="nugd_res">[2]Sheet1!#REF!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ffpeak_hours" localSheetId="2">#REF!</definedName>
    <definedName name="offpeak_hours" localSheetId="7">#REF!</definedName>
    <definedName name="offpeak_hours">#REF!</definedName>
    <definedName name="Oil_Prices">[5]Summary!$A$96</definedName>
    <definedName name="Open_FOM" localSheetId="2">#REF!</definedName>
    <definedName name="Open_FOM" localSheetId="7">#REF!</definedName>
    <definedName name="Open_FOM">#REF!</definedName>
    <definedName name="Open_FOR" localSheetId="2">#REF!</definedName>
    <definedName name="Open_FOR" localSheetId="7">#REF!</definedName>
    <definedName name="Open_FOR">#REF!</definedName>
    <definedName name="OPR" localSheetId="2">#REF!</definedName>
    <definedName name="OPR" localSheetId="7">#REF!</definedName>
    <definedName name="OPR">#REF!</definedName>
    <definedName name="oth_wage_0" localSheetId="2">[2]Sheet1!#REF!</definedName>
    <definedName name="oth_wage_0" localSheetId="7">[2]Sheet1!#REF!</definedName>
    <definedName name="oth_wage_0">[2]Sheet1!#REF!</definedName>
    <definedName name="OutYearEsc" localSheetId="2">#REF!</definedName>
    <definedName name="OutYearEsc" localSheetId="7">#REF!</definedName>
    <definedName name="OutYearEsc">#REF!</definedName>
    <definedName name="page2" localSheetId="2">#REF!</definedName>
    <definedName name="page2" localSheetId="7">#REF!</definedName>
    <definedName name="page2">#REF!</definedName>
    <definedName name="pct_apply_ehh" localSheetId="2">[2]Sheet1!#REF!</definedName>
    <definedName name="pct_apply_ehh" localSheetId="7">[2]Sheet1!#REF!</definedName>
    <definedName name="pct_apply_ehh">[2]Sheet1!#REF!</definedName>
    <definedName name="pct_apply_gh" localSheetId="2">[2]Sheet1!#REF!</definedName>
    <definedName name="pct_apply_gh" localSheetId="7">[2]Sheet1!#REF!</definedName>
    <definedName name="pct_apply_gh">[2]Sheet1!#REF!</definedName>
    <definedName name="pct_apply_gh1" localSheetId="7">[2]Sheet1!#REF!</definedName>
    <definedName name="pct_apply_gh1">[2]Sheet1!#REF!</definedName>
    <definedName name="pct_apply_grs" localSheetId="7">[2]Sheet1!#REF!</definedName>
    <definedName name="pct_apply_grs">[2]Sheet1!#REF!</definedName>
    <definedName name="pct_apply_gs1" localSheetId="7">[2]Sheet1!#REF!</definedName>
    <definedName name="pct_apply_gs1">[2]Sheet1!#REF!</definedName>
    <definedName name="pct_apply_gs3" localSheetId="7">[2]Sheet1!#REF!</definedName>
    <definedName name="pct_apply_gs3">[2]Sheet1!#REF!</definedName>
    <definedName name="pct_apply_lp4" localSheetId="7">[2]Sheet1!#REF!</definedName>
    <definedName name="pct_apply_lp4">[2]Sheet1!#REF!</definedName>
    <definedName name="pct_apply_lp5" localSheetId="7">[2]Sheet1!#REF!</definedName>
    <definedName name="pct_apply_lp5">[2]Sheet1!#REF!</definedName>
    <definedName name="pct_apply_sl" localSheetId="7">[2]Sheet1!#REF!</definedName>
    <definedName name="pct_apply_sl">[2]Sheet1!#REF!</definedName>
    <definedName name="peak_hours" localSheetId="2">#REF!</definedName>
    <definedName name="peak_hours" localSheetId="7">#REF!</definedName>
    <definedName name="peak_hours">#REF!</definedName>
    <definedName name="Peaker_East_Rev_Esc" localSheetId="2">#REF!</definedName>
    <definedName name="Peaker_East_Rev_Esc" localSheetId="7">#REF!</definedName>
    <definedName name="Peaker_East_Rev_Esc">#REF!</definedName>
    <definedName name="Peaker_East_VOM_Esc" localSheetId="2">#REF!</definedName>
    <definedName name="Peaker_East_VOM_Esc" localSheetId="7">#REF!</definedName>
    <definedName name="Peaker_East_VOM_Esc">#REF!</definedName>
    <definedName name="Peaker_Rev_Esc" localSheetId="7">#REF!</definedName>
    <definedName name="Peaker_Rev_Esc">#REF!</definedName>
    <definedName name="Peaker_VOM_Esc" localSheetId="7">#REF!</definedName>
    <definedName name="Peaker_VOM_Esc">#REF!</definedName>
    <definedName name="PeakerAero" localSheetId="7">#REF!</definedName>
    <definedName name="PeakerAero">#REF!</definedName>
    <definedName name="PeakerFrame" localSheetId="7">#REF!</definedName>
    <definedName name="PeakerFrame">#REF!</definedName>
    <definedName name="PeakerRecip" localSheetId="7">#REF!</definedName>
    <definedName name="PeakerRecip">#REF!</definedName>
    <definedName name="PED" localSheetId="7">#REF!</definedName>
    <definedName name="PED">#REF!</definedName>
    <definedName name="PlanMargin">[4]Assumptions!$K$19</definedName>
    <definedName name="PlanMargin14" localSheetId="2">#REF!</definedName>
    <definedName name="PlanMargin14" localSheetId="7">#REF!</definedName>
    <definedName name="PlanMargin14">#REF!</definedName>
    <definedName name="PlanMargin18" localSheetId="2">#REF!</definedName>
    <definedName name="PlanMargin18" localSheetId="7">#REF!</definedName>
    <definedName name="PlanMargin18">#REF!</definedName>
    <definedName name="PlanMargin23" localSheetId="2">#REF!</definedName>
    <definedName name="PlanMargin23" localSheetId="7">#REF!</definedName>
    <definedName name="PlanMargin23">#REF!</definedName>
    <definedName name="Planning_Margin" localSheetId="7">#REF!</definedName>
    <definedName name="Planning_Margin">#REF!</definedName>
    <definedName name="Portfolio_Screening_Model" localSheetId="7">#REF!</definedName>
    <definedName name="Portfolio_Screening_Model">#REF!</definedName>
    <definedName name="PPADiscRate" localSheetId="7">#REF!</definedName>
    <definedName name="PPADiscRate">#REF!</definedName>
    <definedName name="PPAEscPerc" localSheetId="7">#REF!</definedName>
    <definedName name="PPAEscPerc">#REF!</definedName>
    <definedName name="PPE797act" localSheetId="2">'Dec Settlement B'!PPE797act</definedName>
    <definedName name="PPE797act">[0]!PPE797act</definedName>
    <definedName name="ppe797sum" localSheetId="2">'Dec Settlement B'!ppe797sum</definedName>
    <definedName name="ppe797sum">[0]!ppe797sum</definedName>
    <definedName name="PPEEVA2ndqtr" localSheetId="2">'Dec Settlement B'!PPEEVA2ndqtr</definedName>
    <definedName name="PPEEVA2ndqtr">[0]!PPEEVA2ndqtr</definedName>
    <definedName name="PPL_dividends" localSheetId="2">[2]Sheet1!#REF!</definedName>
    <definedName name="PPL_dividends" localSheetId="7">[2]Sheet1!#REF!</definedName>
    <definedName name="PPL_dividends">[2]Sheet1!#REF!</definedName>
    <definedName name="Pref">[6]Sheet3!$B$3</definedName>
    <definedName name="Prefcost">[6]Sheet2!$B$11</definedName>
    <definedName name="Prefcost1">[6]Sheet2!$C$11</definedName>
    <definedName name="PreTaxDebtCost" localSheetId="2">#REF!</definedName>
    <definedName name="PreTaxDebtCost" localSheetId="7">#REF!</definedName>
    <definedName name="PreTaxDebtCost">#REF!</definedName>
    <definedName name="PreTaxWACC" localSheetId="2">#REF!</definedName>
    <definedName name="PreTaxWACC" localSheetId="7">#REF!</definedName>
    <definedName name="PreTaxWACC">#REF!</definedName>
    <definedName name="PRINT_3" localSheetId="2">#REF!</definedName>
    <definedName name="PRINT_3" localSheetId="7">#REF!</definedName>
    <definedName name="PRINT_3">#REF!</definedName>
    <definedName name="PRINT_4" localSheetId="7">#REF!</definedName>
    <definedName name="PRINT_4">#REF!</definedName>
    <definedName name="Print_Area_MI">[12]fuelbudg!$A$1:$P$1792</definedName>
    <definedName name="PropTaxRate" localSheetId="2">#REF!</definedName>
    <definedName name="PropTaxRate" localSheetId="7">#REF!</definedName>
    <definedName name="PropTaxRate">#REF!</definedName>
    <definedName name="PropTaxRatio" localSheetId="2">#REF!</definedName>
    <definedName name="PropTaxRatio" localSheetId="7">#REF!</definedName>
    <definedName name="PropTaxRatio">#REF!</definedName>
    <definedName name="Protege_Data_Range" localSheetId="2">#REF!</definedName>
    <definedName name="Protege_Data_Range" localSheetId="7">#REF!</definedName>
    <definedName name="Protege_Data_Range">#REF!</definedName>
    <definedName name="Protege_Heading_Range" localSheetId="7">#REF!</definedName>
    <definedName name="Protege_Heading_Range">#REF!</definedName>
    <definedName name="Protege_Title_Range" localSheetId="7">#REF!</definedName>
    <definedName name="Protege_Title_Range">#REF!</definedName>
    <definedName name="PTCesc" localSheetId="7">#REF!</definedName>
    <definedName name="PTCesc">#REF!</definedName>
    <definedName name="PTCLastYear" localSheetId="7">#REF!</definedName>
    <definedName name="PTCLastYear">#REF!</definedName>
    <definedName name="PTCLoss_Wind1">'[1]Wind Acq Inputs'!$J$37</definedName>
    <definedName name="PTCLoss_Wind2">'[1]Wind Acq Inputs'!$J$81</definedName>
    <definedName name="PTCLoss_Wind3">'[1]Wind Acq Inputs'!$J$124</definedName>
    <definedName name="PumpedHydro_PeakCredit" localSheetId="2">#REF!</definedName>
    <definedName name="PumpedHydro_PeakCredit" localSheetId="7">#REF!</definedName>
    <definedName name="PumpedHydro_PeakCredit">#REF!</definedName>
    <definedName name="qqq" localSheetId="2" hidden="1">{#N/A,#N/A,FALSE,"schA"}</definedName>
    <definedName name="qqq" hidden="1">{#N/A,#N/A,FALSE,"schA"}</definedName>
    <definedName name="R_needs" localSheetId="7">[2]Sheet1!#REF!</definedName>
    <definedName name="R_needs">[2]Sheet1!#REF!</definedName>
    <definedName name="R_new_interest" localSheetId="7">[2]Sheet1!#REF!</definedName>
    <definedName name="R_new_interest">[2]Sheet1!#REF!</definedName>
    <definedName name="R_old_interest" localSheetId="7">[2]Sheet1!#REF!</definedName>
    <definedName name="R_old_interest">[2]Sheet1!#REF!</definedName>
    <definedName name="R_tot_equity" localSheetId="7">[2]Sheet1!#REF!</definedName>
    <definedName name="R_tot_equity">[2]Sheet1!#REF!</definedName>
    <definedName name="Rate_Case_Lag__yrs">'[13]Assumptions (Input)'!$B$24</definedName>
    <definedName name="RBN" localSheetId="2">#REF!</definedName>
    <definedName name="RBN" localSheetId="7">#REF!</definedName>
    <definedName name="RBN">#REF!</definedName>
    <definedName name="RBU" localSheetId="2">#REF!</definedName>
    <definedName name="RBU" localSheetId="7">#REF!</definedName>
    <definedName name="RBU">#REF!</definedName>
    <definedName name="RBV" localSheetId="2">#REF!</definedName>
    <definedName name="RBV" localSheetId="7">#REF!</definedName>
    <definedName name="RBV">#REF!</definedName>
    <definedName name="rc_reg_other_a" localSheetId="2">[2]Sheet1!#REF!</definedName>
    <definedName name="rc_reg_other_a" localSheetId="7">[2]Sheet1!#REF!</definedName>
    <definedName name="rc_reg_other_a">[2]Sheet1!#REF!</definedName>
    <definedName name="REC_Credit" localSheetId="2">#REF!</definedName>
    <definedName name="REC_Credit" localSheetId="7">#REF!</definedName>
    <definedName name="REC_Credit">#REF!</definedName>
    <definedName name="Recip_FOM" localSheetId="2">#REF!</definedName>
    <definedName name="Recip_FOM" localSheetId="7">#REF!</definedName>
    <definedName name="Recip_FOM">#REF!</definedName>
    <definedName name="RECIP_GAS_TRANS" localSheetId="2">#REF!</definedName>
    <definedName name="RECIP_GAS_TRANS" localSheetId="7">#REF!</definedName>
    <definedName name="RECIP_GAS_TRANS">#REF!</definedName>
    <definedName name="RECIP_TRANS" localSheetId="7">#REF!</definedName>
    <definedName name="RECIP_TRANS">#REF!</definedName>
    <definedName name="reg_ror_1" localSheetId="7">[2]Sheet1!#REF!</definedName>
    <definedName name="reg_ror_1">[2]Sheet1!#REF!</definedName>
    <definedName name="RenewableBookLife">'[1]Wind Acq Inputs'!$C$36</definedName>
    <definedName name="Report_ID__BMI_RID" localSheetId="2">#REF!</definedName>
    <definedName name="Report_ID__BMI_RID" localSheetId="7">#REF!</definedName>
    <definedName name="Report_ID__BMI_RID">#REF!</definedName>
    <definedName name="res797act" localSheetId="2">'Dec Settlement B'!res797act</definedName>
    <definedName name="res797act">[0]!res797act</definedName>
    <definedName name="res797sum" localSheetId="2">'Dec Settlement B'!res797sum</definedName>
    <definedName name="res797sum">[0]!res797sum</definedName>
    <definedName name="RES97budget" localSheetId="2">'Dec Settlement B'!RES97budget</definedName>
    <definedName name="RES97budget">[0]!RES97budget</definedName>
    <definedName name="resale_jcpl_yes" localSheetId="2">[2]Sheet1!#REF!</definedName>
    <definedName name="resale_jcpl_yes" localSheetId="7">[2]Sheet1!#REF!</definedName>
    <definedName name="resale_jcpl_yes">[2]Sheet1!#REF!</definedName>
    <definedName name="resEVA2ndqtr" localSheetId="2">'Dec Settlement B'!resEVA2ndqtr</definedName>
    <definedName name="resEVA2ndqtr">[0]!resEVA2ndqtr</definedName>
    <definedName name="Results" localSheetId="2">'[1]Results Summary'!$D$7:$D$14,'[1]Results Summary'!#REF!</definedName>
    <definedName name="Results" localSheetId="7">'[1]Results Summary'!$D$7:$D$14,'[1]Results Summary'!#REF!</definedName>
    <definedName name="Results">'[1]Results Summary'!$D$7:$D$14,'[1]Results Summary'!#REF!</definedName>
    <definedName name="retain_earn" localSheetId="2">[2]Sheet1!#REF!</definedName>
    <definedName name="retain_earn" localSheetId="7">[2]Sheet1!#REF!</definedName>
    <definedName name="retain_earn">[2]Sheet1!#REF!</definedName>
    <definedName name="RETRUN_TO_SUMARY_2" localSheetId="2">'Dec Settlement B'!RETRUN_TO_SUMARY_2</definedName>
    <definedName name="RETRUN_TO_SUMARY_2">[0]!RETRUN_TO_SUMARY_2</definedName>
    <definedName name="rev_reduct_a" localSheetId="2">[2]Sheet1!#REF!</definedName>
    <definedName name="rev_reduct_a" localSheetId="7">[2]Sheet1!#REF!</definedName>
    <definedName name="rev_reduct_a">[2]Sheet1!#REF!</definedName>
    <definedName name="rev_reduct_b" localSheetId="2">[2]Sheet1!#REF!</definedName>
    <definedName name="rev_reduct_b" localSheetId="7">[2]Sheet1!#REF!</definedName>
    <definedName name="rev_reduct_b">[2]Sheet1!#REF!</definedName>
    <definedName name="RID" localSheetId="2">#REF!</definedName>
    <definedName name="RID" localSheetId="7">#REF!</definedName>
    <definedName name="RID">#REF!</definedName>
    <definedName name="ror" localSheetId="2">[2]Sheet1!#REF!</definedName>
    <definedName name="ror" localSheetId="7">[2]Sheet1!#REF!</definedName>
    <definedName name="ror">[2]Sheet1!#REF!</definedName>
    <definedName name="Round5" localSheetId="7">[14]!Round5</definedName>
    <definedName name="Round5">[14]!Round5</definedName>
    <definedName name="RPSSurplus" localSheetId="2">#REF!</definedName>
    <definedName name="RPSSurplus" localSheetId="7">#REF!</definedName>
    <definedName name="RPSSurplus">#REF!</definedName>
    <definedName name="RT_common_ratio" localSheetId="2">[2]Sheet1!#REF!</definedName>
    <definedName name="RT_common_ratio" localSheetId="7">[2]Sheet1!#REF!</definedName>
    <definedName name="RT_common_ratio">[2]Sheet1!#REF!</definedName>
    <definedName name="RT_debt_ratio" localSheetId="2">[2]Sheet1!#REF!</definedName>
    <definedName name="RT_debt_ratio" localSheetId="7">[2]Sheet1!#REF!</definedName>
    <definedName name="RT_debt_ratio">[2]Sheet1!#REF!</definedName>
    <definedName name="RT_pref_ratio" localSheetId="2">[2]Sheet1!#REF!</definedName>
    <definedName name="RT_pref_ratio" localSheetId="7">[2]Sheet1!#REF!</definedName>
    <definedName name="RT_pref_ratio">[2]Sheet1!#REF!</definedName>
    <definedName name="Rtot_interest" localSheetId="2">[2]Sheet1!#REF!</definedName>
    <definedName name="Rtot_interest" localSheetId="7">[2]Sheet1!#REF!</definedName>
    <definedName name="Rtot_interest">[2]Sheet1!#REF!</definedName>
    <definedName name="s">[15]Offer_Value!$B$15:$AE$15</definedName>
    <definedName name="SAPBEXhrIndnt">"Wide"</definedName>
    <definedName name="SAPCrosstab1" localSheetId="2">#REF!</definedName>
    <definedName name="SAPCrosstab1" localSheetId="7">#REF!</definedName>
    <definedName name="SAPCrosstab1">#REF!</definedName>
    <definedName name="SAPCrosstab3" localSheetId="2">#REF!</definedName>
    <definedName name="SAPCrosstab3" localSheetId="7">#REF!</definedName>
    <definedName name="SAPCrosstab3">#REF!</definedName>
    <definedName name="SAPsysID">"708C5W7SBKP804JT78WJ0JNKI"</definedName>
    <definedName name="SAPwbID">"ARS"</definedName>
    <definedName name="sbyacst" localSheetId="2">#REF!</definedName>
    <definedName name="sbyacst" localSheetId="7">#REF!</definedName>
    <definedName name="sbyacst">#REF!</definedName>
    <definedName name="sbyact" localSheetId="2">#REF!</definedName>
    <definedName name="sbyact" localSheetId="7">#REF!</definedName>
    <definedName name="sbyact">#REF!</definedName>
    <definedName name="sbyash" localSheetId="2">#REF!</definedName>
    <definedName name="sbyash" localSheetId="7">#REF!</definedName>
    <definedName name="sbyash">#REF!</definedName>
    <definedName name="sbycum" localSheetId="7">#REF!</definedName>
    <definedName name="sbycum">#REF!</definedName>
    <definedName name="sbymo" localSheetId="7">#REF!</definedName>
    <definedName name="sbymo">#REF!</definedName>
    <definedName name="sbymw" localSheetId="7">#REF!</definedName>
    <definedName name="sbymw">#REF!</definedName>
    <definedName name="sbyrev" localSheetId="7">#REF!</definedName>
    <definedName name="sbyrev">#REF!</definedName>
    <definedName name="sbysust" localSheetId="7">#REF!</definedName>
    <definedName name="sbysust">#REF!</definedName>
    <definedName name="sbyytd" localSheetId="7">#REF!</definedName>
    <definedName name="sbyytd">#REF!</definedName>
    <definedName name="sdAD">'[16]Thermal Acq Inputs'!$I$46</definedName>
    <definedName name="SDData" localSheetId="2">#REF!</definedName>
    <definedName name="SDData" localSheetId="7">#REF!</definedName>
    <definedName name="SDData">#REF!</definedName>
    <definedName name="Self_Build_Peaker_Rev_Esc" localSheetId="2">#REF!</definedName>
    <definedName name="Self_Build_Peaker_Rev_Esc" localSheetId="7">#REF!</definedName>
    <definedName name="Self_Build_Peaker_Rev_Esc">#REF!</definedName>
    <definedName name="Self_Build_Peaker_VOM_Esc" localSheetId="2">#REF!</definedName>
    <definedName name="Self_Build_Peaker_VOM_Esc" localSheetId="7">#REF!</definedName>
    <definedName name="Self_Build_Peaker_VOM_Esc">#REF!</definedName>
    <definedName name="SelfPeaker" localSheetId="7">#REF!</definedName>
    <definedName name="SelfPeaker">#REF!</definedName>
    <definedName name="SellerDisc" localSheetId="7">#REF!</definedName>
    <definedName name="SellerDisc">#REF!</definedName>
    <definedName name="sfd" localSheetId="7">#REF!</definedName>
    <definedName name="sfd">#REF!</definedName>
    <definedName name="sfn" localSheetId="7">#REF!</definedName>
    <definedName name="sfn">#REF!</definedName>
    <definedName name="sfv" localSheetId="7">#REF!</definedName>
    <definedName name="sfv">#REF!</definedName>
    <definedName name="ShareCol1" localSheetId="7">#REF!</definedName>
    <definedName name="ShareCol1">#REF!</definedName>
    <definedName name="ShareCol2" localSheetId="7">#REF!</definedName>
    <definedName name="ShareCol2">#REF!</definedName>
    <definedName name="ShareCol3" localSheetId="7">#REF!</definedName>
    <definedName name="ShareCol3">#REF!</definedName>
    <definedName name="ShareCol4" localSheetId="7">#REF!</definedName>
    <definedName name="ShareCol4">#REF!</definedName>
    <definedName name="ShareFredDF" localSheetId="7">#REF!</definedName>
    <definedName name="ShareFredDF">#REF!</definedName>
    <definedName name="ShareFredP" localSheetId="7">#REF!</definedName>
    <definedName name="ShareFredP">#REF!</definedName>
    <definedName name="SocialCostCarbon_switch">[16]Assumptions!$O$33</definedName>
    <definedName name="Solar" localSheetId="2">#REF!</definedName>
    <definedName name="Solar" localSheetId="7">#REF!</definedName>
    <definedName name="Solar">#REF!</definedName>
    <definedName name="Solar_FOM" localSheetId="2">#REF!</definedName>
    <definedName name="Solar_FOM" localSheetId="7">#REF!</definedName>
    <definedName name="Solar_FOM">#REF!</definedName>
    <definedName name="Solar_PeakCredit" localSheetId="2">#REF!</definedName>
    <definedName name="Solar_PeakCredit" localSheetId="7">#REF!</definedName>
    <definedName name="Solar_PeakCredit">#REF!</definedName>
    <definedName name="Solar_RECcredit" localSheetId="7">#REF!</definedName>
    <definedName name="Solar_RECcredit">#REF!</definedName>
    <definedName name="Solar_Rev_Esc" localSheetId="7">#REF!</definedName>
    <definedName name="Solar_Rev_Esc">#REF!</definedName>
    <definedName name="Solar_Trans" localSheetId="7">#REF!</definedName>
    <definedName name="Solar_Trans">#REF!</definedName>
    <definedName name="Solar_VOM_Esc" localSheetId="7">#REF!</definedName>
    <definedName name="Solar_VOM_Esc">#REF!</definedName>
    <definedName name="SolarBookLife" localSheetId="7">#REF!</definedName>
    <definedName name="SolarBookLife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 localSheetId="7">#REF!</definedName>
    <definedName name="StartDate">#REF!</definedName>
    <definedName name="StartYear" localSheetId="7">#REF!</definedName>
    <definedName name="StartYear">#REF!</definedName>
    <definedName name="Strike_days">[15]Offer_Value!$B$36:$AE$36</definedName>
    <definedName name="T">[15]Offer_Value!$B$14:$AE$14</definedName>
    <definedName name="T_common_ratio" localSheetId="2">[2]Sheet1!#REF!</definedName>
    <definedName name="T_common_ratio" localSheetId="7">[2]Sheet1!#REF!</definedName>
    <definedName name="T_common_ratio">[2]Sheet1!#REF!</definedName>
    <definedName name="T_cost_common" localSheetId="2">[2]Sheet1!#REF!</definedName>
    <definedName name="T_cost_common" localSheetId="7">[2]Sheet1!#REF!</definedName>
    <definedName name="T_cost_common">[2]Sheet1!#REF!</definedName>
    <definedName name="T_cost_debt" localSheetId="2">[2]Sheet1!#REF!</definedName>
    <definedName name="T_cost_debt" localSheetId="7">[2]Sheet1!#REF!</definedName>
    <definedName name="T_cost_debt">[2]Sheet1!#REF!</definedName>
    <definedName name="T_cost_pref" localSheetId="2">[2]Sheet1!#REF!</definedName>
    <definedName name="T_cost_pref" localSheetId="7">[2]Sheet1!#REF!</definedName>
    <definedName name="T_cost_pref">[2]Sheet1!#REF!</definedName>
    <definedName name="T_debt_ratio" localSheetId="7">[2]Sheet1!#REF!</definedName>
    <definedName name="T_debt_ratio">[2]Sheet1!#REF!</definedName>
    <definedName name="T_pref_ratio" localSheetId="7">[2]Sheet1!#REF!</definedName>
    <definedName name="T_pref_ratio">[2]Sheet1!#REF!</definedName>
    <definedName name="taxes" localSheetId="2">'Dec Settlement B'!taxes</definedName>
    <definedName name="taxes">[0]!taxes</definedName>
    <definedName name="Taxrate" localSheetId="2">#REF!</definedName>
    <definedName name="Taxrate" localSheetId="7">#REF!</definedName>
    <definedName name="Taxrate">#REF!</definedName>
    <definedName name="tblecontents" localSheetId="2">'Dec Settlement B'!tblecontents</definedName>
    <definedName name="tblecontents">[0]!tblecontents</definedName>
    <definedName name="td_emp_red" localSheetId="2">[2]Sheet1!#REF!</definedName>
    <definedName name="td_emp_red" localSheetId="7">[2]Sheet1!#REF!</definedName>
    <definedName name="td_emp_red">[2]Sheet1!#REF!</definedName>
    <definedName name="TEST">2000</definedName>
    <definedName name="Thermal_PeakCredit" localSheetId="2">#REF!</definedName>
    <definedName name="Thermal_PeakCredit" localSheetId="7">#REF!</definedName>
    <definedName name="Thermal_PeakCredit">#REF!</definedName>
    <definedName name="ThermalBookLife" localSheetId="2">#REF!</definedName>
    <definedName name="ThermalBookLife" localSheetId="7">#REF!</definedName>
    <definedName name="ThermalBookLife">#REF!</definedName>
    <definedName name="Title" localSheetId="2">#REF!</definedName>
    <definedName name="Title" localSheetId="7">#REF!</definedName>
    <definedName name="Title">#REF!</definedName>
    <definedName name="TollPPA_01">[1]LPProblem!$K$20</definedName>
    <definedName name="TollPPA_02">[1]LPProblem!$K$21</definedName>
    <definedName name="TollPPA_03">[1]LPProblem!$K$22</definedName>
    <definedName name="TollPPA_04">[1]LPProblem!$K$23</definedName>
    <definedName name="TollPPA_05">[1]LPProblem!$K$24</definedName>
    <definedName name="TollPPA_06">[1]LPProblem!$K$25</definedName>
    <definedName name="TollPPA_07">[1]LPProblem!$K$26</definedName>
    <definedName name="TollPPA_08">[1]LPProblem!$K$27</definedName>
    <definedName name="TollPPA_09">[1]LPProblem!$K$28</definedName>
    <definedName name="TollPPA_10">[1]LPProblem!$K$29</definedName>
    <definedName name="TollPPA1_CapPer">'[1]Toll PPA Inputs'!$C$33</definedName>
    <definedName name="TollPPA1_RECcredit">'[1]Toll PPA Inputs'!$C$34</definedName>
    <definedName name="TollPPA1_RPSMult">'[1]Toll PPA Inputs'!$C$35</definedName>
    <definedName name="TollPPA10_CapPer">'[1]Toll PPA Inputs'!$C$375</definedName>
    <definedName name="TollPPA10_RECcredit">'[1]Toll PPA Inputs'!$C$376</definedName>
    <definedName name="TollPPA10_RPSMult">'[1]Toll PPA Inputs'!$C$377</definedName>
    <definedName name="TollPPA2_CapPer">'[1]Toll PPA Inputs'!$C$71</definedName>
    <definedName name="TollPPA2_RECcredit">'[1]Toll PPA Inputs'!$C$72</definedName>
    <definedName name="TollPPA2_RPSMult">'[1]Toll PPA Inputs'!$C$73</definedName>
    <definedName name="TollPPA3_CapPer">'[1]Toll PPA Inputs'!$C$109</definedName>
    <definedName name="TollPPA3_RECcredit">'[1]Toll PPA Inputs'!$C$110</definedName>
    <definedName name="TollPPA3_RPSMult">'[1]Toll PPA Inputs'!$C$111</definedName>
    <definedName name="TollPPA4_CapPer">'[1]Toll PPA Inputs'!$C$147</definedName>
    <definedName name="TollPPA4_RECcredit">'[1]Toll PPA Inputs'!$C$148</definedName>
    <definedName name="TollPPA4_RPSMult">'[1]Toll PPA Inputs'!$C$149</definedName>
    <definedName name="TollPPA5_CapPer">'[1]Toll PPA Inputs'!$C$185</definedName>
    <definedName name="TollPPA5_RECcredit">'[1]Toll PPA Inputs'!$C$186</definedName>
    <definedName name="TollPPA5_RPSMult">'[1]Toll PPA Inputs'!$C$187</definedName>
    <definedName name="TollPPA6_CapPer">'[1]Toll PPA Inputs'!$C$223</definedName>
    <definedName name="TollPPA6_RECcredit">'[1]Toll PPA Inputs'!$C$224</definedName>
    <definedName name="TollPPA6_RPSMult">'[1]Toll PPA Inputs'!$C$225</definedName>
    <definedName name="TollPPA7_CapPer">'[1]Toll PPA Inputs'!$C$261</definedName>
    <definedName name="TollPPA7_RECcredit">'[1]Toll PPA Inputs'!$C$262</definedName>
    <definedName name="TollPPA7_RPSMult">'[1]Toll PPA Inputs'!$C$263</definedName>
    <definedName name="TollPPA8_CapPer">'[1]Toll PPA Inputs'!$C$299</definedName>
    <definedName name="TollPPA8_RECcredit">'[1]Toll PPA Inputs'!$C$300</definedName>
    <definedName name="TollPPA8_RPSMult">'[1]Toll PPA Inputs'!$C$301</definedName>
    <definedName name="TollPPA9_CapPer">'[1]Toll PPA Inputs'!$C$337</definedName>
    <definedName name="TollPPA9_RECcredit">'[1]Toll PPA Inputs'!$C$338</definedName>
    <definedName name="TollPPA9_RPSMult">'[1]Toll PPA Inputs'!$C$339</definedName>
    <definedName name="tot_emp_red" localSheetId="2">[2]Sheet1!#REF!</definedName>
    <definedName name="tot_emp_red" localSheetId="7">[2]Sheet1!#REF!</definedName>
    <definedName name="tot_emp_red">[2]Sheet1!#REF!</definedName>
    <definedName name="total_rev_temp" localSheetId="2">[2]Sheet1!#REF!</definedName>
    <definedName name="total_rev_temp" localSheetId="7">[2]Sheet1!#REF!</definedName>
    <definedName name="total_rev_temp">[2]Sheet1!#REF!</definedName>
    <definedName name="TotalBatteries" localSheetId="2">#REF!</definedName>
    <definedName name="TotalBatteries" localSheetId="7">#REF!</definedName>
    <definedName name="TotalBatteries">#REF!</definedName>
    <definedName name="TotalBiomass" localSheetId="2">#REF!</definedName>
    <definedName name="TotalBiomass" localSheetId="7">#REF!</definedName>
    <definedName name="TotalBiomass">#REF!</definedName>
    <definedName name="TotalDSR" localSheetId="2">#REF!</definedName>
    <definedName name="TotalDSR" localSheetId="7">#REF!</definedName>
    <definedName name="TotalDSR">#REF!</definedName>
    <definedName name="TotalPeaker" localSheetId="7">#REF!</definedName>
    <definedName name="TotalPeaker">#REF!</definedName>
    <definedName name="TotalREC20">[1]LPProblem!$AA$32</definedName>
    <definedName name="TotalREC5" localSheetId="2">#REF!</definedName>
    <definedName name="TotalREC5" localSheetId="7">#REF!</definedName>
    <definedName name="TotalREC5">#REF!</definedName>
    <definedName name="TotalSelfPeaker" localSheetId="2">#REF!</definedName>
    <definedName name="TotalSelfPeaker" localSheetId="7">#REF!</definedName>
    <definedName name="TotalSelfPeaker">#REF!</definedName>
    <definedName name="TotalSolar" localSheetId="2">#REF!</definedName>
    <definedName name="TotalSolar" localSheetId="7">#REF!</definedName>
    <definedName name="TotalSolar">#REF!</definedName>
    <definedName name="TotalWestBuilds" localSheetId="7">#REF!</definedName>
    <definedName name="TotalWestBuilds">#REF!</definedName>
    <definedName name="TotalWindMT" localSheetId="7">#REF!</definedName>
    <definedName name="TotalWindMT">#REF!</definedName>
    <definedName name="totcum" localSheetId="7">#REF!</definedName>
    <definedName name="totcum">#REF!</definedName>
    <definedName name="totmo" localSheetId="7">#REF!</definedName>
    <definedName name="totmo">#REF!</definedName>
    <definedName name="totytd" localSheetId="7">#REF!</definedName>
    <definedName name="totytd">#REF!</definedName>
    <definedName name="TPactuals" localSheetId="2">'Dec Settlement B'!TPactuals</definedName>
    <definedName name="TPactuals">[0]!TPactuals</definedName>
    <definedName name="TPbudget" localSheetId="2">'Dec Settlement B'!TPbudget</definedName>
    <definedName name="TPbudget">[0]!TPbudget</definedName>
    <definedName name="TRANS_CCGT" localSheetId="2">#REF!</definedName>
    <definedName name="TRANS_CCGT" localSheetId="7">#REF!</definedName>
    <definedName name="TRANS_CCGT">#REF!</definedName>
    <definedName name="TransEsc" localSheetId="2">#REF!</definedName>
    <definedName name="TransEsc" localSheetId="7">#REF!</definedName>
    <definedName name="TransEsc">#REF!</definedName>
    <definedName name="Tx_PeakCredit" localSheetId="2">#REF!</definedName>
    <definedName name="Tx_PeakCredit" localSheetId="7">#REF!</definedName>
    <definedName name="Tx_PeakCredit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iew_Graph3" localSheetId="7">[5]!View_Graph3</definedName>
    <definedName name="View_Graph3">[5]!View_Graph3</definedName>
    <definedName name="VOMEsc" localSheetId="2">#REF!</definedName>
    <definedName name="VOMEsc" localSheetId="7">#REF!</definedName>
    <definedName name="VOMEsc">#REF!</definedName>
    <definedName name="WA_LineLoss">[4]Assumptions!$L$7</definedName>
    <definedName name="WACC" localSheetId="2">#REF!</definedName>
    <definedName name="WACC" localSheetId="7">#REF!</definedName>
    <definedName name="WACC">#REF!</definedName>
    <definedName name="wc" localSheetId="2">[2]Sheet1!#REF!</definedName>
    <definedName name="wc" localSheetId="7">[2]Sheet1!#REF!</definedName>
    <definedName name="wc">[2]Sheet1!#REF!</definedName>
    <definedName name="wc_frac" localSheetId="7">[2]Sheet1!#REF!</definedName>
    <definedName name="wc_frac">[2]Sheet1!#REF!</definedName>
    <definedName name="west_offpeak_hours" localSheetId="2">#REF!</definedName>
    <definedName name="west_offpeak_hours" localSheetId="7">#REF!</definedName>
    <definedName name="west_offpeak_hours">#REF!</definedName>
    <definedName name="west_peak_hours" localSheetId="2">#REF!</definedName>
    <definedName name="west_peak_hours" localSheetId="7">#REF!</definedName>
    <definedName name="west_peak_hours">#REF!</definedName>
    <definedName name="Wind" localSheetId="2">#REF!</definedName>
    <definedName name="Wind" localSheetId="7">#REF!</definedName>
    <definedName name="Wind">#REF!</definedName>
    <definedName name="Wind_Acq1_Start_Date">'[1]Wind Acq Inputs'!$C$41</definedName>
    <definedName name="Wind_Acq2_Start_Date">'[1]Wind Acq Inputs'!$C$85</definedName>
    <definedName name="Wind_Acq3_Start_Date">'[1]Wind Acq Inputs'!$C$128</definedName>
    <definedName name="Wind_Acq4_Start_Date">'[1]Wind Acq Inputs'!$C$170</definedName>
    <definedName name="Wind_Acq5_Start_Date">'[1]Wind Acq Inputs'!$C$213</definedName>
    <definedName name="Wind_FOM" localSheetId="2">#REF!</definedName>
    <definedName name="Wind_FOM" localSheetId="7">#REF!</definedName>
    <definedName name="Wind_FOM">#REF!</definedName>
    <definedName name="Wind_PeakCredit" localSheetId="2">#REF!</definedName>
    <definedName name="Wind_PeakCredit" localSheetId="7">#REF!</definedName>
    <definedName name="Wind_PeakCredit">#REF!</definedName>
    <definedName name="Wind_RECcredit" localSheetId="2">#REF!</definedName>
    <definedName name="Wind_RECcredit" localSheetId="7">#REF!</definedName>
    <definedName name="Wind_RECcredit">#REF!</definedName>
    <definedName name="Wind_Rev_Esc" localSheetId="7">#REF!</definedName>
    <definedName name="Wind_Rev_Esc">#REF!</definedName>
    <definedName name="WIND_TRANSMISSION" localSheetId="7">#REF!</definedName>
    <definedName name="WIND_TRANSMISSION">#REF!</definedName>
    <definedName name="Wind_VOM_Esc" localSheetId="7">#REF!</definedName>
    <definedName name="Wind_VOM_Esc">#REF!</definedName>
    <definedName name="Wind1_PeakCredit">'[1]Wind Acq Inputs'!$C$37</definedName>
    <definedName name="Wind1_RECcredit">'[1]Wind Acq Inputs'!$C$38</definedName>
    <definedName name="Wind1_RPSMult">'[1]Wind Acq Inputs'!$C$39</definedName>
    <definedName name="Wind2_PeakCredit">'[1]Wind Acq Inputs'!$C$81</definedName>
    <definedName name="Wind2_RECcredit">'[1]Wind Acq Inputs'!$C$82</definedName>
    <definedName name="Wind2_RPSMult">'[1]Wind Acq Inputs'!$C$83</definedName>
    <definedName name="Wind2BookLife">'[1]Wind Acq Inputs'!$C$80</definedName>
    <definedName name="Wind3_PeakCredit">'[1]Wind Acq Inputs'!$C$124</definedName>
    <definedName name="Wind3_RECcredit">'[1]Wind Acq Inputs'!$C$125</definedName>
    <definedName name="Wind3_RPSMult">'[1]Wind Acq Inputs'!$C$126</definedName>
    <definedName name="Wind3BookLife">'[1]Wind Acq Inputs'!$C$123</definedName>
    <definedName name="Wind4_PeakCredit">'[1]Wind Acq Inputs'!$C$166</definedName>
    <definedName name="Wind4_RECcredit">'[1]Wind Acq Inputs'!$C$167</definedName>
    <definedName name="Wind4_RPSMult">'[1]Wind Acq Inputs'!$C$168</definedName>
    <definedName name="Wind4BookLife">'[1]Wind Acq Inputs'!$C$165</definedName>
    <definedName name="Wind5_PeakCredit">'[1]Wind Acq Inputs'!$C$209</definedName>
    <definedName name="Wind5_RECcredit">'[1]Wind Acq Inputs'!$C$210</definedName>
    <definedName name="Wind5_RPSMult">'[1]Wind Acq Inputs'!$C$211</definedName>
    <definedName name="Wind5BookLife">'[1]Wind Acq Inputs'!$C$208</definedName>
    <definedName name="WindBookLife" localSheetId="2">#REF!</definedName>
    <definedName name="WindBookLife" localSheetId="7">#REF!</definedName>
    <definedName name="WindBookLife">#REF!</definedName>
    <definedName name="WindLong_RECcredit" localSheetId="2">#REF!</definedName>
    <definedName name="WindLong_RECcredit" localSheetId="7">#REF!</definedName>
    <definedName name="WindLong_RECcredit">#REF!</definedName>
    <definedName name="WindMT_FOM" localSheetId="2">#REF!</definedName>
    <definedName name="WindMT_FOM" localSheetId="7">#REF!</definedName>
    <definedName name="WindMT_FOM">#REF!</definedName>
    <definedName name="WindMTA" localSheetId="7">#REF!</definedName>
    <definedName name="WindMTA">#REF!</definedName>
    <definedName name="WindPPA_01">[1]LPProblem!$K$30</definedName>
    <definedName name="WindPPA_02">[1]LPProblem!$K$31</definedName>
    <definedName name="WindPPA_03">[1]LPProblem!$K$32</definedName>
    <definedName name="WindPPA_04">[1]LPProblem!$K$33</definedName>
    <definedName name="WindPPA_05">[1]LPProblem!$K$34</definedName>
    <definedName name="WindPPA_PeakCredit">'[1]Wind PPA Inputs'!$C$24</definedName>
    <definedName name="WindPPA1_RECcredit">'[1]Wind PPA Inputs'!$C$25</definedName>
    <definedName name="WindPPA1_REConly">'[1]Wind PPA Inputs'!$C$27</definedName>
    <definedName name="WindPPA1_RPSMult">'[1]Wind PPA Inputs'!$C$26</definedName>
    <definedName name="WindPPA2_PeakCredit">'[1]Wind PPA Inputs'!$C$55</definedName>
    <definedName name="WindPPA2_RECcredit">'[1]Wind PPA Inputs'!$C$56</definedName>
    <definedName name="WindPPA2_REConly">'[1]Wind PPA Inputs'!$C$58</definedName>
    <definedName name="WindPPA2_RPSMult">'[1]Wind PPA Inputs'!$C$57</definedName>
    <definedName name="WindPPA3_PeakCredit">'[1]Wind PPA Inputs'!$C$86</definedName>
    <definedName name="WindPPA3_RECcredit">'[1]Wind PPA Inputs'!$C$87</definedName>
    <definedName name="WindPPA3_REConly">'[1]Wind PPA Inputs'!$C$89</definedName>
    <definedName name="WindPPA3_RPSMult">'[1]Wind PPA Inputs'!$C$88</definedName>
    <definedName name="WindPPA4_PeakCredit">'[1]Wind PPA Inputs'!$C$117</definedName>
    <definedName name="WindPPA4_RECcredit">'[1]Wind PPA Inputs'!$C$118</definedName>
    <definedName name="WindPPA4_REConly">'[1]Wind PPA Inputs'!$C$120</definedName>
    <definedName name="WindPPA4_RPSMult">'[1]Wind PPA Inputs'!$C$119</definedName>
    <definedName name="WindPPA5_PeakCredit">'[1]Wind PPA Inputs'!$C$148</definedName>
    <definedName name="WindPPA5_RECcredit">'[1]Wind PPA Inputs'!$C$149</definedName>
    <definedName name="WindPPA5_REConly">'[1]Wind PPA Inputs'!$C$151</definedName>
    <definedName name="WindPPA5_RPSMult">'[1]Wind PPA Inputs'!$C$150</definedName>
    <definedName name="WindPTCLoss" localSheetId="2">#REF!</definedName>
    <definedName name="WindPTCLoss" localSheetId="7">#REF!</definedName>
    <definedName name="WindPTCLoss">#REF!</definedName>
    <definedName name="WindResReq" localSheetId="2">#REF!</definedName>
    <definedName name="WindResReq" localSheetId="7">#REF!</definedName>
    <definedName name="WindResReq">#REF!</definedName>
    <definedName name="wpkacst" localSheetId="2">#REF!</definedName>
    <definedName name="wpkacst" localSheetId="7">#REF!</definedName>
    <definedName name="wpkacst">#REF!</definedName>
    <definedName name="wpkact" localSheetId="7">#REF!</definedName>
    <definedName name="wpkact">#REF!</definedName>
    <definedName name="wpkash" localSheetId="7">#REF!</definedName>
    <definedName name="wpkash">#REF!</definedName>
    <definedName name="wpkcum" localSheetId="7">#REF!</definedName>
    <definedName name="wpkcum">#REF!</definedName>
    <definedName name="wpkmo" localSheetId="7">#REF!</definedName>
    <definedName name="wpkmo">#REF!</definedName>
    <definedName name="wpkmw" localSheetId="7">#REF!</definedName>
    <definedName name="wpkmw">#REF!</definedName>
    <definedName name="wpkrev" localSheetId="7">#REF!</definedName>
    <definedName name="wpkrev">#REF!</definedName>
    <definedName name="wpksust" localSheetId="7">#REF!</definedName>
    <definedName name="wpksust">#REF!</definedName>
    <definedName name="wpkytd" localSheetId="7">#REF!</definedName>
    <definedName name="wpkytd">#REF!</definedName>
    <definedName name="wrn.ECR." localSheetId="2" hidden="1">{#N/A,#N/A,FALSE,"schA"}</definedName>
    <definedName name="wrn.ECR." hidden="1">{#N/A,#N/A,FALSE,"schA"}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hidden="1">{#N/A,#N/A,FALSE,"schA"}</definedName>
  </definedNames>
  <calcPr calcId="162913"/>
  <pivotCaches>
    <pivotCache cacheId="0" r:id="rId3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6" l="1"/>
  <c r="O3" i="26"/>
  <c r="P3" i="26"/>
  <c r="Q3" i="26"/>
  <c r="R3" i="26"/>
  <c r="S3" i="26"/>
  <c r="T3" i="26"/>
  <c r="E28" i="26" s="1"/>
  <c r="U3" i="26"/>
  <c r="V3" i="26"/>
  <c r="W3" i="26"/>
  <c r="X3" i="26"/>
  <c r="Y3" i="26"/>
  <c r="Z3" i="26"/>
  <c r="AA3" i="26"/>
  <c r="AB3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N5" i="26"/>
  <c r="O5" i="26"/>
  <c r="P5" i="26"/>
  <c r="Q5" i="26"/>
  <c r="R5" i="26"/>
  <c r="S5" i="26"/>
  <c r="T5" i="26"/>
  <c r="U5" i="26"/>
  <c r="V5" i="26"/>
  <c r="W5" i="26"/>
  <c r="X5" i="26"/>
  <c r="Y5" i="26"/>
  <c r="Z5" i="26"/>
  <c r="AA5" i="26"/>
  <c r="AB5" i="26"/>
  <c r="N6" i="26"/>
  <c r="O6" i="26"/>
  <c r="P6" i="26"/>
  <c r="Q6" i="26"/>
  <c r="R6" i="26"/>
  <c r="S6" i="26"/>
  <c r="T6" i="26"/>
  <c r="U6" i="26"/>
  <c r="V6" i="26"/>
  <c r="W6" i="26"/>
  <c r="X6" i="26"/>
  <c r="Y6" i="26"/>
  <c r="Z6" i="26"/>
  <c r="AA6" i="26"/>
  <c r="AB6" i="26"/>
  <c r="I3" i="26"/>
  <c r="J3" i="26"/>
  <c r="K3" i="26"/>
  <c r="L3" i="26"/>
  <c r="M3" i="26"/>
  <c r="I4" i="26"/>
  <c r="J4" i="26"/>
  <c r="K4" i="26"/>
  <c r="L4" i="26"/>
  <c r="M4" i="26"/>
  <c r="I5" i="26"/>
  <c r="J5" i="26"/>
  <c r="K5" i="26"/>
  <c r="L5" i="26"/>
  <c r="M5" i="26"/>
  <c r="I6" i="26"/>
  <c r="J6" i="26"/>
  <c r="K6" i="26"/>
  <c r="L6" i="26"/>
  <c r="M6" i="26"/>
  <c r="C3" i="26"/>
  <c r="D3" i="26"/>
  <c r="E3" i="26"/>
  <c r="F3" i="26"/>
  <c r="G3" i="26"/>
  <c r="H3" i="26"/>
  <c r="C4" i="26"/>
  <c r="D4" i="26"/>
  <c r="E4" i="26"/>
  <c r="F4" i="26"/>
  <c r="G4" i="26"/>
  <c r="H4" i="26"/>
  <c r="C5" i="26"/>
  <c r="D5" i="26"/>
  <c r="E5" i="26"/>
  <c r="F5" i="26"/>
  <c r="G5" i="26"/>
  <c r="H5" i="26"/>
  <c r="C6" i="26"/>
  <c r="D6" i="26"/>
  <c r="E6" i="26"/>
  <c r="F6" i="26"/>
  <c r="G6" i="26"/>
  <c r="H6" i="26"/>
  <c r="B6" i="26"/>
  <c r="B5" i="26"/>
  <c r="B4" i="26"/>
  <c r="B3" i="26"/>
  <c r="C34" i="26"/>
  <c r="A31" i="26"/>
  <c r="E34" i="26" s="1"/>
  <c r="A30" i="26"/>
  <c r="D34" i="26" s="1"/>
  <c r="A29" i="26"/>
  <c r="A28" i="26"/>
  <c r="B34" i="26" s="1"/>
  <c r="E31" i="26" l="1"/>
  <c r="E29" i="26"/>
  <c r="D30" i="26"/>
  <c r="E30" i="26"/>
  <c r="D28" i="26"/>
  <c r="D31" i="26"/>
  <c r="D29" i="26"/>
  <c r="D12" i="21" l="1"/>
  <c r="B22" i="21"/>
  <c r="B23" i="21"/>
  <c r="B24" i="21"/>
  <c r="B21" i="21"/>
  <c r="B20" i="21"/>
  <c r="O14" i="25"/>
  <c r="N14" i="25"/>
  <c r="M14" i="25"/>
  <c r="L14" i="25"/>
  <c r="K14" i="25"/>
  <c r="J14" i="25"/>
  <c r="I14" i="25"/>
  <c r="F14" i="25"/>
  <c r="O13" i="25"/>
  <c r="N13" i="25"/>
  <c r="M13" i="25"/>
  <c r="L13" i="25"/>
  <c r="K13" i="25"/>
  <c r="J13" i="25"/>
  <c r="I13" i="25"/>
  <c r="C13" i="25"/>
  <c r="E13" i="25" s="1"/>
  <c r="F13" i="25" s="1"/>
  <c r="O12" i="25"/>
  <c r="N12" i="25"/>
  <c r="M12" i="25"/>
  <c r="L12" i="25"/>
  <c r="K12" i="25"/>
  <c r="J12" i="25"/>
  <c r="I12" i="25"/>
  <c r="F12" i="25"/>
  <c r="O11" i="25"/>
  <c r="N11" i="25"/>
  <c r="M11" i="25"/>
  <c r="L11" i="25"/>
  <c r="K11" i="25"/>
  <c r="J11" i="25"/>
  <c r="I11" i="25"/>
  <c r="F11" i="25"/>
  <c r="O10" i="25"/>
  <c r="N10" i="25"/>
  <c r="M10" i="25"/>
  <c r="L10" i="25"/>
  <c r="K10" i="25"/>
  <c r="J10" i="25"/>
  <c r="I10" i="25"/>
  <c r="F10" i="25"/>
  <c r="O8" i="25"/>
  <c r="N8" i="25"/>
  <c r="M8" i="25"/>
  <c r="L8" i="25"/>
  <c r="K8" i="25"/>
  <c r="J8" i="25"/>
  <c r="I8" i="25"/>
  <c r="E8" i="25"/>
  <c r="F8" i="25" s="1"/>
  <c r="O7" i="25"/>
  <c r="N7" i="25"/>
  <c r="M7" i="25"/>
  <c r="L7" i="25"/>
  <c r="K7" i="25"/>
  <c r="J7" i="25"/>
  <c r="I7" i="25"/>
  <c r="O6" i="25"/>
  <c r="N6" i="25"/>
  <c r="M6" i="25"/>
  <c r="L6" i="25"/>
  <c r="K6" i="25"/>
  <c r="J6" i="25"/>
  <c r="I6" i="25"/>
  <c r="O5" i="25"/>
  <c r="N5" i="25"/>
  <c r="M5" i="25"/>
  <c r="L5" i="25"/>
  <c r="K5" i="25"/>
  <c r="J5" i="25"/>
  <c r="I5" i="25"/>
  <c r="K1" i="14" l="1"/>
  <c r="Y11" i="9" l="1"/>
  <c r="Y3" i="9"/>
  <c r="Z8" i="20"/>
  <c r="AA8" i="20"/>
  <c r="AB8" i="20"/>
  <c r="AC8" i="20"/>
  <c r="Y8" i="20"/>
  <c r="X8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D25" i="20"/>
  <c r="AB25" i="20"/>
  <c r="AA25" i="20"/>
  <c r="Z25" i="20"/>
  <c r="Y25" i="20"/>
  <c r="X25" i="20"/>
  <c r="W25" i="20"/>
  <c r="V25" i="20"/>
  <c r="X17" i="20"/>
  <c r="Y17" i="20"/>
  <c r="Z17" i="20"/>
  <c r="AA17" i="20"/>
  <c r="AB17" i="20"/>
  <c r="AC17" i="20"/>
  <c r="W17" i="20"/>
  <c r="E16" i="17"/>
  <c r="E22" i="17"/>
  <c r="F31" i="17"/>
  <c r="C31" i="17"/>
  <c r="C14" i="17"/>
  <c r="C15" i="17"/>
  <c r="C25" i="17"/>
  <c r="D33" i="17"/>
  <c r="E42" i="17"/>
  <c r="E43" i="17"/>
  <c r="F34" i="17"/>
  <c r="G14" i="17"/>
  <c r="J14" i="17"/>
  <c r="K32" i="17"/>
  <c r="O14" i="17"/>
  <c r="Q14" i="17"/>
  <c r="R14" i="17"/>
  <c r="S4" i="17"/>
  <c r="S4" i="10" s="1"/>
  <c r="T23" i="17"/>
  <c r="V14" i="17"/>
  <c r="W14" i="17"/>
  <c r="Y23" i="17"/>
  <c r="Z32" i="17"/>
  <c r="D14" i="17"/>
  <c r="E15" i="17"/>
  <c r="F16" i="17"/>
  <c r="I14" i="17"/>
  <c r="L14" i="17"/>
  <c r="S14" i="17"/>
  <c r="C24" i="17"/>
  <c r="D23" i="17"/>
  <c r="F25" i="17"/>
  <c r="I23" i="17"/>
  <c r="L23" i="17"/>
  <c r="Q23" i="17"/>
  <c r="S23" i="17"/>
  <c r="C33" i="17"/>
  <c r="D32" i="17"/>
  <c r="I32" i="17"/>
  <c r="J32" i="17"/>
  <c r="L32" i="17"/>
  <c r="Q32" i="17"/>
  <c r="S32" i="17"/>
  <c r="C43" i="17"/>
  <c r="D42" i="17"/>
  <c r="F43" i="17"/>
  <c r="F44" i="17"/>
  <c r="I42" i="17"/>
  <c r="L42" i="17"/>
  <c r="S42" i="17"/>
  <c r="X42" i="17"/>
  <c r="B13" i="17"/>
  <c r="B23" i="17"/>
  <c r="B33" i="17"/>
  <c r="B16" i="17"/>
  <c r="B32" i="17"/>
  <c r="B52" i="17"/>
  <c r="B55" i="17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D29" i="9"/>
  <c r="D28" i="9"/>
  <c r="E19" i="9"/>
  <c r="F19" i="9"/>
  <c r="G19" i="9"/>
  <c r="H19" i="9"/>
  <c r="I19" i="9"/>
  <c r="J19" i="9"/>
  <c r="J22" i="9" s="1"/>
  <c r="H32" i="10" s="1"/>
  <c r="H7" i="14" s="1"/>
  <c r="H24" i="10" s="1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Z11" i="9"/>
  <c r="AA11" i="9"/>
  <c r="AB11" i="9"/>
  <c r="AC11" i="9"/>
  <c r="AD11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D21" i="9"/>
  <c r="D20" i="9"/>
  <c r="D27" i="9"/>
  <c r="D19" i="9"/>
  <c r="D11" i="9"/>
  <c r="D36" i="9"/>
  <c r="D37" i="9"/>
  <c r="D38" i="9"/>
  <c r="AD36" i="9"/>
  <c r="AD37" i="9"/>
  <c r="AD38" i="9"/>
  <c r="AC36" i="9"/>
  <c r="AC37" i="9"/>
  <c r="AC38" i="9"/>
  <c r="AB36" i="9"/>
  <c r="AB37" i="9"/>
  <c r="AB38" i="9"/>
  <c r="AA36" i="9"/>
  <c r="AA37" i="9"/>
  <c r="AA38" i="9"/>
  <c r="Z36" i="9"/>
  <c r="Z37" i="9"/>
  <c r="Z38" i="9"/>
  <c r="Y36" i="9"/>
  <c r="Y37" i="9"/>
  <c r="Y38" i="9"/>
  <c r="X36" i="9"/>
  <c r="X37" i="9"/>
  <c r="X38" i="9"/>
  <c r="W36" i="9"/>
  <c r="W37" i="9"/>
  <c r="W38" i="9"/>
  <c r="V36" i="9"/>
  <c r="V37" i="9"/>
  <c r="V38" i="9"/>
  <c r="U36" i="9"/>
  <c r="U37" i="9"/>
  <c r="U38" i="9"/>
  <c r="T36" i="9"/>
  <c r="T37" i="9"/>
  <c r="T38" i="9"/>
  <c r="S36" i="9"/>
  <c r="S37" i="9"/>
  <c r="S38" i="9"/>
  <c r="R36" i="9"/>
  <c r="R37" i="9"/>
  <c r="R38" i="9"/>
  <c r="Q36" i="9"/>
  <c r="Q37" i="9"/>
  <c r="Q38" i="9"/>
  <c r="P36" i="9"/>
  <c r="P37" i="9"/>
  <c r="P38" i="9"/>
  <c r="O36" i="9"/>
  <c r="O37" i="9"/>
  <c r="O38" i="9"/>
  <c r="N36" i="9"/>
  <c r="N37" i="9"/>
  <c r="N38" i="9"/>
  <c r="M36" i="9"/>
  <c r="M37" i="9"/>
  <c r="M38" i="9"/>
  <c r="L36" i="9"/>
  <c r="L37" i="9"/>
  <c r="L38" i="9"/>
  <c r="K36" i="9"/>
  <c r="K37" i="9"/>
  <c r="K38" i="9"/>
  <c r="J36" i="9"/>
  <c r="J37" i="9"/>
  <c r="J38" i="9"/>
  <c r="I36" i="9"/>
  <c r="I37" i="9"/>
  <c r="I38" i="9"/>
  <c r="H36" i="9"/>
  <c r="H37" i="9"/>
  <c r="H38" i="9"/>
  <c r="G36" i="9"/>
  <c r="G37" i="9"/>
  <c r="G38" i="9"/>
  <c r="F36" i="9"/>
  <c r="F37" i="9"/>
  <c r="F38" i="9"/>
  <c r="E36" i="9"/>
  <c r="E37" i="9"/>
  <c r="E38" i="9"/>
  <c r="D12" i="9"/>
  <c r="D13" i="9"/>
  <c r="E3" i="9"/>
  <c r="E4" i="9"/>
  <c r="E5" i="9"/>
  <c r="F3" i="9"/>
  <c r="F4" i="9"/>
  <c r="F5" i="9"/>
  <c r="G3" i="9"/>
  <c r="G4" i="9"/>
  <c r="G5" i="9"/>
  <c r="H3" i="9"/>
  <c r="H4" i="9"/>
  <c r="H5" i="9"/>
  <c r="I3" i="9"/>
  <c r="I4" i="9"/>
  <c r="I5" i="9"/>
  <c r="J3" i="9"/>
  <c r="J4" i="9"/>
  <c r="J5" i="9"/>
  <c r="K3" i="9"/>
  <c r="K4" i="9"/>
  <c r="K5" i="9"/>
  <c r="L3" i="9"/>
  <c r="L4" i="9"/>
  <c r="L5" i="9"/>
  <c r="M3" i="9"/>
  <c r="M4" i="9"/>
  <c r="M5" i="9"/>
  <c r="N3" i="9"/>
  <c r="N4" i="9"/>
  <c r="N5" i="9"/>
  <c r="O3" i="9"/>
  <c r="O4" i="9"/>
  <c r="O5" i="9"/>
  <c r="P3" i="9"/>
  <c r="P4" i="9"/>
  <c r="P5" i="9"/>
  <c r="Q3" i="9"/>
  <c r="Q4" i="9"/>
  <c r="Q5" i="9"/>
  <c r="R3" i="9"/>
  <c r="R4" i="9"/>
  <c r="R5" i="9"/>
  <c r="S3" i="9"/>
  <c r="S4" i="9"/>
  <c r="S5" i="9"/>
  <c r="T3" i="9"/>
  <c r="T4" i="9"/>
  <c r="T5" i="9"/>
  <c r="U3" i="9"/>
  <c r="U4" i="9"/>
  <c r="U5" i="9"/>
  <c r="V3" i="9"/>
  <c r="V4" i="9"/>
  <c r="V5" i="9"/>
  <c r="W3" i="9"/>
  <c r="W4" i="9"/>
  <c r="W5" i="9"/>
  <c r="X3" i="9"/>
  <c r="X4" i="9"/>
  <c r="X5" i="9"/>
  <c r="Y4" i="9"/>
  <c r="Y5" i="9"/>
  <c r="Z3" i="9"/>
  <c r="Z4" i="9"/>
  <c r="Z5" i="9"/>
  <c r="AA3" i="9"/>
  <c r="AA4" i="9"/>
  <c r="AA5" i="9"/>
  <c r="AB3" i="9"/>
  <c r="AB4" i="9"/>
  <c r="AB5" i="9"/>
  <c r="AC3" i="9"/>
  <c r="AC4" i="9"/>
  <c r="AC5" i="9"/>
  <c r="AD3" i="9"/>
  <c r="AD4" i="9"/>
  <c r="AD5" i="9"/>
  <c r="D3" i="9"/>
  <c r="D4" i="9"/>
  <c r="D5" i="9"/>
  <c r="F36" i="17"/>
  <c r="E36" i="17"/>
  <c r="D36" i="17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I28" i="13"/>
  <c r="J28" i="13" s="1"/>
  <c r="I19" i="13"/>
  <c r="J19" i="13" s="1"/>
  <c r="J21" i="13" s="1"/>
  <c r="I10" i="13"/>
  <c r="J10" i="13" s="1"/>
  <c r="B35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M29" i="13"/>
  <c r="C28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M27" i="13"/>
  <c r="N27" i="13"/>
  <c r="O27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M26" i="13"/>
  <c r="N26" i="13"/>
  <c r="M25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M16" i="13"/>
  <c r="N16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M11" i="13"/>
  <c r="G20" i="13"/>
  <c r="G29" i="13"/>
  <c r="F20" i="13"/>
  <c r="F29" i="13"/>
  <c r="E20" i="13"/>
  <c r="E29" i="13"/>
  <c r="D20" i="13"/>
  <c r="D29" i="13"/>
  <c r="C20" i="13"/>
  <c r="C29" i="13"/>
  <c r="G19" i="13"/>
  <c r="H21" i="13"/>
  <c r="F19" i="13"/>
  <c r="F28" i="13"/>
  <c r="E19" i="13"/>
  <c r="E28" i="13"/>
  <c r="D19" i="13"/>
  <c r="D28" i="13"/>
  <c r="C1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G18" i="13"/>
  <c r="G27" i="13"/>
  <c r="F18" i="13"/>
  <c r="F27" i="13"/>
  <c r="E18" i="13"/>
  <c r="E27" i="13"/>
  <c r="D18" i="13"/>
  <c r="D27" i="13"/>
  <c r="C18" i="13"/>
  <c r="C27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M8" i="13"/>
  <c r="G17" i="13"/>
  <c r="G26" i="13"/>
  <c r="F17" i="13"/>
  <c r="F26" i="13"/>
  <c r="E17" i="13"/>
  <c r="E26" i="13"/>
  <c r="D17" i="13"/>
  <c r="D26" i="13"/>
  <c r="C17" i="13"/>
  <c r="C26" i="13"/>
  <c r="N7" i="13"/>
  <c r="M7" i="13"/>
  <c r="G16" i="13"/>
  <c r="G25" i="13"/>
  <c r="E16" i="13"/>
  <c r="C16" i="13"/>
  <c r="C25" i="13"/>
  <c r="G28" i="13"/>
  <c r="C21" i="13"/>
  <c r="C12" i="13"/>
  <c r="G21" i="13"/>
  <c r="C30" i="13"/>
  <c r="E25" i="13"/>
  <c r="E30" i="13"/>
  <c r="E21" i="13"/>
  <c r="H12" i="13"/>
  <c r="E12" i="13"/>
  <c r="N25" i="13"/>
  <c r="H30" i="13"/>
  <c r="F12" i="13"/>
  <c r="F16" i="13"/>
  <c r="O7" i="13"/>
  <c r="G30" i="13"/>
  <c r="O16" i="13"/>
  <c r="D12" i="13"/>
  <c r="G12" i="13"/>
  <c r="D16" i="13"/>
  <c r="D21" i="13"/>
  <c r="D25" i="13"/>
  <c r="D30" i="13"/>
  <c r="P16" i="13"/>
  <c r="O25" i="13"/>
  <c r="P7" i="13"/>
  <c r="F21" i="13"/>
  <c r="F25" i="13"/>
  <c r="F30" i="13"/>
  <c r="Q7" i="13"/>
  <c r="Q16" i="13"/>
  <c r="P25" i="13"/>
  <c r="E35" i="3"/>
  <c r="Q25" i="13"/>
  <c r="R16" i="13"/>
  <c r="R7" i="13"/>
  <c r="R25" i="13"/>
  <c r="S16" i="13"/>
  <c r="S7" i="13"/>
  <c r="S25" i="13"/>
  <c r="T16" i="13"/>
  <c r="T7" i="13"/>
  <c r="U16" i="13"/>
  <c r="T25" i="13"/>
  <c r="U7" i="13"/>
  <c r="U25" i="13"/>
  <c r="V7" i="13"/>
  <c r="V16" i="13"/>
  <c r="W7" i="13"/>
  <c r="V25" i="13"/>
  <c r="W16" i="13"/>
  <c r="X16" i="13"/>
  <c r="W25" i="13"/>
  <c r="X7" i="13"/>
  <c r="Y7" i="13"/>
  <c r="X25" i="13"/>
  <c r="Y16" i="13"/>
  <c r="Z16" i="13"/>
  <c r="Y25" i="13"/>
  <c r="Z7" i="13"/>
  <c r="Z25" i="13"/>
  <c r="AA7" i="13"/>
  <c r="AA16" i="13"/>
  <c r="AA25" i="13"/>
  <c r="C31" i="3"/>
  <c r="D31" i="3"/>
  <c r="D35" i="3"/>
  <c r="C35" i="3"/>
  <c r="F30" i="3"/>
  <c r="F35" i="3"/>
  <c r="C16" i="5"/>
  <c r="B16" i="5"/>
  <c r="C15" i="5"/>
  <c r="B15" i="5"/>
  <c r="C14" i="5"/>
  <c r="B14" i="5"/>
  <c r="V41" i="4"/>
  <c r="U41" i="4"/>
  <c r="T41" i="4"/>
  <c r="S41" i="4"/>
  <c r="G30" i="3"/>
  <c r="H30" i="3"/>
  <c r="H35" i="3"/>
  <c r="G35" i="3"/>
  <c r="I30" i="3"/>
  <c r="I35" i="3"/>
  <c r="J30" i="3"/>
  <c r="J35" i="3"/>
  <c r="K30" i="3"/>
  <c r="K35" i="3"/>
  <c r="L30" i="3"/>
  <c r="L35" i="3"/>
  <c r="M30" i="3"/>
  <c r="M35" i="3"/>
  <c r="N30" i="3"/>
  <c r="N35" i="3"/>
  <c r="O30" i="3"/>
  <c r="O35" i="3"/>
  <c r="P30" i="3"/>
  <c r="P35" i="3"/>
  <c r="Q30" i="3"/>
  <c r="Q35" i="3"/>
  <c r="R30" i="3"/>
  <c r="R35" i="3"/>
  <c r="T29" i="3"/>
  <c r="S30" i="3"/>
  <c r="S35" i="3"/>
  <c r="T30" i="3"/>
  <c r="T35" i="3"/>
  <c r="U30" i="3"/>
  <c r="U35" i="3"/>
  <c r="V30" i="3"/>
  <c r="V35" i="3"/>
  <c r="X23" i="17"/>
  <c r="X14" i="17"/>
  <c r="X32" i="17"/>
  <c r="F33" i="17"/>
  <c r="F24" i="17"/>
  <c r="F15" i="17"/>
  <c r="E14" i="17"/>
  <c r="X6" i="9" l="1"/>
  <c r="F39" i="9"/>
  <c r="D29" i="10" s="1"/>
  <c r="D4" i="14" s="1"/>
  <c r="D21" i="10" s="1"/>
  <c r="AD39" i="9"/>
  <c r="AB29" i="10" s="1"/>
  <c r="AB4" i="14" s="1"/>
  <c r="AB21" i="10" s="1"/>
  <c r="AB6" i="9"/>
  <c r="AA6" i="9"/>
  <c r="Y30" i="10" s="1"/>
  <c r="Y5" i="14" s="1"/>
  <c r="Y22" i="10" s="1"/>
  <c r="AC22" i="9"/>
  <c r="U22" i="9"/>
  <c r="U24" i="9" s="1"/>
  <c r="M22" i="9"/>
  <c r="K32" i="10" s="1"/>
  <c r="K7" i="14" s="1"/>
  <c r="K24" i="10" s="1"/>
  <c r="E22" i="9"/>
  <c r="G6" i="9"/>
  <c r="T6" i="9"/>
  <c r="R30" i="10" s="1"/>
  <c r="R5" i="14" s="1"/>
  <c r="R22" i="10" s="1"/>
  <c r="N22" i="9"/>
  <c r="L32" i="10" s="1"/>
  <c r="L7" i="14" s="1"/>
  <c r="L24" i="10" s="1"/>
  <c r="N30" i="9"/>
  <c r="N31" i="9" s="1"/>
  <c r="L39" i="17" s="1"/>
  <c r="L44" i="17" s="1"/>
  <c r="E39" i="9"/>
  <c r="C29" i="10" s="1"/>
  <c r="C4" i="14" s="1"/>
  <c r="C21" i="10" s="1"/>
  <c r="AD22" i="9"/>
  <c r="AD23" i="9" s="1"/>
  <c r="AB29" i="17" s="1"/>
  <c r="AB33" i="17" s="1"/>
  <c r="F22" i="9"/>
  <c r="D32" i="10" s="1"/>
  <c r="D7" i="14" s="1"/>
  <c r="D24" i="10" s="1"/>
  <c r="V30" i="9"/>
  <c r="F6" i="9"/>
  <c r="M39" i="9"/>
  <c r="K29" i="10" s="1"/>
  <c r="K4" i="14" s="1"/>
  <c r="K21" i="10" s="1"/>
  <c r="U39" i="9"/>
  <c r="U23" i="9" s="1"/>
  <c r="S29" i="17" s="1"/>
  <c r="AC39" i="9"/>
  <c r="AA29" i="10" s="1"/>
  <c r="AA4" i="14" s="1"/>
  <c r="AA21" i="10" s="1"/>
  <c r="J6" i="9"/>
  <c r="D6" i="9"/>
  <c r="V22" i="9"/>
  <c r="V23" i="9" s="1"/>
  <c r="T29" i="17" s="1"/>
  <c r="T31" i="17" s="1"/>
  <c r="AD30" i="9"/>
  <c r="I12" i="13"/>
  <c r="M6" i="9"/>
  <c r="K30" i="10" s="1"/>
  <c r="K5" i="14" s="1"/>
  <c r="K22" i="10" s="1"/>
  <c r="K39" i="9"/>
  <c r="I29" i="10" s="1"/>
  <c r="I4" i="14" s="1"/>
  <c r="I21" i="10" s="1"/>
  <c r="Z22" i="9"/>
  <c r="R22" i="9"/>
  <c r="J14" i="9"/>
  <c r="J16" i="9" s="1"/>
  <c r="W6" i="9"/>
  <c r="U30" i="10" s="1"/>
  <c r="U5" i="14" s="1"/>
  <c r="U22" i="10" s="1"/>
  <c r="Y22" i="9"/>
  <c r="Q22" i="9"/>
  <c r="I22" i="9"/>
  <c r="R6" i="9"/>
  <c r="R7" i="9" s="1"/>
  <c r="P11" i="17" s="1"/>
  <c r="P39" i="9"/>
  <c r="N29" i="10" s="1"/>
  <c r="N4" i="14" s="1"/>
  <c r="N21" i="10" s="1"/>
  <c r="R39" i="9"/>
  <c r="P29" i="10" s="1"/>
  <c r="P4" i="14" s="1"/>
  <c r="P21" i="10" s="1"/>
  <c r="AB14" i="9"/>
  <c r="Z31" i="10" s="1"/>
  <c r="Z6" i="14" s="1"/>
  <c r="Z23" i="10" s="1"/>
  <c r="W14" i="9"/>
  <c r="U31" i="10" s="1"/>
  <c r="U6" i="14" s="1"/>
  <c r="U23" i="10" s="1"/>
  <c r="G14" i="9"/>
  <c r="E31" i="10" s="1"/>
  <c r="E6" i="14" s="1"/>
  <c r="E23" i="10" s="1"/>
  <c r="AA39" i="9"/>
  <c r="Y29" i="10" s="1"/>
  <c r="Y4" i="14" s="1"/>
  <c r="Y21" i="10" s="1"/>
  <c r="I30" i="13"/>
  <c r="V6" i="9"/>
  <c r="V8" i="9" s="1"/>
  <c r="L6" i="9"/>
  <c r="J30" i="10" s="1"/>
  <c r="J5" i="14" s="1"/>
  <c r="J22" i="10" s="1"/>
  <c r="V39" i="9"/>
  <c r="T29" i="10" s="1"/>
  <c r="T4" i="14" s="1"/>
  <c r="T21" i="10" s="1"/>
  <c r="Y39" i="9"/>
  <c r="W29" i="10" s="1"/>
  <c r="W4" i="14" s="1"/>
  <c r="W21" i="10" s="1"/>
  <c r="AA14" i="9"/>
  <c r="Y31" i="10" s="1"/>
  <c r="Y6" i="14" s="1"/>
  <c r="Y23" i="10" s="1"/>
  <c r="Q6" i="9"/>
  <c r="O30" i="10" s="1"/>
  <c r="O5" i="14" s="1"/>
  <c r="O22" i="10" s="1"/>
  <c r="I39" i="9"/>
  <c r="G29" i="10" s="1"/>
  <c r="G4" i="14" s="1"/>
  <c r="G21" i="10" s="1"/>
  <c r="N39" i="9"/>
  <c r="L29" i="10" s="1"/>
  <c r="L4" i="14" s="1"/>
  <c r="L21" i="10" s="1"/>
  <c r="U6" i="9"/>
  <c r="U7" i="9" s="1"/>
  <c r="S11" i="17" s="1"/>
  <c r="R14" i="9"/>
  <c r="P31" i="10" s="1"/>
  <c r="P6" i="14" s="1"/>
  <c r="P23" i="10" s="1"/>
  <c r="W22" i="9"/>
  <c r="O22" i="9"/>
  <c r="M32" i="10" s="1"/>
  <c r="M7" i="14" s="1"/>
  <c r="M24" i="10" s="1"/>
  <c r="G22" i="9"/>
  <c r="E32" i="10" s="1"/>
  <c r="E7" i="14" s="1"/>
  <c r="E24" i="10" s="1"/>
  <c r="AA22" i="9"/>
  <c r="Y32" i="10" s="1"/>
  <c r="Y7" i="14" s="1"/>
  <c r="Y24" i="10" s="1"/>
  <c r="S22" i="9"/>
  <c r="Q32" i="10" s="1"/>
  <c r="Q7" i="14" s="1"/>
  <c r="Q24" i="10" s="1"/>
  <c r="K22" i="9"/>
  <c r="I32" i="10" s="1"/>
  <c r="I7" i="14" s="1"/>
  <c r="I24" i="10" s="1"/>
  <c r="W30" i="9"/>
  <c r="U33" i="10" s="1"/>
  <c r="U8" i="14" s="1"/>
  <c r="U25" i="10" s="1"/>
  <c r="O30" i="9"/>
  <c r="G30" i="9"/>
  <c r="AA30" i="9"/>
  <c r="Y33" i="10" s="1"/>
  <c r="Y8" i="14" s="1"/>
  <c r="Y25" i="10" s="1"/>
  <c r="S30" i="9"/>
  <c r="K30" i="9"/>
  <c r="O6" i="9"/>
  <c r="P6" i="9"/>
  <c r="O14" i="9"/>
  <c r="M31" i="10" s="1"/>
  <c r="M6" i="14" s="1"/>
  <c r="M23" i="10" s="1"/>
  <c r="S29" i="10"/>
  <c r="S4" i="14" s="1"/>
  <c r="S21" i="10" s="1"/>
  <c r="X32" i="10"/>
  <c r="X7" i="14" s="1"/>
  <c r="X24" i="10" s="1"/>
  <c r="P32" i="10"/>
  <c r="P7" i="14" s="1"/>
  <c r="P24" i="10" s="1"/>
  <c r="R23" i="9"/>
  <c r="P29" i="17" s="1"/>
  <c r="P33" i="17" s="1"/>
  <c r="I21" i="13"/>
  <c r="AC6" i="9"/>
  <c r="AA30" i="10" s="1"/>
  <c r="AA5" i="14" s="1"/>
  <c r="AA22" i="10" s="1"/>
  <c r="H6" i="9"/>
  <c r="H39" i="9"/>
  <c r="F29" i="10" s="1"/>
  <c r="F4" i="14" s="1"/>
  <c r="F21" i="10" s="1"/>
  <c r="Q39" i="9"/>
  <c r="O29" i="10" s="1"/>
  <c r="O4" i="14" s="1"/>
  <c r="O21" i="10" s="1"/>
  <c r="D39" i="9"/>
  <c r="Z14" i="9"/>
  <c r="Q14" i="9"/>
  <c r="I14" i="9"/>
  <c r="I15" i="9" s="1"/>
  <c r="G20" i="17" s="1"/>
  <c r="AC30" i="9"/>
  <c r="AA33" i="10" s="1"/>
  <c r="AA8" i="14" s="1"/>
  <c r="AA25" i="10" s="1"/>
  <c r="U30" i="9"/>
  <c r="M30" i="9"/>
  <c r="K33" i="10" s="1"/>
  <c r="K8" i="14" s="1"/>
  <c r="K25" i="10" s="1"/>
  <c r="E30" i="9"/>
  <c r="C33" i="10" s="1"/>
  <c r="C8" i="14" s="1"/>
  <c r="C25" i="10" s="1"/>
  <c r="S6" i="9"/>
  <c r="S8" i="9" s="1"/>
  <c r="N6" i="9"/>
  <c r="T39" i="9"/>
  <c r="R29" i="10" s="1"/>
  <c r="R4" i="14" s="1"/>
  <c r="R21" i="10" s="1"/>
  <c r="S14" i="9"/>
  <c r="K14" i="9"/>
  <c r="Z30" i="9"/>
  <c r="Z31" i="9" s="1"/>
  <c r="X39" i="17" s="1"/>
  <c r="X44" i="17" s="1"/>
  <c r="R30" i="9"/>
  <c r="R31" i="9" s="1"/>
  <c r="P39" i="17" s="1"/>
  <c r="P44" i="17" s="1"/>
  <c r="J30" i="9"/>
  <c r="H33" i="10" s="1"/>
  <c r="H8" i="14" s="1"/>
  <c r="H25" i="10" s="1"/>
  <c r="Z6" i="9"/>
  <c r="X30" i="10" s="1"/>
  <c r="X5" i="14" s="1"/>
  <c r="X22" i="10" s="1"/>
  <c r="E6" i="9"/>
  <c r="C30" i="10" s="1"/>
  <c r="C5" i="14" s="1"/>
  <c r="C22" i="10" s="1"/>
  <c r="O39" i="9"/>
  <c r="M29" i="10" s="1"/>
  <c r="M4" i="14" s="1"/>
  <c r="M21" i="10" s="1"/>
  <c r="AB39" i="9"/>
  <c r="Z29" i="10" s="1"/>
  <c r="Z4" i="14" s="1"/>
  <c r="Z21" i="10" s="1"/>
  <c r="D22" i="9"/>
  <c r="U14" i="9"/>
  <c r="M14" i="9"/>
  <c r="E14" i="9"/>
  <c r="Y30" i="9"/>
  <c r="Q30" i="9"/>
  <c r="O33" i="10" s="1"/>
  <c r="O8" i="14" s="1"/>
  <c r="O25" i="10" s="1"/>
  <c r="I30" i="9"/>
  <c r="I31" i="9" s="1"/>
  <c r="G39" i="17" s="1"/>
  <c r="D30" i="9"/>
  <c r="AC14" i="9"/>
  <c r="T14" i="9"/>
  <c r="L14" i="9"/>
  <c r="X22" i="9"/>
  <c r="P22" i="9"/>
  <c r="H22" i="9"/>
  <c r="F30" i="9"/>
  <c r="X30" i="9"/>
  <c r="P30" i="9"/>
  <c r="P32" i="9" s="1"/>
  <c r="H30" i="9"/>
  <c r="F33" i="10" s="1"/>
  <c r="F8" i="14" s="1"/>
  <c r="F25" i="10" s="1"/>
  <c r="J39" i="9"/>
  <c r="H29" i="10" s="1"/>
  <c r="H4" i="14" s="1"/>
  <c r="H21" i="10" s="1"/>
  <c r="AD6" i="9"/>
  <c r="AD7" i="9" s="1"/>
  <c r="AB11" i="17" s="1"/>
  <c r="AB13" i="17" s="1"/>
  <c r="Y6" i="9"/>
  <c r="D21" i="21" s="1"/>
  <c r="I6" i="9"/>
  <c r="I7" i="9" s="1"/>
  <c r="G11" i="17" s="1"/>
  <c r="D14" i="9"/>
  <c r="B31" i="10" s="1"/>
  <c r="B6" i="14" s="1"/>
  <c r="W39" i="9"/>
  <c r="U29" i="10" s="1"/>
  <c r="U4" i="14" s="1"/>
  <c r="U21" i="10" s="1"/>
  <c r="S39" i="9"/>
  <c r="Q29" i="10" s="1"/>
  <c r="Q4" i="14" s="1"/>
  <c r="Q21" i="10" s="1"/>
  <c r="Z39" i="9"/>
  <c r="X29" i="10" s="1"/>
  <c r="X4" i="14" s="1"/>
  <c r="X21" i="10" s="1"/>
  <c r="Y14" i="9"/>
  <c r="Y15" i="9" s="1"/>
  <c r="W20" i="17" s="1"/>
  <c r="W24" i="17" s="1"/>
  <c r="F30" i="10"/>
  <c r="F5" i="14" s="1"/>
  <c r="F22" i="10" s="1"/>
  <c r="M30" i="10"/>
  <c r="M5" i="14" s="1"/>
  <c r="M22" i="10" s="1"/>
  <c r="O8" i="9"/>
  <c r="Z30" i="10"/>
  <c r="Z5" i="14" s="1"/>
  <c r="Z22" i="10" s="1"/>
  <c r="W8" i="9"/>
  <c r="M7" i="9"/>
  <c r="K11" i="17" s="1"/>
  <c r="K15" i="17" s="1"/>
  <c r="M8" i="9"/>
  <c r="AD32" i="9"/>
  <c r="AB33" i="10"/>
  <c r="AB8" i="14" s="1"/>
  <c r="AB25" i="10" s="1"/>
  <c r="AD31" i="9"/>
  <c r="AB39" i="17" s="1"/>
  <c r="AB44" i="17" s="1"/>
  <c r="K10" i="13"/>
  <c r="J12" i="13"/>
  <c r="L30" i="10"/>
  <c r="L5" i="14" s="1"/>
  <c r="L22" i="10" s="1"/>
  <c r="N8" i="9"/>
  <c r="Q30" i="10"/>
  <c r="Q5" i="14" s="1"/>
  <c r="Q22" i="10" s="1"/>
  <c r="S7" i="9"/>
  <c r="Q11" i="17" s="1"/>
  <c r="Q15" i="17" s="1"/>
  <c r="K28" i="13"/>
  <c r="J30" i="13"/>
  <c r="AB30" i="10"/>
  <c r="AB5" i="14" s="1"/>
  <c r="AB22" i="10" s="1"/>
  <c r="AD8" i="9"/>
  <c r="F8" i="9"/>
  <c r="D30" i="10"/>
  <c r="D5" i="14" s="1"/>
  <c r="D22" i="10" s="1"/>
  <c r="O32" i="10"/>
  <c r="O7" i="14" s="1"/>
  <c r="O24" i="10" s="1"/>
  <c r="Q24" i="9"/>
  <c r="G32" i="10"/>
  <c r="G7" i="14" s="1"/>
  <c r="G24" i="10" s="1"/>
  <c r="X8" i="9"/>
  <c r="W24" i="9"/>
  <c r="X39" i="9"/>
  <c r="X7" i="9" s="1"/>
  <c r="V11" i="17" s="1"/>
  <c r="K32" i="9"/>
  <c r="V14" i="9"/>
  <c r="N14" i="9"/>
  <c r="F14" i="9"/>
  <c r="J32" i="9"/>
  <c r="V32" i="9"/>
  <c r="T33" i="10"/>
  <c r="T8" i="14" s="1"/>
  <c r="T25" i="10" s="1"/>
  <c r="V31" i="9"/>
  <c r="T39" i="17" s="1"/>
  <c r="T41" i="17" s="1"/>
  <c r="K6" i="9"/>
  <c r="AD14" i="9"/>
  <c r="AC24" i="9"/>
  <c r="AA32" i="10"/>
  <c r="AA7" i="14" s="1"/>
  <c r="AA24" i="10" s="1"/>
  <c r="D24" i="21"/>
  <c r="G33" i="10"/>
  <c r="G8" i="14" s="1"/>
  <c r="G25" i="10" s="1"/>
  <c r="N30" i="10"/>
  <c r="N5" i="14" s="1"/>
  <c r="N22" i="10" s="1"/>
  <c r="E24" i="9"/>
  <c r="C32" i="10"/>
  <c r="C7" i="14" s="1"/>
  <c r="C24" i="10" s="1"/>
  <c r="E23" i="9"/>
  <c r="C29" i="17" s="1"/>
  <c r="B33" i="10"/>
  <c r="B8" i="14" s="1"/>
  <c r="AD24" i="9"/>
  <c r="J8" i="9"/>
  <c r="H30" i="10"/>
  <c r="H5" i="14" s="1"/>
  <c r="H22" i="10" s="1"/>
  <c r="AA24" i="9"/>
  <c r="G39" i="9"/>
  <c r="I33" i="10"/>
  <c r="I8" i="14" s="1"/>
  <c r="I25" i="10" s="1"/>
  <c r="B29" i="10"/>
  <c r="B4" i="14" s="1"/>
  <c r="U32" i="10"/>
  <c r="U7" i="14" s="1"/>
  <c r="U24" i="10" s="1"/>
  <c r="E30" i="10"/>
  <c r="E5" i="14" s="1"/>
  <c r="E22" i="10" s="1"/>
  <c r="D22" i="21"/>
  <c r="T8" i="9"/>
  <c r="X33" i="10"/>
  <c r="X8" i="14" s="1"/>
  <c r="X25" i="10" s="1"/>
  <c r="K19" i="13"/>
  <c r="L39" i="9"/>
  <c r="W32" i="10"/>
  <c r="W7" i="14" s="1"/>
  <c r="W24" i="10" s="1"/>
  <c r="D15" i="21" s="1"/>
  <c r="D23" i="21"/>
  <c r="Y24" i="9"/>
  <c r="D7" i="9"/>
  <c r="B11" i="17" s="1"/>
  <c r="F7" i="9"/>
  <c r="D11" i="17" s="1"/>
  <c r="I23" i="9"/>
  <c r="G29" i="17" s="1"/>
  <c r="G31" i="17" s="1"/>
  <c r="X14" i="9"/>
  <c r="P14" i="9"/>
  <c r="H14" i="9"/>
  <c r="AB22" i="9"/>
  <c r="T22" i="9"/>
  <c r="L22" i="9"/>
  <c r="AB30" i="9"/>
  <c r="T30" i="9"/>
  <c r="L30" i="9"/>
  <c r="O32" i="9"/>
  <c r="E33" i="10"/>
  <c r="E8" i="14" s="1"/>
  <c r="E25" i="10" s="1"/>
  <c r="G32" i="9"/>
  <c r="Z14" i="17"/>
  <c r="X4" i="17"/>
  <c r="X4" i="10" s="1"/>
  <c r="V4" i="17"/>
  <c r="V4" i="10" s="1"/>
  <c r="T42" i="17"/>
  <c r="V32" i="17"/>
  <c r="V23" i="17"/>
  <c r="L4" i="17"/>
  <c r="L4" i="10" s="1"/>
  <c r="D31" i="17"/>
  <c r="D41" i="17"/>
  <c r="D4" i="17"/>
  <c r="D4" i="10" s="1"/>
  <c r="D22" i="17"/>
  <c r="D13" i="17"/>
  <c r="B25" i="17"/>
  <c r="W32" i="17"/>
  <c r="Q13" i="17"/>
  <c r="Y4" i="17"/>
  <c r="Y4" i="10" s="1"/>
  <c r="E23" i="17"/>
  <c r="V42" i="17"/>
  <c r="Z23" i="17"/>
  <c r="E32" i="17"/>
  <c r="Z42" i="17"/>
  <c r="Q42" i="17"/>
  <c r="E24" i="17"/>
  <c r="AA32" i="17"/>
  <c r="AA14" i="17"/>
  <c r="D16" i="17"/>
  <c r="D25" i="17"/>
  <c r="D44" i="17"/>
  <c r="D34" i="17"/>
  <c r="F23" i="17"/>
  <c r="F32" i="17"/>
  <c r="F30" i="17" s="1"/>
  <c r="F7" i="10" s="1"/>
  <c r="F14" i="17"/>
  <c r="F42" i="17"/>
  <c r="N32" i="17"/>
  <c r="N42" i="17"/>
  <c r="N23" i="17"/>
  <c r="N14" i="17"/>
  <c r="H23" i="17"/>
  <c r="H14" i="17"/>
  <c r="H42" i="17"/>
  <c r="H32" i="17"/>
  <c r="P32" i="17"/>
  <c r="P23" i="17"/>
  <c r="P14" i="17"/>
  <c r="P42" i="17"/>
  <c r="U32" i="17"/>
  <c r="U42" i="17"/>
  <c r="M14" i="17"/>
  <c r="M23" i="17"/>
  <c r="M32" i="17"/>
  <c r="M42" i="17"/>
  <c r="Z4" i="17"/>
  <c r="Z4" i="10" s="1"/>
  <c r="AB23" i="17"/>
  <c r="AB14" i="17"/>
  <c r="T32" i="17"/>
  <c r="T14" i="17"/>
  <c r="B41" i="17"/>
  <c r="B34" i="17"/>
  <c r="B22" i="17"/>
  <c r="J23" i="17"/>
  <c r="D24" i="17"/>
  <c r="R23" i="17"/>
  <c r="E13" i="17"/>
  <c r="E12" i="17" s="1"/>
  <c r="E5" i="10" s="1"/>
  <c r="J42" i="17"/>
  <c r="E41" i="17"/>
  <c r="G32" i="17"/>
  <c r="G23" i="17"/>
  <c r="D15" i="17"/>
  <c r="B31" i="17"/>
  <c r="B30" i="17" s="1"/>
  <c r="R42" i="17"/>
  <c r="D43" i="17"/>
  <c r="D40" i="17" s="1"/>
  <c r="D8" i="10" s="1"/>
  <c r="R32" i="17"/>
  <c r="O23" i="17"/>
  <c r="B14" i="17"/>
  <c r="Q4" i="17"/>
  <c r="Q4" i="10" s="1"/>
  <c r="O42" i="17"/>
  <c r="G42" i="17"/>
  <c r="O32" i="17"/>
  <c r="E31" i="17"/>
  <c r="Y14" i="17"/>
  <c r="M4" i="17"/>
  <c r="M4" i="10" s="1"/>
  <c r="F41" i="17"/>
  <c r="B4" i="17"/>
  <c r="B4" i="10" s="1"/>
  <c r="O4" i="17"/>
  <c r="O4" i="10" s="1"/>
  <c r="B42" i="17"/>
  <c r="B43" i="17"/>
  <c r="AA42" i="17"/>
  <c r="Y32" i="17"/>
  <c r="E33" i="17"/>
  <c r="AA23" i="17"/>
  <c r="C22" i="17"/>
  <c r="C21" i="17" s="1"/>
  <c r="C6" i="10" s="1"/>
  <c r="C13" i="17"/>
  <c r="W4" i="17"/>
  <c r="W4" i="10" s="1"/>
  <c r="AB4" i="17"/>
  <c r="AB4" i="10" s="1"/>
  <c r="C42" i="17"/>
  <c r="K23" i="17"/>
  <c r="F13" i="17"/>
  <c r="F22" i="17"/>
  <c r="U14" i="17"/>
  <c r="D30" i="17"/>
  <c r="D7" i="10" s="1"/>
  <c r="Y42" i="17"/>
  <c r="K42" i="17"/>
  <c r="C41" i="17"/>
  <c r="K14" i="17"/>
  <c r="F4" i="17"/>
  <c r="F4" i="10" s="1"/>
  <c r="P4" i="17"/>
  <c r="P4" i="10" s="1"/>
  <c r="U23" i="17"/>
  <c r="B15" i="17"/>
  <c r="B24" i="17"/>
  <c r="AB32" i="17"/>
  <c r="C32" i="17"/>
  <c r="W23" i="17"/>
  <c r="T4" i="17"/>
  <c r="T4" i="10" s="1"/>
  <c r="AB42" i="17"/>
  <c r="W42" i="17"/>
  <c r="C23" i="17"/>
  <c r="U4" i="17"/>
  <c r="U4" i="10" s="1"/>
  <c r="K4" i="17"/>
  <c r="K4" i="10" s="1"/>
  <c r="C34" i="17"/>
  <c r="C30" i="17" s="1"/>
  <c r="C7" i="10" s="1"/>
  <c r="E25" i="17"/>
  <c r="H4" i="17"/>
  <c r="H4" i="10" s="1"/>
  <c r="B44" i="17"/>
  <c r="C16" i="17"/>
  <c r="N4" i="17"/>
  <c r="N4" i="10" s="1"/>
  <c r="C44" i="17"/>
  <c r="E34" i="17"/>
  <c r="Q16" i="17"/>
  <c r="E4" i="17"/>
  <c r="C4" i="17"/>
  <c r="J4" i="17"/>
  <c r="J4" i="10" s="1"/>
  <c r="E44" i="17"/>
  <c r="E40" i="17" s="1"/>
  <c r="E8" i="10" s="1"/>
  <c r="AA4" i="17"/>
  <c r="AA4" i="10" s="1"/>
  <c r="G4" i="17"/>
  <c r="G4" i="10" s="1"/>
  <c r="AB41" i="17"/>
  <c r="T44" i="17" l="1"/>
  <c r="D15" i="10"/>
  <c r="AB34" i="17"/>
  <c r="G31" i="9"/>
  <c r="E39" i="17" s="1"/>
  <c r="M24" i="9"/>
  <c r="P34" i="17"/>
  <c r="T32" i="10"/>
  <c r="T7" i="14" s="1"/>
  <c r="T24" i="10" s="1"/>
  <c r="S24" i="9"/>
  <c r="W31" i="10"/>
  <c r="W6" i="14" s="1"/>
  <c r="W23" i="10" s="1"/>
  <c r="D14" i="21" s="1"/>
  <c r="G24" i="17"/>
  <c r="G25" i="17"/>
  <c r="V24" i="9"/>
  <c r="AB31" i="17"/>
  <c r="AA8" i="9"/>
  <c r="AB32" i="10"/>
  <c r="AB7" i="14" s="1"/>
  <c r="AB24" i="10" s="1"/>
  <c r="H31" i="10"/>
  <c r="H6" i="14" s="1"/>
  <c r="H23" i="10" s="1"/>
  <c r="E8" i="9"/>
  <c r="H8" i="9"/>
  <c r="Y23" i="9"/>
  <c r="W29" i="17" s="1"/>
  <c r="W33" i="17" s="1"/>
  <c r="M31" i="9"/>
  <c r="K39" i="17" s="1"/>
  <c r="K44" i="17" s="1"/>
  <c r="B30" i="10"/>
  <c r="B5" i="14" s="1"/>
  <c r="D20" i="21"/>
  <c r="T30" i="10"/>
  <c r="T5" i="14" s="1"/>
  <c r="T22" i="10" s="1"/>
  <c r="G30" i="10"/>
  <c r="G5" i="14" s="1"/>
  <c r="G22" i="10" s="1"/>
  <c r="P23" i="9"/>
  <c r="N29" i="17" s="1"/>
  <c r="N31" i="17" s="1"/>
  <c r="F23" i="9"/>
  <c r="D29" i="17" s="1"/>
  <c r="I24" i="9"/>
  <c r="AB43" i="17"/>
  <c r="M32" i="9"/>
  <c r="S32" i="10"/>
  <c r="S7" i="14" s="1"/>
  <c r="S24" i="10" s="1"/>
  <c r="H31" i="9"/>
  <c r="F39" i="17" s="1"/>
  <c r="T43" i="17"/>
  <c r="T40" i="17" s="1"/>
  <c r="T8" i="10" s="1"/>
  <c r="T15" i="10" s="1"/>
  <c r="S23" i="9"/>
  <c r="Q29" i="17" s="1"/>
  <c r="G8" i="9"/>
  <c r="I32" i="9"/>
  <c r="G41" i="17"/>
  <c r="G44" i="17"/>
  <c r="G43" i="17"/>
  <c r="S16" i="17"/>
  <c r="S12" i="17" s="1"/>
  <c r="S5" i="10" s="1"/>
  <c r="S15" i="17"/>
  <c r="S13" i="17"/>
  <c r="S34" i="17"/>
  <c r="S33" i="17"/>
  <c r="S31" i="17"/>
  <c r="P16" i="17"/>
  <c r="P13" i="17"/>
  <c r="P12" i="17" s="1"/>
  <c r="P5" i="10" s="1"/>
  <c r="P15" i="17"/>
  <c r="K43" i="17"/>
  <c r="M33" i="10"/>
  <c r="M8" i="14" s="1"/>
  <c r="M25" i="10" s="1"/>
  <c r="L8" i="9"/>
  <c r="Q32" i="9"/>
  <c r="R8" i="9"/>
  <c r="O7" i="9"/>
  <c r="M11" i="17" s="1"/>
  <c r="M13" i="17" s="1"/>
  <c r="T7" i="9"/>
  <c r="R11" i="17" s="1"/>
  <c r="N23" i="9"/>
  <c r="L29" i="17" s="1"/>
  <c r="R15" i="9"/>
  <c r="P20" i="17" s="1"/>
  <c r="O31" i="9"/>
  <c r="M39" i="17" s="1"/>
  <c r="M44" i="17" s="1"/>
  <c r="G17" i="9"/>
  <c r="N32" i="9"/>
  <c r="G22" i="17"/>
  <c r="G34" i="17"/>
  <c r="G33" i="17"/>
  <c r="W32" i="9"/>
  <c r="U31" i="9"/>
  <c r="S39" i="17" s="1"/>
  <c r="Y7" i="9"/>
  <c r="W11" i="17" s="1"/>
  <c r="AC23" i="9"/>
  <c r="AA29" i="17" s="1"/>
  <c r="AA33" i="17" s="1"/>
  <c r="P30" i="10"/>
  <c r="P5" i="14" s="1"/>
  <c r="P22" i="10" s="1"/>
  <c r="N7" i="9"/>
  <c r="L11" i="17" s="1"/>
  <c r="L13" i="17" s="1"/>
  <c r="M23" i="9"/>
  <c r="K29" i="17" s="1"/>
  <c r="K31" i="9"/>
  <c r="I39" i="17" s="1"/>
  <c r="K17" i="9"/>
  <c r="AC7" i="9"/>
  <c r="AA11" i="17" s="1"/>
  <c r="AA16" i="17" s="1"/>
  <c r="P7" i="9"/>
  <c r="N11" i="17" s="1"/>
  <c r="K13" i="17"/>
  <c r="P31" i="17"/>
  <c r="U32" i="9"/>
  <c r="P8" i="9"/>
  <c r="S30" i="10"/>
  <c r="S5" i="14" s="1"/>
  <c r="S22" i="10" s="1"/>
  <c r="Z24" i="9"/>
  <c r="S31" i="9"/>
  <c r="Q39" i="17" s="1"/>
  <c r="Q43" i="17" s="1"/>
  <c r="W16" i="9"/>
  <c r="V7" i="9"/>
  <c r="T11" i="17" s="1"/>
  <c r="S33" i="10"/>
  <c r="S8" i="14" s="1"/>
  <c r="S25" i="10" s="1"/>
  <c r="L33" i="10"/>
  <c r="L8" i="14" s="1"/>
  <c r="L25" i="10" s="1"/>
  <c r="K16" i="17"/>
  <c r="K12" i="17" s="1"/>
  <c r="K5" i="10" s="1"/>
  <c r="W31" i="9"/>
  <c r="U39" i="17" s="1"/>
  <c r="U44" i="17" s="1"/>
  <c r="AC31" i="9"/>
  <c r="AA39" i="17" s="1"/>
  <c r="I31" i="10"/>
  <c r="I6" i="14" s="1"/>
  <c r="I23" i="10" s="1"/>
  <c r="F32" i="9"/>
  <c r="U8" i="9"/>
  <c r="AC32" i="9"/>
  <c r="E7" i="9"/>
  <c r="C11" i="17" s="1"/>
  <c r="K23" i="9"/>
  <c r="I29" i="17" s="1"/>
  <c r="I33" i="17" s="1"/>
  <c r="G16" i="17"/>
  <c r="G13" i="17"/>
  <c r="G15" i="17"/>
  <c r="AA7" i="9"/>
  <c r="Y11" i="17" s="1"/>
  <c r="P43" i="17"/>
  <c r="E32" i="9"/>
  <c r="V33" i="10"/>
  <c r="V8" i="14" s="1"/>
  <c r="V25" i="10" s="1"/>
  <c r="D32" i="9"/>
  <c r="Q33" i="10"/>
  <c r="Q8" i="14" s="1"/>
  <c r="Q25" i="10" s="1"/>
  <c r="E14" i="21"/>
  <c r="I8" i="9"/>
  <c r="D33" i="10"/>
  <c r="D8" i="14" s="1"/>
  <c r="D25" i="10" s="1"/>
  <c r="AB7" i="9"/>
  <c r="Z11" i="17" s="1"/>
  <c r="S32" i="9"/>
  <c r="P33" i="10"/>
  <c r="P8" i="14" s="1"/>
  <c r="P25" i="10" s="1"/>
  <c r="P41" i="17"/>
  <c r="P31" i="9"/>
  <c r="N39" i="17" s="1"/>
  <c r="N41" i="17" s="1"/>
  <c r="AA23" i="9"/>
  <c r="Y29" i="17" s="1"/>
  <c r="D15" i="9"/>
  <c r="B20" i="17" s="1"/>
  <c r="N34" i="17"/>
  <c r="T34" i="17"/>
  <c r="G24" i="9"/>
  <c r="AA15" i="9"/>
  <c r="Y20" i="17" s="1"/>
  <c r="Y22" i="17" s="1"/>
  <c r="J17" i="9"/>
  <c r="AA31" i="9"/>
  <c r="Y39" i="17" s="1"/>
  <c r="Y16" i="9"/>
  <c r="AC8" i="9"/>
  <c r="O24" i="9"/>
  <c r="N33" i="10"/>
  <c r="N8" i="14" s="1"/>
  <c r="N25" i="10" s="1"/>
  <c r="L17" i="9"/>
  <c r="M17" i="9" s="1"/>
  <c r="B32" i="10"/>
  <c r="B7" i="14" s="1"/>
  <c r="R32" i="9"/>
  <c r="D16" i="9"/>
  <c r="AA32" i="9"/>
  <c r="Q8" i="9"/>
  <c r="T33" i="17"/>
  <c r="X43" i="17"/>
  <c r="Q23" i="9"/>
  <c r="O29" i="17" s="1"/>
  <c r="O23" i="9"/>
  <c r="M29" i="17" s="1"/>
  <c r="M34" i="17" s="1"/>
  <c r="X32" i="9"/>
  <c r="X31" i="9"/>
  <c r="V39" i="17" s="1"/>
  <c r="V43" i="17" s="1"/>
  <c r="D31" i="9"/>
  <c r="B39" i="17" s="1"/>
  <c r="I17" i="9"/>
  <c r="Q7" i="9"/>
  <c r="O11" i="17" s="1"/>
  <c r="O16" i="17" s="1"/>
  <c r="F31" i="9"/>
  <c r="D39" i="17" s="1"/>
  <c r="X41" i="17"/>
  <c r="K41" i="17"/>
  <c r="E31" i="9"/>
  <c r="C39" i="17" s="1"/>
  <c r="G23" i="9"/>
  <c r="E29" i="17" s="1"/>
  <c r="Q31" i="9"/>
  <c r="O39" i="17" s="1"/>
  <c r="Z32" i="9"/>
  <c r="AB8" i="9"/>
  <c r="E17" i="9"/>
  <c r="L15" i="17"/>
  <c r="L16" i="17"/>
  <c r="V16" i="17"/>
  <c r="V15" i="17"/>
  <c r="L16" i="9"/>
  <c r="X31" i="10"/>
  <c r="X6" i="14" s="1"/>
  <c r="X23" i="10" s="1"/>
  <c r="Z16" i="9"/>
  <c r="M16" i="17"/>
  <c r="L43" i="17"/>
  <c r="E15" i="21"/>
  <c r="J31" i="10"/>
  <c r="J6" i="14" s="1"/>
  <c r="J23" i="10" s="1"/>
  <c r="Y31" i="9"/>
  <c r="W39" i="17" s="1"/>
  <c r="W7" i="9"/>
  <c r="U11" i="17" s="1"/>
  <c r="J23" i="9"/>
  <c r="H29" i="17" s="1"/>
  <c r="N32" i="10"/>
  <c r="N7" i="14" s="1"/>
  <c r="N24" i="10" s="1"/>
  <c r="P24" i="9"/>
  <c r="G31" i="10"/>
  <c r="G6" i="14" s="1"/>
  <c r="G23" i="10" s="1"/>
  <c r="I16" i="9"/>
  <c r="C31" i="10"/>
  <c r="C6" i="14" s="1"/>
  <c r="C23" i="10" s="1"/>
  <c r="H32" i="9"/>
  <c r="R31" i="10"/>
  <c r="R6" i="14" s="1"/>
  <c r="R23" i="10" s="1"/>
  <c r="T15" i="9"/>
  <c r="R20" i="17" s="1"/>
  <c r="T16" i="9"/>
  <c r="K31" i="10"/>
  <c r="K6" i="14" s="1"/>
  <c r="K23" i="10" s="1"/>
  <c r="M15" i="9"/>
  <c r="K20" i="17" s="1"/>
  <c r="M16" i="9"/>
  <c r="J31" i="9"/>
  <c r="H39" i="17" s="1"/>
  <c r="F24" i="9"/>
  <c r="K24" i="9"/>
  <c r="N24" i="9"/>
  <c r="O15" i="9"/>
  <c r="M20" i="17" s="1"/>
  <c r="R16" i="9"/>
  <c r="AA16" i="9"/>
  <c r="AB16" i="9"/>
  <c r="O31" i="10"/>
  <c r="O6" i="14" s="1"/>
  <c r="O23" i="10" s="1"/>
  <c r="Q15" i="9"/>
  <c r="O20" i="17" s="1"/>
  <c r="Q16" i="9"/>
  <c r="W23" i="9"/>
  <c r="U29" i="17" s="1"/>
  <c r="AB16" i="17"/>
  <c r="Y16" i="17"/>
  <c r="Z15" i="9"/>
  <c r="X20" i="17" s="1"/>
  <c r="AA31" i="10"/>
  <c r="AA6" i="14" s="1"/>
  <c r="AA23" i="10" s="1"/>
  <c r="AC16" i="9"/>
  <c r="AC15" i="9"/>
  <c r="AA20" i="17" s="1"/>
  <c r="S31" i="10"/>
  <c r="S6" i="14" s="1"/>
  <c r="S23" i="10" s="1"/>
  <c r="U16" i="9"/>
  <c r="U15" i="9"/>
  <c r="S20" i="17" s="1"/>
  <c r="O16" i="9"/>
  <c r="R24" i="9"/>
  <c r="AB15" i="9"/>
  <c r="Z20" i="17" s="1"/>
  <c r="Z22" i="17" s="1"/>
  <c r="AB15" i="17"/>
  <c r="E15" i="9"/>
  <c r="C20" i="17" s="1"/>
  <c r="E16" i="9"/>
  <c r="Z7" i="9"/>
  <c r="X11" i="17" s="1"/>
  <c r="X16" i="17" s="1"/>
  <c r="D24" i="9"/>
  <c r="D23" i="9"/>
  <c r="B29" i="17" s="1"/>
  <c r="V32" i="10"/>
  <c r="V7" i="14" s="1"/>
  <c r="V24" i="10" s="1"/>
  <c r="X24" i="9"/>
  <c r="Y32" i="9"/>
  <c r="J15" i="9"/>
  <c r="H20" i="17" s="1"/>
  <c r="Z8" i="9"/>
  <c r="W30" i="10"/>
  <c r="W5" i="14" s="1"/>
  <c r="W22" i="10" s="1"/>
  <c r="D13" i="21" s="1"/>
  <c r="Y8" i="9"/>
  <c r="K16" i="9"/>
  <c r="K15" i="9"/>
  <c r="I20" i="17" s="1"/>
  <c r="I22" i="17" s="1"/>
  <c r="J24" i="9"/>
  <c r="J7" i="9"/>
  <c r="H11" i="17" s="1"/>
  <c r="G16" i="9"/>
  <c r="L41" i="17"/>
  <c r="W33" i="10"/>
  <c r="W8" i="14" s="1"/>
  <c r="W25" i="10" s="1"/>
  <c r="D16" i="21" s="1"/>
  <c r="E16" i="21" s="1"/>
  <c r="H7" i="9"/>
  <c r="F11" i="17" s="1"/>
  <c r="F32" i="10"/>
  <c r="F7" i="14" s="1"/>
  <c r="F24" i="10" s="1"/>
  <c r="H24" i="9"/>
  <c r="H23" i="9"/>
  <c r="F29" i="17" s="1"/>
  <c r="Q31" i="10"/>
  <c r="Q6" i="14" s="1"/>
  <c r="Q23" i="10" s="1"/>
  <c r="S16" i="9"/>
  <c r="S15" i="9"/>
  <c r="Q20" i="17" s="1"/>
  <c r="Z23" i="9"/>
  <c r="X29" i="17" s="1"/>
  <c r="W15" i="9"/>
  <c r="U20" i="17" s="1"/>
  <c r="L31" i="9"/>
  <c r="J39" i="17" s="1"/>
  <c r="L32" i="9"/>
  <c r="J33" i="10"/>
  <c r="J8" i="14" s="1"/>
  <c r="J25" i="10" s="1"/>
  <c r="V13" i="17"/>
  <c r="V12" i="17" s="1"/>
  <c r="V5" i="10" s="1"/>
  <c r="V12" i="10" s="1"/>
  <c r="D14" i="10"/>
  <c r="T31" i="9"/>
  <c r="R39" i="17" s="1"/>
  <c r="R41" i="17" s="1"/>
  <c r="T32" i="9"/>
  <c r="R33" i="10"/>
  <c r="R8" i="14" s="1"/>
  <c r="R25" i="10" s="1"/>
  <c r="L7" i="9"/>
  <c r="J11" i="17" s="1"/>
  <c r="J29" i="10"/>
  <c r="J4" i="14" s="1"/>
  <c r="J21" i="10" s="1"/>
  <c r="L15" i="9"/>
  <c r="J20" i="17" s="1"/>
  <c r="G15" i="9"/>
  <c r="E20" i="17" s="1"/>
  <c r="E29" i="10"/>
  <c r="E4" i="14" s="1"/>
  <c r="E21" i="10" s="1"/>
  <c r="G7" i="9"/>
  <c r="E11" i="17" s="1"/>
  <c r="O15" i="17"/>
  <c r="AB31" i="9"/>
  <c r="Z39" i="17" s="1"/>
  <c r="AB32" i="9"/>
  <c r="Z33" i="10"/>
  <c r="Z8" i="14" s="1"/>
  <c r="Z25" i="10" s="1"/>
  <c r="B22" i="10"/>
  <c r="X15" i="9"/>
  <c r="V20" i="17" s="1"/>
  <c r="X16" i="9"/>
  <c r="V31" i="10"/>
  <c r="V6" i="14" s="1"/>
  <c r="V23" i="10" s="1"/>
  <c r="B23" i="10"/>
  <c r="W22" i="17"/>
  <c r="W25" i="17"/>
  <c r="J32" i="10"/>
  <c r="J7" i="14" s="1"/>
  <c r="J24" i="10" s="1"/>
  <c r="L24" i="9"/>
  <c r="L23" i="9"/>
  <c r="J29" i="17" s="1"/>
  <c r="E23" i="21"/>
  <c r="B21" i="10"/>
  <c r="V29" i="10"/>
  <c r="X23" i="9"/>
  <c r="V29" i="17" s="1"/>
  <c r="K12" i="13"/>
  <c r="L10" i="13"/>
  <c r="T24" i="9"/>
  <c r="R32" i="10"/>
  <c r="R7" i="14" s="1"/>
  <c r="R24" i="10" s="1"/>
  <c r="T23" i="9"/>
  <c r="R29" i="17" s="1"/>
  <c r="B25" i="10"/>
  <c r="AD15" i="9"/>
  <c r="AB20" i="17" s="1"/>
  <c r="AD16" i="9"/>
  <c r="AB31" i="10"/>
  <c r="AB6" i="14" s="1"/>
  <c r="AB23" i="10" s="1"/>
  <c r="AB24" i="9"/>
  <c r="Z32" i="10"/>
  <c r="Z7" i="14" s="1"/>
  <c r="Z24" i="10" s="1"/>
  <c r="AB23" i="9"/>
  <c r="Z29" i="17" s="1"/>
  <c r="F17" i="9"/>
  <c r="D31" i="10"/>
  <c r="D6" i="14" s="1"/>
  <c r="D23" i="10" s="1"/>
  <c r="F15" i="9"/>
  <c r="D20" i="17" s="1"/>
  <c r="F16" i="9"/>
  <c r="K21" i="13"/>
  <c r="L19" i="13"/>
  <c r="E24" i="21"/>
  <c r="X13" i="17"/>
  <c r="H17" i="9"/>
  <c r="F31" i="10"/>
  <c r="F6" i="14" s="1"/>
  <c r="F23" i="10" s="1"/>
  <c r="H15" i="9"/>
  <c r="F20" i="17" s="1"/>
  <c r="H16" i="9"/>
  <c r="E21" i="21"/>
  <c r="F22" i="21"/>
  <c r="E22" i="21"/>
  <c r="B24" i="10"/>
  <c r="L31" i="10"/>
  <c r="L6" i="14" s="1"/>
  <c r="L23" i="10" s="1"/>
  <c r="N15" i="9"/>
  <c r="L20" i="17" s="1"/>
  <c r="N16" i="9"/>
  <c r="L28" i="13"/>
  <c r="K30" i="13"/>
  <c r="O13" i="17"/>
  <c r="O12" i="17" s="1"/>
  <c r="N31" i="10"/>
  <c r="N6" i="14" s="1"/>
  <c r="N23" i="10" s="1"/>
  <c r="P15" i="9"/>
  <c r="N20" i="17" s="1"/>
  <c r="P16" i="9"/>
  <c r="I30" i="10"/>
  <c r="I5" i="14" s="1"/>
  <c r="I22" i="10" s="1"/>
  <c r="K8" i="9"/>
  <c r="K9" i="9"/>
  <c r="K7" i="9"/>
  <c r="I11" i="17" s="1"/>
  <c r="T31" i="10"/>
  <c r="T6" i="14" s="1"/>
  <c r="T23" i="10" s="1"/>
  <c r="V15" i="9"/>
  <c r="T20" i="17" s="1"/>
  <c r="V16" i="9"/>
  <c r="C12" i="17"/>
  <c r="C5" i="10" s="1"/>
  <c r="P30" i="17"/>
  <c r="P7" i="10" s="1"/>
  <c r="I4" i="17"/>
  <c r="I4" i="10" s="1"/>
  <c r="I13" i="17"/>
  <c r="Q12" i="17"/>
  <c r="Q5" i="10" s="1"/>
  <c r="D12" i="17"/>
  <c r="D17" i="17" s="1"/>
  <c r="F12" i="17"/>
  <c r="F5" i="10" s="1"/>
  <c r="F12" i="10" s="1"/>
  <c r="F40" i="17"/>
  <c r="F8" i="10" s="1"/>
  <c r="F15" i="10" s="1"/>
  <c r="R13" i="17"/>
  <c r="D2" i="21"/>
  <c r="R4" i="17"/>
  <c r="R4" i="10" s="1"/>
  <c r="D45" i="17"/>
  <c r="B40" i="17"/>
  <c r="B8" i="10" s="1"/>
  <c r="D21" i="17"/>
  <c r="D35" i="17"/>
  <c r="E21" i="17"/>
  <c r="E6" i="10" s="1"/>
  <c r="F21" i="17"/>
  <c r="F6" i="10" s="1"/>
  <c r="B7" i="10"/>
  <c r="B35" i="17"/>
  <c r="B12" i="17"/>
  <c r="B5" i="10" s="1"/>
  <c r="B21" i="17"/>
  <c r="B26" i="17" s="1"/>
  <c r="E30" i="17"/>
  <c r="E7" i="10" s="1"/>
  <c r="C40" i="17"/>
  <c r="C8" i="10" s="1"/>
  <c r="B17" i="17"/>
  <c r="AB30" i="17"/>
  <c r="AB7" i="10" s="1"/>
  <c r="F17" i="17"/>
  <c r="F35" i="17"/>
  <c r="AB40" i="17"/>
  <c r="C4" i="10"/>
  <c r="C35" i="17"/>
  <c r="C17" i="17"/>
  <c r="C45" i="17"/>
  <c r="C26" i="17"/>
  <c r="E45" i="17"/>
  <c r="E17" i="17"/>
  <c r="E4" i="10"/>
  <c r="B45" i="17"/>
  <c r="F14" i="10"/>
  <c r="T30" i="17"/>
  <c r="E20" i="21" l="1"/>
  <c r="K40" i="17"/>
  <c r="K8" i="10" s="1"/>
  <c r="K15" i="10" s="1"/>
  <c r="P40" i="17"/>
  <c r="P8" i="10" s="1"/>
  <c r="P15" i="10" s="1"/>
  <c r="N43" i="17"/>
  <c r="G21" i="17"/>
  <c r="G6" i="10" s="1"/>
  <c r="G40" i="17"/>
  <c r="G45" i="17" s="1"/>
  <c r="X40" i="17"/>
  <c r="X45" i="17" s="1"/>
  <c r="N44" i="17"/>
  <c r="AA34" i="17"/>
  <c r="AA31" i="17"/>
  <c r="AA30" i="17" s="1"/>
  <c r="AA7" i="10" s="1"/>
  <c r="AA14" i="10" s="1"/>
  <c r="W34" i="17"/>
  <c r="G30" i="17"/>
  <c r="G35" i="17" s="1"/>
  <c r="N33" i="17"/>
  <c r="N30" i="17" s="1"/>
  <c r="I31" i="17"/>
  <c r="L12" i="17"/>
  <c r="L5" i="10" s="1"/>
  <c r="L12" i="10" s="1"/>
  <c r="F24" i="21"/>
  <c r="L40" i="17"/>
  <c r="L45" i="17" s="1"/>
  <c r="Q41" i="17"/>
  <c r="Q40" i="17" s="1"/>
  <c r="Q45" i="17" s="1"/>
  <c r="F21" i="21"/>
  <c r="F23" i="21"/>
  <c r="I34" i="17"/>
  <c r="Q44" i="17"/>
  <c r="S30" i="17"/>
  <c r="AB12" i="17"/>
  <c r="AB5" i="10" s="1"/>
  <c r="AB12" i="10" s="1"/>
  <c r="W31" i="17"/>
  <c r="Q33" i="17"/>
  <c r="Q34" i="17"/>
  <c r="Q31" i="17"/>
  <c r="I44" i="17"/>
  <c r="I43" i="17"/>
  <c r="I41" i="17"/>
  <c r="P24" i="17"/>
  <c r="P25" i="17"/>
  <c r="V44" i="17"/>
  <c r="K33" i="17"/>
  <c r="K31" i="17"/>
  <c r="K34" i="17"/>
  <c r="L31" i="17"/>
  <c r="L34" i="17"/>
  <c r="L33" i="17"/>
  <c r="AA15" i="17"/>
  <c r="P22" i="17"/>
  <c r="P21" i="17" s="1"/>
  <c r="P6" i="10" s="1"/>
  <c r="P13" i="10" s="1"/>
  <c r="T13" i="17"/>
  <c r="T15" i="17"/>
  <c r="T16" i="17"/>
  <c r="R15" i="17"/>
  <c r="R16" i="17"/>
  <c r="R12" i="17" s="1"/>
  <c r="S44" i="17"/>
  <c r="S43" i="17"/>
  <c r="S41" i="17"/>
  <c r="S40" i="17" s="1"/>
  <c r="S8" i="10" s="1"/>
  <c r="S15" i="10" s="1"/>
  <c r="U41" i="17"/>
  <c r="U43" i="17"/>
  <c r="P35" i="17"/>
  <c r="M43" i="17"/>
  <c r="M41" i="17"/>
  <c r="M40" i="17" s="1"/>
  <c r="M45" i="17" s="1"/>
  <c r="AA13" i="17"/>
  <c r="V41" i="17"/>
  <c r="X15" i="17"/>
  <c r="X12" i="17" s="1"/>
  <c r="M15" i="17"/>
  <c r="M12" i="17" s="1"/>
  <c r="M5" i="10" s="1"/>
  <c r="M12" i="10" s="1"/>
  <c r="AA41" i="17"/>
  <c r="AA43" i="17"/>
  <c r="AA44" i="17"/>
  <c r="N13" i="17"/>
  <c r="N16" i="17"/>
  <c r="N15" i="17"/>
  <c r="W13" i="17"/>
  <c r="W15" i="17"/>
  <c r="W16" i="17"/>
  <c r="Y13" i="17"/>
  <c r="Y15" i="17"/>
  <c r="X8" i="10"/>
  <c r="X15" i="10" s="1"/>
  <c r="M33" i="17"/>
  <c r="O43" i="17"/>
  <c r="O41" i="17"/>
  <c r="O44" i="17"/>
  <c r="Y44" i="17"/>
  <c r="Y41" i="17"/>
  <c r="Y43" i="17"/>
  <c r="O31" i="17"/>
  <c r="O34" i="17"/>
  <c r="O33" i="17"/>
  <c r="M31" i="17"/>
  <c r="W21" i="17"/>
  <c r="W6" i="10" s="1"/>
  <c r="G12" i="17"/>
  <c r="Y33" i="17"/>
  <c r="Y34" i="17"/>
  <c r="Y31" i="17"/>
  <c r="N40" i="17"/>
  <c r="N45" i="17" s="1"/>
  <c r="Y25" i="17"/>
  <c r="Y24" i="17"/>
  <c r="Y21" i="17" s="1"/>
  <c r="Z16" i="17"/>
  <c r="Z15" i="17"/>
  <c r="Z13" i="17"/>
  <c r="O17" i="17"/>
  <c r="O5" i="10"/>
  <c r="O12" i="10" s="1"/>
  <c r="V17" i="17"/>
  <c r="I25" i="17"/>
  <c r="I24" i="17"/>
  <c r="Z25" i="17"/>
  <c r="Z24" i="17"/>
  <c r="U34" i="17"/>
  <c r="U33" i="17"/>
  <c r="U31" i="17"/>
  <c r="O25" i="17"/>
  <c r="O24" i="17"/>
  <c r="O22" i="17"/>
  <c r="L8" i="10"/>
  <c r="L15" i="10" s="1"/>
  <c r="R24" i="17"/>
  <c r="R25" i="17"/>
  <c r="R22" i="17"/>
  <c r="Q24" i="17"/>
  <c r="Q22" i="17"/>
  <c r="Q25" i="17"/>
  <c r="E13" i="21"/>
  <c r="S24" i="17"/>
  <c r="S22" i="17"/>
  <c r="S25" i="17"/>
  <c r="X24" i="17"/>
  <c r="X22" i="17"/>
  <c r="X25" i="17"/>
  <c r="H44" i="17"/>
  <c r="H43" i="17"/>
  <c r="H41" i="17"/>
  <c r="H33" i="17"/>
  <c r="H31" i="17"/>
  <c r="H34" i="17"/>
  <c r="P17" i="17"/>
  <c r="T45" i="17"/>
  <c r="U24" i="17"/>
  <c r="U25" i="17"/>
  <c r="U22" i="17"/>
  <c r="H13" i="17"/>
  <c r="H15" i="17"/>
  <c r="H16" i="17"/>
  <c r="H22" i="17"/>
  <c r="H25" i="17"/>
  <c r="H24" i="17"/>
  <c r="U16" i="17"/>
  <c r="U15" i="17"/>
  <c r="U13" i="17"/>
  <c r="AA25" i="17"/>
  <c r="AA24" i="17"/>
  <c r="AA22" i="17"/>
  <c r="S17" i="17"/>
  <c r="X34" i="17"/>
  <c r="X33" i="17"/>
  <c r="X31" i="17"/>
  <c r="M25" i="17"/>
  <c r="M22" i="17"/>
  <c r="M24" i="17"/>
  <c r="K25" i="17"/>
  <c r="K24" i="17"/>
  <c r="K22" i="17"/>
  <c r="W44" i="17"/>
  <c r="W43" i="17"/>
  <c r="W41" i="17"/>
  <c r="M19" i="13"/>
  <c r="L21" i="13"/>
  <c r="J24" i="17"/>
  <c r="J22" i="17"/>
  <c r="J25" i="17"/>
  <c r="N24" i="17"/>
  <c r="N25" i="17"/>
  <c r="N22" i="17"/>
  <c r="Z33" i="17"/>
  <c r="Z34" i="17"/>
  <c r="Z31" i="17"/>
  <c r="V25" i="17"/>
  <c r="V24" i="17"/>
  <c r="V22" i="17"/>
  <c r="Z44" i="17"/>
  <c r="Z41" i="17"/>
  <c r="Z43" i="17"/>
  <c r="L30" i="13"/>
  <c r="M28" i="13"/>
  <c r="J16" i="17"/>
  <c r="J15" i="17"/>
  <c r="J13" i="17"/>
  <c r="J12" i="17" s="1"/>
  <c r="L22" i="17"/>
  <c r="L25" i="17"/>
  <c r="L24" i="17"/>
  <c r="AB24" i="17"/>
  <c r="AB22" i="17"/>
  <c r="AB25" i="17"/>
  <c r="M10" i="13"/>
  <c r="L12" i="13"/>
  <c r="J31" i="17"/>
  <c r="J33" i="17"/>
  <c r="J34" i="17"/>
  <c r="I16" i="17"/>
  <c r="I15" i="17"/>
  <c r="B16" i="21"/>
  <c r="T24" i="17"/>
  <c r="T25" i="17"/>
  <c r="T22" i="17"/>
  <c r="K45" i="17"/>
  <c r="B15" i="21"/>
  <c r="AC8" i="14"/>
  <c r="V31" i="17"/>
  <c r="V34" i="17"/>
  <c r="V33" i="17"/>
  <c r="B14" i="21"/>
  <c r="J43" i="17"/>
  <c r="J44" i="17"/>
  <c r="J41" i="17"/>
  <c r="AC7" i="14"/>
  <c r="R31" i="17"/>
  <c r="R34" i="17"/>
  <c r="R33" i="17"/>
  <c r="V4" i="14"/>
  <c r="V30" i="10"/>
  <c r="V5" i="14" s="1"/>
  <c r="V22" i="10" s="1"/>
  <c r="B13" i="21" s="1"/>
  <c r="AC6" i="14"/>
  <c r="R44" i="17"/>
  <c r="R43" i="17"/>
  <c r="D5" i="10"/>
  <c r="D12" i="10" s="1"/>
  <c r="G26" i="17"/>
  <c r="Q17" i="17"/>
  <c r="C15" i="10"/>
  <c r="M17" i="17"/>
  <c r="L17" i="17"/>
  <c r="F45" i="17"/>
  <c r="P45" i="17"/>
  <c r="K17" i="17"/>
  <c r="AB17" i="17"/>
  <c r="B6" i="10"/>
  <c r="G8" i="10"/>
  <c r="G15" i="10" s="1"/>
  <c r="F13" i="10"/>
  <c r="D6" i="10"/>
  <c r="D26" i="17"/>
  <c r="AB35" i="17"/>
  <c r="E26" i="17"/>
  <c r="E35" i="17"/>
  <c r="B15" i="10"/>
  <c r="F26" i="17"/>
  <c r="B14" i="10"/>
  <c r="P12" i="10"/>
  <c r="AB8" i="10"/>
  <c r="AB45" i="17"/>
  <c r="AB14" i="10"/>
  <c r="B12" i="10"/>
  <c r="E13" i="10"/>
  <c r="E12" i="10"/>
  <c r="E14" i="10"/>
  <c r="E15" i="10"/>
  <c r="G7" i="10"/>
  <c r="G14" i="10" s="1"/>
  <c r="C14" i="10"/>
  <c r="C13" i="10"/>
  <c r="B2" i="21"/>
  <c r="C12" i="10"/>
  <c r="T35" i="17"/>
  <c r="T7" i="10"/>
  <c r="K12" i="10"/>
  <c r="S35" i="17"/>
  <c r="S7" i="10"/>
  <c r="G13" i="10"/>
  <c r="P14" i="10"/>
  <c r="S12" i="10"/>
  <c r="Q12" i="10"/>
  <c r="N8" i="10" l="1"/>
  <c r="N15" i="10" s="1"/>
  <c r="Q30" i="17"/>
  <c r="Q7" i="10" s="1"/>
  <c r="Q14" i="10" s="1"/>
  <c r="AA35" i="17"/>
  <c r="U30" i="17"/>
  <c r="U35" i="17" s="1"/>
  <c r="W30" i="17"/>
  <c r="Z21" i="17"/>
  <c r="R17" i="17"/>
  <c r="R5" i="10"/>
  <c r="R12" i="10" s="1"/>
  <c r="Q35" i="17"/>
  <c r="O30" i="17"/>
  <c r="O35" i="17" s="1"/>
  <c r="V40" i="17"/>
  <c r="W12" i="17"/>
  <c r="W5" i="10" s="1"/>
  <c r="D3" i="21" s="1"/>
  <c r="E3" i="21" s="1"/>
  <c r="Q8" i="10"/>
  <c r="Q15" i="10" s="1"/>
  <c r="M8" i="10"/>
  <c r="M15" i="10" s="1"/>
  <c r="K30" i="17"/>
  <c r="K35" i="17" s="1"/>
  <c r="U7" i="10"/>
  <c r="U14" i="10" s="1"/>
  <c r="I30" i="17"/>
  <c r="X5" i="10"/>
  <c r="X12" i="10" s="1"/>
  <c r="X17" i="17"/>
  <c r="H21" i="17"/>
  <c r="H26" i="17" s="1"/>
  <c r="I21" i="17"/>
  <c r="I26" i="17" s="1"/>
  <c r="N12" i="17"/>
  <c r="AA12" i="17"/>
  <c r="U40" i="17"/>
  <c r="S45" i="17"/>
  <c r="O40" i="17"/>
  <c r="O45" i="17" s="1"/>
  <c r="I40" i="17"/>
  <c r="W40" i="17"/>
  <c r="W45" i="17" s="1"/>
  <c r="U12" i="17"/>
  <c r="U5" i="10" s="1"/>
  <c r="U12" i="10" s="1"/>
  <c r="AA40" i="17"/>
  <c r="L30" i="17"/>
  <c r="T12" i="17"/>
  <c r="W17" i="17"/>
  <c r="N35" i="17"/>
  <c r="N7" i="10"/>
  <c r="N14" i="10" s="1"/>
  <c r="P26" i="17"/>
  <c r="I12" i="17"/>
  <c r="W13" i="10"/>
  <c r="D4" i="21"/>
  <c r="E4" i="21" s="1"/>
  <c r="Y26" i="17"/>
  <c r="Y6" i="10"/>
  <c r="Y13" i="10" s="1"/>
  <c r="AA21" i="17"/>
  <c r="AA26" i="17" s="1"/>
  <c r="Z12" i="17"/>
  <c r="G5" i="10"/>
  <c r="G12" i="10" s="1"/>
  <c r="G17" i="17"/>
  <c r="J21" i="17"/>
  <c r="J26" i="17" s="1"/>
  <c r="H12" i="17"/>
  <c r="H5" i="10" s="1"/>
  <c r="H12" i="10" s="1"/>
  <c r="O7" i="10"/>
  <c r="O14" i="10" s="1"/>
  <c r="Y40" i="17"/>
  <c r="Y12" i="17"/>
  <c r="AB21" i="17"/>
  <c r="AB6" i="10" s="1"/>
  <c r="AB13" i="10" s="1"/>
  <c r="M30" i="17"/>
  <c r="X21" i="17"/>
  <c r="X6" i="10" s="1"/>
  <c r="X13" i="10" s="1"/>
  <c r="S21" i="17"/>
  <c r="S26" i="17" s="1"/>
  <c r="W26" i="17"/>
  <c r="Y30" i="17"/>
  <c r="I6" i="10"/>
  <c r="I13" i="10" s="1"/>
  <c r="I5" i="10"/>
  <c r="I12" i="10" s="1"/>
  <c r="I17" i="17"/>
  <c r="Z6" i="10"/>
  <c r="Z13" i="10" s="1"/>
  <c r="Z26" i="17"/>
  <c r="M21" i="17"/>
  <c r="O21" i="17"/>
  <c r="X30" i="17"/>
  <c r="U21" i="17"/>
  <c r="H30" i="17"/>
  <c r="Q21" i="17"/>
  <c r="W8" i="10"/>
  <c r="K21" i="17"/>
  <c r="AC5" i="14"/>
  <c r="H40" i="17"/>
  <c r="R21" i="17"/>
  <c r="R40" i="17"/>
  <c r="R45" i="17" s="1"/>
  <c r="T21" i="17"/>
  <c r="N28" i="13"/>
  <c r="M30" i="13"/>
  <c r="Z30" i="17"/>
  <c r="R30" i="17"/>
  <c r="J30" i="17"/>
  <c r="L21" i="17"/>
  <c r="Z40" i="17"/>
  <c r="N21" i="17"/>
  <c r="V30" i="17"/>
  <c r="J17" i="17"/>
  <c r="J5" i="10"/>
  <c r="J12" i="10" s="1"/>
  <c r="J40" i="17"/>
  <c r="N10" i="13"/>
  <c r="M12" i="13"/>
  <c r="V21" i="17"/>
  <c r="N19" i="13"/>
  <c r="M21" i="13"/>
  <c r="V21" i="10"/>
  <c r="B12" i="21" s="1"/>
  <c r="C16" i="21" s="1"/>
  <c r="AC4" i="14"/>
  <c r="C15" i="21"/>
  <c r="B13" i="10"/>
  <c r="D13" i="10"/>
  <c r="AB15" i="10"/>
  <c r="T14" i="10"/>
  <c r="S14" i="10"/>
  <c r="K7" i="10" l="1"/>
  <c r="K14" i="10" s="1"/>
  <c r="O8" i="10"/>
  <c r="O15" i="10" s="1"/>
  <c r="W12" i="10"/>
  <c r="W35" i="17"/>
  <c r="W7" i="10"/>
  <c r="S6" i="10"/>
  <c r="S13" i="10" s="1"/>
  <c r="AA6" i="10"/>
  <c r="AA13" i="10" s="1"/>
  <c r="H6" i="10"/>
  <c r="H13" i="10" s="1"/>
  <c r="U17" i="17"/>
  <c r="I7" i="10"/>
  <c r="I14" i="10" s="1"/>
  <c r="I35" i="17"/>
  <c r="V45" i="17"/>
  <c r="V8" i="10"/>
  <c r="V15" i="10" s="1"/>
  <c r="AA45" i="17"/>
  <c r="AA8" i="10"/>
  <c r="AA15" i="10" s="1"/>
  <c r="U8" i="10"/>
  <c r="U15" i="10" s="1"/>
  <c r="U45" i="17"/>
  <c r="J6" i="10"/>
  <c r="J13" i="10" s="1"/>
  <c r="I8" i="10"/>
  <c r="I15" i="10" s="1"/>
  <c r="I45" i="17"/>
  <c r="T17" i="17"/>
  <c r="T5" i="10"/>
  <c r="T12" i="10" s="1"/>
  <c r="L7" i="10"/>
  <c r="L14" i="10" s="1"/>
  <c r="L35" i="17"/>
  <c r="N17" i="17"/>
  <c r="N5" i="10"/>
  <c r="N12" i="10" s="1"/>
  <c r="H17" i="17"/>
  <c r="AA5" i="10"/>
  <c r="AA12" i="10" s="1"/>
  <c r="AA17" i="17"/>
  <c r="R8" i="10"/>
  <c r="R15" i="10" s="1"/>
  <c r="M35" i="17"/>
  <c r="M7" i="10"/>
  <c r="M14" i="10" s="1"/>
  <c r="Y17" i="17"/>
  <c r="Y5" i="10"/>
  <c r="Y12" i="10" s="1"/>
  <c r="Y45" i="17"/>
  <c r="Y8" i="10"/>
  <c r="Y15" i="10" s="1"/>
  <c r="Y35" i="17"/>
  <c r="Y7" i="10"/>
  <c r="Y14" i="10" s="1"/>
  <c r="Z17" i="17"/>
  <c r="Z5" i="10"/>
  <c r="Z12" i="10" s="1"/>
  <c r="AB26" i="17"/>
  <c r="X26" i="17"/>
  <c r="Q26" i="17"/>
  <c r="Q6" i="10"/>
  <c r="Q13" i="10" s="1"/>
  <c r="X35" i="17"/>
  <c r="X7" i="10"/>
  <c r="X14" i="10" s="1"/>
  <c r="K6" i="10"/>
  <c r="K13" i="10" s="1"/>
  <c r="K26" i="17"/>
  <c r="U6" i="10"/>
  <c r="U13" i="10" s="1"/>
  <c r="U26" i="17"/>
  <c r="R6" i="10"/>
  <c r="R13" i="10" s="1"/>
  <c r="R26" i="17"/>
  <c r="O6" i="10"/>
  <c r="O13" i="10" s="1"/>
  <c r="O26" i="17"/>
  <c r="H35" i="17"/>
  <c r="H7" i="10"/>
  <c r="H14" i="10" s="1"/>
  <c r="H45" i="17"/>
  <c r="H8" i="10"/>
  <c r="H15" i="10" s="1"/>
  <c r="D6" i="21"/>
  <c r="E6" i="21" s="1"/>
  <c r="W15" i="10"/>
  <c r="M26" i="17"/>
  <c r="M6" i="10"/>
  <c r="M13" i="10" s="1"/>
  <c r="O19" i="13"/>
  <c r="N21" i="13"/>
  <c r="V6" i="10"/>
  <c r="V13" i="10" s="1"/>
  <c r="V26" i="17"/>
  <c r="Z7" i="10"/>
  <c r="Z14" i="10" s="1"/>
  <c r="Z35" i="17"/>
  <c r="R7" i="10"/>
  <c r="R14" i="10" s="1"/>
  <c r="R35" i="17"/>
  <c r="N30" i="13"/>
  <c r="O28" i="13"/>
  <c r="N12" i="13"/>
  <c r="O10" i="13"/>
  <c r="N6" i="10"/>
  <c r="N13" i="10" s="1"/>
  <c r="N26" i="17"/>
  <c r="J8" i="10"/>
  <c r="J45" i="17"/>
  <c r="Z8" i="10"/>
  <c r="Z15" i="10" s="1"/>
  <c r="Z45" i="17"/>
  <c r="T6" i="10"/>
  <c r="T13" i="10" s="1"/>
  <c r="T26" i="17"/>
  <c r="V35" i="17"/>
  <c r="V7" i="10"/>
  <c r="V14" i="10" s="1"/>
  <c r="AD5" i="14"/>
  <c r="AD6" i="14"/>
  <c r="AD7" i="14"/>
  <c r="AD8" i="14"/>
  <c r="L6" i="10"/>
  <c r="L13" i="10" s="1"/>
  <c r="L26" i="17"/>
  <c r="C14" i="21"/>
  <c r="C13" i="21"/>
  <c r="J35" i="17"/>
  <c r="J7" i="10"/>
  <c r="D5" i="21" l="1"/>
  <c r="E5" i="21" s="1"/>
  <c r="W14" i="10"/>
  <c r="AC17" i="17"/>
  <c r="B3" i="21"/>
  <c r="C3" i="21" s="1"/>
  <c r="P28" i="13"/>
  <c r="O30" i="13"/>
  <c r="P10" i="13"/>
  <c r="O12" i="13"/>
  <c r="AC26" i="17"/>
  <c r="J14" i="10"/>
  <c r="B5" i="21"/>
  <c r="C5" i="21" s="1"/>
  <c r="AC45" i="17"/>
  <c r="P19" i="13"/>
  <c r="O21" i="13"/>
  <c r="AC35" i="17"/>
  <c r="J15" i="10"/>
  <c r="B6" i="21"/>
  <c r="C6" i="21" s="1"/>
  <c r="B4" i="21"/>
  <c r="C4" i="21" s="1"/>
  <c r="Q10" i="13" l="1"/>
  <c r="P12" i="13"/>
  <c r="P21" i="13"/>
  <c r="Q19" i="13"/>
  <c r="P30" i="13"/>
  <c r="Q28" i="13"/>
  <c r="R28" i="13" l="1"/>
  <c r="Q30" i="13"/>
  <c r="R19" i="13"/>
  <c r="Q21" i="13"/>
  <c r="R10" i="13"/>
  <c r="Q12" i="13"/>
  <c r="R12" i="13" l="1"/>
  <c r="S10" i="13"/>
  <c r="S19" i="13"/>
  <c r="R21" i="13"/>
  <c r="R30" i="13"/>
  <c r="S28" i="13"/>
  <c r="S30" i="13" l="1"/>
  <c r="T28" i="13"/>
  <c r="T19" i="13"/>
  <c r="S21" i="13"/>
  <c r="S12" i="13"/>
  <c r="T10" i="13"/>
  <c r="U10" i="13" l="1"/>
  <c r="T12" i="13"/>
  <c r="U19" i="13"/>
  <c r="T21" i="13"/>
  <c r="U28" i="13"/>
  <c r="T30" i="13"/>
  <c r="V28" i="13" l="1"/>
  <c r="U30" i="13"/>
  <c r="U21" i="13"/>
  <c r="V19" i="13"/>
  <c r="U12" i="13"/>
  <c r="V10" i="13"/>
  <c r="V12" i="13" l="1"/>
  <c r="W10" i="13"/>
  <c r="V21" i="13"/>
  <c r="W19" i="13"/>
  <c r="V30" i="13"/>
  <c r="W28" i="13"/>
  <c r="W30" i="13" l="1"/>
  <c r="X28" i="13"/>
  <c r="X19" i="13"/>
  <c r="W21" i="13"/>
  <c r="W12" i="13"/>
  <c r="X10" i="13"/>
  <c r="Y10" i="13" l="1"/>
  <c r="X12" i="13"/>
  <c r="Y19" i="13"/>
  <c r="X21" i="13"/>
  <c r="Y28" i="13"/>
  <c r="X30" i="13"/>
  <c r="Z10" i="13" l="1"/>
  <c r="Y12" i="13"/>
  <c r="Z28" i="13"/>
  <c r="Y30" i="13"/>
  <c r="Z19" i="13"/>
  <c r="Y21" i="13"/>
  <c r="AA10" i="13" l="1"/>
  <c r="AA12" i="13" s="1"/>
  <c r="Z12" i="13"/>
  <c r="AA19" i="13"/>
  <c r="AA21" i="13" s="1"/>
  <c r="Z21" i="13"/>
  <c r="Z30" i="13"/>
  <c r="AA28" i="13"/>
  <c r="AA30" i="13" s="1"/>
</calcChain>
</file>

<file path=xl/comments1.xml><?xml version="1.0" encoding="utf-8"?>
<comments xmlns="http://schemas.openxmlformats.org/spreadsheetml/2006/main">
  <authors>
    <author>Bingham, Jonathan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Bingham, Jonathan:</t>
        </r>
        <r>
          <rPr>
            <sz val="9"/>
            <color indexed="81"/>
            <rFont val="Tahoma"/>
            <family val="2"/>
          </rPr>
          <t xml:space="preserve">
WBS technically belongs to Dan Doyle, but is included in Operations CSA
</t>
        </r>
      </text>
    </comment>
  </commentList>
</comments>
</file>

<file path=xl/sharedStrings.xml><?xml version="1.0" encoding="utf-8"?>
<sst xmlns="http://schemas.openxmlformats.org/spreadsheetml/2006/main" count="1299" uniqueCount="375">
  <si>
    <t>Business Unit View</t>
  </si>
  <si>
    <t xml:space="preserve"> 2021</t>
  </si>
  <si>
    <t xml:space="preserve"> 2022</t>
  </si>
  <si>
    <t xml:space="preserve"> 2023</t>
  </si>
  <si>
    <t xml:space="preserve"> 2024</t>
  </si>
  <si>
    <t xml:space="preserve"> 2025</t>
  </si>
  <si>
    <t xml:space="preserve"> 2026</t>
  </si>
  <si>
    <t xml:space="preserve"> 2027</t>
  </si>
  <si>
    <t xml:space="preserve"> 2028</t>
  </si>
  <si>
    <t xml:space="preserve"> 2029</t>
  </si>
  <si>
    <t xml:space="preserve"> 2030</t>
  </si>
  <si>
    <t xml:space="preserve"> 2031</t>
  </si>
  <si>
    <t xml:space="preserve"> 2032</t>
  </si>
  <si>
    <t xml:space="preserve"> 2033</t>
  </si>
  <si>
    <t xml:space="preserve"> 2034</t>
  </si>
  <si>
    <t xml:space="preserve"> 2035</t>
  </si>
  <si>
    <t xml:space="preserve"> 2036</t>
  </si>
  <si>
    <t xml:space="preserve"> 2037</t>
  </si>
  <si>
    <t xml:space="preserve"> 2038</t>
  </si>
  <si>
    <t xml:space="preserve"> 2039</t>
  </si>
  <si>
    <t xml:space="preserve"> 2040</t>
  </si>
  <si>
    <t>Natural Gas</t>
  </si>
  <si>
    <t>BCG Incremental - Retail Natural Gas (RNG) BCG Placeholder</t>
  </si>
  <si>
    <t>Bonney Lake HP Reinforcement</t>
  </si>
  <si>
    <t>Capital Tools - Gas</t>
  </si>
  <si>
    <t>Customer Construction - Gas</t>
  </si>
  <si>
    <t>Customer Construction CIAC - Gas</t>
  </si>
  <si>
    <t>Distribution Integrity Management System</t>
  </si>
  <si>
    <t xml:space="preserve">Gas cold weather action reinforcement </t>
  </si>
  <si>
    <t>Gas Construction</t>
  </si>
  <si>
    <t>Gas Construction - Gas Maintenance Repair</t>
  </si>
  <si>
    <t>Gas Construction - Leak Repair</t>
  </si>
  <si>
    <t>Gas cost recovery mechanism: Buried meters</t>
  </si>
  <si>
    <t>Gas cost recovery mechanism: Cross Bore</t>
  </si>
  <si>
    <t>Gas cost recovery mechanism: Dupont</t>
  </si>
  <si>
    <t>Gas DIMP MP</t>
  </si>
  <si>
    <t>Gas Initiation Major Projects</t>
  </si>
  <si>
    <t>Gas Measurement</t>
  </si>
  <si>
    <t>Gas System Integrity</t>
  </si>
  <si>
    <t>Gas System New Distribution</t>
  </si>
  <si>
    <t>LNG Project Capital Maintenance - PE</t>
  </si>
  <si>
    <t>LNG Project Capital Maintenance - PSE</t>
  </si>
  <si>
    <t xml:space="preserve">LNG Project Construction - PE </t>
  </si>
  <si>
    <t>LNG Project Construction - PSE</t>
  </si>
  <si>
    <t>Marine Crossing</t>
  </si>
  <si>
    <t>Public Improvement - Gas</t>
  </si>
  <si>
    <t>Renewable Natural Gas (RNG)</t>
  </si>
  <si>
    <t>Placeholder - Gas</t>
  </si>
  <si>
    <t>Base case</t>
  </si>
  <si>
    <t>Gas Emergent</t>
  </si>
  <si>
    <t>WBS</t>
  </si>
  <si>
    <t>Cost Center</t>
  </si>
  <si>
    <t>Manager</t>
  </si>
  <si>
    <t>Director</t>
  </si>
  <si>
    <t>VP</t>
  </si>
  <si>
    <t>Cost Center Description</t>
  </si>
  <si>
    <t>Project Type</t>
  </si>
  <si>
    <t>Reporting L1</t>
  </si>
  <si>
    <t>Reporting L2</t>
  </si>
  <si>
    <t>Reporting L3</t>
  </si>
  <si>
    <t>PDEF Description</t>
  </si>
  <si>
    <t>WBS L1 Description</t>
  </si>
  <si>
    <t>WBS L2 Description</t>
  </si>
  <si>
    <t>Prior 5-yr. Plan Category (if applicable)</t>
  </si>
  <si>
    <t>WBS L3 Description</t>
  </si>
  <si>
    <t>W_R.10011.01.01.03</t>
  </si>
  <si>
    <t>CC_4022</t>
  </si>
  <si>
    <t>W_R.10011.01.01.04</t>
  </si>
  <si>
    <t>CC_3037</t>
  </si>
  <si>
    <t>Anthony Pagano</t>
  </si>
  <si>
    <t>Roque Bamba</t>
  </si>
  <si>
    <t>Booga Gilbertson</t>
  </si>
  <si>
    <t>Mjr Project Construct Mgmt&amp;Project Mgmt</t>
  </si>
  <si>
    <t>CA</t>
  </si>
  <si>
    <t>Transmission and Distribution</t>
  </si>
  <si>
    <t>Gas Operations</t>
  </si>
  <si>
    <t>Gas Monitoring System MP</t>
  </si>
  <si>
    <t>CAP-GAS MONITORING SYSTEM</t>
  </si>
  <si>
    <t>GAS MONITORING SYSTEM</t>
  </si>
  <si>
    <t>G Gas System Monitoring Equip Replc</t>
  </si>
  <si>
    <t>Loretta Baggenstos</t>
  </si>
  <si>
    <t>Harry Shapiro</t>
  </si>
  <si>
    <t>Gas System Integrity-emergent; Gas Measurement</t>
  </si>
  <si>
    <t>G Gauges Sems Dist</t>
  </si>
  <si>
    <t>W_R.10011.01.01.07</t>
  </si>
  <si>
    <t>W_R.10012.01.01.01</t>
  </si>
  <si>
    <t>CC_4207</t>
  </si>
  <si>
    <t>G Williams Pipeline Equipment Upgrades</t>
  </si>
  <si>
    <t>Jennifer Tada</t>
  </si>
  <si>
    <t>Director Customer &amp; System Projects</t>
  </si>
  <si>
    <t>Gas Customer Construction</t>
  </si>
  <si>
    <t>CAP-GAS NCC</t>
  </si>
  <si>
    <t>ALTERATIONS/MODIFICATIONS MAINS&amp;SERVICES</t>
  </si>
  <si>
    <t>COMMERCIAL/INDUSTRIAL</t>
  </si>
  <si>
    <t>G Altered Modified Comm Ind Mains</t>
  </si>
  <si>
    <t>W_R.10012.02.01.01</t>
  </si>
  <si>
    <t>CC_9900</t>
  </si>
  <si>
    <t>Tyler Pavel</t>
  </si>
  <si>
    <t>Stephen King</t>
  </si>
  <si>
    <t>Revenue Corporate Accounting</t>
  </si>
  <si>
    <t>Corporate Items</t>
  </si>
  <si>
    <t>T&amp;D Corporate Items</t>
  </si>
  <si>
    <t>Gas Customer Construction CIAC</t>
  </si>
  <si>
    <t>CIAC</t>
  </si>
  <si>
    <t>G 5 Yr Gas Refundable CIAC</t>
  </si>
  <si>
    <t>W_R.10013.01.01.01</t>
  </si>
  <si>
    <t>W_R.10013.02.01.01</t>
  </si>
  <si>
    <t>CC_4215</t>
  </si>
  <si>
    <t>CAP-GAS RELOCATIONS</t>
  </si>
  <si>
    <t>CUSTOMER-DRIVEN RELOCATIONS</t>
  </si>
  <si>
    <t>G Cust Driven Relocate Reimburse Dist</t>
  </si>
  <si>
    <t>Andrew Markos</t>
  </si>
  <si>
    <t>Catherine Koch</t>
  </si>
  <si>
    <t>Land Planning and Sciences</t>
  </si>
  <si>
    <t>Operations Misc</t>
  </si>
  <si>
    <t>Real Estate and Land Use Planning</t>
  </si>
  <si>
    <t>FRANCHISE ACQUISITION</t>
  </si>
  <si>
    <t xml:space="preserve">Placeholder - King County Franchise Fee </t>
  </si>
  <si>
    <t>G Franchises</t>
  </si>
  <si>
    <t>W_R.10015.01.01.01</t>
  </si>
  <si>
    <t>CC_4588</t>
  </si>
  <si>
    <t>W_R.10015.01.01.02</t>
  </si>
  <si>
    <t>W_R.10015.01.01.03</t>
  </si>
  <si>
    <t>CC_4160</t>
  </si>
  <si>
    <t>W_R.10015.01.01.05</t>
  </si>
  <si>
    <t>CC_4100</t>
  </si>
  <si>
    <t>Stephanie Kreshel</t>
  </si>
  <si>
    <t>Infrastructure Program Management</t>
  </si>
  <si>
    <t>CAP-GAS SYSTEM WORK</t>
  </si>
  <si>
    <t>CATHODIC PROTECTION SYSTEM</t>
  </si>
  <si>
    <t>Gas System Integrity-emergent;Corrosion Improvement</t>
  </si>
  <si>
    <t>G CP System Improv Main With Serv Dist</t>
  </si>
  <si>
    <t>G CP System Improv Service Dist</t>
  </si>
  <si>
    <t>Kathleen Weatherby</t>
  </si>
  <si>
    <t>G CP System Improv Dist</t>
  </si>
  <si>
    <t>Paul Riley</t>
  </si>
  <si>
    <t>System Controls &amp; Protection</t>
  </si>
  <si>
    <t>G Emergent CP System Improv Dist</t>
  </si>
  <si>
    <t>W_R.10015.03.01.01</t>
  </si>
  <si>
    <t>W_R.10015.03.02.01</t>
  </si>
  <si>
    <t>W_R.10015.03.04.01</t>
  </si>
  <si>
    <t>W_R.10015.03.04.02</t>
  </si>
  <si>
    <t>W_R.10015.03.04.03</t>
  </si>
  <si>
    <t>GAS DIMP MITIGATION MEASURES</t>
  </si>
  <si>
    <t>BRIDGE AND SLIDE REMEDIATION PROGRAM</t>
  </si>
  <si>
    <t>G DIMP Brdg Sld Dist Unmaintain Facil</t>
  </si>
  <si>
    <t>ENCROACHMENT REMEDIATION PROGRAM</t>
  </si>
  <si>
    <t>G DIMP Mobile Home Encroachment Program</t>
  </si>
  <si>
    <t>Strategic Initiatives</t>
  </si>
  <si>
    <t>Pipeline Integrity - CRM</t>
  </si>
  <si>
    <t>Pipeline Replacement Program - CRM</t>
  </si>
  <si>
    <t>PIPE REPLACEMENT PROGRAM</t>
  </si>
  <si>
    <t>G DIMP Dupont Pipe Repl Main With Serv</t>
  </si>
  <si>
    <t>G DIMP Older Stw Repl Main With Service</t>
  </si>
  <si>
    <t>G DIMP Older Stw Repl Service Only</t>
  </si>
  <si>
    <t>W_R.10015.03.07.01</t>
  </si>
  <si>
    <t>W_R.10015.03.07.03</t>
  </si>
  <si>
    <t>SHALLOW MAIN &amp; SERVICE REPLACEMENT PROG</t>
  </si>
  <si>
    <t>G DIMP Continuing Surveillance Other</t>
  </si>
  <si>
    <t>G DIMP Shallow Serv and Main Repl</t>
  </si>
  <si>
    <t>W_R.10015.03.09.01</t>
  </si>
  <si>
    <t>W_R.10015.03.09.03</t>
  </si>
  <si>
    <t>W_R.10015.03.09.05</t>
  </si>
  <si>
    <t>W_R.10015.03.09.07</t>
  </si>
  <si>
    <t>W_R.10015.03.09.14</t>
  </si>
  <si>
    <t>W_R.10015.03.09.15</t>
  </si>
  <si>
    <t>W_R.10015.03.11.01</t>
  </si>
  <si>
    <t>CC_3083</t>
  </si>
  <si>
    <t>UNMAINTAINABLE FACILITIES PROGRAM</t>
  </si>
  <si>
    <t>G DIMP Preventative Maint Facilities</t>
  </si>
  <si>
    <t>G DIMP Preventive Maint Dist Reg Dist</t>
  </si>
  <si>
    <t>G DIMP Preventive Maintenance MSA Dist</t>
  </si>
  <si>
    <t>G DIMP Preventive Maint Farm Taps Dist</t>
  </si>
  <si>
    <t>G Idle Riser Remediation</t>
  </si>
  <si>
    <t>G Buried Meter Riser Replacement</t>
  </si>
  <si>
    <t>John Klippert</t>
  </si>
  <si>
    <t>Gas Construction Performance Management</t>
  </si>
  <si>
    <t>Guard Posts</t>
  </si>
  <si>
    <t>G DIMP Guard Posts</t>
  </si>
  <si>
    <t>W_R.10015.04.01.02</t>
  </si>
  <si>
    <t>W_R.10015.04.01.03</t>
  </si>
  <si>
    <t>W_R.10015.04.01.04</t>
  </si>
  <si>
    <t>W_R.10015.04.01.05</t>
  </si>
  <si>
    <t>W_R.10015.04.01.06</t>
  </si>
  <si>
    <t>W_R.10015.04.01.07</t>
  </si>
  <si>
    <t>W_R.10015.04.01.08</t>
  </si>
  <si>
    <t>W_R.10015.04.01.09</t>
  </si>
  <si>
    <t>GAS EMERGENCY RESPONSE</t>
  </si>
  <si>
    <t>LEAK REPAIR</t>
  </si>
  <si>
    <t>Gas System Integrity-emergent; Gas Construction</t>
  </si>
  <si>
    <t>G Leak Repair Main</t>
  </si>
  <si>
    <t>G Leak Repair Service</t>
  </si>
  <si>
    <t>G Scattered Short Main Rehab</t>
  </si>
  <si>
    <t>G Service Replacement Misc</t>
  </si>
  <si>
    <t>G Sewer Cross Bore Repair Main</t>
  </si>
  <si>
    <t>G Sewer Cross Bore Repair Service</t>
  </si>
  <si>
    <t>G Gas Work Release Main</t>
  </si>
  <si>
    <t>G Gas Work Release Service</t>
  </si>
  <si>
    <t>W_R.10015.06.01.01</t>
  </si>
  <si>
    <t>W_R.10015.06.01.02</t>
  </si>
  <si>
    <t>W_R.10015.06.01.04</t>
  </si>
  <si>
    <t>W_R.10015.06.01.05</t>
  </si>
  <si>
    <t>Cold Weather Action Reinforcement</t>
  </si>
  <si>
    <t>GAS SYSTEM UPGRADE</t>
  </si>
  <si>
    <t>G Cold Weather Action Reinforcement</t>
  </si>
  <si>
    <t>Gas System Upgrade MP</t>
  </si>
  <si>
    <t>G Odorizer Componant Repl Bulk Dist</t>
  </si>
  <si>
    <t>G System Capacity Upgrade Bulk Dist</t>
  </si>
  <si>
    <t>G System Capacity Upgrade Dist</t>
  </si>
  <si>
    <t>W_R.10060.01.01.01</t>
  </si>
  <si>
    <t>W_R.10060.01.01.02</t>
  </si>
  <si>
    <t>Gas Major Projects</t>
  </si>
  <si>
    <t>Vashon HP Mitigation</t>
  </si>
  <si>
    <t>CAP-VASHON HP GAS</t>
  </si>
  <si>
    <t>PIPELINE REPLACEMENT</t>
  </si>
  <si>
    <t>VASHON MITIGATION PROJECT</t>
  </si>
  <si>
    <t>G Marine Crossing Gas</t>
  </si>
  <si>
    <t>Vashon Interim Supply at Gig Harbor</t>
  </si>
  <si>
    <t>G Vashon Interim Supply at Gig Harbor</t>
  </si>
  <si>
    <t>How to count</t>
  </si>
  <si>
    <t>Customer</t>
  </si>
  <si>
    <t>Miles of Main</t>
  </si>
  <si>
    <t>Column Labels</t>
  </si>
  <si>
    <t>Grand Total</t>
  </si>
  <si>
    <t>Row Labels</t>
  </si>
  <si>
    <t>W_R.10015.06.01.11</t>
  </si>
  <si>
    <t>G Project Initiation</t>
  </si>
  <si>
    <t>Tony Pagano update 05.07.2021</t>
  </si>
  <si>
    <t>Major Projects - G</t>
  </si>
  <si>
    <t>category for E3</t>
  </si>
  <si>
    <t>maintenance</t>
  </si>
  <si>
    <t>emergent</t>
  </si>
  <si>
    <t>new construction</t>
  </si>
  <si>
    <t>capacity</t>
  </si>
  <si>
    <t>Project intiation -Maint</t>
  </si>
  <si>
    <t>Project intiation -Cap</t>
  </si>
  <si>
    <t>Total $2022</t>
  </si>
  <si>
    <t>$2022</t>
  </si>
  <si>
    <t>Total $2023</t>
  </si>
  <si>
    <t>$2023</t>
  </si>
  <si>
    <t>Total $ 2025</t>
  </si>
  <si>
    <t>$ 2025</t>
  </si>
  <si>
    <t>Total $2024</t>
  </si>
  <si>
    <t>$2024</t>
  </si>
  <si>
    <t>Total $2026</t>
  </si>
  <si>
    <t>$2026</t>
  </si>
  <si>
    <t>5 yr avg capacity</t>
  </si>
  <si>
    <t>5 yr average emerg</t>
  </si>
  <si>
    <t>5 yr avg maint</t>
  </si>
  <si>
    <t>services</t>
  </si>
  <si>
    <t>main</t>
  </si>
  <si>
    <t>category</t>
  </si>
  <si>
    <t>ignore</t>
  </si>
  <si>
    <t>other</t>
  </si>
  <si>
    <t>total</t>
  </si>
  <si>
    <t>Difference</t>
  </si>
  <si>
    <t>Customer Zone</t>
  </si>
  <si>
    <t>Number of Customers</t>
  </si>
  <si>
    <t>PSE Gas</t>
  </si>
  <si>
    <t>capacity- multiplier</t>
  </si>
  <si>
    <t>Asset Management</t>
  </si>
  <si>
    <t>Modified Capacity</t>
  </si>
  <si>
    <t>new construction-updated</t>
  </si>
  <si>
    <t>Assumed annual increase in prices for increased service provider costs</t>
  </si>
  <si>
    <t>Gas NCC decrease (scenario #2)</t>
  </si>
  <si>
    <t>Gas NCC annual decrease in gas ncc for years 6-20  (scenario #2)</t>
  </si>
  <si>
    <t>Gas NCC reduction (scenario #3)</t>
  </si>
  <si>
    <r>
      <t>1)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 growth and budget for 6 years (21/22/23/24/25/26)– carbon out scenario is just business as usual for new gas customers.</t>
    </r>
  </si>
  <si>
    <r>
      <t>2)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customers for 3 years (21/22/23), then ½ the typical new customers for the next 3 years (24/25/26), then declining new customers after that for the next 14 years to roughly 1/10 the typical new customers at year 20.  This would be the Carbon out and additional electrification scenario.</t>
    </r>
  </si>
  <si>
    <r>
      <t>3)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customers for 3 years (21/22/23), then significantly declining new customers to roughly 1/10 the new customers at year 12, then it stays at 1/10 for the next 8 years until year 20.  This is the high electrification scenario.</t>
    </r>
  </si>
  <si>
    <t>Numbers Provided</t>
  </si>
  <si>
    <t>Annual reductions for scenario #3 - assuming an decrease of one tenth of gas ncc customers per year, using 2025 as the baseline year</t>
  </si>
  <si>
    <t>Scenario #1</t>
  </si>
  <si>
    <t>Electric NCC</t>
  </si>
  <si>
    <t>Electric PI</t>
  </si>
  <si>
    <t>Abnormals</t>
  </si>
  <si>
    <t>Gas NCC</t>
  </si>
  <si>
    <t>Gas PI</t>
  </si>
  <si>
    <t>Scenario #2</t>
  </si>
  <si>
    <t>Scenario #3</t>
  </si>
  <si>
    <t>O&amp;M - Gas</t>
  </si>
  <si>
    <t>Baseline</t>
  </si>
  <si>
    <t>Total</t>
  </si>
  <si>
    <t>reliability</t>
  </si>
  <si>
    <t>Residential</t>
  </si>
  <si>
    <t>Commercial</t>
  </si>
  <si>
    <t>Industrial</t>
  </si>
  <si>
    <t>Adjusted Account Forecast - Max End Use</t>
  </si>
  <si>
    <t>Residential SC 1</t>
  </si>
  <si>
    <t>Residential SC 2</t>
  </si>
  <si>
    <t>Residential SC 3</t>
  </si>
  <si>
    <t>Residential SC 4</t>
  </si>
  <si>
    <t>Adjusted Account Forecast - Min End Use</t>
  </si>
  <si>
    <t>Adjusted Account Forecast - Middle End Use</t>
  </si>
  <si>
    <t>PSE 2023 IRP Natural Gas Account Forecast- F22 Baseline</t>
  </si>
  <si>
    <t>Scenario 1 - High elect HP</t>
  </si>
  <si>
    <t>Scenario 2 - High elect CHP</t>
  </si>
  <si>
    <t>Scenario 3 - Hybrid HP</t>
  </si>
  <si>
    <t>Scenario4 - Hybrid HP &amp; CCHP</t>
  </si>
  <si>
    <t>year</t>
  </si>
  <si>
    <t>Capital plan</t>
  </si>
  <si>
    <t>Number of customers</t>
  </si>
  <si>
    <t>Total Customer count</t>
  </si>
  <si>
    <t>Annual Change from basecase</t>
  </si>
  <si>
    <t>Cumulative Change from F22</t>
  </si>
  <si>
    <t>Multipliers</t>
  </si>
  <si>
    <t>Maint fixed</t>
  </si>
  <si>
    <t>Customer multiplier</t>
  </si>
  <si>
    <t>F22</t>
  </si>
  <si>
    <t>High elect HP</t>
  </si>
  <si>
    <t>High elect CHP</t>
  </si>
  <si>
    <t>Hybrid HP &amp; CCHP</t>
  </si>
  <si>
    <t>Hybrid HP</t>
  </si>
  <si>
    <t>Gas Customer Accounts Expense per Customer ($2022/customer)</t>
  </si>
  <si>
    <t>Gas Administrative Expense per Customer ($2022/customer)</t>
  </si>
  <si>
    <t>FY 22 - IRP</t>
  </si>
  <si>
    <t>T&amp;D per cust</t>
  </si>
  <si>
    <t>inflation rate</t>
  </si>
  <si>
    <t>Change from base case</t>
  </si>
  <si>
    <t>cost per customer</t>
  </si>
  <si>
    <t>These numbers assume a 2% inflation rate</t>
  </si>
  <si>
    <t>Total Through 2045</t>
  </si>
  <si>
    <t>capex</t>
  </si>
  <si>
    <t>O&amp;M</t>
  </si>
  <si>
    <t>Customer Change</t>
  </si>
  <si>
    <t>Base count</t>
  </si>
  <si>
    <t>reduction from plan</t>
  </si>
  <si>
    <t>% change 2023</t>
  </si>
  <si>
    <t>% change 2045</t>
  </si>
  <si>
    <t>emergency</t>
  </si>
  <si>
    <t>emergency fixed</t>
  </si>
  <si>
    <t>emergency Variable</t>
  </si>
  <si>
    <t>o&amp;m estimates</t>
  </si>
  <si>
    <t xml:space="preserve"> Total Customers</t>
  </si>
  <si>
    <t>High elect CCHP</t>
  </si>
  <si>
    <t>% fixed vs variable</t>
  </si>
  <si>
    <t>Maint variable</t>
  </si>
  <si>
    <t>Area</t>
  </si>
  <si>
    <t>Total Load constraint​(SCFH)</t>
  </si>
  <si>
    <t>Fuel blend​</t>
  </si>
  <si>
    <t># conversions needed​ Non-Pipeline Solution</t>
  </si>
  <si>
    <t>Estimated cost​ ($MM)</t>
  </si>
  <si>
    <t>Approx Total # of customers per Zip Codes</t>
  </si>
  <si>
    <t>Estimated  cost ($MM)</t>
  </si>
  <si>
    <t>100% NG (1046 BTU)</t>
  </si>
  <si>
    <t>​42.7</t>
  </si>
  <si>
    <t>100% RNG/NG H2 blend</t>
  </si>
  <si>
    <t>Area 1</t>
  </si>
  <si>
    <t>Area 2</t>
  </si>
  <si>
    <t>Area 3</t>
  </si>
  <si>
    <t>Area 4</t>
  </si>
  <si>
    <t>Area 5</t>
  </si>
  <si>
    <t>tbd</t>
  </si>
  <si>
    <t>For Scenario 1 and 2 estimated reduction per cadmus</t>
  </si>
  <si>
    <t>Year</t>
  </si>
  <si>
    <t>As fuel content changes - if same level of customers - issue gets worse</t>
  </si>
  <si>
    <t xml:space="preserve">100% RNG/NG H2 blend </t>
  </si>
  <si>
    <t>Total load constraint - The amount of load to be addressed</t>
  </si>
  <si>
    <t>Fuel blend - Fuel blend impacts the load constrait - the lower the BTU content the more gas that needs to flow to meet the customers energy needs
                          Per 2023 IRP - Alternate fuels may be deployed in 2023</t>
  </si>
  <si>
    <t>For conversions - Assumed 40 sch reduction per conversion</t>
  </si>
  <si>
    <t>means constraint addressed area wide constant reduction</t>
  </si>
  <si>
    <t>2032 customers shifting to heat pumps</t>
  </si>
  <si>
    <t>2033 customers shifting to heat pumps</t>
  </si>
  <si>
    <t>2034 customers shifting to heat pumps</t>
  </si>
  <si>
    <t>2035 customers shifting to heat pumps</t>
  </si>
  <si>
    <t>2036 customers shifting to heat pumps</t>
  </si>
  <si>
    <t>2037 customers shifting to heat pumps</t>
  </si>
  <si>
    <t>2038 customers shifting to heat pumps</t>
  </si>
  <si>
    <t xml:space="preserve">Heat pump conversion rate assumes overall conversion spread and not specific areas. </t>
  </si>
  <si>
    <t>Percent reduction (applied across all areas evenly "peanut butter")</t>
  </si>
  <si>
    <t>IRP Base Case</t>
  </si>
  <si>
    <t>Electric Heat Pump</t>
  </si>
  <si>
    <t>Hybrid Heat Pump</t>
  </si>
  <si>
    <t>HHP+CHP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</si>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</sst>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,_);\(#,###,,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#,##0;\-#,##0;#,##0"/>
    <numFmt numFmtId="170" formatCode="&quot;$&quot;#,##0"/>
    <numFmt numFmtId="174" formatCode="0.0"/>
    <numFmt numFmtId="179" formatCode="&quot;$&quot;#,###,,&quot;M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BF7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1">
    <xf numFmtId="0" fontId="0" fillId="0" borderId="0" xfId="0"/>
    <xf numFmtId="44" fontId="0" fillId="0" borderId="0" xfId="2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3" fontId="4" fillId="0" borderId="0" xfId="1" applyFont="1" applyFill="1" applyBorder="1" applyAlignment="1" applyProtection="1">
      <alignment horizontal="right" vertical="center"/>
      <protection locked="0"/>
    </xf>
    <xf numFmtId="165" fontId="0" fillId="0" borderId="0" xfId="1" applyNumberFormat="1" applyFont="1" applyFill="1"/>
    <xf numFmtId="43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 applyBorder="1"/>
    <xf numFmtId="43" fontId="4" fillId="3" borderId="0" xfId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3" applyFont="1"/>
    <xf numFmtId="166" fontId="0" fillId="0" borderId="0" xfId="0" applyNumberFormat="1"/>
    <xf numFmtId="165" fontId="0" fillId="0" borderId="0" xfId="0" applyNumberFormat="1"/>
    <xf numFmtId="44" fontId="2" fillId="0" borderId="0" xfId="2" applyFont="1"/>
    <xf numFmtId="164" fontId="2" fillId="0" borderId="0" xfId="0" applyNumberFormat="1" applyFont="1"/>
    <xf numFmtId="167" fontId="0" fillId="0" borderId="0" xfId="3" applyNumberFormat="1" applyFont="1"/>
    <xf numFmtId="44" fontId="0" fillId="0" borderId="2" xfId="2" applyFont="1" applyBorder="1"/>
    <xf numFmtId="9" fontId="0" fillId="0" borderId="0" xfId="3" applyFont="1" applyBorder="1"/>
    <xf numFmtId="0" fontId="0" fillId="0" borderId="0" xfId="0" applyBorder="1"/>
    <xf numFmtId="164" fontId="2" fillId="5" borderId="0" xfId="0" applyNumberFormat="1" applyFont="1" applyFill="1" applyBorder="1"/>
    <xf numFmtId="164" fontId="0" fillId="0" borderId="0" xfId="0" applyNumberFormat="1" applyBorder="1"/>
    <xf numFmtId="44" fontId="2" fillId="5" borderId="3" xfId="2" applyFont="1" applyFill="1" applyBorder="1"/>
    <xf numFmtId="164" fontId="2" fillId="5" borderId="4" xfId="0" applyNumberFormat="1" applyFont="1" applyFill="1" applyBorder="1"/>
    <xf numFmtId="44" fontId="2" fillId="5" borderId="2" xfId="2" applyFont="1" applyFill="1" applyBorder="1"/>
    <xf numFmtId="44" fontId="0" fillId="0" borderId="3" xfId="2" applyFont="1" applyBorder="1"/>
    <xf numFmtId="164" fontId="0" fillId="0" borderId="4" xfId="0" applyNumberFormat="1" applyBorder="1"/>
    <xf numFmtId="0" fontId="0" fillId="0" borderId="4" xfId="0" applyBorder="1"/>
    <xf numFmtId="10" fontId="0" fillId="0" borderId="0" xfId="3" applyNumberFormat="1" applyFont="1"/>
    <xf numFmtId="44" fontId="0" fillId="0" borderId="2" xfId="2" applyFont="1" applyFill="1" applyBorder="1"/>
    <xf numFmtId="44" fontId="0" fillId="3" borderId="0" xfId="2" applyFont="1" applyFill="1"/>
    <xf numFmtId="164" fontId="0" fillId="3" borderId="0" xfId="0" applyNumberFormat="1" applyFill="1"/>
    <xf numFmtId="168" fontId="0" fillId="6" borderId="0" xfId="0" applyNumberFormat="1" applyFill="1"/>
    <xf numFmtId="165" fontId="0" fillId="7" borderId="0" xfId="0" applyNumberFormat="1" applyFill="1"/>
    <xf numFmtId="10" fontId="0" fillId="0" borderId="0" xfId="0" applyNumberFormat="1"/>
    <xf numFmtId="9" fontId="0" fillId="0" borderId="0" xfId="0" applyNumberFormat="1"/>
    <xf numFmtId="0" fontId="8" fillId="0" borderId="0" xfId="0" applyFont="1" applyAlignment="1">
      <alignment horizontal="left" vertical="center" indent="5"/>
    </xf>
    <xf numFmtId="0" fontId="2" fillId="0" borderId="0" xfId="0" applyFont="1"/>
    <xf numFmtId="166" fontId="0" fillId="0" borderId="0" xfId="2" applyNumberFormat="1" applyFont="1"/>
    <xf numFmtId="0" fontId="0" fillId="0" borderId="5" xfId="0" applyFill="1" applyBorder="1"/>
    <xf numFmtId="168" fontId="0" fillId="0" borderId="0" xfId="0" applyNumberFormat="1" applyFill="1"/>
    <xf numFmtId="168" fontId="0" fillId="8" borderId="0" xfId="0" applyNumberFormat="1" applyFill="1"/>
    <xf numFmtId="168" fontId="0" fillId="0" borderId="9" xfId="0" applyNumberFormat="1" applyFill="1" applyBorder="1"/>
    <xf numFmtId="165" fontId="0" fillId="0" borderId="9" xfId="1" applyNumberFormat="1" applyFont="1" applyFill="1" applyBorder="1"/>
    <xf numFmtId="37" fontId="0" fillId="0" borderId="0" xfId="0" applyNumberFormat="1"/>
    <xf numFmtId="0" fontId="10" fillId="0" borderId="0" xfId="0" applyFont="1" applyFill="1"/>
    <xf numFmtId="39" fontId="0" fillId="0" borderId="0" xfId="0" applyNumberFormat="1"/>
    <xf numFmtId="165" fontId="11" fillId="0" borderId="0" xfId="1" applyNumberFormat="1" applyFont="1"/>
    <xf numFmtId="0" fontId="0" fillId="0" borderId="1" xfId="2" applyNumberFormat="1" applyFont="1" applyBorder="1"/>
    <xf numFmtId="0" fontId="0" fillId="0" borderId="0" xfId="2" applyNumberFormat="1" applyFont="1"/>
    <xf numFmtId="0" fontId="13" fillId="9" borderId="0" xfId="5" applyFont="1" applyFill="1"/>
    <xf numFmtId="0" fontId="13" fillId="9" borderId="0" xfId="6" applyNumberFormat="1" applyFont="1" applyFill="1"/>
    <xf numFmtId="0" fontId="12" fillId="0" borderId="0" xfId="5"/>
    <xf numFmtId="165" fontId="0" fillId="0" borderId="0" xfId="6" applyNumberFormat="1" applyFont="1"/>
    <xf numFmtId="9" fontId="0" fillId="0" borderId="0" xfId="7" applyFont="1"/>
    <xf numFmtId="165" fontId="12" fillId="0" borderId="0" xfId="5" applyNumberFormat="1"/>
    <xf numFmtId="0" fontId="13" fillId="10" borderId="0" xfId="5" applyFont="1" applyFill="1"/>
    <xf numFmtId="0" fontId="13" fillId="10" borderId="0" xfId="6" applyNumberFormat="1" applyFont="1" applyFill="1"/>
    <xf numFmtId="0" fontId="0" fillId="0" borderId="2" xfId="0" applyBorder="1"/>
    <xf numFmtId="0" fontId="12" fillId="0" borderId="10" xfId="5" applyBorder="1"/>
    <xf numFmtId="0" fontId="0" fillId="0" borderId="10" xfId="0" applyBorder="1"/>
    <xf numFmtId="165" fontId="0" fillId="0" borderId="10" xfId="6" applyNumberFormat="1" applyFont="1" applyBorder="1"/>
    <xf numFmtId="165" fontId="0" fillId="0" borderId="10" xfId="1" applyNumberFormat="1" applyFont="1" applyFill="1" applyBorder="1"/>
    <xf numFmtId="0" fontId="2" fillId="0" borderId="10" xfId="0" applyFont="1" applyBorder="1"/>
    <xf numFmtId="165" fontId="2" fillId="0" borderId="10" xfId="1" applyNumberFormat="1" applyFont="1" applyBorder="1"/>
    <xf numFmtId="9" fontId="0" fillId="0" borderId="11" xfId="3" applyFont="1" applyBorder="1"/>
    <xf numFmtId="164" fontId="2" fillId="5" borderId="11" xfId="0" applyNumberFormat="1" applyFont="1" applyFill="1" applyBorder="1"/>
    <xf numFmtId="164" fontId="0" fillId="0" borderId="11" xfId="0" applyNumberFormat="1" applyBorder="1"/>
    <xf numFmtId="164" fontId="2" fillId="5" borderId="12" xfId="0" applyNumberFormat="1" applyFont="1" applyFill="1" applyBorder="1"/>
    <xf numFmtId="164" fontId="0" fillId="0" borderId="12" xfId="0" applyNumberFormat="1" applyBorder="1"/>
    <xf numFmtId="170" fontId="14" fillId="11" borderId="0" xfId="0" applyNumberFormat="1" applyFont="1" applyFill="1"/>
    <xf numFmtId="0" fontId="0" fillId="12" borderId="0" xfId="0" applyFill="1"/>
    <xf numFmtId="44" fontId="2" fillId="0" borderId="13" xfId="2" applyFont="1" applyBorder="1" applyAlignment="1">
      <alignment horizontal="center"/>
    </xf>
    <xf numFmtId="44" fontId="2" fillId="0" borderId="14" xfId="2" applyFont="1" applyBorder="1" applyAlignment="1">
      <alignment horizontal="center"/>
    </xf>
    <xf numFmtId="0" fontId="2" fillId="0" borderId="14" xfId="2" applyNumberFormat="1" applyFont="1" applyBorder="1" applyAlignment="1">
      <alignment horizontal="center"/>
    </xf>
    <xf numFmtId="0" fontId="2" fillId="0" borderId="15" xfId="2" applyNumberFormat="1" applyFont="1" applyBorder="1" applyAlignment="1">
      <alignment horizontal="center"/>
    </xf>
    <xf numFmtId="170" fontId="0" fillId="0" borderId="0" xfId="0" applyNumberFormat="1"/>
    <xf numFmtId="1" fontId="0" fillId="0" borderId="0" xfId="0" applyNumberFormat="1"/>
    <xf numFmtId="10" fontId="12" fillId="0" borderId="0" xfId="3" applyNumberFormat="1" applyFont="1"/>
    <xf numFmtId="43" fontId="12" fillId="0" borderId="0" xfId="1" applyFont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Fill="1"/>
    <xf numFmtId="0" fontId="12" fillId="0" borderId="16" xfId="5" applyBorder="1"/>
    <xf numFmtId="165" fontId="0" fillId="0" borderId="17" xfId="6" applyNumberFormat="1" applyFont="1" applyBorder="1"/>
    <xf numFmtId="165" fontId="0" fillId="0" borderId="17" xfId="1" applyNumberFormat="1" applyFont="1" applyFill="1" applyBorder="1"/>
    <xf numFmtId="0" fontId="2" fillId="0" borderId="16" xfId="0" applyFont="1" applyBorder="1"/>
    <xf numFmtId="165" fontId="2" fillId="0" borderId="17" xfId="1" applyNumberFormat="1" applyFont="1" applyBorder="1"/>
    <xf numFmtId="0" fontId="0" fillId="0" borderId="18" xfId="0" applyFont="1" applyFill="1" applyBorder="1"/>
    <xf numFmtId="0" fontId="0" fillId="0" borderId="19" xfId="0" applyFont="1" applyFill="1" applyBorder="1"/>
    <xf numFmtId="167" fontId="1" fillId="0" borderId="19" xfId="3" applyNumberFormat="1" applyFont="1" applyFill="1" applyBorder="1"/>
    <xf numFmtId="167" fontId="1" fillId="0" borderId="20" xfId="3" applyNumberFormat="1" applyFont="1" applyFill="1" applyBorder="1"/>
    <xf numFmtId="0" fontId="7" fillId="4" borderId="21" xfId="4" applyBorder="1"/>
    <xf numFmtId="0" fontId="7" fillId="4" borderId="22" xfId="4" applyBorder="1"/>
    <xf numFmtId="0" fontId="7" fillId="4" borderId="23" xfId="4" applyBorder="1"/>
    <xf numFmtId="0" fontId="2" fillId="0" borderId="0" xfId="0" applyFont="1" applyFill="1"/>
    <xf numFmtId="0" fontId="2" fillId="0" borderId="24" xfId="0" applyFont="1" applyBorder="1"/>
    <xf numFmtId="0" fontId="2" fillId="0" borderId="25" xfId="0" applyFont="1" applyBorder="1"/>
    <xf numFmtId="165" fontId="2" fillId="0" borderId="25" xfId="1" applyNumberFormat="1" applyFont="1" applyBorder="1"/>
    <xf numFmtId="165" fontId="2" fillId="0" borderId="26" xfId="1" applyNumberFormat="1" applyFont="1" applyBorder="1"/>
    <xf numFmtId="0" fontId="0" fillId="0" borderId="21" xfId="0" applyFont="1" applyFill="1" applyBorder="1"/>
    <xf numFmtId="0" fontId="0" fillId="0" borderId="22" xfId="0" applyFont="1" applyFill="1" applyBorder="1"/>
    <xf numFmtId="167" fontId="1" fillId="0" borderId="22" xfId="3" applyNumberFormat="1" applyFont="1" applyFill="1" applyBorder="1"/>
    <xf numFmtId="167" fontId="1" fillId="0" borderId="23" xfId="3" applyNumberFormat="1" applyFont="1" applyFill="1" applyBorder="1"/>
    <xf numFmtId="0" fontId="12" fillId="0" borderId="24" xfId="5" applyBorder="1"/>
    <xf numFmtId="0" fontId="0" fillId="0" borderId="25" xfId="0" applyBorder="1"/>
    <xf numFmtId="0" fontId="12" fillId="0" borderId="25" xfId="5" applyBorder="1"/>
    <xf numFmtId="165" fontId="0" fillId="0" borderId="25" xfId="1" applyNumberFormat="1" applyFont="1" applyBorder="1"/>
    <xf numFmtId="165" fontId="0" fillId="0" borderId="26" xfId="1" applyNumberFormat="1" applyFont="1" applyBorder="1"/>
    <xf numFmtId="0" fontId="2" fillId="0" borderId="27" xfId="0" applyFont="1" applyBorder="1"/>
    <xf numFmtId="0" fontId="2" fillId="0" borderId="28" xfId="0" applyFont="1" applyBorder="1"/>
    <xf numFmtId="165" fontId="2" fillId="0" borderId="28" xfId="1" applyNumberFormat="1" applyFont="1" applyBorder="1"/>
    <xf numFmtId="165" fontId="2" fillId="0" borderId="29" xfId="1" applyNumberFormat="1" applyFont="1" applyBorder="1"/>
    <xf numFmtId="10" fontId="0" fillId="0" borderId="0" xfId="0" applyNumberFormat="1" applyFill="1"/>
    <xf numFmtId="9" fontId="0" fillId="0" borderId="0" xfId="0" applyNumberFormat="1" applyFill="1"/>
    <xf numFmtId="0" fontId="0" fillId="0" borderId="0" xfId="0" applyFont="1"/>
    <xf numFmtId="1" fontId="0" fillId="0" borderId="0" xfId="0" applyNumberFormat="1" applyFont="1" applyFill="1" applyBorder="1"/>
    <xf numFmtId="174" fontId="0" fillId="0" borderId="0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  <xf numFmtId="0" fontId="15" fillId="13" borderId="10" xfId="0" applyFont="1" applyFill="1" applyBorder="1" applyAlignment="1">
      <alignment horizontal="center" vertical="center" wrapText="1" readingOrder="1"/>
    </xf>
    <xf numFmtId="0" fontId="15" fillId="13" borderId="10" xfId="0" applyFont="1" applyFill="1" applyBorder="1" applyAlignment="1">
      <alignment horizontal="left" vertical="center" wrapText="1" indent="1" readingOrder="1"/>
    </xf>
    <xf numFmtId="9" fontId="0" fillId="0" borderId="10" xfId="3" applyFont="1" applyBorder="1"/>
    <xf numFmtId="0" fontId="16" fillId="15" borderId="10" xfId="0" applyFont="1" applyFill="1" applyBorder="1" applyAlignment="1">
      <alignment horizontal="center" vertical="center" wrapText="1" readingOrder="1"/>
    </xf>
    <xf numFmtId="1" fontId="16" fillId="15" borderId="10" xfId="0" applyNumberFormat="1" applyFont="1" applyFill="1" applyBorder="1" applyAlignment="1">
      <alignment horizontal="center" vertical="center" wrapText="1" readingOrder="1"/>
    </xf>
    <xf numFmtId="174" fontId="16" fillId="15" borderId="10" xfId="0" applyNumberFormat="1" applyFont="1" applyFill="1" applyBorder="1" applyAlignment="1">
      <alignment horizontal="center" vertical="center" wrapText="1" readingOrder="1"/>
    </xf>
    <xf numFmtId="1" fontId="16" fillId="0" borderId="10" xfId="0" applyNumberFormat="1" applyFont="1" applyFill="1" applyBorder="1" applyAlignment="1">
      <alignment horizontal="center" vertical="center" wrapText="1" readingOrder="1"/>
    </xf>
    <xf numFmtId="0" fontId="0" fillId="9" borderId="30" xfId="0" applyFont="1" applyFill="1" applyBorder="1"/>
    <xf numFmtId="0" fontId="0" fillId="0" borderId="9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17" fillId="14" borderId="10" xfId="0" applyFont="1" applyFill="1" applyBorder="1" applyAlignment="1">
      <alignment horizontal="left" vertical="center" wrapText="1" readingOrder="1"/>
    </xf>
    <xf numFmtId="0" fontId="16" fillId="0" borderId="10" xfId="0" applyFont="1" applyFill="1" applyBorder="1" applyAlignment="1">
      <alignment horizontal="left" vertical="center" wrapText="1" readingOrder="1"/>
    </xf>
    <xf numFmtId="179" fontId="0" fillId="0" borderId="0" xfId="0" applyNumberFormat="1" applyFont="1"/>
  </cellXfs>
  <cellStyles count="8">
    <cellStyle name="Accent1" xfId="4" builtinId="29"/>
    <cellStyle name="Comma" xfId="1" builtinId="3"/>
    <cellStyle name="Comma 2" xfId="6"/>
    <cellStyle name="Currency" xfId="2" builtinId="4"/>
    <cellStyle name="Normal" xfId="0" builtinId="0"/>
    <cellStyle name="Normal 2" xfId="5"/>
    <cellStyle name="Percent" xfId="3" builtinId="5"/>
    <cellStyle name="Percent 2" xfId="7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66" formatCode="_(&quot;$&quot;* #,##0_);_(&quot;$&quot;* \(#,##0\);_(&quot;$&quot;* &quot;-&quot;??_);_(@_)"/>
    </dxf>
    <dxf>
      <numFmt numFmtId="172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165" formatCode="_(* #,##0_);_(* \(#,##0\);_(* &quot;-&quot;??_);_(@_)"/>
    </dxf>
    <dxf>
      <numFmt numFmtId="173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6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pivotCacheDefinition" Target="pivotCache/pivotCacheDefinition1.xml"/><Relationship Id="rId38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Capital Costs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'Dec Settlement B'!$A$3</c:f>
              <c:strCache>
                <c:ptCount val="1"/>
                <c:pt idx="0">
                  <c:v>IRP Base Case</c:v>
                </c:pt>
              </c:strCache>
            </c:strRef>
          </c:tx>
          <c:spPr>
            <a:ln w="28575" cap="rnd">
              <a:solidFill>
                <a:srgbClr val="006671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B'!$B$3:$W$3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266307975.3564733</c:v>
                </c:pt>
                <c:pt idx="6">
                  <c:v>212549668.2554931</c:v>
                </c:pt>
                <c:pt idx="7">
                  <c:v>217863409.96188042</c:v>
                </c:pt>
                <c:pt idx="8">
                  <c:v>223309995.21092743</c:v>
                </c:pt>
                <c:pt idx="9">
                  <c:v>228892745.09120059</c:v>
                </c:pt>
                <c:pt idx="10">
                  <c:v>160626177.06393117</c:v>
                </c:pt>
                <c:pt idx="11">
                  <c:v>164641831.49052942</c:v>
                </c:pt>
                <c:pt idx="12">
                  <c:v>168421655.07173109</c:v>
                </c:pt>
                <c:pt idx="13">
                  <c:v>172632196.44852433</c:v>
                </c:pt>
                <c:pt idx="14">
                  <c:v>176948001.35973743</c:v>
                </c:pt>
                <c:pt idx="15">
                  <c:v>181371701.39373088</c:v>
                </c:pt>
                <c:pt idx="16">
                  <c:v>185905993.92857414</c:v>
                </c:pt>
                <c:pt idx="17">
                  <c:v>190553643.7767885</c:v>
                </c:pt>
                <c:pt idx="18">
                  <c:v>195317484.87120819</c:v>
                </c:pt>
                <c:pt idx="19">
                  <c:v>200200421.99298841</c:v>
                </c:pt>
                <c:pt idx="20">
                  <c:v>205205432.54281312</c:v>
                </c:pt>
                <c:pt idx="21">
                  <c:v>210335568.35638341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5-40E9-9FA4-A1E0F38E46F7}"/>
            </c:ext>
          </c:extLst>
        </c:ser>
        <c:ser>
          <c:idx val="2"/>
          <c:order val="1"/>
          <c:tx>
            <c:strRef>
              <c:f>'Dec Settlement B'!$A$4</c:f>
              <c:strCache>
                <c:ptCount val="1"/>
                <c:pt idx="0">
                  <c:v>Electric Heat Pump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B'!$B$4:$W$4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248065676.99171698</c:v>
                </c:pt>
                <c:pt idx="6">
                  <c:v>193154927.53108388</c:v>
                </c:pt>
                <c:pt idx="7">
                  <c:v>192753934.93777356</c:v>
                </c:pt>
                <c:pt idx="8">
                  <c:v>191845776.91676712</c:v>
                </c:pt>
                <c:pt idx="9">
                  <c:v>190555981.06079495</c:v>
                </c:pt>
                <c:pt idx="10">
                  <c:v>128441527.02432166</c:v>
                </c:pt>
                <c:pt idx="11">
                  <c:v>127096712.87056208</c:v>
                </c:pt>
                <c:pt idx="12">
                  <c:v>125428975.63354556</c:v>
                </c:pt>
                <c:pt idx="13">
                  <c:v>123955794.11194412</c:v>
                </c:pt>
                <c:pt idx="14">
                  <c:v>123431286.56598863</c:v>
                </c:pt>
                <c:pt idx="15">
                  <c:v>123243908.62576383</c:v>
                </c:pt>
                <c:pt idx="16">
                  <c:v>123475464.47823589</c:v>
                </c:pt>
                <c:pt idx="17">
                  <c:v>124189522.48606226</c:v>
                </c:pt>
                <c:pt idx="18">
                  <c:v>125421082.52261478</c:v>
                </c:pt>
                <c:pt idx="19">
                  <c:v>127164705.43357275</c:v>
                </c:pt>
                <c:pt idx="20">
                  <c:v>129439649.24460843</c:v>
                </c:pt>
                <c:pt idx="21">
                  <c:v>132097274.0378084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5-40E9-9FA4-A1E0F38E46F7}"/>
            </c:ext>
          </c:extLst>
        </c:ser>
        <c:ser>
          <c:idx val="3"/>
          <c:order val="2"/>
          <c:tx>
            <c:strRef>
              <c:f>'Dec Settlement B'!$A$5</c:f>
              <c:strCache>
                <c:ptCount val="1"/>
                <c:pt idx="0">
                  <c:v>Hybrid Heat Pump</c:v>
                </c:pt>
              </c:strCache>
            </c:strRef>
          </c:tx>
          <c:spPr>
            <a:ln w="28575" cap="rnd">
              <a:solidFill>
                <a:srgbClr val="C3E7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B'!$B$5:$W$5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265989154.45940334</c:v>
                </c:pt>
                <c:pt idx="6">
                  <c:v>212192649.93684235</c:v>
                </c:pt>
                <c:pt idx="7">
                  <c:v>217377505.31550658</c:v>
                </c:pt>
                <c:pt idx="8">
                  <c:v>222671954.83083317</c:v>
                </c:pt>
                <c:pt idx="9">
                  <c:v>228079993.72158578</c:v>
                </c:pt>
                <c:pt idx="10">
                  <c:v>159916137.72283822</c:v>
                </c:pt>
                <c:pt idx="11">
                  <c:v>163784883.55098027</c:v>
                </c:pt>
                <c:pt idx="12">
                  <c:v>167411622.5766485</c:v>
                </c:pt>
                <c:pt idx="13">
                  <c:v>171461339.14451596</c:v>
                </c:pt>
                <c:pt idx="14">
                  <c:v>175611402.62824151</c:v>
                </c:pt>
                <c:pt idx="15">
                  <c:v>179864261.93972307</c:v>
                </c:pt>
                <c:pt idx="16">
                  <c:v>184224299.44969141</c:v>
                </c:pt>
                <c:pt idx="17">
                  <c:v>188693567.08563548</c:v>
                </c:pt>
                <c:pt idx="18">
                  <c:v>193275309.90141487</c:v>
                </c:pt>
                <c:pt idx="19">
                  <c:v>197972827.51853961</c:v>
                </c:pt>
                <c:pt idx="20">
                  <c:v>202787071.06549695</c:v>
                </c:pt>
                <c:pt idx="21">
                  <c:v>207724913.64089462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5-40E9-9FA4-A1E0F38E46F7}"/>
            </c:ext>
          </c:extLst>
        </c:ser>
        <c:ser>
          <c:idx val="4"/>
          <c:order val="3"/>
          <c:tx>
            <c:strRef>
              <c:f>'Dec Settlement B'!$A$6</c:f>
              <c:strCache>
                <c:ptCount val="1"/>
                <c:pt idx="0">
                  <c:v>HHP+CHP</c:v>
                </c:pt>
              </c:strCache>
            </c:strRef>
          </c:tx>
          <c:spPr>
            <a:ln w="28575" cap="rnd">
              <a:solidFill>
                <a:srgbClr val="58C3B4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B'!$B$6:$W$6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263689137.17420566</c:v>
                </c:pt>
                <c:pt idx="6">
                  <c:v>209748252.39798585</c:v>
                </c:pt>
                <c:pt idx="7">
                  <c:v>214214398.81931114</c:v>
                </c:pt>
                <c:pt idx="8">
                  <c:v>218710752.77302727</c:v>
                </c:pt>
                <c:pt idx="9">
                  <c:v>223261578.85400975</c:v>
                </c:pt>
                <c:pt idx="10">
                  <c:v>155878461.2511493</c:v>
                </c:pt>
                <c:pt idx="11">
                  <c:v>159085460.95142013</c:v>
                </c:pt>
                <c:pt idx="12">
                  <c:v>162044038.54662287</c:v>
                </c:pt>
                <c:pt idx="13">
                  <c:v>165401142.73068738</c:v>
                </c:pt>
                <c:pt idx="14">
                  <c:v>168840516.38909781</c:v>
                </c:pt>
                <c:pt idx="15">
                  <c:v>172364338.11659905</c:v>
                </c:pt>
                <c:pt idx="16">
                  <c:v>175972907.74416289</c:v>
                </c:pt>
                <c:pt idx="17">
                  <c:v>179664113.79934442</c:v>
                </c:pt>
                <c:pt idx="18">
                  <c:v>183444442.27112705</c:v>
                </c:pt>
                <c:pt idx="19">
                  <c:v>187314700.78810418</c:v>
                </c:pt>
                <c:pt idx="20">
                  <c:v>191275003.23978502</c:v>
                </c:pt>
                <c:pt idx="21">
                  <c:v>195333604.19304895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D5-40E9-9FA4-A1E0F38E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916423"/>
        <c:axId val="1590555655"/>
      </c:lineChart>
      <c:catAx>
        <c:axId val="1593916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0555655"/>
        <c:crosses val="autoZero"/>
        <c:auto val="1"/>
        <c:lblAlgn val="ctr"/>
        <c:lblOffset val="100"/>
        <c:noMultiLvlLbl val="0"/>
      </c:catAx>
      <c:valAx>
        <c:axId val="1590555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16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System Investments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 Settlement B'!$B$27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006671"/>
            </a:solidFill>
            <a:ln>
              <a:noFill/>
            </a:ln>
            <a:effectLst/>
          </c:spPr>
          <c:invertIfNegative val="0"/>
          <c:cat>
            <c:strRef>
              <c:f>'Dec Settlement B'!$A$28:$A$31</c:f>
              <c:strCache>
                <c:ptCount val="4"/>
                <c:pt idx="0">
                  <c:v> IRP Base Case </c:v>
                </c:pt>
                <c:pt idx="1">
                  <c:v> Electric Heat Pump </c:v>
                </c:pt>
                <c:pt idx="2">
                  <c:v> Hybrid Heat Pump </c:v>
                </c:pt>
                <c:pt idx="3">
                  <c:v> HHP+CHP </c:v>
                </c:pt>
              </c:strCache>
            </c:strRef>
          </c:cat>
          <c:val>
            <c:numRef>
              <c:f>'Dec Settlement B'!$B$28:$B$31</c:f>
              <c:numCache>
                <c:formatCode>#,###,,_);\(#,###,,\)</c:formatCode>
                <c:ptCount val="4"/>
                <c:pt idx="0">
                  <c:v>212549668.2554931</c:v>
                </c:pt>
                <c:pt idx="1">
                  <c:v>184778850.71150085</c:v>
                </c:pt>
                <c:pt idx="2">
                  <c:v>212006814.02141228</c:v>
                </c:pt>
                <c:pt idx="3">
                  <c:v>208538394.80001616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B-422D-A269-6580E259C5B7}"/>
            </c:ext>
          </c:extLst>
        </c:ser>
        <c:ser>
          <c:idx val="1"/>
          <c:order val="1"/>
          <c:tx>
            <c:strRef>
              <c:f>'Dec Settlement B'!$C$27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cat>
            <c:strRef>
              <c:f>'Dec Settlement B'!$A$28:$A$31</c:f>
              <c:strCache>
                <c:ptCount val="4"/>
                <c:pt idx="0">
                  <c:v> IRP Base Case </c:v>
                </c:pt>
                <c:pt idx="1">
                  <c:v> Electric Heat Pump </c:v>
                </c:pt>
                <c:pt idx="2">
                  <c:v> Hybrid Heat Pump </c:v>
                </c:pt>
                <c:pt idx="3">
                  <c:v> HHP+CHP </c:v>
                </c:pt>
              </c:strCache>
            </c:strRef>
          </c:cat>
          <c:val>
            <c:numRef>
              <c:f>'Dec Settlement B'!$C$28:$C$31</c:f>
              <c:numCache>
                <c:formatCode>#,###,,_);\(#,###,,\)</c:formatCode>
                <c:ptCount val="4"/>
                <c:pt idx="0">
                  <c:v>210335568.35638341</c:v>
                </c:pt>
                <c:pt idx="1">
                  <c:v>103832201.39924981</c:v>
                </c:pt>
                <c:pt idx="2">
                  <c:v>206453145.31155846</c:v>
                </c:pt>
                <c:pt idx="3">
                  <c:v>189913859.16293484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B-422D-A269-6580E259C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4663"/>
        <c:axId val="127184903"/>
      </c:barChart>
      <c:catAx>
        <c:axId val="127174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84903"/>
        <c:crosses val="autoZero"/>
        <c:auto val="1"/>
        <c:lblAlgn val="ctr"/>
        <c:lblOffset val="100"/>
        <c:noMultiLvlLbl val="0"/>
      </c:catAx>
      <c:valAx>
        <c:axId val="127184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_);\(#,###,,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4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System Investments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 Settlement B'!$A$28</c:f>
              <c:strCache>
                <c:ptCount val="1"/>
                <c:pt idx="0">
                  <c:v> IRP Base Case </c:v>
                </c:pt>
              </c:strCache>
            </c:strRef>
          </c:tx>
          <c:spPr>
            <a:solidFill>
              <a:srgbClr val="006671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B'!$D$28:$E$28</c:f>
              <c:numCache>
                <c:formatCode>#,###,,_);\(#,###,,\)</c:formatCode>
                <c:ptCount val="2"/>
                <c:pt idx="0">
                  <c:v>1614009881.9982963</c:v>
                </c:pt>
                <c:pt idx="1">
                  <c:v>4496236140.5592461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B-4380-9606-3D74618E034F}"/>
            </c:ext>
          </c:extLst>
        </c:ser>
        <c:ser>
          <c:idx val="1"/>
          <c:order val="1"/>
          <c:tx>
            <c:strRef>
              <c:f>'Dec Settlement B'!$A$29</c:f>
              <c:strCache>
                <c:ptCount val="1"/>
                <c:pt idx="0">
                  <c:v> Electric Heat Pump </c:v>
                </c:pt>
              </c:strCache>
            </c:strRef>
          </c:tx>
          <c:spPr>
            <a:solidFill>
              <a:srgbClr val="C3E7E3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B'!$D$29:$E$29</c:f>
              <c:numCache>
                <c:formatCode>#,###,,_);\(#,###,,\)</c:formatCode>
                <c:ptCount val="2"/>
                <c:pt idx="0">
                  <c:v>1576372842.9091308</c:v>
                </c:pt>
                <c:pt idx="1">
                  <c:v>3664914438.8594942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B-4380-9606-3D74618E034F}"/>
            </c:ext>
          </c:extLst>
        </c:ser>
        <c:ser>
          <c:idx val="2"/>
          <c:order val="2"/>
          <c:tx>
            <c:strRef>
              <c:f>'Dec Settlement B'!$A$30</c:f>
              <c:strCache>
                <c:ptCount val="1"/>
                <c:pt idx="0">
                  <c:v> Hybrid Heat Pump 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B'!$D$30:$E$30</c:f>
              <c:numCache>
                <c:formatCode>#,###,,_);\(#,###,,\)</c:formatCode>
                <c:ptCount val="2"/>
                <c:pt idx="0">
                  <c:v>1613334042.7825756</c:v>
                </c:pt>
                <c:pt idx="1">
                  <c:v>4474191132.8751221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B-4380-9606-3D74618E034F}"/>
            </c:ext>
          </c:extLst>
        </c:ser>
        <c:ser>
          <c:idx val="3"/>
          <c:order val="3"/>
          <c:tx>
            <c:strRef>
              <c:f>'Dec Settlement B'!$A$31</c:f>
              <c:strCache>
                <c:ptCount val="1"/>
                <c:pt idx="0">
                  <c:v> HHP+CHP </c:v>
                </c:pt>
              </c:strCache>
            </c:strRef>
          </c:tx>
          <c:spPr>
            <a:solidFill>
              <a:srgbClr val="9CADB7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B'!$D$31:$E$31</c:f>
              <c:numCache>
                <c:formatCode>#,###,,_);\(#,###,,\)</c:formatCode>
                <c:ptCount val="2"/>
                <c:pt idx="0">
                  <c:v>1608589627.9585214</c:v>
                </c:pt>
                <c:pt idx="1">
                  <c:v>4361395088.4260197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B-4380-9606-3D74618E0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4663"/>
        <c:axId val="127184903"/>
      </c:barChart>
      <c:catAx>
        <c:axId val="127174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84903"/>
        <c:crosses val="autoZero"/>
        <c:auto val="1"/>
        <c:lblAlgn val="ctr"/>
        <c:lblOffset val="100"/>
        <c:noMultiLvlLbl val="0"/>
      </c:catAx>
      <c:valAx>
        <c:axId val="127184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4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161925</xdr:rowOff>
    </xdr:from>
    <xdr:to>
      <xdr:col>11</xdr:col>
      <xdr:colOff>219075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41</xdr:row>
      <xdr:rowOff>180975</xdr:rowOff>
    </xdr:from>
    <xdr:to>
      <xdr:col>9</xdr:col>
      <xdr:colOff>342900</xdr:colOff>
      <xdr:row>56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9278AC0A-9601-6D7C-1017-AB0545138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18</xdr:col>
      <xdr:colOff>304800</xdr:colOff>
      <xdr:row>56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0</xdr:colOff>
      <xdr:row>1</xdr:row>
      <xdr:rowOff>64057</xdr:rowOff>
    </xdr:to>
    <xdr:sp macro="" textlink="">
      <xdr:nvSpPr>
        <xdr:cNvPr id="2" name="TextBox 2"/>
        <xdr:cNvSpPr txBox="1"/>
      </xdr:nvSpPr>
      <xdr:spPr>
        <a:xfrm>
          <a:off x="0" y="0"/>
          <a:ext cx="10363200" cy="2545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0</xdr:colOff>
      <xdr:row>24</xdr:row>
      <xdr:rowOff>165835</xdr:rowOff>
    </xdr:to>
    <xdr:sp macro="" textlink="">
      <xdr:nvSpPr>
        <xdr:cNvPr id="3" name="TextBox 2"/>
        <xdr:cNvSpPr txBox="1"/>
      </xdr:nvSpPr>
      <xdr:spPr>
        <a:xfrm>
          <a:off x="0" y="0"/>
          <a:ext cx="10363200" cy="473783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lvl="0"/>
          <a:r>
            <a:rPr lang="en-US" sz="1600" u="sng"/>
            <a:t>Assumptions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Account for higher cost of doing business due to new regulations and policies, and increasing costs for petroleum based products (pipe, asphalt, etc)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Assets will not be stranded- investments continue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Impacts are spread through the territory instead of regionally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Pipe is able to be retired and left in place(PSE will not need to remove pipe)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Portion of investments will vary by fixed &amp; variable. For this study main work is included in the fixed portion – the variable piece is dependent on the number of customers/services/meters</a:t>
          </a:r>
        </a:p>
        <a:p>
          <a:pPr lvl="0"/>
          <a:endParaRPr lang="en-US" sz="1600" u="sng"/>
        </a:p>
        <a:p>
          <a:pPr lvl="0"/>
          <a:r>
            <a:rPr lang="en-US" sz="1600" u="sng"/>
            <a:t>Approach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Separate capacity budget into 4 areas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New customer - includes margin allowance changes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System reliability - system investments needed to deliver</a:t>
          </a:r>
          <a:r>
            <a:rPr lang="en-US" sz="1600" baseline="0"/>
            <a:t> gas</a:t>
          </a:r>
          <a:endParaRPr lang="en-US" sz="1600"/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Maintenance and Integrity (including PI)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Emergent 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System Reliability investments driven by peak load- 52DD</a:t>
          </a:r>
          <a:r>
            <a:rPr lang="en-US" sz="1600" baseline="0"/>
            <a:t> - </a:t>
          </a:r>
          <a:r>
            <a:rPr lang="en-US" sz="1600"/>
            <a:t>minimized to local area enhancements 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Maintenance/safety/integrity –50% fixed, 50% variable by number of services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Emergent – 50% fixed, 50% variable by services/customers</a:t>
          </a:r>
        </a:p>
        <a:p>
          <a:pPr rtl="0" fontAlgn="base"/>
          <a:endParaRPr lang="en-US" sz="1100" b="1" u="sng" kern="1200">
            <a:solidFill>
              <a:schemeClr val="tx1"/>
            </a:solidFill>
            <a:effectLst/>
            <a:latin typeface="Arial" charset="0"/>
            <a:ea typeface="+mn-ea"/>
            <a:cs typeface="+mn-cs"/>
          </a:endParaRPr>
        </a:p>
        <a:p>
          <a:endParaRPr 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7\2022%20Shutdown\PSM%20III%2022.2_Post%202015%20IRP_Base%20+%20No%20CO2_12.1%20P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vestors%20Analysis\PSM%20III%2030.1_2018%20RFP_Base%20No%20CO2_upd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PSM%20III%2024.4_2017%20IRP_9-Builds%20Onl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EAD/Business%20Plan%202001/BudgetPlan2002_11_21_newPJ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illi\Documents\PSM%20Testing\Analyzer_%20Colstrip%201&amp;2%20Shutdown%20Vintage%20Pl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orward-View/GLOBAL/feb_02/U-Pa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%23Project%20files\Resource%20Plan%202021\80.20%20&amp;%2050.50%20Buy%20vs.%20Build%20PSM%20Models\Final%20Models\PSM%20III%2030.1%202020%20build%20PPA%20seperate%206.18.2020_DRAFT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.sharepoint.com/sites/GRCSettlement-StipulationO2023-2025/Shared%20Documents/General/Updated%20Decarb%20Study/Meeting%20with%20Parties/December%208th-%20Final%20Review/2023_Gas_System_cost_working_pap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RCFM/Buspln99/ELIM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Planning\2015-IRP\PSM\Deterministic%20Portfolios\0%20-%20Resource%20plan%20Options\2015%20B%20Standard\Copy%20of%20PSM%20III%2020.0_2015%20IRP_041115BW%20Ed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Copy%20of%20PSM%20III%2024.2_2017%20IRP_1-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TPrice99/Dummy%20She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%20&amp;%20Accounting\Griffith%20Budget%2011-6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windows/temp/dailywallingfo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mp%20Hill%20Working%20Folder\PSE\2016%20Study\Schedules\2016%20Calcs\Electric\PSE16%20-%20Electric%20-%20Schedule%20-%20v1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To Tableau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Chart2"/>
      <sheetName val="Biomass"/>
      <sheetName val="Batterie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/>
      <sheetData sheetId="1"/>
      <sheetData sheetId="2"/>
      <sheetData sheetId="3"/>
      <sheetData sheetId="4">
        <row r="8">
          <cell r="A8" t="str">
            <v>CCGT</v>
          </cell>
        </row>
        <row r="20">
          <cell r="C20">
            <v>0</v>
          </cell>
          <cell r="K20">
            <v>0</v>
          </cell>
          <cell r="R20">
            <v>0</v>
          </cell>
          <cell r="U20">
            <v>1</v>
          </cell>
        </row>
        <row r="21">
          <cell r="C21">
            <v>0</v>
          </cell>
          <cell r="K21">
            <v>0</v>
          </cell>
          <cell r="R21">
            <v>0</v>
          </cell>
          <cell r="U21">
            <v>0</v>
          </cell>
        </row>
        <row r="22">
          <cell r="C22">
            <v>0</v>
          </cell>
          <cell r="K22">
            <v>0</v>
          </cell>
          <cell r="R22">
            <v>0</v>
          </cell>
          <cell r="U22">
            <v>0</v>
          </cell>
        </row>
        <row r="23">
          <cell r="C23">
            <v>0</v>
          </cell>
          <cell r="K23">
            <v>0</v>
          </cell>
          <cell r="R23">
            <v>0</v>
          </cell>
          <cell r="U23">
            <v>0</v>
          </cell>
        </row>
        <row r="24">
          <cell r="C24">
            <v>0</v>
          </cell>
          <cell r="K24">
            <v>0</v>
          </cell>
          <cell r="R24">
            <v>1</v>
          </cell>
          <cell r="U24">
            <v>0</v>
          </cell>
        </row>
        <row r="25">
          <cell r="C25">
            <v>0</v>
          </cell>
          <cell r="K25">
            <v>0</v>
          </cell>
          <cell r="R25">
            <v>0</v>
          </cell>
        </row>
        <row r="26">
          <cell r="C26">
            <v>0</v>
          </cell>
          <cell r="K26">
            <v>0</v>
          </cell>
          <cell r="R26">
            <v>0</v>
          </cell>
        </row>
        <row r="27">
          <cell r="C27">
            <v>0</v>
          </cell>
          <cell r="K27">
            <v>0</v>
          </cell>
          <cell r="R27">
            <v>0</v>
          </cell>
        </row>
        <row r="28">
          <cell r="C28">
            <v>0</v>
          </cell>
          <cell r="K28">
            <v>0</v>
          </cell>
          <cell r="R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  <cell r="AA32">
            <v>-41575.953825366851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K39">
            <v>0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>
            <v>3087418.25</v>
          </cell>
        </row>
      </sheetData>
      <sheetData sheetId="11">
        <row r="7">
          <cell r="B7">
            <v>4947.7211956000001</v>
          </cell>
        </row>
      </sheetData>
      <sheetData sheetId="12"/>
      <sheetData sheetId="13"/>
      <sheetData sheetId="14"/>
      <sheetData sheetId="15">
        <row r="9">
          <cell r="D9">
            <v>0</v>
          </cell>
        </row>
        <row r="46">
          <cell r="H46">
            <v>20</v>
          </cell>
        </row>
        <row r="47">
          <cell r="H47">
            <v>1</v>
          </cell>
        </row>
        <row r="48">
          <cell r="H48">
            <v>2017</v>
          </cell>
        </row>
        <row r="111">
          <cell r="H111">
            <v>20</v>
          </cell>
        </row>
        <row r="112">
          <cell r="H112">
            <v>1</v>
          </cell>
        </row>
        <row r="113">
          <cell r="H113">
            <v>2017</v>
          </cell>
        </row>
        <row r="177">
          <cell r="H177">
            <v>20</v>
          </cell>
        </row>
        <row r="178">
          <cell r="H178">
            <v>1</v>
          </cell>
        </row>
        <row r="179">
          <cell r="H179">
            <v>2017</v>
          </cell>
        </row>
        <row r="242">
          <cell r="H242">
            <v>20</v>
          </cell>
        </row>
        <row r="243">
          <cell r="H243">
            <v>1</v>
          </cell>
        </row>
        <row r="244">
          <cell r="H244">
            <v>2017</v>
          </cell>
        </row>
        <row r="308">
          <cell r="H308">
            <v>20</v>
          </cell>
        </row>
        <row r="309">
          <cell r="H309">
            <v>1</v>
          </cell>
        </row>
        <row r="310">
          <cell r="H310">
            <v>2017</v>
          </cell>
        </row>
      </sheetData>
      <sheetData sheetId="16">
        <row r="36">
          <cell r="C36">
            <v>25</v>
          </cell>
          <cell r="N36">
            <v>0.3</v>
          </cell>
        </row>
        <row r="37">
          <cell r="C37">
            <v>0.08</v>
          </cell>
          <cell r="J37">
            <v>0</v>
          </cell>
        </row>
        <row r="38">
          <cell r="C38">
            <v>1</v>
          </cell>
          <cell r="N38">
            <v>25</v>
          </cell>
        </row>
        <row r="39">
          <cell r="C39">
            <v>0.2</v>
          </cell>
        </row>
        <row r="41">
          <cell r="C41">
            <v>2017</v>
          </cell>
        </row>
        <row r="80">
          <cell r="C80">
            <v>25</v>
          </cell>
          <cell r="N80">
            <v>0.3</v>
          </cell>
        </row>
        <row r="81">
          <cell r="C81">
            <v>0.08</v>
          </cell>
          <cell r="J81">
            <v>0</v>
          </cell>
          <cell r="N81">
            <v>0.5</v>
          </cell>
        </row>
        <row r="82">
          <cell r="C82">
            <v>1</v>
          </cell>
          <cell r="N82">
            <v>25</v>
          </cell>
        </row>
        <row r="83">
          <cell r="C83">
            <v>0.2</v>
          </cell>
        </row>
        <row r="85">
          <cell r="C85">
            <v>2017</v>
          </cell>
        </row>
        <row r="123">
          <cell r="C123">
            <v>25</v>
          </cell>
          <cell r="N123">
            <v>0</v>
          </cell>
        </row>
        <row r="124">
          <cell r="C124">
            <v>0.08</v>
          </cell>
          <cell r="J124">
            <v>0</v>
          </cell>
          <cell r="N124">
            <v>0</v>
          </cell>
        </row>
        <row r="125">
          <cell r="C125">
            <v>1</v>
          </cell>
          <cell r="N125">
            <v>25</v>
          </cell>
        </row>
        <row r="126">
          <cell r="C126">
            <v>0.2</v>
          </cell>
        </row>
        <row r="128">
          <cell r="C128">
            <v>2017</v>
          </cell>
        </row>
        <row r="165">
          <cell r="C165">
            <v>25</v>
          </cell>
          <cell r="N165">
            <v>1</v>
          </cell>
        </row>
        <row r="166">
          <cell r="C166">
            <v>0.08</v>
          </cell>
          <cell r="N166">
            <v>0.5</v>
          </cell>
        </row>
        <row r="167">
          <cell r="C167">
            <v>1</v>
          </cell>
          <cell r="J167">
            <v>0.85</v>
          </cell>
          <cell r="N167">
            <v>25</v>
          </cell>
        </row>
        <row r="168">
          <cell r="C168">
            <v>0.2</v>
          </cell>
        </row>
        <row r="170">
          <cell r="C170">
            <v>2017</v>
          </cell>
        </row>
        <row r="208">
          <cell r="C208">
            <v>25</v>
          </cell>
          <cell r="N208">
            <v>0</v>
          </cell>
        </row>
        <row r="209">
          <cell r="C209">
            <v>0.08</v>
          </cell>
          <cell r="N209">
            <v>0</v>
          </cell>
        </row>
        <row r="210">
          <cell r="C210">
            <v>1</v>
          </cell>
        </row>
        <row r="211">
          <cell r="C211">
            <v>0.2</v>
          </cell>
        </row>
        <row r="213">
          <cell r="C213">
            <v>2017</v>
          </cell>
        </row>
      </sheetData>
      <sheetData sheetId="17">
        <row r="24">
          <cell r="C24">
            <v>0.08</v>
          </cell>
        </row>
        <row r="25">
          <cell r="C25">
            <v>1</v>
          </cell>
        </row>
        <row r="26">
          <cell r="C26">
            <v>0.2</v>
          </cell>
        </row>
        <row r="27">
          <cell r="C27">
            <v>1</v>
          </cell>
        </row>
        <row r="55">
          <cell r="C55">
            <v>0.05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86">
          <cell r="C86">
            <v>0.05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1</v>
          </cell>
        </row>
        <row r="117">
          <cell r="C117">
            <v>0.05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1</v>
          </cell>
        </row>
        <row r="148">
          <cell r="C148">
            <v>0.05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1</v>
          </cell>
        </row>
      </sheetData>
      <sheetData sheetId="18">
        <row r="7">
          <cell r="D7">
            <v>25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80">
          <cell r="C180">
            <v>1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211">
          <cell r="C211">
            <v>1</v>
          </cell>
        </row>
        <row r="212">
          <cell r="C212">
            <v>1</v>
          </cell>
        </row>
        <row r="213">
          <cell r="C213">
            <v>0.2</v>
          </cell>
        </row>
        <row r="214">
          <cell r="C214">
            <v>0</v>
          </cell>
        </row>
        <row r="242">
          <cell r="C242">
            <v>1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73">
          <cell r="C273">
            <v>1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304">
          <cell r="C304">
            <v>1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1</v>
          </cell>
        </row>
      </sheetData>
      <sheetData sheetId="19">
        <row r="9">
          <cell r="C9">
            <v>0</v>
          </cell>
        </row>
        <row r="33">
          <cell r="C33">
            <v>0.93</v>
          </cell>
        </row>
        <row r="71">
          <cell r="C71">
            <v>1</v>
          </cell>
        </row>
        <row r="72">
          <cell r="C72">
            <v>0</v>
          </cell>
        </row>
        <row r="73">
          <cell r="C73">
            <v>0</v>
          </cell>
        </row>
        <row r="109">
          <cell r="C109">
            <v>1</v>
          </cell>
        </row>
        <row r="110">
          <cell r="C110">
            <v>0</v>
          </cell>
        </row>
        <row r="111">
          <cell r="C111">
            <v>0</v>
          </cell>
        </row>
        <row r="147">
          <cell r="C147">
            <v>1</v>
          </cell>
        </row>
        <row r="148">
          <cell r="C148">
            <v>0</v>
          </cell>
        </row>
        <row r="149">
          <cell r="C149">
            <v>0</v>
          </cell>
        </row>
        <row r="185">
          <cell r="C185">
            <v>1</v>
          </cell>
        </row>
        <row r="186">
          <cell r="C186">
            <v>0</v>
          </cell>
        </row>
        <row r="187">
          <cell r="C187">
            <v>0</v>
          </cell>
        </row>
        <row r="223">
          <cell r="C223">
            <v>1</v>
          </cell>
        </row>
        <row r="224">
          <cell r="C224">
            <v>0</v>
          </cell>
        </row>
        <row r="225">
          <cell r="C225">
            <v>0</v>
          </cell>
        </row>
        <row r="261">
          <cell r="C261">
            <v>1</v>
          </cell>
        </row>
        <row r="262">
          <cell r="C262">
            <v>0</v>
          </cell>
        </row>
        <row r="263">
          <cell r="C263">
            <v>0</v>
          </cell>
        </row>
        <row r="299">
          <cell r="C299">
            <v>1</v>
          </cell>
        </row>
        <row r="300">
          <cell r="C300">
            <v>0</v>
          </cell>
        </row>
        <row r="301">
          <cell r="C301">
            <v>0</v>
          </cell>
        </row>
        <row r="337">
          <cell r="C337">
            <v>1</v>
          </cell>
        </row>
        <row r="338">
          <cell r="C338">
            <v>0</v>
          </cell>
        </row>
        <row r="339">
          <cell r="C339">
            <v>0</v>
          </cell>
        </row>
        <row r="375">
          <cell r="C375">
            <v>1</v>
          </cell>
        </row>
        <row r="376">
          <cell r="C376">
            <v>0</v>
          </cell>
        </row>
        <row r="377">
          <cell r="C377">
            <v>0</v>
          </cell>
        </row>
      </sheetData>
      <sheetData sheetId="20"/>
      <sheetData sheetId="21"/>
      <sheetData sheetId="22"/>
      <sheetData sheetId="23">
        <row r="7">
          <cell r="D7">
            <v>924430.48022651125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3.5309745690179555E-6</v>
          </cell>
        </row>
        <row r="12">
          <cell r="D12">
            <v>5632169.8535522446</v>
          </cell>
        </row>
        <row r="13">
          <cell r="D13">
            <v>41575.953825366851</v>
          </cell>
        </row>
        <row r="14">
          <cell r="D14">
            <v>6598176.287607654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>
        <row r="248">
          <cell r="F248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80">
          <cell r="B80">
            <v>1E-8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6">
          <cell r="E16">
            <v>0.52</v>
          </cell>
        </row>
      </sheetData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8">
          <cell r="C28">
            <v>0</v>
          </cell>
        </row>
      </sheetData>
      <sheetData sheetId="5"/>
      <sheetData sheetId="6">
        <row r="1">
          <cell r="A1" t="str">
            <v>(All Generics)_2019 IRP Base + No CO2_Update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0.02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6">
          <cell r="D246">
            <v>0</v>
          </cell>
        </row>
      </sheetData>
      <sheetData sheetId="23">
        <row r="7">
          <cell r="D7">
            <v>2647092.3035891815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32">
          <cell r="B32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99">
          <cell r="M199">
            <v>0</v>
          </cell>
        </row>
      </sheetData>
      <sheetData sheetId="71"/>
      <sheetData sheetId="72"/>
      <sheetData sheetId="73"/>
      <sheetData sheetId="74"/>
      <sheetData sheetId="7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Batteries_3"/>
      <sheetName val="Batteries_4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17">
          <cell r="A17" t="str">
            <v>WA Solar</v>
          </cell>
        </row>
      </sheetData>
      <sheetData sheetId="4"/>
      <sheetData sheetId="5">
        <row r="1">
          <cell r="A1" t="str">
            <v>(All Generics)_2017 IRP Base + No CO2</v>
          </cell>
        </row>
        <row r="35">
          <cell r="C35">
            <v>20</v>
          </cell>
        </row>
      </sheetData>
      <sheetData sheetId="6">
        <row r="211">
          <cell r="S211">
            <v>53883.15625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16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0.16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>
        <row r="211">
          <cell r="C211">
            <v>0</v>
          </cell>
        </row>
      </sheetData>
      <sheetData sheetId="20">
        <row r="209">
          <cell r="C209">
            <v>0</v>
          </cell>
        </row>
      </sheetData>
      <sheetData sheetId="21">
        <row r="193">
          <cell r="C193">
            <v>0</v>
          </cell>
        </row>
      </sheetData>
      <sheetData sheetId="22">
        <row r="7">
          <cell r="D7">
            <v>2160538.8225643248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B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99">
          <cell r="M199">
            <v>0.15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strip Inputs"/>
      <sheetName val="Revenue Requirement"/>
      <sheetName val="Colstrip Costs"/>
      <sheetName val="Instructions"/>
      <sheetName val="Details"/>
      <sheetName val="Cash Flow"/>
      <sheetName val="Input Summary"/>
      <sheetName val="Description"/>
      <sheetName val="Assumptions (Input)"/>
      <sheetName val="Operations(Input)"/>
      <sheetName val="Capital Projects(Input)"/>
      <sheetName val="Plant(Input)"/>
      <sheetName val="Plant 2035 Shutdown 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comissioning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B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Leadsheet"/>
      <sheetName val="Metrics"/>
      <sheetName val="Evaluation Summary"/>
      <sheetName val="Comments"/>
      <sheetName val="LPProblem"/>
      <sheetName val="Clean Energy Standard"/>
      <sheetName val="Peak Capacity Need"/>
      <sheetName val="Assumptions"/>
      <sheetName val="PPA Rollup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O3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6">
          <cell r="I4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6budget"/>
      <sheetName val="Sept GRC Settlement B"/>
      <sheetName val="Graphs"/>
      <sheetName val="Summary Data"/>
      <sheetName val="Sheet1"/>
      <sheetName val="NCC-JBsummary"/>
      <sheetName val="20yr breakout - edits"/>
      <sheetName val="20 yr breakout-original"/>
      <sheetName val="2020 - 20 yr plan"/>
      <sheetName val="avg category spend"/>
    </sheetNames>
    <sheetDataSet>
      <sheetData sheetId="0"/>
      <sheetData sheetId="1"/>
      <sheetData sheetId="2">
        <row r="2">
          <cell r="B2">
            <v>2024</v>
          </cell>
          <cell r="C2">
            <v>2025</v>
          </cell>
          <cell r="D2">
            <v>2026</v>
          </cell>
          <cell r="E2">
            <v>2027</v>
          </cell>
          <cell r="F2">
            <v>2028</v>
          </cell>
          <cell r="G2">
            <v>2029</v>
          </cell>
          <cell r="H2">
            <v>2030</v>
          </cell>
          <cell r="I2">
            <v>2031</v>
          </cell>
          <cell r="J2">
            <v>2032</v>
          </cell>
          <cell r="K2">
            <v>2033</v>
          </cell>
          <cell r="L2">
            <v>2034</v>
          </cell>
          <cell r="M2">
            <v>2035</v>
          </cell>
          <cell r="N2">
            <v>2036</v>
          </cell>
          <cell r="O2">
            <v>2037</v>
          </cell>
          <cell r="P2">
            <v>2038</v>
          </cell>
          <cell r="Q2">
            <v>2039</v>
          </cell>
          <cell r="R2">
            <v>2040</v>
          </cell>
          <cell r="S2">
            <v>2041</v>
          </cell>
          <cell r="T2">
            <v>2042</v>
          </cell>
          <cell r="U2">
            <v>2043</v>
          </cell>
          <cell r="V2">
            <v>2044</v>
          </cell>
          <cell r="W2">
            <v>2045</v>
          </cell>
        </row>
        <row r="3">
          <cell r="A3" t="str">
            <v>IRP Base Case</v>
          </cell>
          <cell r="B3">
            <v>242548278.37899941</v>
          </cell>
          <cell r="C3">
            <v>222476653.54510051</v>
          </cell>
          <cell r="D3">
            <v>220263067.35395163</v>
          </cell>
          <cell r="E3">
            <v>228734371.47345006</v>
          </cell>
          <cell r="F3">
            <v>221129867.63482818</v>
          </cell>
          <cell r="G3">
            <v>266307975.3564733</v>
          </cell>
          <cell r="H3">
            <v>212549668.2554931</v>
          </cell>
          <cell r="I3">
            <v>217863409.96188042</v>
          </cell>
          <cell r="J3">
            <v>223309995.21092743</v>
          </cell>
          <cell r="K3">
            <v>228892745.09120059</v>
          </cell>
          <cell r="L3">
            <v>160626177.06393117</v>
          </cell>
          <cell r="M3">
            <v>164641831.49052942</v>
          </cell>
          <cell r="N3">
            <v>168421655.07173109</v>
          </cell>
          <cell r="O3">
            <v>172632196.44852433</v>
          </cell>
          <cell r="P3">
            <v>176948001.35973743</v>
          </cell>
          <cell r="Q3">
            <v>181371701.39373088</v>
          </cell>
          <cell r="R3">
            <v>185905993.92857414</v>
          </cell>
          <cell r="S3">
            <v>190553643.7767885</v>
          </cell>
          <cell r="T3">
            <v>195317484.87120819</v>
          </cell>
          <cell r="U3">
            <v>200200421.99298841</v>
          </cell>
          <cell r="V3">
            <v>205205432.54281312</v>
          </cell>
          <cell r="W3">
            <v>210335568.35638341</v>
          </cell>
        </row>
        <row r="4">
          <cell r="A4" t="str">
            <v>Electric Heat Pump</v>
          </cell>
          <cell r="B4">
            <v>242548278.37899941</v>
          </cell>
          <cell r="C4">
            <v>222476653.54510051</v>
          </cell>
          <cell r="D4">
            <v>220263067.35395163</v>
          </cell>
          <cell r="E4">
            <v>228734371.47345006</v>
          </cell>
          <cell r="F4">
            <v>221129867.63482818</v>
          </cell>
          <cell r="G4">
            <v>239544954.13854909</v>
          </cell>
          <cell r="H4">
            <v>184778850.71150085</v>
          </cell>
          <cell r="I4">
            <v>181909815.14829764</v>
          </cell>
          <cell r="J4">
            <v>178257211.16871715</v>
          </cell>
          <cell r="K4">
            <v>173999344.13041461</v>
          </cell>
          <cell r="L4">
            <v>116800338.7518024</v>
          </cell>
          <cell r="M4">
            <v>113516643.05370192</v>
          </cell>
          <cell r="N4">
            <v>109897052.06810464</v>
          </cell>
          <cell r="O4">
            <v>106370517.49248058</v>
          </cell>
          <cell r="P4">
            <v>104097354.9638626</v>
          </cell>
          <cell r="Q4">
            <v>102244137.36010116</v>
          </cell>
          <cell r="R4">
            <v>100921247.70821948</v>
          </cell>
          <cell r="S4">
            <v>100214220.81040761</v>
          </cell>
          <cell r="T4">
            <v>100169677.09815031</v>
          </cell>
          <cell r="U4">
            <v>100779163.01165737</v>
          </cell>
          <cell r="V4">
            <v>102067818.26218612</v>
          </cell>
          <cell r="W4">
            <v>103832201.39924981</v>
          </cell>
        </row>
        <row r="5">
          <cell r="A5" t="str">
            <v>Hybrid Heat Pump</v>
          </cell>
          <cell r="B5">
            <v>242548278.37899941</v>
          </cell>
          <cell r="C5">
            <v>222476653.54510051</v>
          </cell>
          <cell r="D5">
            <v>220263067.35395163</v>
          </cell>
          <cell r="E5">
            <v>228734371.47345006</v>
          </cell>
          <cell r="F5">
            <v>221129867.63482818</v>
          </cell>
          <cell r="G5">
            <v>265817894.09334189</v>
          </cell>
          <cell r="H5">
            <v>212006814.02141228</v>
          </cell>
          <cell r="I5">
            <v>217124581.22155008</v>
          </cell>
          <cell r="J5">
            <v>222339840.72933763</v>
          </cell>
          <cell r="K5">
            <v>227656938.69359678</v>
          </cell>
          <cell r="L5">
            <v>159570100.69176346</v>
          </cell>
          <cell r="M5">
            <v>163367250.74723899</v>
          </cell>
          <cell r="N5">
            <v>166919589.93394572</v>
          </cell>
          <cell r="O5">
            <v>170890961.44248772</v>
          </cell>
          <cell r="P5">
            <v>174960284.75897205</v>
          </cell>
          <cell r="Q5">
            <v>179129919.80530566</v>
          </cell>
          <cell r="R5">
            <v>183405069.78857476</v>
          </cell>
          <cell r="S5">
            <v>187787439.35763299</v>
          </cell>
          <cell r="T5">
            <v>192280473.84203964</v>
          </cell>
          <cell r="U5">
            <v>196887665.20795131</v>
          </cell>
          <cell r="V5">
            <v>201608977.49475774</v>
          </cell>
          <cell r="W5">
            <v>206453145.31155846</v>
          </cell>
        </row>
        <row r="6">
          <cell r="A6" t="str">
            <v>HHP+CHP</v>
          </cell>
          <cell r="B6">
            <v>242548278.37899941</v>
          </cell>
          <cell r="C6">
            <v>222476653.54510051</v>
          </cell>
          <cell r="D6">
            <v>220263067.35395163</v>
          </cell>
          <cell r="E6">
            <v>228734371.47345006</v>
          </cell>
          <cell r="F6">
            <v>221129867.63482818</v>
          </cell>
          <cell r="G6">
            <v>262465914.42550275</v>
          </cell>
          <cell r="H6">
            <v>208538394.80001616</v>
          </cell>
          <cell r="I6">
            <v>212638487.18017238</v>
          </cell>
          <cell r="J6">
            <v>216724461.30777174</v>
          </cell>
          <cell r="K6">
            <v>220829626.72550356</v>
          </cell>
          <cell r="L6">
            <v>154161212.38956496</v>
          </cell>
          <cell r="M6">
            <v>157075721.66644901</v>
          </cell>
          <cell r="N6">
            <v>159740003.21567553</v>
          </cell>
          <cell r="O6">
            <v>162788786.97359806</v>
          </cell>
          <cell r="P6">
            <v>165911533.16410506</v>
          </cell>
          <cell r="Q6">
            <v>169110256.72937778</v>
          </cell>
          <cell r="R6">
            <v>172384391.34087533</v>
          </cell>
          <cell r="S6">
            <v>175730063.87541682</v>
          </cell>
          <cell r="T6">
            <v>179155079.6967653</v>
          </cell>
          <cell r="U6">
            <v>182659488.7972441</v>
          </cell>
          <cell r="V6">
            <v>186242370.56846011</v>
          </cell>
          <cell r="W6">
            <v>189913859.16293484</v>
          </cell>
        </row>
        <row r="27">
          <cell r="B27">
            <v>2030</v>
          </cell>
          <cell r="C27">
            <v>2045</v>
          </cell>
          <cell r="D27">
            <v>2030</v>
          </cell>
          <cell r="E27">
            <v>2045</v>
          </cell>
        </row>
        <row r="28">
          <cell r="A28" t="str">
            <v>IRP Base Case</v>
          </cell>
          <cell r="B28">
            <v>212549668.2554931</v>
          </cell>
          <cell r="C28">
            <v>210335568.35638341</v>
          </cell>
          <cell r="D28">
            <v>1614009881.9982963</v>
          </cell>
          <cell r="E28">
            <v>4496236140.5592461</v>
          </cell>
        </row>
        <row r="29">
          <cell r="A29" t="str">
            <v>Electric Heat Pump</v>
          </cell>
          <cell r="B29">
            <v>184778850.71150085</v>
          </cell>
          <cell r="C29">
            <v>103832201.39924981</v>
          </cell>
          <cell r="D29">
            <v>1559476043.2363799</v>
          </cell>
          <cell r="E29">
            <v>3354552785.6637335</v>
          </cell>
        </row>
        <row r="30">
          <cell r="A30" t="str">
            <v>Hybrid Heat Pump</v>
          </cell>
          <cell r="B30">
            <v>212006814.02141228</v>
          </cell>
          <cell r="C30">
            <v>206453145.31155846</v>
          </cell>
          <cell r="D30">
            <v>1612976946.5010841</v>
          </cell>
          <cell r="E30">
            <v>4463359185.5277967</v>
          </cell>
        </row>
        <row r="31">
          <cell r="A31" t="str">
            <v>HHP+CHP</v>
          </cell>
          <cell r="B31">
            <v>208538394.80001616</v>
          </cell>
          <cell r="C31">
            <v>189913859.16293484</v>
          </cell>
          <cell r="D31">
            <v>1606156547.6118488</v>
          </cell>
          <cell r="E31">
            <v>4311221890.4057627</v>
          </cell>
        </row>
        <row r="34">
          <cell r="B34" t="str">
            <v>IRP Base Case</v>
          </cell>
          <cell r="C34" t="str">
            <v>Electric Heat Pump</v>
          </cell>
          <cell r="D34" t="str">
            <v>Hybrid Heat Pump</v>
          </cell>
          <cell r="E34" t="str">
            <v>HHP+CHP</v>
          </cell>
        </row>
        <row r="35">
          <cell r="A35">
            <v>2030</v>
          </cell>
          <cell r="B35">
            <v>212549668.2554931</v>
          </cell>
          <cell r="C35">
            <v>184778850.71150085</v>
          </cell>
          <cell r="D35">
            <v>212006814.02141228</v>
          </cell>
          <cell r="E35">
            <v>208538394.80001616</v>
          </cell>
        </row>
        <row r="36">
          <cell r="A36">
            <v>2045</v>
          </cell>
          <cell r="B36">
            <v>210335568.35638341</v>
          </cell>
          <cell r="C36">
            <v>103832201.39924981</v>
          </cell>
          <cell r="D36">
            <v>206453145.31155846</v>
          </cell>
          <cell r="E36">
            <v>189913859.16293484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atteries"/>
      <sheetName val="Biomas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CCGT Replacement Rev Req (2)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26">
          <cell r="C26">
            <v>0</v>
          </cell>
        </row>
      </sheetData>
      <sheetData sheetId="4"/>
      <sheetData sheetId="5">
        <row r="1">
          <cell r="A1" t="str">
            <v>(All Generics)_2017 IRP Base</v>
          </cell>
        </row>
        <row r="7">
          <cell r="L7">
            <v>1.9E-2</v>
          </cell>
          <cell r="M7">
            <v>7.2999999999999995E-2</v>
          </cell>
          <cell r="N7">
            <v>1.9E-2</v>
          </cell>
          <cell r="P7">
            <v>0</v>
          </cell>
        </row>
        <row r="19">
          <cell r="K19">
            <v>0.13560477176653404</v>
          </cell>
        </row>
        <row r="23">
          <cell r="K23">
            <v>0.6</v>
          </cell>
        </row>
        <row r="24">
          <cell r="K24">
            <v>0.88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27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0.09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/>
      <sheetData sheetId="20"/>
      <sheetData sheetId="21"/>
      <sheetData sheetId="22">
        <row r="7">
          <cell r="D7">
            <v>4650832.8677520379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80">
          <cell r="B80">
            <v>1E-8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99">
          <cell r="M199">
            <v>0.15</v>
          </cell>
        </row>
      </sheetData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  <sheetName val="Sheet1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Cap Struct &amp; Rate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  <sheetName val="Forward Curves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Deprate"/>
      <sheetName val="Controls"/>
      <sheetName val="Reserve"/>
      <sheetName val="Reserve - Prod (by vint)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311.00 41           </v>
          </cell>
          <cell r="B2">
            <v>46022</v>
          </cell>
          <cell r="C2">
            <v>90</v>
          </cell>
          <cell r="D2" t="str">
            <v xml:space="preserve">   R2</v>
          </cell>
          <cell r="E2">
            <v>-12</v>
          </cell>
          <cell r="F2">
            <v>9209467.8399999999</v>
          </cell>
          <cell r="G2">
            <v>5369107.8200000003</v>
          </cell>
          <cell r="H2">
            <v>4945496</v>
          </cell>
          <cell r="I2">
            <v>541769</v>
          </cell>
          <cell r="J2">
            <v>5.88</v>
          </cell>
          <cell r="K2">
            <v>9.1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58.3</v>
          </cell>
          <cell r="P2">
            <v>27.3</v>
          </cell>
          <cell r="Q2">
            <v>6650779</v>
          </cell>
          <cell r="R2">
            <v>400940</v>
          </cell>
          <cell r="S2">
            <v>4.3499999999999996</v>
          </cell>
        </row>
        <row r="3">
          <cell r="A3" t="str">
            <v xml:space="preserve">311.00 42           </v>
          </cell>
          <cell r="B3">
            <v>46022</v>
          </cell>
          <cell r="C3">
            <v>90</v>
          </cell>
          <cell r="D3" t="str">
            <v xml:space="preserve">   R2</v>
          </cell>
          <cell r="E3">
            <v>-12</v>
          </cell>
          <cell r="F3">
            <v>4336957.28</v>
          </cell>
          <cell r="G3">
            <v>1063478.6000000001</v>
          </cell>
          <cell r="H3">
            <v>3793914</v>
          </cell>
          <cell r="I3">
            <v>413933</v>
          </cell>
          <cell r="J3">
            <v>9.5399999999999991</v>
          </cell>
          <cell r="K3">
            <v>9.1999999999999993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24.5</v>
          </cell>
          <cell r="P3">
            <v>14.1</v>
          </cell>
          <cell r="Q3">
            <v>2349811</v>
          </cell>
          <cell r="R3">
            <v>273250</v>
          </cell>
          <cell r="S3">
            <v>6.3</v>
          </cell>
        </row>
        <row r="4">
          <cell r="A4" t="str">
            <v xml:space="preserve">311.00 43           </v>
          </cell>
          <cell r="B4">
            <v>49490</v>
          </cell>
          <cell r="C4">
            <v>90</v>
          </cell>
          <cell r="D4" t="str">
            <v xml:space="preserve">   R2</v>
          </cell>
          <cell r="E4">
            <v>-13</v>
          </cell>
          <cell r="F4">
            <v>29664979.16</v>
          </cell>
          <cell r="G4">
            <v>21454594.690000001</v>
          </cell>
          <cell r="H4">
            <v>12066832</v>
          </cell>
          <cell r="I4">
            <v>666220</v>
          </cell>
          <cell r="J4">
            <v>2.25</v>
          </cell>
          <cell r="K4">
            <v>18.100000000000001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72.3</v>
          </cell>
          <cell r="P4">
            <v>30.6</v>
          </cell>
          <cell r="Q4">
            <v>20166988</v>
          </cell>
          <cell r="R4">
            <v>738423</v>
          </cell>
          <cell r="S4">
            <v>2.4900000000000002</v>
          </cell>
        </row>
        <row r="5">
          <cell r="A5" t="str">
            <v xml:space="preserve">311.00 44           </v>
          </cell>
          <cell r="B5">
            <v>49490</v>
          </cell>
          <cell r="C5">
            <v>90</v>
          </cell>
          <cell r="D5" t="str">
            <v xml:space="preserve">   R2</v>
          </cell>
          <cell r="E5">
            <v>-13</v>
          </cell>
          <cell r="F5">
            <v>27862834.57</v>
          </cell>
          <cell r="G5">
            <v>19334080.890000001</v>
          </cell>
          <cell r="H5">
            <v>12150922</v>
          </cell>
          <cell r="I5">
            <v>669654</v>
          </cell>
          <cell r="J5">
            <v>2.4</v>
          </cell>
          <cell r="K5">
            <v>18.100000000000001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69.400000000000006</v>
          </cell>
          <cell r="P5">
            <v>28.8</v>
          </cell>
          <cell r="Q5">
            <v>18488671</v>
          </cell>
          <cell r="R5">
            <v>715123</v>
          </cell>
          <cell r="S5">
            <v>2.57</v>
          </cell>
        </row>
        <row r="6">
          <cell r="A6" t="str">
            <v xml:space="preserve">311.00 45           </v>
          </cell>
          <cell r="B6">
            <v>46022</v>
          </cell>
          <cell r="C6">
            <v>90</v>
          </cell>
          <cell r="D6" t="str">
            <v xml:space="preserve">   R2</v>
          </cell>
          <cell r="E6">
            <v>-12</v>
          </cell>
          <cell r="F6">
            <v>30934199.879999999</v>
          </cell>
          <cell r="G6">
            <v>26913190.699999999</v>
          </cell>
          <cell r="H6">
            <v>7733113</v>
          </cell>
          <cell r="I6">
            <v>851260</v>
          </cell>
          <cell r="J6">
            <v>2.75</v>
          </cell>
          <cell r="K6">
            <v>9.1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87</v>
          </cell>
          <cell r="P6">
            <v>35.5</v>
          </cell>
          <cell r="Q6">
            <v>27075578</v>
          </cell>
          <cell r="R6">
            <v>833830</v>
          </cell>
          <cell r="S6">
            <v>2.7</v>
          </cell>
        </row>
        <row r="7">
          <cell r="A7" t="str">
            <v xml:space="preserve">311.00 47           </v>
          </cell>
          <cell r="B7">
            <v>49490</v>
          </cell>
          <cell r="C7">
            <v>90</v>
          </cell>
          <cell r="D7" t="str">
            <v xml:space="preserve">   R2</v>
          </cell>
          <cell r="E7">
            <v>-13</v>
          </cell>
          <cell r="F7">
            <v>70065640.599999994</v>
          </cell>
          <cell r="G7">
            <v>52568883.729999997</v>
          </cell>
          <cell r="H7">
            <v>26605290</v>
          </cell>
          <cell r="I7">
            <v>1471709</v>
          </cell>
          <cell r="J7">
            <v>2.1</v>
          </cell>
          <cell r="K7">
            <v>18.100000000000001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75</v>
          </cell>
          <cell r="P7">
            <v>31.4</v>
          </cell>
          <cell r="Q7">
            <v>49063763</v>
          </cell>
          <cell r="R7">
            <v>1664647</v>
          </cell>
          <cell r="S7">
            <v>2.38</v>
          </cell>
        </row>
        <row r="8">
          <cell r="A8" t="str">
            <v xml:space="preserve">311.00 71           </v>
          </cell>
          <cell r="B8">
            <v>52047</v>
          </cell>
          <cell r="C8">
            <v>90</v>
          </cell>
          <cell r="D8" t="str">
            <v xml:space="preserve">   R2</v>
          </cell>
          <cell r="E8">
            <v>-5</v>
          </cell>
          <cell r="F8">
            <v>403636</v>
          </cell>
          <cell r="G8">
            <v>8557.1200000000008</v>
          </cell>
          <cell r="H8">
            <v>415261</v>
          </cell>
          <cell r="I8">
            <v>16597</v>
          </cell>
          <cell r="J8">
            <v>4.1100000000000003</v>
          </cell>
          <cell r="K8">
            <v>25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2.1</v>
          </cell>
          <cell r="P8">
            <v>12.2</v>
          </cell>
          <cell r="Q8">
            <v>135431</v>
          </cell>
          <cell r="R8">
            <v>11528</v>
          </cell>
          <cell r="S8">
            <v>2.86</v>
          </cell>
        </row>
        <row r="9">
          <cell r="A9" t="str">
            <v xml:space="preserve">311.00 72           </v>
          </cell>
          <cell r="B9">
            <v>52778</v>
          </cell>
          <cell r="C9">
            <v>90</v>
          </cell>
          <cell r="D9" t="str">
            <v xml:space="preserve">   R2</v>
          </cell>
          <cell r="E9">
            <v>-5</v>
          </cell>
          <cell r="F9">
            <v>2131451.9700000002</v>
          </cell>
          <cell r="G9">
            <v>1475543.82</v>
          </cell>
          <cell r="H9">
            <v>762481</v>
          </cell>
          <cell r="I9">
            <v>28273</v>
          </cell>
          <cell r="J9">
            <v>1.33</v>
          </cell>
          <cell r="K9">
            <v>27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69.2</v>
          </cell>
          <cell r="P9">
            <v>9</v>
          </cell>
          <cell r="Q9">
            <v>542187</v>
          </cell>
          <cell r="R9">
            <v>62894</v>
          </cell>
          <cell r="S9">
            <v>2.95</v>
          </cell>
        </row>
        <row r="10">
          <cell r="A10" t="str">
            <v xml:space="preserve">311.00 74           </v>
          </cell>
          <cell r="B10">
            <v>53873</v>
          </cell>
          <cell r="C10">
            <v>90</v>
          </cell>
          <cell r="D10" t="str">
            <v xml:space="preserve">   R2</v>
          </cell>
          <cell r="E10">
            <v>-5</v>
          </cell>
          <cell r="F10">
            <v>458042</v>
          </cell>
          <cell r="G10">
            <v>117385.54</v>
          </cell>
          <cell r="H10">
            <v>363559</v>
          </cell>
          <cell r="I10">
            <v>12208</v>
          </cell>
          <cell r="J10">
            <v>2.67</v>
          </cell>
          <cell r="K10">
            <v>29.8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25.6</v>
          </cell>
          <cell r="P10">
            <v>8.1999999999999993</v>
          </cell>
          <cell r="Q10">
            <v>100936</v>
          </cell>
          <cell r="R10">
            <v>12745</v>
          </cell>
          <cell r="S10">
            <v>2.78</v>
          </cell>
        </row>
        <row r="11">
          <cell r="A11" t="str">
            <v xml:space="preserve">311.00 75           </v>
          </cell>
          <cell r="B11">
            <v>48760</v>
          </cell>
          <cell r="C11">
            <v>90</v>
          </cell>
          <cell r="D11" t="str">
            <v xml:space="preserve">   R2</v>
          </cell>
          <cell r="E11">
            <v>-5</v>
          </cell>
          <cell r="F11">
            <v>1492711.69</v>
          </cell>
          <cell r="G11">
            <v>1197365.06</v>
          </cell>
          <cell r="H11">
            <v>369982</v>
          </cell>
          <cell r="I11">
            <v>22408</v>
          </cell>
          <cell r="J11">
            <v>1.5</v>
          </cell>
          <cell r="K11">
            <v>16.5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80.2</v>
          </cell>
          <cell r="P11">
            <v>8.1</v>
          </cell>
          <cell r="Q11">
            <v>508406</v>
          </cell>
          <cell r="R11">
            <v>64090</v>
          </cell>
          <cell r="S11">
            <v>4.29</v>
          </cell>
        </row>
        <row r="12">
          <cell r="A12" t="str">
            <v xml:space="preserve">311.00 97           </v>
          </cell>
          <cell r="B12">
            <v>49125</v>
          </cell>
          <cell r="C12">
            <v>90</v>
          </cell>
          <cell r="D12" t="str">
            <v xml:space="preserve">   R2</v>
          </cell>
          <cell r="E12">
            <v>-5</v>
          </cell>
          <cell r="F12">
            <v>571513.38</v>
          </cell>
          <cell r="G12">
            <v>367245.85</v>
          </cell>
          <cell r="H12">
            <v>232843</v>
          </cell>
          <cell r="I12">
            <v>13296</v>
          </cell>
          <cell r="J12">
            <v>2.33</v>
          </cell>
          <cell r="K12">
            <v>17.5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64.3</v>
          </cell>
          <cell r="P12">
            <v>4.0999999999999996</v>
          </cell>
          <cell r="Q12">
            <v>112294</v>
          </cell>
          <cell r="R12">
            <v>27829</v>
          </cell>
          <cell r="S12">
            <v>4.87</v>
          </cell>
        </row>
        <row r="13">
          <cell r="A13" t="str">
            <v xml:space="preserve">312.00 41           </v>
          </cell>
          <cell r="B13">
            <v>46022</v>
          </cell>
          <cell r="C13">
            <v>75</v>
          </cell>
          <cell r="D13" t="str">
            <v xml:space="preserve">   S0</v>
          </cell>
          <cell r="E13">
            <v>-12</v>
          </cell>
          <cell r="F13">
            <v>88145747.640000001</v>
          </cell>
          <cell r="G13">
            <v>42279305.32</v>
          </cell>
          <cell r="H13">
            <v>56443932</v>
          </cell>
          <cell r="I13">
            <v>6246137</v>
          </cell>
          <cell r="J13">
            <v>7.09</v>
          </cell>
          <cell r="K13">
            <v>9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48</v>
          </cell>
          <cell r="P13">
            <v>20.7</v>
          </cell>
          <cell r="Q13">
            <v>55295210</v>
          </cell>
          <cell r="R13">
            <v>4790539</v>
          </cell>
          <cell r="S13">
            <v>5.43</v>
          </cell>
        </row>
        <row r="14">
          <cell r="A14" t="str">
            <v xml:space="preserve">312.00 42           </v>
          </cell>
          <cell r="B14">
            <v>46022</v>
          </cell>
          <cell r="C14">
            <v>75</v>
          </cell>
          <cell r="D14" t="str">
            <v xml:space="preserve">   S0</v>
          </cell>
          <cell r="E14">
            <v>-12</v>
          </cell>
          <cell r="F14">
            <v>88368523.219999999</v>
          </cell>
          <cell r="G14">
            <v>36998691.5</v>
          </cell>
          <cell r="H14">
            <v>61974055</v>
          </cell>
          <cell r="I14">
            <v>6850645</v>
          </cell>
          <cell r="J14">
            <v>7.75</v>
          </cell>
          <cell r="K14">
            <v>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41.9</v>
          </cell>
          <cell r="P14">
            <v>18.5</v>
          </cell>
          <cell r="Q14">
            <v>52374450</v>
          </cell>
          <cell r="R14">
            <v>5131348</v>
          </cell>
          <cell r="S14">
            <v>5.81</v>
          </cell>
        </row>
        <row r="15">
          <cell r="A15" t="str">
            <v xml:space="preserve">312.00 43           </v>
          </cell>
          <cell r="B15">
            <v>49490</v>
          </cell>
          <cell r="C15">
            <v>75</v>
          </cell>
          <cell r="D15" t="str">
            <v xml:space="preserve">   S0</v>
          </cell>
          <cell r="E15">
            <v>-12</v>
          </cell>
          <cell r="F15">
            <v>137645881.58000001</v>
          </cell>
          <cell r="G15">
            <v>88664394.599999994</v>
          </cell>
          <cell r="H15">
            <v>65498993</v>
          </cell>
          <cell r="I15">
            <v>3728844</v>
          </cell>
          <cell r="J15">
            <v>2.71</v>
          </cell>
          <cell r="K15">
            <v>17.600000000000001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64.400000000000006</v>
          </cell>
          <cell r="P15">
            <v>26.3</v>
          </cell>
          <cell r="Q15">
            <v>82086559</v>
          </cell>
          <cell r="R15">
            <v>4109370</v>
          </cell>
          <cell r="S15">
            <v>2.99</v>
          </cell>
        </row>
        <row r="16">
          <cell r="A16" t="str">
            <v xml:space="preserve">312.00 44           </v>
          </cell>
          <cell r="B16">
            <v>49490</v>
          </cell>
          <cell r="C16">
            <v>75</v>
          </cell>
          <cell r="D16" t="str">
            <v xml:space="preserve">   S0</v>
          </cell>
          <cell r="E16">
            <v>-12</v>
          </cell>
          <cell r="F16">
            <v>126930413.23</v>
          </cell>
          <cell r="G16">
            <v>74762985.319999993</v>
          </cell>
          <cell r="H16">
            <v>67399077</v>
          </cell>
          <cell r="I16">
            <v>3825428</v>
          </cell>
          <cell r="J16">
            <v>3.01</v>
          </cell>
          <cell r="K16">
            <v>17.600000000000001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58.9</v>
          </cell>
          <cell r="P16">
            <v>24.3</v>
          </cell>
          <cell r="Q16">
            <v>72613068</v>
          </cell>
          <cell r="R16">
            <v>3946122</v>
          </cell>
          <cell r="S16">
            <v>3.11</v>
          </cell>
        </row>
        <row r="17">
          <cell r="A17" t="str">
            <v xml:space="preserve">312.00 45           </v>
          </cell>
          <cell r="B17">
            <v>46022</v>
          </cell>
          <cell r="C17">
            <v>75</v>
          </cell>
          <cell r="D17" t="str">
            <v xml:space="preserve">   S0</v>
          </cell>
          <cell r="E17">
            <v>-12</v>
          </cell>
          <cell r="F17">
            <v>6043572.0999999996</v>
          </cell>
          <cell r="G17">
            <v>5184006.7300000004</v>
          </cell>
          <cell r="H17">
            <v>1584794</v>
          </cell>
          <cell r="I17">
            <v>179222</v>
          </cell>
          <cell r="J17">
            <v>2.97</v>
          </cell>
          <cell r="K17">
            <v>8.8000000000000007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85.8</v>
          </cell>
          <cell r="P17">
            <v>38.799999999999997</v>
          </cell>
          <cell r="Q17">
            <v>5364029</v>
          </cell>
          <cell r="R17">
            <v>158886</v>
          </cell>
          <cell r="S17">
            <v>2.63</v>
          </cell>
        </row>
        <row r="18">
          <cell r="A18" t="str">
            <v xml:space="preserve">312.00 47           </v>
          </cell>
          <cell r="B18">
            <v>49490</v>
          </cell>
          <cell r="C18">
            <v>75</v>
          </cell>
          <cell r="D18" t="str">
            <v xml:space="preserve">   S0</v>
          </cell>
          <cell r="E18">
            <v>-12</v>
          </cell>
          <cell r="F18">
            <v>15254041.73</v>
          </cell>
          <cell r="G18">
            <v>10094597.470000001</v>
          </cell>
          <cell r="H18">
            <v>6989929</v>
          </cell>
          <cell r="I18">
            <v>404976</v>
          </cell>
          <cell r="J18">
            <v>2.65</v>
          </cell>
          <cell r="K18">
            <v>17.3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66.2</v>
          </cell>
          <cell r="P18">
            <v>30.8</v>
          </cell>
          <cell r="Q18">
            <v>10442054</v>
          </cell>
          <cell r="R18">
            <v>384573</v>
          </cell>
          <cell r="S18">
            <v>2.52</v>
          </cell>
        </row>
        <row r="19">
          <cell r="A19" t="str">
            <v xml:space="preserve">312.00 60           </v>
          </cell>
          <cell r="B19">
            <v>48760</v>
          </cell>
          <cell r="C19">
            <v>75</v>
          </cell>
          <cell r="D19" t="str">
            <v xml:space="preserve">   S0</v>
          </cell>
          <cell r="E19">
            <v>-5</v>
          </cell>
          <cell r="F19">
            <v>42923481.280000001</v>
          </cell>
          <cell r="G19">
            <v>34057590.030000001</v>
          </cell>
          <cell r="H19">
            <v>11012065</v>
          </cell>
          <cell r="I19">
            <v>689589</v>
          </cell>
          <cell r="J19">
            <v>1.61</v>
          </cell>
          <cell r="K19">
            <v>16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79.3</v>
          </cell>
          <cell r="P19">
            <v>16.100000000000001</v>
          </cell>
          <cell r="Q19">
            <v>21846851</v>
          </cell>
          <cell r="R19">
            <v>1454709</v>
          </cell>
          <cell r="S19">
            <v>3.39</v>
          </cell>
        </row>
        <row r="20">
          <cell r="A20" t="str">
            <v xml:space="preserve">312.00 71           </v>
          </cell>
          <cell r="B20">
            <v>52047</v>
          </cell>
          <cell r="C20">
            <v>75</v>
          </cell>
          <cell r="D20" t="str">
            <v xml:space="preserve">   S0</v>
          </cell>
          <cell r="E20">
            <v>-5</v>
          </cell>
          <cell r="F20">
            <v>18138531.280000001</v>
          </cell>
          <cell r="G20">
            <v>7308605.0700000003</v>
          </cell>
          <cell r="H20">
            <v>11736853</v>
          </cell>
          <cell r="I20">
            <v>489745</v>
          </cell>
          <cell r="J20">
            <v>2.7</v>
          </cell>
          <cell r="K20">
            <v>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40.299999999999997</v>
          </cell>
          <cell r="P20">
            <v>12.2</v>
          </cell>
          <cell r="Q20">
            <v>6143948</v>
          </cell>
          <cell r="R20">
            <v>538035</v>
          </cell>
          <cell r="S20">
            <v>2.97</v>
          </cell>
        </row>
        <row r="21">
          <cell r="A21" t="str">
            <v xml:space="preserve">312.00 72           </v>
          </cell>
          <cell r="B21">
            <v>52778</v>
          </cell>
          <cell r="C21">
            <v>75</v>
          </cell>
          <cell r="D21" t="str">
            <v xml:space="preserve">   S0</v>
          </cell>
          <cell r="E21">
            <v>-5</v>
          </cell>
          <cell r="F21">
            <v>86173649.709999993</v>
          </cell>
          <cell r="G21">
            <v>66841916.810000002</v>
          </cell>
          <cell r="H21">
            <v>23640415</v>
          </cell>
          <cell r="I21">
            <v>914220</v>
          </cell>
          <cell r="J21">
            <v>1.06</v>
          </cell>
          <cell r="K21">
            <v>25.9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77.599999999999994</v>
          </cell>
          <cell r="P21">
            <v>9.1999999999999993</v>
          </cell>
          <cell r="Q21">
            <v>22846712</v>
          </cell>
          <cell r="R21">
            <v>2617482</v>
          </cell>
          <cell r="S21">
            <v>3.04</v>
          </cell>
        </row>
        <row r="22">
          <cell r="A22" t="str">
            <v xml:space="preserve">312.00 74           </v>
          </cell>
          <cell r="B22">
            <v>53873</v>
          </cell>
          <cell r="C22">
            <v>75</v>
          </cell>
          <cell r="D22" t="str">
            <v xml:space="preserve">   S0</v>
          </cell>
          <cell r="E22">
            <v>-5</v>
          </cell>
          <cell r="F22">
            <v>26297846.77</v>
          </cell>
          <cell r="G22">
            <v>3059103.69</v>
          </cell>
          <cell r="H22">
            <v>24553635</v>
          </cell>
          <cell r="I22">
            <v>860987</v>
          </cell>
          <cell r="J22">
            <v>3.27</v>
          </cell>
          <cell r="K22">
            <v>28.5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11.6</v>
          </cell>
          <cell r="P22">
            <v>7.5</v>
          </cell>
          <cell r="Q22">
            <v>5463024</v>
          </cell>
          <cell r="R22">
            <v>777224</v>
          </cell>
          <cell r="S22">
            <v>2.96</v>
          </cell>
        </row>
        <row r="23">
          <cell r="A23" t="str">
            <v xml:space="preserve">312.00 75           </v>
          </cell>
          <cell r="B23">
            <v>48760</v>
          </cell>
          <cell r="C23">
            <v>75</v>
          </cell>
          <cell r="D23" t="str">
            <v xml:space="preserve">   S0</v>
          </cell>
          <cell r="E23">
            <v>-5</v>
          </cell>
          <cell r="F23">
            <v>15704258.640000001</v>
          </cell>
          <cell r="G23">
            <v>13938346.76</v>
          </cell>
          <cell r="H23">
            <v>2551125</v>
          </cell>
          <cell r="I23">
            <v>157672</v>
          </cell>
          <cell r="J23">
            <v>1</v>
          </cell>
          <cell r="K23">
            <v>16.2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88.8</v>
          </cell>
          <cell r="P23">
            <v>8.1999999999999993</v>
          </cell>
          <cell r="Q23">
            <v>5446472</v>
          </cell>
          <cell r="R23">
            <v>682664</v>
          </cell>
          <cell r="S23">
            <v>4.3499999999999996</v>
          </cell>
        </row>
        <row r="24">
          <cell r="A24" t="str">
            <v xml:space="preserve">312.00 97           </v>
          </cell>
          <cell r="B24">
            <v>49125</v>
          </cell>
          <cell r="C24">
            <v>75</v>
          </cell>
          <cell r="D24" t="str">
            <v xml:space="preserve">   S0</v>
          </cell>
          <cell r="E24">
            <v>-5</v>
          </cell>
          <cell r="F24">
            <v>44686467.799999997</v>
          </cell>
          <cell r="G24">
            <v>30590588.719999999</v>
          </cell>
          <cell r="H24">
            <v>16330202</v>
          </cell>
          <cell r="I24">
            <v>947227</v>
          </cell>
          <cell r="J24">
            <v>2.12</v>
          </cell>
          <cell r="K24">
            <v>17.2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68.5</v>
          </cell>
          <cell r="P24">
            <v>4.2</v>
          </cell>
          <cell r="Q24">
            <v>9138763</v>
          </cell>
          <cell r="R24">
            <v>2191201</v>
          </cell>
          <cell r="S24">
            <v>4.9000000000000004</v>
          </cell>
        </row>
        <row r="25">
          <cell r="A25" t="str">
            <v xml:space="preserve">314.00 41           </v>
          </cell>
          <cell r="B25">
            <v>46022</v>
          </cell>
          <cell r="C25">
            <v>45</v>
          </cell>
          <cell r="D25" t="str">
            <v xml:space="preserve"> R1.5</v>
          </cell>
          <cell r="E25">
            <v>-11</v>
          </cell>
          <cell r="F25">
            <v>28781740.460000001</v>
          </cell>
          <cell r="G25">
            <v>9901631.0199999996</v>
          </cell>
          <cell r="H25">
            <v>22046101</v>
          </cell>
          <cell r="I25">
            <v>2519619</v>
          </cell>
          <cell r="J25">
            <v>8.75</v>
          </cell>
          <cell r="K25">
            <v>8.6999999999999993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34.4</v>
          </cell>
          <cell r="P25">
            <v>16.5</v>
          </cell>
          <cell r="Q25">
            <v>16661516</v>
          </cell>
          <cell r="R25">
            <v>1725919</v>
          </cell>
          <cell r="S25">
            <v>6</v>
          </cell>
        </row>
        <row r="26">
          <cell r="A26" t="str">
            <v xml:space="preserve">314.00 42           </v>
          </cell>
          <cell r="B26">
            <v>46022</v>
          </cell>
          <cell r="C26">
            <v>45</v>
          </cell>
          <cell r="D26" t="str">
            <v xml:space="preserve"> R1.5</v>
          </cell>
          <cell r="E26">
            <v>-11</v>
          </cell>
          <cell r="F26">
            <v>34145118.659999996</v>
          </cell>
          <cell r="G26">
            <v>12039662.810000001</v>
          </cell>
          <cell r="H26">
            <v>25861419</v>
          </cell>
          <cell r="I26">
            <v>2946710</v>
          </cell>
          <cell r="J26">
            <v>8.6300000000000008</v>
          </cell>
          <cell r="K26">
            <v>8.8000000000000007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35.299999999999997</v>
          </cell>
          <cell r="P26">
            <v>15.7</v>
          </cell>
          <cell r="Q26">
            <v>19882037</v>
          </cell>
          <cell r="R26">
            <v>2031562</v>
          </cell>
          <cell r="S26">
            <v>5.95</v>
          </cell>
        </row>
        <row r="27">
          <cell r="A27" t="str">
            <v xml:space="preserve">314.00 43           </v>
          </cell>
          <cell r="B27">
            <v>49490</v>
          </cell>
          <cell r="C27">
            <v>45</v>
          </cell>
          <cell r="D27" t="str">
            <v xml:space="preserve"> R1.5</v>
          </cell>
          <cell r="E27">
            <v>-10</v>
          </cell>
          <cell r="F27">
            <v>42228337.039999999</v>
          </cell>
          <cell r="G27">
            <v>15440101.08</v>
          </cell>
          <cell r="H27">
            <v>31011070</v>
          </cell>
          <cell r="I27">
            <v>1919620</v>
          </cell>
          <cell r="J27">
            <v>4.55</v>
          </cell>
          <cell r="K27">
            <v>16.2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36.6</v>
          </cell>
          <cell r="P27">
            <v>21.5</v>
          </cell>
          <cell r="Q27">
            <v>22105557</v>
          </cell>
          <cell r="R27">
            <v>1488042</v>
          </cell>
          <cell r="S27">
            <v>3.52</v>
          </cell>
        </row>
        <row r="28">
          <cell r="A28" t="str">
            <v xml:space="preserve">314.00 44           </v>
          </cell>
          <cell r="B28">
            <v>49490</v>
          </cell>
          <cell r="C28">
            <v>45</v>
          </cell>
          <cell r="D28" t="str">
            <v xml:space="preserve"> R1.5</v>
          </cell>
          <cell r="E28">
            <v>-10</v>
          </cell>
          <cell r="F28">
            <v>39133170.240000002</v>
          </cell>
          <cell r="G28">
            <v>15579408.57</v>
          </cell>
          <cell r="H28">
            <v>27467079</v>
          </cell>
          <cell r="I28">
            <v>1672938</v>
          </cell>
          <cell r="J28">
            <v>4.2699999999999996</v>
          </cell>
          <cell r="K28">
            <v>16.399999999999999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39.799999999999997</v>
          </cell>
          <cell r="P28">
            <v>20</v>
          </cell>
          <cell r="Q28">
            <v>19677171</v>
          </cell>
          <cell r="R28">
            <v>1413332</v>
          </cell>
          <cell r="S28">
            <v>3.61</v>
          </cell>
        </row>
        <row r="29">
          <cell r="A29" t="str">
            <v xml:space="preserve">314.00 45           </v>
          </cell>
          <cell r="B29">
            <v>46022</v>
          </cell>
          <cell r="C29">
            <v>45</v>
          </cell>
          <cell r="D29" t="str">
            <v xml:space="preserve"> R1.5</v>
          </cell>
          <cell r="E29">
            <v>-10</v>
          </cell>
          <cell r="F29">
            <v>3813725.5</v>
          </cell>
          <cell r="G29">
            <v>3575881.91</v>
          </cell>
          <cell r="H29">
            <v>619216</v>
          </cell>
          <cell r="I29">
            <v>76638</v>
          </cell>
          <cell r="J29">
            <v>2.0099999999999998</v>
          </cell>
          <cell r="K29">
            <v>8.1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93.8</v>
          </cell>
          <cell r="P29">
            <v>38.299999999999997</v>
          </cell>
          <cell r="Q29">
            <v>3307521</v>
          </cell>
          <cell r="R29">
            <v>109896</v>
          </cell>
          <cell r="S29">
            <v>2.88</v>
          </cell>
        </row>
        <row r="30">
          <cell r="A30" t="str">
            <v xml:space="preserve">314.00 60           </v>
          </cell>
          <cell r="B30">
            <v>48760</v>
          </cell>
          <cell r="C30">
            <v>45</v>
          </cell>
          <cell r="D30" t="str">
            <v xml:space="preserve"> R1.5</v>
          </cell>
          <cell r="E30">
            <v>-5</v>
          </cell>
          <cell r="F30">
            <v>20710885.199999999</v>
          </cell>
          <cell r="G30">
            <v>16987715.850000001</v>
          </cell>
          <cell r="H30">
            <v>4758714</v>
          </cell>
          <cell r="I30">
            <v>309829</v>
          </cell>
          <cell r="J30">
            <v>1.5</v>
          </cell>
          <cell r="K30">
            <v>15.4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82</v>
          </cell>
          <cell r="P30">
            <v>16</v>
          </cell>
          <cell r="Q30">
            <v>10361245</v>
          </cell>
          <cell r="R30">
            <v>741284</v>
          </cell>
          <cell r="S30">
            <v>3.58</v>
          </cell>
        </row>
        <row r="31">
          <cell r="A31" t="str">
            <v xml:space="preserve">314.00 71           </v>
          </cell>
          <cell r="B31">
            <v>52047</v>
          </cell>
          <cell r="C31">
            <v>45</v>
          </cell>
          <cell r="D31" t="str">
            <v xml:space="preserve"> R1.5</v>
          </cell>
          <cell r="E31">
            <v>-5</v>
          </cell>
          <cell r="F31">
            <v>15800824.039999999</v>
          </cell>
          <cell r="G31">
            <v>6391663.0700000003</v>
          </cell>
          <cell r="H31">
            <v>10199202</v>
          </cell>
          <cell r="I31">
            <v>452092</v>
          </cell>
          <cell r="J31">
            <v>2.86</v>
          </cell>
          <cell r="K31">
            <v>22.6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40.5</v>
          </cell>
          <cell r="P31">
            <v>12.2</v>
          </cell>
          <cell r="Q31">
            <v>5272743</v>
          </cell>
          <cell r="R31">
            <v>501044</v>
          </cell>
          <cell r="S31">
            <v>3.17</v>
          </cell>
        </row>
        <row r="32">
          <cell r="A32" t="str">
            <v xml:space="preserve">314.00 72           </v>
          </cell>
          <cell r="B32">
            <v>52778</v>
          </cell>
          <cell r="C32">
            <v>45</v>
          </cell>
          <cell r="D32" t="str">
            <v xml:space="preserve"> R1.5</v>
          </cell>
          <cell r="E32">
            <v>-5</v>
          </cell>
          <cell r="F32">
            <v>89524456.269999996</v>
          </cell>
          <cell r="G32">
            <v>69143032.489999995</v>
          </cell>
          <cell r="H32">
            <v>24857647</v>
          </cell>
          <cell r="I32">
            <v>1016648</v>
          </cell>
          <cell r="J32">
            <v>1.1399999999999999</v>
          </cell>
          <cell r="K32">
            <v>24.5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77.2</v>
          </cell>
          <cell r="P32">
            <v>9.1</v>
          </cell>
          <cell r="Q32">
            <v>22932359</v>
          </cell>
          <cell r="R32">
            <v>2912882</v>
          </cell>
          <cell r="S32">
            <v>3.25</v>
          </cell>
        </row>
        <row r="33">
          <cell r="A33" t="str">
            <v xml:space="preserve">314.00 74           </v>
          </cell>
          <cell r="B33">
            <v>53873</v>
          </cell>
          <cell r="C33">
            <v>45</v>
          </cell>
          <cell r="D33" t="str">
            <v xml:space="preserve"> R1.5</v>
          </cell>
          <cell r="E33">
            <v>-5</v>
          </cell>
          <cell r="F33">
            <v>24647469.629999999</v>
          </cell>
          <cell r="G33">
            <v>6463275.29</v>
          </cell>
          <cell r="H33">
            <v>19416568</v>
          </cell>
          <cell r="I33">
            <v>728552</v>
          </cell>
          <cell r="J33">
            <v>2.96</v>
          </cell>
          <cell r="K33">
            <v>26.7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26.2</v>
          </cell>
          <cell r="P33">
            <v>8.1999999999999993</v>
          </cell>
          <cell r="Q33">
            <v>5399464</v>
          </cell>
          <cell r="R33">
            <v>769506</v>
          </cell>
          <cell r="S33">
            <v>3.12</v>
          </cell>
        </row>
        <row r="34">
          <cell r="A34" t="str">
            <v xml:space="preserve">314.00 75           </v>
          </cell>
          <cell r="B34">
            <v>48760</v>
          </cell>
          <cell r="C34">
            <v>45</v>
          </cell>
          <cell r="D34" t="str">
            <v xml:space="preserve"> R1.5</v>
          </cell>
          <cell r="E34">
            <v>-5</v>
          </cell>
          <cell r="F34">
            <v>22032534.57</v>
          </cell>
          <cell r="G34">
            <v>17817477.420000002</v>
          </cell>
          <cell r="H34">
            <v>5316684</v>
          </cell>
          <cell r="I34">
            <v>336528</v>
          </cell>
          <cell r="J34">
            <v>1.53</v>
          </cell>
          <cell r="K34">
            <v>15.8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80.900000000000006</v>
          </cell>
          <cell r="P34">
            <v>7.9</v>
          </cell>
          <cell r="Q34">
            <v>7183797</v>
          </cell>
          <cell r="R34">
            <v>1011153</v>
          </cell>
          <cell r="S34">
            <v>4.59</v>
          </cell>
        </row>
        <row r="35">
          <cell r="A35" t="str">
            <v xml:space="preserve">314.00 97           </v>
          </cell>
          <cell r="B35">
            <v>49125</v>
          </cell>
          <cell r="C35">
            <v>45</v>
          </cell>
          <cell r="D35" t="str">
            <v xml:space="preserve"> R1.5</v>
          </cell>
          <cell r="E35">
            <v>-5</v>
          </cell>
          <cell r="F35">
            <v>18176144.670000002</v>
          </cell>
          <cell r="G35">
            <v>11698599.039999999</v>
          </cell>
          <cell r="H35">
            <v>7386353</v>
          </cell>
          <cell r="I35">
            <v>439610</v>
          </cell>
          <cell r="J35">
            <v>2.42</v>
          </cell>
          <cell r="K35">
            <v>16.8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64.400000000000006</v>
          </cell>
          <cell r="P35">
            <v>4.2</v>
          </cell>
          <cell r="Q35">
            <v>3579371</v>
          </cell>
          <cell r="R35">
            <v>923131</v>
          </cell>
          <cell r="S35">
            <v>5.08</v>
          </cell>
        </row>
        <row r="36">
          <cell r="A36" t="str">
            <v xml:space="preserve">315.00 41           </v>
          </cell>
          <cell r="B36">
            <v>46022</v>
          </cell>
          <cell r="C36">
            <v>60</v>
          </cell>
          <cell r="D36" t="str">
            <v xml:space="preserve">   S2</v>
          </cell>
          <cell r="E36">
            <v>-11</v>
          </cell>
          <cell r="F36">
            <v>7465362.6200000001</v>
          </cell>
          <cell r="G36">
            <v>4686399.93</v>
          </cell>
          <cell r="H36">
            <v>3600153</v>
          </cell>
          <cell r="I36">
            <v>405035</v>
          </cell>
          <cell r="J36">
            <v>5.43</v>
          </cell>
          <cell r="K36">
            <v>8.9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62.8</v>
          </cell>
          <cell r="P36">
            <v>29.9</v>
          </cell>
          <cell r="Q36">
            <v>5290780</v>
          </cell>
          <cell r="R36">
            <v>334535</v>
          </cell>
          <cell r="S36">
            <v>4.4800000000000004</v>
          </cell>
        </row>
        <row r="37">
          <cell r="A37" t="str">
            <v xml:space="preserve">315.00 42           </v>
          </cell>
          <cell r="B37">
            <v>46022</v>
          </cell>
          <cell r="C37">
            <v>60</v>
          </cell>
          <cell r="D37" t="str">
            <v xml:space="preserve">   S2</v>
          </cell>
          <cell r="E37">
            <v>-11</v>
          </cell>
          <cell r="F37">
            <v>4167725.42</v>
          </cell>
          <cell r="G37">
            <v>1460587.68</v>
          </cell>
          <cell r="H37">
            <v>3165588</v>
          </cell>
          <cell r="I37">
            <v>352461</v>
          </cell>
          <cell r="J37">
            <v>8.4600000000000009</v>
          </cell>
          <cell r="K37">
            <v>9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35</v>
          </cell>
          <cell r="P37">
            <v>21</v>
          </cell>
          <cell r="Q37">
            <v>2553509</v>
          </cell>
          <cell r="R37">
            <v>227835</v>
          </cell>
          <cell r="S37">
            <v>5.47</v>
          </cell>
        </row>
        <row r="38">
          <cell r="A38" t="str">
            <v xml:space="preserve">315.00 43           </v>
          </cell>
          <cell r="B38">
            <v>49490</v>
          </cell>
          <cell r="C38">
            <v>60</v>
          </cell>
          <cell r="D38" t="str">
            <v xml:space="preserve">   S2</v>
          </cell>
          <cell r="E38">
            <v>-10</v>
          </cell>
          <cell r="F38">
            <v>6769581.5</v>
          </cell>
          <cell r="G38">
            <v>4484209.88</v>
          </cell>
          <cell r="H38">
            <v>2962330</v>
          </cell>
          <cell r="I38">
            <v>175611</v>
          </cell>
          <cell r="J38">
            <v>2.59</v>
          </cell>
          <cell r="K38">
            <v>16.899999999999999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66.2</v>
          </cell>
          <cell r="P38">
            <v>29.7</v>
          </cell>
          <cell r="Q38">
            <v>4511051</v>
          </cell>
          <cell r="R38">
            <v>173782</v>
          </cell>
          <cell r="S38">
            <v>2.57</v>
          </cell>
        </row>
        <row r="39">
          <cell r="A39" t="str">
            <v xml:space="preserve">315.00 44           </v>
          </cell>
          <cell r="B39">
            <v>49490</v>
          </cell>
          <cell r="C39">
            <v>60</v>
          </cell>
          <cell r="D39" t="str">
            <v xml:space="preserve">   S2</v>
          </cell>
          <cell r="E39">
            <v>-11</v>
          </cell>
          <cell r="F39">
            <v>6474413.5999999996</v>
          </cell>
          <cell r="G39">
            <v>3767316.75</v>
          </cell>
          <cell r="H39">
            <v>3419282</v>
          </cell>
          <cell r="I39">
            <v>197994</v>
          </cell>
          <cell r="J39">
            <v>3.06</v>
          </cell>
          <cell r="K39">
            <v>17.3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58.2</v>
          </cell>
          <cell r="P39">
            <v>26.1</v>
          </cell>
          <cell r="Q39">
            <v>3976793</v>
          </cell>
          <cell r="R39">
            <v>185702</v>
          </cell>
          <cell r="S39">
            <v>2.87</v>
          </cell>
        </row>
        <row r="40">
          <cell r="A40" t="str">
            <v xml:space="preserve">315.00 45           </v>
          </cell>
          <cell r="B40">
            <v>46022</v>
          </cell>
          <cell r="C40">
            <v>60</v>
          </cell>
          <cell r="D40" t="str">
            <v xml:space="preserve">   S2</v>
          </cell>
          <cell r="E40">
            <v>-10</v>
          </cell>
          <cell r="F40">
            <v>2272860.64</v>
          </cell>
          <cell r="G40">
            <v>1998202.47</v>
          </cell>
          <cell r="H40">
            <v>501944</v>
          </cell>
          <cell r="I40">
            <v>58744</v>
          </cell>
          <cell r="J40">
            <v>2.58</v>
          </cell>
          <cell r="K40">
            <v>8.5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87.9</v>
          </cell>
          <cell r="P40">
            <v>39.4</v>
          </cell>
          <cell r="Q40">
            <v>2025890</v>
          </cell>
          <cell r="R40">
            <v>55516</v>
          </cell>
          <cell r="S40">
            <v>2.44</v>
          </cell>
        </row>
        <row r="41">
          <cell r="A41" t="str">
            <v xml:space="preserve">315.00 47           </v>
          </cell>
          <cell r="B41">
            <v>49490</v>
          </cell>
          <cell r="C41">
            <v>60</v>
          </cell>
          <cell r="D41" t="str">
            <v xml:space="preserve">   S2</v>
          </cell>
          <cell r="E41">
            <v>-10</v>
          </cell>
          <cell r="F41">
            <v>7639006.2400000002</v>
          </cell>
          <cell r="G41">
            <v>5452900.6699999999</v>
          </cell>
          <cell r="H41">
            <v>2950006</v>
          </cell>
          <cell r="I41">
            <v>176897</v>
          </cell>
          <cell r="J41">
            <v>2.3199999999999998</v>
          </cell>
          <cell r="K41">
            <v>16.7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71.400000000000006</v>
          </cell>
          <cell r="P41">
            <v>30.9</v>
          </cell>
          <cell r="Q41">
            <v>5364330</v>
          </cell>
          <cell r="R41">
            <v>182228</v>
          </cell>
          <cell r="S41">
            <v>2.39</v>
          </cell>
        </row>
        <row r="42">
          <cell r="A42" t="str">
            <v xml:space="preserve">315.00 60           </v>
          </cell>
          <cell r="B42">
            <v>48760</v>
          </cell>
          <cell r="C42">
            <v>60</v>
          </cell>
          <cell r="D42" t="str">
            <v xml:space="preserve">   S2</v>
          </cell>
          <cell r="E42">
            <v>0</v>
          </cell>
          <cell r="F42">
            <v>1678558.68</v>
          </cell>
          <cell r="G42">
            <v>1328205.7</v>
          </cell>
          <cell r="H42">
            <v>350353</v>
          </cell>
          <cell r="I42">
            <v>21481</v>
          </cell>
          <cell r="J42">
            <v>1.28</v>
          </cell>
          <cell r="K42">
            <v>16.3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79.099999999999994</v>
          </cell>
          <cell r="P42">
            <v>16.2</v>
          </cell>
          <cell r="Q42">
            <v>835402</v>
          </cell>
          <cell r="R42">
            <v>51700</v>
          </cell>
          <cell r="S42">
            <v>3.08</v>
          </cell>
        </row>
        <row r="43">
          <cell r="A43" t="str">
            <v xml:space="preserve">315.00 71           </v>
          </cell>
          <cell r="B43">
            <v>52047</v>
          </cell>
          <cell r="C43">
            <v>60</v>
          </cell>
          <cell r="D43" t="str">
            <v xml:space="preserve">   S2</v>
          </cell>
          <cell r="E43">
            <v>0</v>
          </cell>
          <cell r="F43">
            <v>962486.71</v>
          </cell>
          <cell r="G43">
            <v>358861.47</v>
          </cell>
          <cell r="H43">
            <v>603625</v>
          </cell>
          <cell r="I43">
            <v>24389</v>
          </cell>
          <cell r="J43">
            <v>2.5299999999999998</v>
          </cell>
          <cell r="K43">
            <v>24.7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37.299999999999997</v>
          </cell>
          <cell r="P43">
            <v>12.2</v>
          </cell>
          <cell r="Q43">
            <v>317967</v>
          </cell>
          <cell r="R43">
            <v>26083</v>
          </cell>
          <cell r="S43">
            <v>2.71</v>
          </cell>
        </row>
        <row r="44">
          <cell r="A44" t="str">
            <v xml:space="preserve">315.00 72           </v>
          </cell>
          <cell r="B44">
            <v>52778</v>
          </cell>
          <cell r="C44">
            <v>60</v>
          </cell>
          <cell r="D44" t="str">
            <v xml:space="preserve">   S2</v>
          </cell>
          <cell r="E44">
            <v>0</v>
          </cell>
          <cell r="F44">
            <v>7300879</v>
          </cell>
          <cell r="G44">
            <v>5714399.6299999999</v>
          </cell>
          <cell r="H44">
            <v>1586479</v>
          </cell>
          <cell r="I44">
            <v>59087</v>
          </cell>
          <cell r="J44">
            <v>0.81</v>
          </cell>
          <cell r="K44">
            <v>26.8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78.3</v>
          </cell>
          <cell r="P44">
            <v>9.1999999999999993</v>
          </cell>
          <cell r="Q44">
            <v>1869244</v>
          </cell>
          <cell r="R44">
            <v>202234</v>
          </cell>
          <cell r="S44">
            <v>2.77</v>
          </cell>
        </row>
        <row r="45">
          <cell r="A45" t="str">
            <v xml:space="preserve">315.00 74           </v>
          </cell>
          <cell r="B45">
            <v>53873</v>
          </cell>
          <cell r="C45">
            <v>60</v>
          </cell>
          <cell r="D45" t="str">
            <v xml:space="preserve">   S2</v>
          </cell>
          <cell r="E45">
            <v>0</v>
          </cell>
          <cell r="F45">
            <v>2199936</v>
          </cell>
          <cell r="G45">
            <v>586806.03</v>
          </cell>
          <cell r="H45">
            <v>1613130</v>
          </cell>
          <cell r="I45">
            <v>54516</v>
          </cell>
          <cell r="J45">
            <v>2.48</v>
          </cell>
          <cell r="K45">
            <v>29.6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26.7</v>
          </cell>
          <cell r="P45">
            <v>8.1999999999999993</v>
          </cell>
          <cell r="Q45">
            <v>479190</v>
          </cell>
          <cell r="R45">
            <v>58078</v>
          </cell>
          <cell r="S45">
            <v>2.64</v>
          </cell>
        </row>
        <row r="46">
          <cell r="A46" t="str">
            <v xml:space="preserve">315.00 75           </v>
          </cell>
          <cell r="B46">
            <v>48760</v>
          </cell>
          <cell r="C46">
            <v>60</v>
          </cell>
          <cell r="D46" t="str">
            <v xml:space="preserve">   S2</v>
          </cell>
          <cell r="E46">
            <v>0</v>
          </cell>
          <cell r="F46">
            <v>670281.89</v>
          </cell>
          <cell r="G46">
            <v>579011.38</v>
          </cell>
          <cell r="H46">
            <v>91271</v>
          </cell>
          <cell r="I46">
            <v>5491</v>
          </cell>
          <cell r="J46">
            <v>0.82</v>
          </cell>
          <cell r="K46">
            <v>16.600000000000001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86.4</v>
          </cell>
          <cell r="P46">
            <v>8.1999999999999993</v>
          </cell>
          <cell r="Q46">
            <v>221076</v>
          </cell>
          <cell r="R46">
            <v>27019</v>
          </cell>
          <cell r="S46">
            <v>4.03</v>
          </cell>
        </row>
        <row r="47">
          <cell r="A47" t="str">
            <v xml:space="preserve">315.00 97           </v>
          </cell>
          <cell r="B47">
            <v>49125</v>
          </cell>
          <cell r="C47">
            <v>60</v>
          </cell>
          <cell r="D47" t="str">
            <v xml:space="preserve">   S2</v>
          </cell>
          <cell r="E47">
            <v>0</v>
          </cell>
          <cell r="F47">
            <v>1279531</v>
          </cell>
          <cell r="G47">
            <v>862621.84</v>
          </cell>
          <cell r="H47">
            <v>416909</v>
          </cell>
          <cell r="I47">
            <v>23581</v>
          </cell>
          <cell r="J47">
            <v>1.84</v>
          </cell>
          <cell r="K47">
            <v>17.7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67.400000000000006</v>
          </cell>
          <cell r="P47">
            <v>4.2</v>
          </cell>
          <cell r="Q47">
            <v>247973</v>
          </cell>
          <cell r="R47">
            <v>58347</v>
          </cell>
          <cell r="S47">
            <v>4.5599999999999996</v>
          </cell>
        </row>
        <row r="48">
          <cell r="A48" t="str">
            <v xml:space="preserve">316.00 41           </v>
          </cell>
          <cell r="B48">
            <v>46022</v>
          </cell>
          <cell r="C48">
            <v>50</v>
          </cell>
          <cell r="D48" t="str">
            <v xml:space="preserve"> R1.5</v>
          </cell>
          <cell r="E48">
            <v>-11</v>
          </cell>
          <cell r="F48">
            <v>946611.59</v>
          </cell>
          <cell r="G48">
            <v>373568.68</v>
          </cell>
          <cell r="H48">
            <v>677170</v>
          </cell>
          <cell r="I48">
            <v>75581</v>
          </cell>
          <cell r="J48">
            <v>7.98</v>
          </cell>
          <cell r="K48">
            <v>9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39.5</v>
          </cell>
          <cell r="P48">
            <v>13.1</v>
          </cell>
          <cell r="Q48">
            <v>542444</v>
          </cell>
          <cell r="R48">
            <v>56597</v>
          </cell>
          <cell r="S48">
            <v>5.98</v>
          </cell>
        </row>
        <row r="49">
          <cell r="A49" t="str">
            <v xml:space="preserve">316.00 42           </v>
          </cell>
          <cell r="B49">
            <v>46022</v>
          </cell>
          <cell r="C49">
            <v>50</v>
          </cell>
          <cell r="D49" t="str">
            <v xml:space="preserve"> R1.5</v>
          </cell>
          <cell r="E49">
            <v>-11</v>
          </cell>
          <cell r="F49">
            <v>1075704.3200000001</v>
          </cell>
          <cell r="G49">
            <v>483996.02</v>
          </cell>
          <cell r="H49">
            <v>710036</v>
          </cell>
          <cell r="I49">
            <v>79792</v>
          </cell>
          <cell r="J49">
            <v>7.42</v>
          </cell>
          <cell r="K49">
            <v>8.9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45</v>
          </cell>
          <cell r="P49">
            <v>16.5</v>
          </cell>
          <cell r="Q49">
            <v>652964</v>
          </cell>
          <cell r="R49">
            <v>60521</v>
          </cell>
          <cell r="S49">
            <v>5.63</v>
          </cell>
        </row>
        <row r="50">
          <cell r="A50" t="str">
            <v xml:space="preserve">316.00 43           </v>
          </cell>
          <cell r="B50">
            <v>49490</v>
          </cell>
          <cell r="C50">
            <v>50</v>
          </cell>
          <cell r="D50" t="str">
            <v xml:space="preserve"> R1.5</v>
          </cell>
          <cell r="E50">
            <v>-11</v>
          </cell>
          <cell r="F50">
            <v>1043990.99</v>
          </cell>
          <cell r="G50">
            <v>378123.11</v>
          </cell>
          <cell r="H50">
            <v>780707</v>
          </cell>
          <cell r="I50">
            <v>45212</v>
          </cell>
          <cell r="J50">
            <v>4.33</v>
          </cell>
          <cell r="K50">
            <v>17.3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36.200000000000003</v>
          </cell>
          <cell r="P50">
            <v>15.3</v>
          </cell>
          <cell r="Q50">
            <v>432820</v>
          </cell>
          <cell r="R50">
            <v>41897</v>
          </cell>
          <cell r="S50">
            <v>4.01</v>
          </cell>
        </row>
        <row r="51">
          <cell r="A51" t="str">
            <v xml:space="preserve">316.00 44           </v>
          </cell>
          <cell r="B51">
            <v>49490</v>
          </cell>
          <cell r="C51">
            <v>50</v>
          </cell>
          <cell r="D51" t="str">
            <v xml:space="preserve"> R1.5</v>
          </cell>
          <cell r="E51">
            <v>-11</v>
          </cell>
          <cell r="F51">
            <v>1165681.21</v>
          </cell>
          <cell r="G51">
            <v>420604.1</v>
          </cell>
          <cell r="H51">
            <v>873302</v>
          </cell>
          <cell r="I51">
            <v>50848</v>
          </cell>
          <cell r="J51">
            <v>4.3600000000000003</v>
          </cell>
          <cell r="K51">
            <v>17.2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36.1</v>
          </cell>
          <cell r="P51">
            <v>16.600000000000001</v>
          </cell>
          <cell r="Q51">
            <v>513748</v>
          </cell>
          <cell r="R51">
            <v>45241</v>
          </cell>
          <cell r="S51">
            <v>3.88</v>
          </cell>
        </row>
        <row r="52">
          <cell r="A52" t="str">
            <v xml:space="preserve">316.00 45           </v>
          </cell>
          <cell r="B52">
            <v>46022</v>
          </cell>
          <cell r="C52">
            <v>50</v>
          </cell>
          <cell r="D52" t="str">
            <v xml:space="preserve"> R1.5</v>
          </cell>
          <cell r="E52">
            <v>-11</v>
          </cell>
          <cell r="F52">
            <v>6205596.7199999997</v>
          </cell>
          <cell r="G52">
            <v>5331195.47</v>
          </cell>
          <cell r="H52">
            <v>1557017</v>
          </cell>
          <cell r="I52">
            <v>179687</v>
          </cell>
          <cell r="J52">
            <v>2.9</v>
          </cell>
          <cell r="K52">
            <v>8.6999999999999993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85.9</v>
          </cell>
          <cell r="P52">
            <v>29.9</v>
          </cell>
          <cell r="Q52">
            <v>5099391</v>
          </cell>
          <cell r="R52">
            <v>206640</v>
          </cell>
          <cell r="S52">
            <v>3.33</v>
          </cell>
        </row>
        <row r="53">
          <cell r="A53" t="str">
            <v xml:space="preserve">316.00 46           </v>
          </cell>
          <cell r="B53">
            <v>49490</v>
          </cell>
          <cell r="C53">
            <v>50</v>
          </cell>
          <cell r="D53" t="str">
            <v xml:space="preserve"> R1.5</v>
          </cell>
          <cell r="E53">
            <v>-9</v>
          </cell>
          <cell r="F53">
            <v>251533.56</v>
          </cell>
          <cell r="G53">
            <v>195027.13</v>
          </cell>
          <cell r="H53">
            <v>79144</v>
          </cell>
          <cell r="I53">
            <v>4975</v>
          </cell>
          <cell r="J53">
            <v>1.98</v>
          </cell>
          <cell r="K53">
            <v>15.9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77.5</v>
          </cell>
          <cell r="P53">
            <v>31.2</v>
          </cell>
          <cell r="Q53">
            <v>168796</v>
          </cell>
          <cell r="R53">
            <v>6621</v>
          </cell>
          <cell r="S53">
            <v>2.63</v>
          </cell>
        </row>
        <row r="54">
          <cell r="A54" t="str">
            <v xml:space="preserve">316.00 47           </v>
          </cell>
          <cell r="B54">
            <v>49490</v>
          </cell>
          <cell r="C54">
            <v>50</v>
          </cell>
          <cell r="D54" t="str">
            <v xml:space="preserve"> R1.5</v>
          </cell>
          <cell r="E54">
            <v>-10</v>
          </cell>
          <cell r="F54">
            <v>4444375.42</v>
          </cell>
          <cell r="G54">
            <v>2910937.53</v>
          </cell>
          <cell r="H54">
            <v>1977875</v>
          </cell>
          <cell r="I54">
            <v>121076</v>
          </cell>
          <cell r="J54">
            <v>2.72</v>
          </cell>
          <cell r="K54">
            <v>16.3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65.5</v>
          </cell>
          <cell r="P54">
            <v>27.4</v>
          </cell>
          <cell r="Q54">
            <v>2828751</v>
          </cell>
          <cell r="R54">
            <v>126108</v>
          </cell>
          <cell r="S54">
            <v>2.84</v>
          </cell>
        </row>
        <row r="55">
          <cell r="A55" t="str">
            <v xml:space="preserve">316.00 71           </v>
          </cell>
          <cell r="B55">
            <v>52047</v>
          </cell>
          <cell r="C55">
            <v>50</v>
          </cell>
          <cell r="D55" t="str">
            <v xml:space="preserve"> R1.5</v>
          </cell>
          <cell r="E55">
            <v>0</v>
          </cell>
          <cell r="F55">
            <v>336377.91</v>
          </cell>
          <cell r="G55">
            <v>138260.22</v>
          </cell>
          <cell r="H55">
            <v>198118</v>
          </cell>
          <cell r="I55">
            <v>8565</v>
          </cell>
          <cell r="J55">
            <v>2.5499999999999998</v>
          </cell>
          <cell r="K55">
            <v>23.1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41.1</v>
          </cell>
          <cell r="P55">
            <v>12.2</v>
          </cell>
          <cell r="Q55">
            <v>106326</v>
          </cell>
          <cell r="R55">
            <v>9957</v>
          </cell>
          <cell r="S55">
            <v>2.96</v>
          </cell>
        </row>
        <row r="56">
          <cell r="A56" t="str">
            <v xml:space="preserve">316.00 72           </v>
          </cell>
          <cell r="B56">
            <v>52778</v>
          </cell>
          <cell r="C56">
            <v>50</v>
          </cell>
          <cell r="D56" t="str">
            <v xml:space="preserve"> R1.5</v>
          </cell>
          <cell r="E56">
            <v>0</v>
          </cell>
          <cell r="F56">
            <v>6163</v>
          </cell>
          <cell r="G56">
            <v>4823.62</v>
          </cell>
          <cell r="H56">
            <v>1339</v>
          </cell>
          <cell r="I56">
            <v>54</v>
          </cell>
          <cell r="J56">
            <v>0.88</v>
          </cell>
          <cell r="K56">
            <v>24.8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78.3</v>
          </cell>
          <cell r="P56">
            <v>9.1999999999999993</v>
          </cell>
          <cell r="Q56">
            <v>1510</v>
          </cell>
          <cell r="R56">
            <v>186</v>
          </cell>
          <cell r="S56">
            <v>3.02</v>
          </cell>
        </row>
        <row r="57">
          <cell r="A57" t="str">
            <v xml:space="preserve">316.00 74           </v>
          </cell>
          <cell r="B57">
            <v>53873</v>
          </cell>
          <cell r="C57">
            <v>50</v>
          </cell>
          <cell r="D57" t="str">
            <v xml:space="preserve"> R1.5</v>
          </cell>
          <cell r="E57">
            <v>0</v>
          </cell>
          <cell r="F57">
            <v>152757</v>
          </cell>
          <cell r="G57">
            <v>38798.85</v>
          </cell>
          <cell r="H57">
            <v>113958</v>
          </cell>
          <cell r="I57">
            <v>4168</v>
          </cell>
          <cell r="J57">
            <v>2.73</v>
          </cell>
          <cell r="K57">
            <v>27.3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25.4</v>
          </cell>
          <cell r="P57">
            <v>8.1999999999999993</v>
          </cell>
          <cell r="Q57">
            <v>31842</v>
          </cell>
          <cell r="R57">
            <v>4430</v>
          </cell>
          <cell r="S57">
            <v>2.9</v>
          </cell>
        </row>
        <row r="58">
          <cell r="A58" t="str">
            <v xml:space="preserve">316.00 75           </v>
          </cell>
          <cell r="B58">
            <v>48760</v>
          </cell>
          <cell r="C58">
            <v>50</v>
          </cell>
          <cell r="D58" t="str">
            <v xml:space="preserve"> R1.5</v>
          </cell>
          <cell r="E58">
            <v>0</v>
          </cell>
          <cell r="F58">
            <v>123691</v>
          </cell>
          <cell r="G58">
            <v>109782.03</v>
          </cell>
          <cell r="H58">
            <v>13909</v>
          </cell>
          <cell r="I58">
            <v>874</v>
          </cell>
          <cell r="J58">
            <v>0.71</v>
          </cell>
          <cell r="K58">
            <v>15.9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88.8</v>
          </cell>
          <cell r="P58">
            <v>8.1999999999999993</v>
          </cell>
          <cell r="Q58">
            <v>39914</v>
          </cell>
          <cell r="R58">
            <v>5269</v>
          </cell>
          <cell r="S58">
            <v>4.26</v>
          </cell>
        </row>
        <row r="59">
          <cell r="A59" t="str">
            <v xml:space="preserve">316.00 97           </v>
          </cell>
          <cell r="B59">
            <v>49125</v>
          </cell>
          <cell r="C59">
            <v>50</v>
          </cell>
          <cell r="D59" t="str">
            <v xml:space="preserve"> R1.5</v>
          </cell>
          <cell r="E59">
            <v>0</v>
          </cell>
          <cell r="F59">
            <v>62866</v>
          </cell>
          <cell r="G59">
            <v>43035.78</v>
          </cell>
          <cell r="H59">
            <v>19830</v>
          </cell>
          <cell r="I59">
            <v>1171</v>
          </cell>
          <cell r="J59">
            <v>1.86</v>
          </cell>
          <cell r="K59">
            <v>16.899999999999999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68.5</v>
          </cell>
          <cell r="P59">
            <v>4.2</v>
          </cell>
          <cell r="Q59">
            <v>11868</v>
          </cell>
          <cell r="R59">
            <v>3011</v>
          </cell>
          <cell r="S59">
            <v>4.79</v>
          </cell>
        </row>
        <row r="60">
          <cell r="A60">
            <v>330.1</v>
          </cell>
          <cell r="B60">
            <v>54604</v>
          </cell>
          <cell r="C60">
            <v>200</v>
          </cell>
          <cell r="D60" t="str">
            <v xml:space="preserve">   SQ</v>
          </cell>
          <cell r="E60">
            <v>0</v>
          </cell>
          <cell r="F60">
            <v>32898.730000000003</v>
          </cell>
          <cell r="G60">
            <v>11389.88</v>
          </cell>
          <cell r="H60">
            <v>21509</v>
          </cell>
          <cell r="I60">
            <v>657</v>
          </cell>
          <cell r="J60">
            <v>2</v>
          </cell>
          <cell r="K60">
            <v>32.700000000000003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34.6</v>
          </cell>
          <cell r="P60">
            <v>12.2</v>
          </cell>
          <cell r="Q60">
            <v>8956</v>
          </cell>
          <cell r="R60">
            <v>730</v>
          </cell>
          <cell r="S60">
            <v>2.2200000000000002</v>
          </cell>
        </row>
        <row r="61">
          <cell r="A61" t="str">
            <v xml:space="preserve">331.00 10           </v>
          </cell>
          <cell r="B61">
            <v>58014</v>
          </cell>
          <cell r="C61">
            <v>75</v>
          </cell>
          <cell r="D61" t="str">
            <v xml:space="preserve">   S1</v>
          </cell>
          <cell r="E61">
            <v>-6</v>
          </cell>
          <cell r="F61">
            <v>35273454.280000001</v>
          </cell>
          <cell r="G61">
            <v>6306965.7300000004</v>
          </cell>
          <cell r="H61">
            <v>31082896</v>
          </cell>
          <cell r="I61">
            <v>785827</v>
          </cell>
          <cell r="J61">
            <v>2.23</v>
          </cell>
          <cell r="K61">
            <v>39.6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17.899999999999999</v>
          </cell>
          <cell r="P61">
            <v>6.9</v>
          </cell>
          <cell r="Q61">
            <v>4396885</v>
          </cell>
          <cell r="R61">
            <v>839307</v>
          </cell>
          <cell r="S61">
            <v>2.38</v>
          </cell>
        </row>
        <row r="62">
          <cell r="A62" t="str">
            <v xml:space="preserve">331.00 20           </v>
          </cell>
          <cell r="B62">
            <v>58014</v>
          </cell>
          <cell r="C62">
            <v>75</v>
          </cell>
          <cell r="D62" t="str">
            <v xml:space="preserve">   S1</v>
          </cell>
          <cell r="E62">
            <v>-8</v>
          </cell>
          <cell r="F62">
            <v>15612653.91</v>
          </cell>
          <cell r="G62">
            <v>6565230.3499999996</v>
          </cell>
          <cell r="H62">
            <v>10296436</v>
          </cell>
          <cell r="I62">
            <v>264822</v>
          </cell>
          <cell r="J62">
            <v>1.7</v>
          </cell>
          <cell r="K62">
            <v>38.9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42.1</v>
          </cell>
          <cell r="P62">
            <v>14.6</v>
          </cell>
          <cell r="Q62">
            <v>3879941</v>
          </cell>
          <cell r="R62">
            <v>342765</v>
          </cell>
          <cell r="S62">
            <v>2.2000000000000002</v>
          </cell>
        </row>
        <row r="63">
          <cell r="A63" t="str">
            <v xml:space="preserve">331.00 81           </v>
          </cell>
          <cell r="B63">
            <v>52778</v>
          </cell>
          <cell r="C63">
            <v>75</v>
          </cell>
          <cell r="D63" t="str">
            <v xml:space="preserve">   S1</v>
          </cell>
          <cell r="E63">
            <v>-2</v>
          </cell>
          <cell r="F63">
            <v>58654809.259999998</v>
          </cell>
          <cell r="G63">
            <v>5540003.0700000003</v>
          </cell>
          <cell r="H63">
            <v>54287902</v>
          </cell>
          <cell r="I63">
            <v>2009010</v>
          </cell>
          <cell r="J63">
            <v>3.43</v>
          </cell>
          <cell r="K63">
            <v>27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9.4</v>
          </cell>
          <cell r="P63">
            <v>5</v>
          </cell>
          <cell r="Q63">
            <v>8479719</v>
          </cell>
          <cell r="R63">
            <v>1898941</v>
          </cell>
          <cell r="S63">
            <v>3.24</v>
          </cell>
        </row>
        <row r="64">
          <cell r="A64" t="str">
            <v xml:space="preserve">331.00 82           </v>
          </cell>
          <cell r="B64">
            <v>52778</v>
          </cell>
          <cell r="C64">
            <v>75</v>
          </cell>
          <cell r="D64" t="str">
            <v xml:space="preserve">   S1</v>
          </cell>
          <cell r="E64">
            <v>-2</v>
          </cell>
          <cell r="F64">
            <v>54612246.020000003</v>
          </cell>
          <cell r="G64">
            <v>5903871.9000000004</v>
          </cell>
          <cell r="H64">
            <v>49800619</v>
          </cell>
          <cell r="I64">
            <v>1834277</v>
          </cell>
          <cell r="J64">
            <v>3.36</v>
          </cell>
          <cell r="K64">
            <v>27.1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10.8</v>
          </cell>
          <cell r="P64">
            <v>3.2</v>
          </cell>
          <cell r="Q64">
            <v>5955367</v>
          </cell>
          <cell r="R64">
            <v>1832678</v>
          </cell>
          <cell r="S64">
            <v>3.36</v>
          </cell>
        </row>
        <row r="65">
          <cell r="A65" t="str">
            <v xml:space="preserve">332.00 10           </v>
          </cell>
          <cell r="B65">
            <v>58014</v>
          </cell>
          <cell r="C65">
            <v>90</v>
          </cell>
          <cell r="D65" t="str">
            <v xml:space="preserve"> R1.5</v>
          </cell>
          <cell r="E65">
            <v>-10</v>
          </cell>
          <cell r="F65">
            <v>115624469.95999999</v>
          </cell>
          <cell r="G65">
            <v>22402337.16</v>
          </cell>
          <cell r="H65">
            <v>104784580</v>
          </cell>
          <cell r="I65">
            <v>2666580</v>
          </cell>
          <cell r="J65">
            <v>2.31</v>
          </cell>
          <cell r="K65">
            <v>39.299999999999997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19.399999999999999</v>
          </cell>
          <cell r="P65">
            <v>10.5</v>
          </cell>
          <cell r="Q65">
            <v>17955742</v>
          </cell>
          <cell r="R65">
            <v>2799354</v>
          </cell>
          <cell r="S65">
            <v>2.42</v>
          </cell>
        </row>
        <row r="66">
          <cell r="A66" t="str">
            <v xml:space="preserve">332.00 20           </v>
          </cell>
          <cell r="B66">
            <v>58014</v>
          </cell>
          <cell r="C66">
            <v>90</v>
          </cell>
          <cell r="D66" t="str">
            <v xml:space="preserve"> R1.5</v>
          </cell>
          <cell r="E66">
            <v>-13</v>
          </cell>
          <cell r="F66">
            <v>119603565.13</v>
          </cell>
          <cell r="G66">
            <v>59809737.759999998</v>
          </cell>
          <cell r="H66">
            <v>75342291</v>
          </cell>
          <cell r="I66">
            <v>1932759</v>
          </cell>
          <cell r="J66">
            <v>1.62</v>
          </cell>
          <cell r="K66">
            <v>39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50</v>
          </cell>
          <cell r="P66">
            <v>22.6</v>
          </cell>
          <cell r="Q66">
            <v>37921210</v>
          </cell>
          <cell r="R66">
            <v>2547361</v>
          </cell>
          <cell r="S66">
            <v>2.13</v>
          </cell>
        </row>
        <row r="67">
          <cell r="A67" t="str">
            <v xml:space="preserve">332.00 81           </v>
          </cell>
          <cell r="B67">
            <v>52778</v>
          </cell>
          <cell r="C67">
            <v>90</v>
          </cell>
          <cell r="D67" t="str">
            <v xml:space="preserve"> R1.5</v>
          </cell>
          <cell r="E67">
            <v>-4</v>
          </cell>
          <cell r="F67">
            <v>53492873.450000003</v>
          </cell>
          <cell r="G67">
            <v>4795759.13</v>
          </cell>
          <cell r="H67">
            <v>50836829</v>
          </cell>
          <cell r="I67">
            <v>1899379</v>
          </cell>
          <cell r="J67">
            <v>3.55</v>
          </cell>
          <cell r="K67">
            <v>26.8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9</v>
          </cell>
          <cell r="P67">
            <v>3.5</v>
          </cell>
          <cell r="Q67">
            <v>5987655</v>
          </cell>
          <cell r="R67">
            <v>1853559</v>
          </cell>
          <cell r="S67">
            <v>3.47</v>
          </cell>
        </row>
        <row r="68">
          <cell r="A68" t="str">
            <v xml:space="preserve">332.00 82           </v>
          </cell>
          <cell r="B68">
            <v>52778</v>
          </cell>
          <cell r="C68">
            <v>90</v>
          </cell>
          <cell r="D68" t="str">
            <v xml:space="preserve"> R1.5</v>
          </cell>
          <cell r="E68">
            <v>-4</v>
          </cell>
          <cell r="F68">
            <v>60540016.920000002</v>
          </cell>
          <cell r="G68">
            <v>4528235</v>
          </cell>
          <cell r="H68">
            <v>58433383</v>
          </cell>
          <cell r="I68">
            <v>2184265</v>
          </cell>
          <cell r="J68">
            <v>3.61</v>
          </cell>
          <cell r="K68">
            <v>26.8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7.5</v>
          </cell>
          <cell r="P68">
            <v>3.6</v>
          </cell>
          <cell r="Q68">
            <v>6597851</v>
          </cell>
          <cell r="R68">
            <v>2104689</v>
          </cell>
          <cell r="S68">
            <v>3.48</v>
          </cell>
        </row>
        <row r="69">
          <cell r="A69" t="str">
            <v xml:space="preserve">333.00 10           </v>
          </cell>
          <cell r="B69">
            <v>58014</v>
          </cell>
          <cell r="C69">
            <v>75</v>
          </cell>
          <cell r="D69" t="str">
            <v xml:space="preserve">   S1</v>
          </cell>
          <cell r="E69">
            <v>-6</v>
          </cell>
          <cell r="F69">
            <v>41634914.700000003</v>
          </cell>
          <cell r="G69">
            <v>9000675.2200000007</v>
          </cell>
          <cell r="H69">
            <v>35132334</v>
          </cell>
          <cell r="I69">
            <v>893215</v>
          </cell>
          <cell r="J69">
            <v>2.15</v>
          </cell>
          <cell r="K69">
            <v>39.299999999999997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21.6</v>
          </cell>
          <cell r="P69">
            <v>8.1999999999999993</v>
          </cell>
          <cell r="Q69">
            <v>6252361</v>
          </cell>
          <cell r="R69">
            <v>969282</v>
          </cell>
          <cell r="S69">
            <v>2.33</v>
          </cell>
        </row>
        <row r="70">
          <cell r="A70" t="str">
            <v xml:space="preserve">333.00 20           </v>
          </cell>
          <cell r="B70">
            <v>58014</v>
          </cell>
          <cell r="C70">
            <v>75</v>
          </cell>
          <cell r="D70" t="str">
            <v xml:space="preserve">   S1</v>
          </cell>
          <cell r="E70">
            <v>-12</v>
          </cell>
          <cell r="F70">
            <v>13128270.76</v>
          </cell>
          <cell r="G70">
            <v>9227177.9600000009</v>
          </cell>
          <cell r="H70">
            <v>5476485</v>
          </cell>
          <cell r="I70">
            <v>136109</v>
          </cell>
          <cell r="J70">
            <v>1.04</v>
          </cell>
          <cell r="K70">
            <v>40.200000000000003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70.3</v>
          </cell>
          <cell r="P70">
            <v>24.3</v>
          </cell>
          <cell r="Q70">
            <v>4450117</v>
          </cell>
          <cell r="R70">
            <v>283020</v>
          </cell>
          <cell r="S70">
            <v>2.16</v>
          </cell>
        </row>
        <row r="71">
          <cell r="A71" t="str">
            <v xml:space="preserve">333.00 81           </v>
          </cell>
          <cell r="B71">
            <v>52778</v>
          </cell>
          <cell r="C71">
            <v>75</v>
          </cell>
          <cell r="D71" t="str">
            <v xml:space="preserve">   S1</v>
          </cell>
          <cell r="E71">
            <v>-2</v>
          </cell>
          <cell r="F71">
            <v>36614585.439999998</v>
          </cell>
          <cell r="G71">
            <v>3022250.83</v>
          </cell>
          <cell r="H71">
            <v>34324626</v>
          </cell>
          <cell r="I71">
            <v>1266049</v>
          </cell>
          <cell r="J71">
            <v>3.46</v>
          </cell>
          <cell r="K71">
            <v>27.1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8.3000000000000007</v>
          </cell>
          <cell r="P71">
            <v>3.7</v>
          </cell>
          <cell r="Q71">
            <v>4104660</v>
          </cell>
          <cell r="R71">
            <v>1225459</v>
          </cell>
          <cell r="S71">
            <v>3.35</v>
          </cell>
        </row>
        <row r="72">
          <cell r="A72" t="str">
            <v xml:space="preserve">333.00 82           </v>
          </cell>
          <cell r="B72">
            <v>52778</v>
          </cell>
          <cell r="C72">
            <v>75</v>
          </cell>
          <cell r="D72" t="str">
            <v xml:space="preserve">   S1</v>
          </cell>
          <cell r="E72">
            <v>-2</v>
          </cell>
          <cell r="F72">
            <v>35031623.57</v>
          </cell>
          <cell r="G72">
            <v>2768921.16</v>
          </cell>
          <cell r="H72">
            <v>32963335</v>
          </cell>
          <cell r="I72">
            <v>1222346</v>
          </cell>
          <cell r="J72">
            <v>3.49</v>
          </cell>
          <cell r="K72">
            <v>27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7.9</v>
          </cell>
          <cell r="P72">
            <v>5.4</v>
          </cell>
          <cell r="Q72">
            <v>4943064</v>
          </cell>
          <cell r="R72">
            <v>1139127</v>
          </cell>
          <cell r="S72">
            <v>3.25</v>
          </cell>
        </row>
        <row r="73">
          <cell r="A73" t="str">
            <v xml:space="preserve">334.00 10           </v>
          </cell>
          <cell r="B73">
            <v>58014</v>
          </cell>
          <cell r="C73">
            <v>60</v>
          </cell>
          <cell r="D73" t="str">
            <v xml:space="preserve"> R2.5</v>
          </cell>
          <cell r="E73">
            <v>-3</v>
          </cell>
          <cell r="F73">
            <v>15578198.470000001</v>
          </cell>
          <cell r="G73">
            <v>2648683.04</v>
          </cell>
          <cell r="H73">
            <v>13396861</v>
          </cell>
          <cell r="I73">
            <v>343909</v>
          </cell>
          <cell r="J73">
            <v>2.21</v>
          </cell>
          <cell r="K73">
            <v>39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17</v>
          </cell>
          <cell r="P73">
            <v>5.9</v>
          </cell>
          <cell r="Q73">
            <v>1805922</v>
          </cell>
          <cell r="R73">
            <v>369393</v>
          </cell>
          <cell r="S73">
            <v>2.37</v>
          </cell>
        </row>
        <row r="74">
          <cell r="A74" t="str">
            <v xml:space="preserve">334.00 20           </v>
          </cell>
          <cell r="B74">
            <v>58014</v>
          </cell>
          <cell r="C74">
            <v>60</v>
          </cell>
          <cell r="D74" t="str">
            <v xml:space="preserve"> R2.5</v>
          </cell>
          <cell r="E74">
            <v>-4</v>
          </cell>
          <cell r="F74">
            <v>2738077.7</v>
          </cell>
          <cell r="G74">
            <v>1380697.6</v>
          </cell>
          <cell r="H74">
            <v>1466903</v>
          </cell>
          <cell r="I74">
            <v>38385</v>
          </cell>
          <cell r="J74">
            <v>1.4</v>
          </cell>
          <cell r="K74">
            <v>38.200000000000003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50.4</v>
          </cell>
          <cell r="P74">
            <v>20</v>
          </cell>
          <cell r="Q74">
            <v>862574</v>
          </cell>
          <cell r="R74">
            <v>58601</v>
          </cell>
          <cell r="S74">
            <v>2.14</v>
          </cell>
        </row>
        <row r="75">
          <cell r="A75" t="str">
            <v xml:space="preserve">334.00 81           </v>
          </cell>
          <cell r="B75">
            <v>52778</v>
          </cell>
          <cell r="C75">
            <v>60</v>
          </cell>
          <cell r="D75" t="str">
            <v xml:space="preserve"> R2.5</v>
          </cell>
          <cell r="E75">
            <v>-1</v>
          </cell>
          <cell r="F75">
            <v>16156295.24</v>
          </cell>
          <cell r="G75">
            <v>1231152.81</v>
          </cell>
          <cell r="H75">
            <v>15086705</v>
          </cell>
          <cell r="I75">
            <v>561261</v>
          </cell>
          <cell r="J75">
            <v>3.47</v>
          </cell>
          <cell r="K75">
            <v>26.9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7.6</v>
          </cell>
          <cell r="P75">
            <v>3.2</v>
          </cell>
          <cell r="Q75">
            <v>1716476</v>
          </cell>
          <cell r="R75">
            <v>543385</v>
          </cell>
          <cell r="S75">
            <v>3.36</v>
          </cell>
        </row>
        <row r="76">
          <cell r="A76" t="str">
            <v xml:space="preserve">334.00 82           </v>
          </cell>
          <cell r="B76">
            <v>52778</v>
          </cell>
          <cell r="C76">
            <v>60</v>
          </cell>
          <cell r="D76" t="str">
            <v xml:space="preserve"> R2.5</v>
          </cell>
          <cell r="E76">
            <v>-1</v>
          </cell>
          <cell r="F76">
            <v>11055386.449999999</v>
          </cell>
          <cell r="G76">
            <v>725092.46</v>
          </cell>
          <cell r="H76">
            <v>10440848</v>
          </cell>
          <cell r="I76">
            <v>388424</v>
          </cell>
          <cell r="J76">
            <v>3.51</v>
          </cell>
          <cell r="K76">
            <v>26.9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6.6</v>
          </cell>
          <cell r="P76">
            <v>3.2</v>
          </cell>
          <cell r="Q76">
            <v>1174545</v>
          </cell>
          <cell r="R76">
            <v>371826</v>
          </cell>
          <cell r="S76">
            <v>3.36</v>
          </cell>
        </row>
        <row r="77">
          <cell r="A77" t="str">
            <v xml:space="preserve">335.00 10           </v>
          </cell>
          <cell r="B77">
            <v>58014</v>
          </cell>
          <cell r="C77">
            <v>45</v>
          </cell>
          <cell r="D77" t="str">
            <v xml:space="preserve">   S1</v>
          </cell>
          <cell r="E77">
            <v>-4</v>
          </cell>
          <cell r="F77">
            <v>8012780.46</v>
          </cell>
          <cell r="G77">
            <v>1065748.8899999999</v>
          </cell>
          <cell r="H77">
            <v>7267543</v>
          </cell>
          <cell r="I77">
            <v>216627</v>
          </cell>
          <cell r="J77">
            <v>2.7</v>
          </cell>
          <cell r="K77">
            <v>33.5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13.3</v>
          </cell>
          <cell r="P77">
            <v>6.2</v>
          </cell>
          <cell r="Q77">
            <v>1058370</v>
          </cell>
          <cell r="R77">
            <v>217266</v>
          </cell>
          <cell r="S77">
            <v>2.71</v>
          </cell>
        </row>
        <row r="78">
          <cell r="A78" t="str">
            <v xml:space="preserve">335.00 20           </v>
          </cell>
          <cell r="B78">
            <v>58014</v>
          </cell>
          <cell r="C78">
            <v>45</v>
          </cell>
          <cell r="D78" t="str">
            <v xml:space="preserve">   S1</v>
          </cell>
          <cell r="E78">
            <v>-4</v>
          </cell>
          <cell r="F78">
            <v>1115022.1000000001</v>
          </cell>
          <cell r="G78">
            <v>447518.47</v>
          </cell>
          <cell r="H78">
            <v>712105</v>
          </cell>
          <cell r="I78">
            <v>22020</v>
          </cell>
          <cell r="J78">
            <v>1.97</v>
          </cell>
          <cell r="K78">
            <v>32.299999999999997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40.1</v>
          </cell>
          <cell r="P78">
            <v>10.7</v>
          </cell>
          <cell r="Q78">
            <v>261016</v>
          </cell>
          <cell r="R78">
            <v>28819</v>
          </cell>
          <cell r="S78">
            <v>2.58</v>
          </cell>
        </row>
        <row r="79">
          <cell r="A79" t="str">
            <v xml:space="preserve">335.00 81           </v>
          </cell>
          <cell r="B79">
            <v>52778</v>
          </cell>
          <cell r="C79">
            <v>45</v>
          </cell>
          <cell r="D79" t="str">
            <v xml:space="preserve">   S1</v>
          </cell>
          <cell r="E79">
            <v>-1</v>
          </cell>
          <cell r="F79">
            <v>1548648.53</v>
          </cell>
          <cell r="G79">
            <v>129676.29</v>
          </cell>
          <cell r="H79">
            <v>1434459</v>
          </cell>
          <cell r="I79">
            <v>56004</v>
          </cell>
          <cell r="J79">
            <v>3.62</v>
          </cell>
          <cell r="K79">
            <v>25.6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8.4</v>
          </cell>
          <cell r="P79">
            <v>3.3</v>
          </cell>
          <cell r="Q79">
            <v>176593</v>
          </cell>
          <cell r="R79">
            <v>54247</v>
          </cell>
          <cell r="S79">
            <v>3.5</v>
          </cell>
        </row>
        <row r="80">
          <cell r="A80" t="str">
            <v xml:space="preserve">335.00 82           </v>
          </cell>
          <cell r="B80">
            <v>52778</v>
          </cell>
          <cell r="C80">
            <v>45</v>
          </cell>
          <cell r="D80" t="str">
            <v xml:space="preserve">   S1</v>
          </cell>
          <cell r="E80">
            <v>-2</v>
          </cell>
          <cell r="F80">
            <v>1592310.85</v>
          </cell>
          <cell r="G80">
            <v>173198.84</v>
          </cell>
          <cell r="H80">
            <v>1450958</v>
          </cell>
          <cell r="I80">
            <v>56628</v>
          </cell>
          <cell r="J80">
            <v>3.56</v>
          </cell>
          <cell r="K80">
            <v>25.6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10.9</v>
          </cell>
          <cell r="P80">
            <v>3.2</v>
          </cell>
          <cell r="Q80">
            <v>181744</v>
          </cell>
          <cell r="R80">
            <v>56375</v>
          </cell>
          <cell r="S80">
            <v>3.54</v>
          </cell>
        </row>
        <row r="81">
          <cell r="A81" t="str">
            <v xml:space="preserve">335.10 10           </v>
          </cell>
          <cell r="B81">
            <v>58014</v>
          </cell>
          <cell r="C81">
            <v>18</v>
          </cell>
          <cell r="D81" t="str">
            <v xml:space="preserve">   S4</v>
          </cell>
          <cell r="E81">
            <v>0</v>
          </cell>
          <cell r="F81">
            <v>846482.91</v>
          </cell>
          <cell r="G81">
            <v>637395.13</v>
          </cell>
          <cell r="H81">
            <v>209088</v>
          </cell>
          <cell r="I81">
            <v>15022</v>
          </cell>
          <cell r="J81">
            <v>1.77</v>
          </cell>
          <cell r="K81">
            <v>13.9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75.3</v>
          </cell>
          <cell r="P81">
            <v>13.2</v>
          </cell>
          <cell r="Q81">
            <v>488949</v>
          </cell>
          <cell r="R81">
            <v>42644</v>
          </cell>
          <cell r="S81">
            <v>5.04</v>
          </cell>
        </row>
        <row r="82">
          <cell r="A82" t="str">
            <v xml:space="preserve">335.10 20           </v>
          </cell>
          <cell r="B82">
            <v>58014</v>
          </cell>
          <cell r="C82">
            <v>18</v>
          </cell>
          <cell r="D82" t="str">
            <v xml:space="preserve">   S4</v>
          </cell>
          <cell r="E82">
            <v>0</v>
          </cell>
          <cell r="F82">
            <v>597432.9</v>
          </cell>
          <cell r="G82">
            <v>140377.26</v>
          </cell>
          <cell r="H82">
            <v>457056</v>
          </cell>
          <cell r="I82">
            <v>61911</v>
          </cell>
          <cell r="J82">
            <v>10.36</v>
          </cell>
          <cell r="K82">
            <v>7.4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23.5</v>
          </cell>
          <cell r="P82">
            <v>8.4</v>
          </cell>
          <cell r="Q82">
            <v>253118</v>
          </cell>
          <cell r="R82">
            <v>33217</v>
          </cell>
          <cell r="S82">
            <v>5.56</v>
          </cell>
        </row>
        <row r="83">
          <cell r="A83" t="str">
            <v xml:space="preserve">335.10 81           </v>
          </cell>
          <cell r="B83">
            <v>52778</v>
          </cell>
          <cell r="C83">
            <v>18</v>
          </cell>
          <cell r="D83" t="str">
            <v xml:space="preserve">   S4</v>
          </cell>
          <cell r="E83">
            <v>0</v>
          </cell>
          <cell r="F83">
            <v>674571.58</v>
          </cell>
          <cell r="G83">
            <v>542234.84</v>
          </cell>
          <cell r="H83">
            <v>132337</v>
          </cell>
          <cell r="I83">
            <v>8883</v>
          </cell>
          <cell r="J83">
            <v>1.32</v>
          </cell>
          <cell r="K83">
            <v>14.9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80.400000000000006</v>
          </cell>
          <cell r="P83">
            <v>12.9</v>
          </cell>
          <cell r="Q83">
            <v>359405</v>
          </cell>
          <cell r="R83">
            <v>35958</v>
          </cell>
          <cell r="S83">
            <v>5.33</v>
          </cell>
        </row>
        <row r="84">
          <cell r="A84" t="str">
            <v xml:space="preserve">335.10 82           </v>
          </cell>
          <cell r="B84">
            <v>52778</v>
          </cell>
          <cell r="C84">
            <v>18</v>
          </cell>
          <cell r="D84" t="str">
            <v xml:space="preserve">   S4</v>
          </cell>
          <cell r="E84">
            <v>0</v>
          </cell>
          <cell r="F84">
            <v>80300.259999999995</v>
          </cell>
          <cell r="G84">
            <v>77265.070000000007</v>
          </cell>
          <cell r="H84">
            <v>3035</v>
          </cell>
          <cell r="I84">
            <v>206</v>
          </cell>
          <cell r="J84">
            <v>0.26</v>
          </cell>
          <cell r="K84">
            <v>14.7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96.2</v>
          </cell>
          <cell r="P84">
            <v>15.1</v>
          </cell>
          <cell r="Q84">
            <v>51909</v>
          </cell>
          <cell r="R84">
            <v>4465</v>
          </cell>
          <cell r="S84">
            <v>5.56</v>
          </cell>
        </row>
        <row r="85">
          <cell r="A85" t="str">
            <v xml:space="preserve">336.00 10           </v>
          </cell>
          <cell r="B85">
            <v>58014</v>
          </cell>
          <cell r="C85">
            <v>75</v>
          </cell>
          <cell r="D85" t="str">
            <v xml:space="preserve"> S0.5</v>
          </cell>
          <cell r="E85">
            <v>-1</v>
          </cell>
          <cell r="F85">
            <v>1588315.74</v>
          </cell>
          <cell r="G85">
            <v>188571.47</v>
          </cell>
          <cell r="H85">
            <v>1415627</v>
          </cell>
          <cell r="I85">
            <v>36505</v>
          </cell>
          <cell r="J85">
            <v>2.2999999999999998</v>
          </cell>
          <cell r="K85">
            <v>38.799999999999997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11.9</v>
          </cell>
          <cell r="P85">
            <v>5.3</v>
          </cell>
          <cell r="Q85">
            <v>155643</v>
          </cell>
          <cell r="R85">
            <v>37375</v>
          </cell>
          <cell r="S85">
            <v>2.35</v>
          </cell>
        </row>
        <row r="86">
          <cell r="A86" t="str">
            <v xml:space="preserve">336.00 20           </v>
          </cell>
          <cell r="B86">
            <v>58014</v>
          </cell>
          <cell r="C86">
            <v>75</v>
          </cell>
          <cell r="D86" t="str">
            <v xml:space="preserve"> S0.5</v>
          </cell>
          <cell r="E86">
            <v>-2</v>
          </cell>
          <cell r="F86">
            <v>2648181.67</v>
          </cell>
          <cell r="G86">
            <v>245575.23</v>
          </cell>
          <cell r="H86">
            <v>2455570</v>
          </cell>
          <cell r="I86">
            <v>66943</v>
          </cell>
          <cell r="J86">
            <v>2.5299999999999998</v>
          </cell>
          <cell r="K86">
            <v>36.700000000000003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9.3000000000000007</v>
          </cell>
          <cell r="P86">
            <v>15</v>
          </cell>
          <cell r="Q86">
            <v>586654</v>
          </cell>
          <cell r="R86">
            <v>56770</v>
          </cell>
          <cell r="S86">
            <v>2.14</v>
          </cell>
        </row>
        <row r="87">
          <cell r="A87" t="str">
            <v xml:space="preserve">336.00 81           </v>
          </cell>
          <cell r="B87">
            <v>52778</v>
          </cell>
          <cell r="C87">
            <v>75</v>
          </cell>
          <cell r="D87" t="str">
            <v xml:space="preserve"> S0.5</v>
          </cell>
          <cell r="E87">
            <v>0</v>
          </cell>
          <cell r="F87">
            <v>637500.65</v>
          </cell>
          <cell r="G87">
            <v>60851.95</v>
          </cell>
          <cell r="H87">
            <v>576649</v>
          </cell>
          <cell r="I87">
            <v>21557</v>
          </cell>
          <cell r="J87">
            <v>3.38</v>
          </cell>
          <cell r="K87">
            <v>26.7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9.5</v>
          </cell>
          <cell r="P87">
            <v>3.2</v>
          </cell>
          <cell r="Q87">
            <v>68111</v>
          </cell>
          <cell r="R87">
            <v>21293</v>
          </cell>
          <cell r="S87">
            <v>3.34</v>
          </cell>
        </row>
        <row r="88">
          <cell r="A88" t="str">
            <v xml:space="preserve">336.00 82           </v>
          </cell>
          <cell r="B88">
            <v>52778</v>
          </cell>
          <cell r="C88">
            <v>75</v>
          </cell>
          <cell r="D88" t="str">
            <v xml:space="preserve"> S0.5</v>
          </cell>
          <cell r="E88">
            <v>0</v>
          </cell>
          <cell r="F88">
            <v>157935.07</v>
          </cell>
          <cell r="G88">
            <v>15049.7</v>
          </cell>
          <cell r="H88">
            <v>142885</v>
          </cell>
          <cell r="I88">
            <v>5341</v>
          </cell>
          <cell r="J88">
            <v>3.38</v>
          </cell>
          <cell r="K88">
            <v>26.8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9.5</v>
          </cell>
          <cell r="P88">
            <v>3.2</v>
          </cell>
          <cell r="Q88">
            <v>16874</v>
          </cell>
          <cell r="R88">
            <v>5275</v>
          </cell>
          <cell r="S88">
            <v>3.34</v>
          </cell>
        </row>
        <row r="89">
          <cell r="A89">
            <v>340.1</v>
          </cell>
          <cell r="B89">
            <v>47664</v>
          </cell>
          <cell r="C89">
            <v>200</v>
          </cell>
          <cell r="D89" t="str">
            <v xml:space="preserve">   SQ</v>
          </cell>
          <cell r="E89">
            <v>-5</v>
          </cell>
          <cell r="F89">
            <v>221928.75</v>
          </cell>
          <cell r="G89">
            <v>197424.65</v>
          </cell>
          <cell r="H89">
            <v>35601</v>
          </cell>
          <cell r="I89">
            <v>2589</v>
          </cell>
          <cell r="J89">
            <v>1.17</v>
          </cell>
          <cell r="K89">
            <v>13.8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89</v>
          </cell>
          <cell r="P89">
            <v>33.200000000000003</v>
          </cell>
          <cell r="Q89">
            <v>164844</v>
          </cell>
          <cell r="R89">
            <v>4964</v>
          </cell>
          <cell r="S89">
            <v>2.2400000000000002</v>
          </cell>
        </row>
        <row r="90">
          <cell r="A90" t="str">
            <v xml:space="preserve">341.00 60           </v>
          </cell>
          <cell r="B90">
            <v>48760</v>
          </cell>
          <cell r="C90">
            <v>55</v>
          </cell>
          <cell r="D90" t="str">
            <v xml:space="preserve">   R4</v>
          </cell>
          <cell r="E90">
            <v>-5</v>
          </cell>
          <cell r="F90">
            <v>9238362.0500000007</v>
          </cell>
          <cell r="G90">
            <v>5850367.3600000003</v>
          </cell>
          <cell r="H90">
            <v>3849913</v>
          </cell>
          <cell r="I90">
            <v>231822</v>
          </cell>
          <cell r="J90">
            <v>2.5099999999999998</v>
          </cell>
          <cell r="K90">
            <v>16.600000000000001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63.3</v>
          </cell>
          <cell r="P90">
            <v>13.5</v>
          </cell>
          <cell r="Q90">
            <v>4193178</v>
          </cell>
          <cell r="R90">
            <v>332101</v>
          </cell>
          <cell r="S90">
            <v>3.59</v>
          </cell>
        </row>
        <row r="91">
          <cell r="A91" t="str">
            <v xml:space="preserve">341.00 71           </v>
          </cell>
          <cell r="B91">
            <v>52047</v>
          </cell>
          <cell r="C91">
            <v>55</v>
          </cell>
          <cell r="D91" t="str">
            <v xml:space="preserve">   R4</v>
          </cell>
          <cell r="E91">
            <v>-5</v>
          </cell>
          <cell r="F91">
            <v>5774386.75</v>
          </cell>
          <cell r="G91">
            <v>2475066.12</v>
          </cell>
          <cell r="H91">
            <v>3588040</v>
          </cell>
          <cell r="I91">
            <v>142439</v>
          </cell>
          <cell r="J91">
            <v>2.4700000000000002</v>
          </cell>
          <cell r="K91">
            <v>25.2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42.9</v>
          </cell>
          <cell r="P91">
            <v>12.2</v>
          </cell>
          <cell r="Q91">
            <v>1980514</v>
          </cell>
          <cell r="R91">
            <v>161885</v>
          </cell>
          <cell r="S91">
            <v>2.8</v>
          </cell>
        </row>
        <row r="92">
          <cell r="A92" t="str">
            <v xml:space="preserve">341.00 72           </v>
          </cell>
          <cell r="B92">
            <v>52778</v>
          </cell>
          <cell r="C92">
            <v>55</v>
          </cell>
          <cell r="D92" t="str">
            <v xml:space="preserve">   R4</v>
          </cell>
          <cell r="E92">
            <v>-5</v>
          </cell>
          <cell r="F92">
            <v>34450809.719999999</v>
          </cell>
          <cell r="G92">
            <v>26661589.050000001</v>
          </cell>
          <cell r="H92">
            <v>9511761</v>
          </cell>
          <cell r="I92">
            <v>348886</v>
          </cell>
          <cell r="J92">
            <v>1.01</v>
          </cell>
          <cell r="K92">
            <v>27.3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77.400000000000006</v>
          </cell>
          <cell r="P92">
            <v>9.1999999999999993</v>
          </cell>
          <cell r="Q92">
            <v>9124880</v>
          </cell>
          <cell r="R92">
            <v>992007</v>
          </cell>
          <cell r="S92">
            <v>2.88</v>
          </cell>
        </row>
        <row r="93">
          <cell r="A93" t="str">
            <v xml:space="preserve">341.00 74           </v>
          </cell>
          <cell r="B93">
            <v>53873</v>
          </cell>
          <cell r="C93">
            <v>55</v>
          </cell>
          <cell r="D93" t="str">
            <v xml:space="preserve">   R4</v>
          </cell>
          <cell r="E93">
            <v>-5</v>
          </cell>
          <cell r="F93">
            <v>11003157.439999999</v>
          </cell>
          <cell r="G93">
            <v>2980385.99</v>
          </cell>
          <cell r="H93">
            <v>8572929</v>
          </cell>
          <cell r="I93">
            <v>284891</v>
          </cell>
          <cell r="J93">
            <v>2.59</v>
          </cell>
          <cell r="K93">
            <v>30.1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27.1</v>
          </cell>
          <cell r="P93">
            <v>8.1</v>
          </cell>
          <cell r="Q93">
            <v>2447558</v>
          </cell>
          <cell r="R93">
            <v>302624</v>
          </cell>
          <cell r="S93">
            <v>2.75</v>
          </cell>
        </row>
        <row r="94">
          <cell r="A94" t="str">
            <v xml:space="preserve">341.00 75           </v>
          </cell>
          <cell r="B94">
            <v>48760</v>
          </cell>
          <cell r="C94">
            <v>55</v>
          </cell>
          <cell r="D94" t="str">
            <v xml:space="preserve">   R4</v>
          </cell>
          <cell r="E94">
            <v>-5</v>
          </cell>
          <cell r="F94">
            <v>2897941.9</v>
          </cell>
          <cell r="G94">
            <v>2321056.67</v>
          </cell>
          <cell r="H94">
            <v>721782</v>
          </cell>
          <cell r="I94">
            <v>43243</v>
          </cell>
          <cell r="J94">
            <v>1.49</v>
          </cell>
          <cell r="K94">
            <v>16.7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80.099999999999994</v>
          </cell>
          <cell r="P94">
            <v>8.1</v>
          </cell>
          <cell r="Q94">
            <v>995948</v>
          </cell>
          <cell r="R94">
            <v>122611</v>
          </cell>
          <cell r="S94">
            <v>4.2300000000000004</v>
          </cell>
        </row>
        <row r="95">
          <cell r="A95" t="str">
            <v xml:space="preserve">341.00 91           </v>
          </cell>
          <cell r="B95">
            <v>46934</v>
          </cell>
          <cell r="C95">
            <v>55</v>
          </cell>
          <cell r="D95" t="str">
            <v xml:space="preserve">   R4</v>
          </cell>
          <cell r="E95">
            <v>-5</v>
          </cell>
          <cell r="F95">
            <v>811209.69</v>
          </cell>
          <cell r="G95">
            <v>372742.74</v>
          </cell>
          <cell r="H95">
            <v>479027</v>
          </cell>
          <cell r="I95">
            <v>40935</v>
          </cell>
          <cell r="J95">
            <v>5.05</v>
          </cell>
          <cell r="K95">
            <v>11.7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45.9</v>
          </cell>
          <cell r="P95">
            <v>9.6</v>
          </cell>
          <cell r="Q95">
            <v>363476</v>
          </cell>
          <cell r="R95">
            <v>41758</v>
          </cell>
          <cell r="S95">
            <v>5.15</v>
          </cell>
        </row>
        <row r="96">
          <cell r="A96" t="str">
            <v xml:space="preserve">341.00 92           </v>
          </cell>
          <cell r="B96">
            <v>47664</v>
          </cell>
          <cell r="C96">
            <v>55</v>
          </cell>
          <cell r="D96" t="str">
            <v xml:space="preserve">   R4</v>
          </cell>
          <cell r="E96">
            <v>-5</v>
          </cell>
          <cell r="F96">
            <v>5035526.76</v>
          </cell>
          <cell r="G96">
            <v>4058710.98</v>
          </cell>
          <cell r="H96">
            <v>1228592</v>
          </cell>
          <cell r="I96">
            <v>90676</v>
          </cell>
          <cell r="J96">
            <v>1.8</v>
          </cell>
          <cell r="K96">
            <v>13.5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80.599999999999994</v>
          </cell>
          <cell r="P96">
            <v>23.8</v>
          </cell>
          <cell r="Q96">
            <v>3084304</v>
          </cell>
          <cell r="R96">
            <v>165867</v>
          </cell>
          <cell r="S96">
            <v>3.29</v>
          </cell>
        </row>
        <row r="97">
          <cell r="A97" t="str">
            <v xml:space="preserve">341.00 93           </v>
          </cell>
          <cell r="B97">
            <v>47664</v>
          </cell>
          <cell r="C97">
            <v>55</v>
          </cell>
          <cell r="D97" t="str">
            <v xml:space="preserve">   R4</v>
          </cell>
          <cell r="E97">
            <v>-5</v>
          </cell>
          <cell r="F97">
            <v>2735279.15</v>
          </cell>
          <cell r="G97">
            <v>2532961.56</v>
          </cell>
          <cell r="H97">
            <v>339082</v>
          </cell>
          <cell r="I97">
            <v>24785</v>
          </cell>
          <cell r="J97">
            <v>0.91</v>
          </cell>
          <cell r="K97">
            <v>13.7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92.6</v>
          </cell>
          <cell r="P97">
            <v>26.4</v>
          </cell>
          <cell r="Q97">
            <v>1800732</v>
          </cell>
          <cell r="R97">
            <v>81314</v>
          </cell>
          <cell r="S97">
            <v>2.97</v>
          </cell>
        </row>
        <row r="98">
          <cell r="A98" t="str">
            <v xml:space="preserve">341.00 95           </v>
          </cell>
          <cell r="B98">
            <v>50586</v>
          </cell>
          <cell r="C98">
            <v>55</v>
          </cell>
          <cell r="D98" t="str">
            <v xml:space="preserve">   R4</v>
          </cell>
          <cell r="E98">
            <v>-5</v>
          </cell>
          <cell r="F98">
            <v>1010183.43</v>
          </cell>
          <cell r="G98">
            <v>442590.24</v>
          </cell>
          <cell r="H98">
            <v>618102</v>
          </cell>
          <cell r="I98">
            <v>28546</v>
          </cell>
          <cell r="J98">
            <v>2.83</v>
          </cell>
          <cell r="K98">
            <v>21.7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43.8</v>
          </cell>
          <cell r="P98">
            <v>7.3</v>
          </cell>
          <cell r="Q98">
            <v>231263</v>
          </cell>
          <cell r="R98">
            <v>38576</v>
          </cell>
          <cell r="S98">
            <v>3.82</v>
          </cell>
        </row>
        <row r="99">
          <cell r="A99" t="str">
            <v xml:space="preserve">341.00 97           </v>
          </cell>
          <cell r="B99">
            <v>49125</v>
          </cell>
          <cell r="C99">
            <v>55</v>
          </cell>
          <cell r="D99" t="str">
            <v xml:space="preserve">   R4</v>
          </cell>
          <cell r="E99">
            <v>-5</v>
          </cell>
          <cell r="F99">
            <v>5927075</v>
          </cell>
          <cell r="G99">
            <v>3829888.98</v>
          </cell>
          <cell r="H99">
            <v>2393540</v>
          </cell>
          <cell r="I99">
            <v>135152</v>
          </cell>
          <cell r="J99">
            <v>2.2799999999999998</v>
          </cell>
          <cell r="K99">
            <v>17.7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64.599999999999994</v>
          </cell>
          <cell r="P99">
            <v>4.2</v>
          </cell>
          <cell r="Q99">
            <v>1204420</v>
          </cell>
          <cell r="R99">
            <v>283166</v>
          </cell>
          <cell r="S99">
            <v>4.78</v>
          </cell>
        </row>
        <row r="100">
          <cell r="A100" t="str">
            <v xml:space="preserve">341.01 73           </v>
          </cell>
          <cell r="B100">
            <v>50221</v>
          </cell>
          <cell r="C100">
            <v>55</v>
          </cell>
          <cell r="D100" t="str">
            <v xml:space="preserve">   R4</v>
          </cell>
          <cell r="E100">
            <v>-5</v>
          </cell>
          <cell r="F100">
            <v>31416965.73</v>
          </cell>
          <cell r="G100">
            <v>4583746.24</v>
          </cell>
          <cell r="H100">
            <v>28404068</v>
          </cell>
          <cell r="I100">
            <v>1373504</v>
          </cell>
          <cell r="J100">
            <v>4.37</v>
          </cell>
          <cell r="K100">
            <v>20.7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14.6</v>
          </cell>
          <cell r="P100">
            <v>4.2</v>
          </cell>
          <cell r="Q100">
            <v>5623763</v>
          </cell>
          <cell r="R100">
            <v>1322811</v>
          </cell>
          <cell r="S100">
            <v>4.21</v>
          </cell>
        </row>
        <row r="101">
          <cell r="A101" t="str">
            <v xml:space="preserve">341.01 94           </v>
          </cell>
          <cell r="B101">
            <v>47664</v>
          </cell>
          <cell r="C101">
            <v>55</v>
          </cell>
          <cell r="D101" t="str">
            <v xml:space="preserve">   R4</v>
          </cell>
          <cell r="E101">
            <v>-5</v>
          </cell>
          <cell r="F101">
            <v>3413471.97</v>
          </cell>
          <cell r="G101">
            <v>368034</v>
          </cell>
          <cell r="H101">
            <v>3216112</v>
          </cell>
          <cell r="I101">
            <v>234724</v>
          </cell>
          <cell r="J101">
            <v>6.88</v>
          </cell>
          <cell r="K101">
            <v>13.7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10.8</v>
          </cell>
          <cell r="P101">
            <v>10.199999999999999</v>
          </cell>
          <cell r="Q101">
            <v>1521213</v>
          </cell>
          <cell r="R101">
            <v>150619</v>
          </cell>
          <cell r="S101">
            <v>4.41</v>
          </cell>
        </row>
        <row r="102">
          <cell r="A102" t="str">
            <v xml:space="preserve">341.01 96           </v>
          </cell>
          <cell r="B102">
            <v>48029</v>
          </cell>
          <cell r="C102">
            <v>55</v>
          </cell>
          <cell r="D102" t="str">
            <v xml:space="preserve">   R4</v>
          </cell>
          <cell r="E102">
            <v>-5</v>
          </cell>
          <cell r="F102">
            <v>15120072.09</v>
          </cell>
          <cell r="G102">
            <v>3203467.94</v>
          </cell>
          <cell r="H102">
            <v>12672608</v>
          </cell>
          <cell r="I102">
            <v>862193</v>
          </cell>
          <cell r="J102">
            <v>5.7</v>
          </cell>
          <cell r="K102">
            <v>14.7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21.2</v>
          </cell>
          <cell r="P102">
            <v>9.4</v>
          </cell>
          <cell r="Q102">
            <v>6158262</v>
          </cell>
          <cell r="R102">
            <v>660874</v>
          </cell>
          <cell r="S102">
            <v>4.37</v>
          </cell>
        </row>
        <row r="103">
          <cell r="A103" t="str">
            <v xml:space="preserve">342.00 60           </v>
          </cell>
          <cell r="B103">
            <v>48760</v>
          </cell>
          <cell r="C103">
            <v>45</v>
          </cell>
          <cell r="D103" t="str">
            <v xml:space="preserve">   R3</v>
          </cell>
          <cell r="E103">
            <v>-5</v>
          </cell>
          <cell r="F103">
            <v>8121641.0800000001</v>
          </cell>
          <cell r="G103">
            <v>6540475.2699999996</v>
          </cell>
          <cell r="H103">
            <v>1987248</v>
          </cell>
          <cell r="I103">
            <v>125475</v>
          </cell>
          <cell r="J103">
            <v>1.54</v>
          </cell>
          <cell r="K103">
            <v>15.8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80.5</v>
          </cell>
          <cell r="P103">
            <v>16.100000000000001</v>
          </cell>
          <cell r="Q103">
            <v>4218287</v>
          </cell>
          <cell r="R103">
            <v>272354</v>
          </cell>
          <cell r="S103">
            <v>3.35</v>
          </cell>
        </row>
        <row r="104">
          <cell r="A104" t="str">
            <v xml:space="preserve">342.00 71           </v>
          </cell>
          <cell r="B104">
            <v>52047</v>
          </cell>
          <cell r="C104">
            <v>45</v>
          </cell>
          <cell r="D104" t="str">
            <v xml:space="preserve">   R3</v>
          </cell>
          <cell r="E104">
            <v>-5</v>
          </cell>
          <cell r="F104">
            <v>1804662.8</v>
          </cell>
          <cell r="G104">
            <v>697151.93</v>
          </cell>
          <cell r="H104">
            <v>1197744</v>
          </cell>
          <cell r="I104">
            <v>50752</v>
          </cell>
          <cell r="J104">
            <v>2.81</v>
          </cell>
          <cell r="K104">
            <v>23.6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38.6</v>
          </cell>
          <cell r="P104">
            <v>12.2</v>
          </cell>
          <cell r="Q104">
            <v>634828</v>
          </cell>
          <cell r="R104">
            <v>53436</v>
          </cell>
          <cell r="S104">
            <v>2.96</v>
          </cell>
        </row>
        <row r="105">
          <cell r="A105" t="str">
            <v xml:space="preserve">342.00 72           </v>
          </cell>
          <cell r="B105">
            <v>52778</v>
          </cell>
          <cell r="C105">
            <v>45</v>
          </cell>
          <cell r="D105" t="str">
            <v xml:space="preserve">   R3</v>
          </cell>
          <cell r="E105">
            <v>-5</v>
          </cell>
          <cell r="F105">
            <v>1887875</v>
          </cell>
          <cell r="G105">
            <v>1477641</v>
          </cell>
          <cell r="H105">
            <v>504628</v>
          </cell>
          <cell r="I105">
            <v>19635</v>
          </cell>
          <cell r="J105">
            <v>1.04</v>
          </cell>
          <cell r="K105">
            <v>25.7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78.3</v>
          </cell>
          <cell r="P105">
            <v>9.1999999999999993</v>
          </cell>
          <cell r="Q105">
            <v>515826</v>
          </cell>
          <cell r="R105">
            <v>57089</v>
          </cell>
          <cell r="S105">
            <v>3.02</v>
          </cell>
        </row>
        <row r="106">
          <cell r="A106" t="str">
            <v xml:space="preserve">342.00 74           </v>
          </cell>
          <cell r="B106">
            <v>53873</v>
          </cell>
          <cell r="C106">
            <v>45</v>
          </cell>
          <cell r="D106" t="str">
            <v xml:space="preserve">   R3</v>
          </cell>
          <cell r="E106">
            <v>-5</v>
          </cell>
          <cell r="F106">
            <v>1457862</v>
          </cell>
          <cell r="G106">
            <v>419774.87</v>
          </cell>
          <cell r="H106">
            <v>1110980</v>
          </cell>
          <cell r="I106">
            <v>39466</v>
          </cell>
          <cell r="J106">
            <v>2.71</v>
          </cell>
          <cell r="K106">
            <v>28.2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28.8</v>
          </cell>
          <cell r="P106">
            <v>8.1999999999999993</v>
          </cell>
          <cell r="Q106">
            <v>341068</v>
          </cell>
          <cell r="R106">
            <v>42249</v>
          </cell>
          <cell r="S106">
            <v>2.9</v>
          </cell>
        </row>
        <row r="107">
          <cell r="A107" t="str">
            <v xml:space="preserve">342.00 75           </v>
          </cell>
          <cell r="B107">
            <v>48760</v>
          </cell>
          <cell r="C107">
            <v>45</v>
          </cell>
          <cell r="D107" t="str">
            <v xml:space="preserve">   R3</v>
          </cell>
          <cell r="E107">
            <v>-5</v>
          </cell>
          <cell r="F107">
            <v>3889943.37</v>
          </cell>
          <cell r="G107">
            <v>3452527.24</v>
          </cell>
          <cell r="H107">
            <v>631913</v>
          </cell>
          <cell r="I107">
            <v>38673</v>
          </cell>
          <cell r="J107">
            <v>0.99</v>
          </cell>
          <cell r="K107">
            <v>16.3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88.8</v>
          </cell>
          <cell r="P107">
            <v>8.1999999999999993</v>
          </cell>
          <cell r="Q107">
            <v>1357015</v>
          </cell>
          <cell r="R107">
            <v>167054</v>
          </cell>
          <cell r="S107">
            <v>4.29</v>
          </cell>
        </row>
        <row r="108">
          <cell r="A108" t="str">
            <v xml:space="preserve">342.00 91           </v>
          </cell>
          <cell r="B108">
            <v>46934</v>
          </cell>
          <cell r="C108">
            <v>45</v>
          </cell>
          <cell r="D108" t="str">
            <v xml:space="preserve">   R3</v>
          </cell>
          <cell r="E108">
            <v>-5</v>
          </cell>
          <cell r="F108">
            <v>476309.45</v>
          </cell>
          <cell r="G108">
            <v>67263.19</v>
          </cell>
          <cell r="H108">
            <v>432862</v>
          </cell>
          <cell r="I108">
            <v>37348</v>
          </cell>
          <cell r="J108">
            <v>7.84</v>
          </cell>
          <cell r="K108">
            <v>11.6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14.1</v>
          </cell>
          <cell r="P108">
            <v>8.1999999999999993</v>
          </cell>
          <cell r="Q108">
            <v>206632</v>
          </cell>
          <cell r="R108">
            <v>25306</v>
          </cell>
          <cell r="S108">
            <v>5.31</v>
          </cell>
        </row>
        <row r="109">
          <cell r="A109" t="str">
            <v xml:space="preserve">342.00 92           </v>
          </cell>
          <cell r="B109">
            <v>47664</v>
          </cell>
          <cell r="C109">
            <v>45</v>
          </cell>
          <cell r="D109" t="str">
            <v xml:space="preserve">   R3</v>
          </cell>
          <cell r="E109">
            <v>-5</v>
          </cell>
          <cell r="F109">
            <v>3739991.62</v>
          </cell>
          <cell r="G109">
            <v>2415322.15</v>
          </cell>
          <cell r="H109">
            <v>1511669</v>
          </cell>
          <cell r="I109">
            <v>122288</v>
          </cell>
          <cell r="J109">
            <v>3.27</v>
          </cell>
          <cell r="K109">
            <v>12.4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64.599999999999994</v>
          </cell>
          <cell r="P109">
            <v>25.2</v>
          </cell>
          <cell r="Q109">
            <v>2389249</v>
          </cell>
          <cell r="R109">
            <v>124613</v>
          </cell>
          <cell r="S109">
            <v>3.33</v>
          </cell>
        </row>
        <row r="110">
          <cell r="A110" t="str">
            <v xml:space="preserve">342.00 93           </v>
          </cell>
          <cell r="B110">
            <v>47664</v>
          </cell>
          <cell r="C110">
            <v>45</v>
          </cell>
          <cell r="D110" t="str">
            <v xml:space="preserve">   R3</v>
          </cell>
          <cell r="E110">
            <v>-5</v>
          </cell>
          <cell r="F110">
            <v>3702107.48</v>
          </cell>
          <cell r="G110">
            <v>3642779</v>
          </cell>
          <cell r="H110">
            <v>244434</v>
          </cell>
          <cell r="I110">
            <v>20693</v>
          </cell>
          <cell r="J110">
            <v>0.56000000000000005</v>
          </cell>
          <cell r="K110">
            <v>11.8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98.4</v>
          </cell>
          <cell r="P110">
            <v>32.4</v>
          </cell>
          <cell r="Q110">
            <v>2791331</v>
          </cell>
          <cell r="R110">
            <v>96685</v>
          </cell>
          <cell r="S110">
            <v>2.61</v>
          </cell>
        </row>
        <row r="111">
          <cell r="A111" t="str">
            <v xml:space="preserve">342.00 95           </v>
          </cell>
          <cell r="B111">
            <v>50586</v>
          </cell>
          <cell r="C111">
            <v>45</v>
          </cell>
          <cell r="D111" t="str">
            <v xml:space="preserve">   R3</v>
          </cell>
          <cell r="E111">
            <v>-5</v>
          </cell>
          <cell r="F111">
            <v>134194.70000000001</v>
          </cell>
          <cell r="G111">
            <v>138223</v>
          </cell>
          <cell r="H111">
            <v>2681</v>
          </cell>
          <cell r="I111">
            <v>134</v>
          </cell>
          <cell r="J111">
            <v>0.1</v>
          </cell>
          <cell r="K111">
            <v>20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103</v>
          </cell>
          <cell r="P111">
            <v>35</v>
          </cell>
          <cell r="Q111">
            <v>96331</v>
          </cell>
          <cell r="R111">
            <v>3285</v>
          </cell>
          <cell r="S111">
            <v>2.4500000000000002</v>
          </cell>
        </row>
        <row r="112">
          <cell r="A112" t="str">
            <v xml:space="preserve">342.00 97           </v>
          </cell>
          <cell r="B112">
            <v>49125</v>
          </cell>
          <cell r="C112">
            <v>45</v>
          </cell>
          <cell r="D112" t="str">
            <v xml:space="preserve">   R3</v>
          </cell>
          <cell r="E112">
            <v>-5</v>
          </cell>
          <cell r="F112">
            <v>418443</v>
          </cell>
          <cell r="G112">
            <v>286449.33</v>
          </cell>
          <cell r="H112">
            <v>152916</v>
          </cell>
          <cell r="I112">
            <v>8763</v>
          </cell>
          <cell r="J112">
            <v>2.09</v>
          </cell>
          <cell r="K112">
            <v>17.5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68.5</v>
          </cell>
          <cell r="P112">
            <v>4.2</v>
          </cell>
          <cell r="Q112">
            <v>85399</v>
          </cell>
          <cell r="R112">
            <v>20299</v>
          </cell>
          <cell r="S112">
            <v>4.8499999999999996</v>
          </cell>
        </row>
        <row r="113">
          <cell r="A113" t="str">
            <v xml:space="preserve">344.00 91           </v>
          </cell>
          <cell r="B113">
            <v>46934</v>
          </cell>
          <cell r="C113">
            <v>60</v>
          </cell>
          <cell r="D113" t="str">
            <v xml:space="preserve">   R3</v>
          </cell>
          <cell r="E113">
            <v>-5</v>
          </cell>
          <cell r="F113">
            <v>575842.91</v>
          </cell>
          <cell r="G113">
            <v>405828.63</v>
          </cell>
          <cell r="H113">
            <v>198806</v>
          </cell>
          <cell r="I113">
            <v>17279</v>
          </cell>
          <cell r="J113">
            <v>3</v>
          </cell>
          <cell r="K113">
            <v>11.5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70.5</v>
          </cell>
          <cell r="P113">
            <v>23.8</v>
          </cell>
          <cell r="Q113">
            <v>356767</v>
          </cell>
          <cell r="R113">
            <v>21752</v>
          </cell>
          <cell r="S113">
            <v>3.78</v>
          </cell>
        </row>
        <row r="114">
          <cell r="A114" t="str">
            <v xml:space="preserve">344.00 92           </v>
          </cell>
          <cell r="B114">
            <v>47664</v>
          </cell>
          <cell r="C114">
            <v>60</v>
          </cell>
          <cell r="D114" t="str">
            <v xml:space="preserve">   R3</v>
          </cell>
          <cell r="E114">
            <v>-5</v>
          </cell>
          <cell r="F114">
            <v>99010602.659999996</v>
          </cell>
          <cell r="G114">
            <v>66636896.340000004</v>
          </cell>
          <cell r="H114">
            <v>37324236</v>
          </cell>
          <cell r="I114">
            <v>2738639</v>
          </cell>
          <cell r="J114">
            <v>2.77</v>
          </cell>
          <cell r="K114">
            <v>13.6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67.3</v>
          </cell>
          <cell r="P114">
            <v>16.7</v>
          </cell>
          <cell r="Q114">
            <v>48682384</v>
          </cell>
          <cell r="R114">
            <v>4095755</v>
          </cell>
          <cell r="S114">
            <v>4.1399999999999997</v>
          </cell>
        </row>
        <row r="115">
          <cell r="A115" t="str">
            <v xml:space="preserve">344.00 93           </v>
          </cell>
          <cell r="B115">
            <v>47664</v>
          </cell>
          <cell r="C115">
            <v>60</v>
          </cell>
          <cell r="D115" t="str">
            <v xml:space="preserve">   R3</v>
          </cell>
          <cell r="E115">
            <v>-5</v>
          </cell>
          <cell r="F115">
            <v>30004024.960000001</v>
          </cell>
          <cell r="G115">
            <v>24750966</v>
          </cell>
          <cell r="H115">
            <v>6753260</v>
          </cell>
          <cell r="I115">
            <v>506008</v>
          </cell>
          <cell r="J115">
            <v>1.69</v>
          </cell>
          <cell r="K115">
            <v>13.3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82.5</v>
          </cell>
          <cell r="P115">
            <v>28.4</v>
          </cell>
          <cell r="Q115">
            <v>19749096</v>
          </cell>
          <cell r="R115">
            <v>893918</v>
          </cell>
          <cell r="S115">
            <v>2.98</v>
          </cell>
        </row>
        <row r="116">
          <cell r="A116" t="str">
            <v xml:space="preserve">344.00 95           </v>
          </cell>
          <cell r="B116">
            <v>50586</v>
          </cell>
          <cell r="C116">
            <v>60</v>
          </cell>
          <cell r="D116" t="str">
            <v xml:space="preserve">   R3</v>
          </cell>
          <cell r="E116">
            <v>-5</v>
          </cell>
          <cell r="F116">
            <v>33087674.329999998</v>
          </cell>
          <cell r="G116">
            <v>30119678</v>
          </cell>
          <cell r="H116">
            <v>4622380</v>
          </cell>
          <cell r="I116">
            <v>216097</v>
          </cell>
          <cell r="J116">
            <v>0.65</v>
          </cell>
          <cell r="K116">
            <v>21.4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91</v>
          </cell>
          <cell r="P116">
            <v>7.4</v>
          </cell>
          <cell r="Q116">
            <v>8847274</v>
          </cell>
          <cell r="R116">
            <v>1210617</v>
          </cell>
          <cell r="S116">
            <v>3.66</v>
          </cell>
        </row>
        <row r="117">
          <cell r="A117" t="str">
            <v xml:space="preserve">344.01 73           </v>
          </cell>
          <cell r="B117">
            <v>50221</v>
          </cell>
          <cell r="C117">
            <v>40</v>
          </cell>
          <cell r="D117" t="str">
            <v xml:space="preserve"> R2.5</v>
          </cell>
          <cell r="E117">
            <v>-5</v>
          </cell>
          <cell r="F117">
            <v>583581424.75999999</v>
          </cell>
          <cell r="G117">
            <v>112902902.83</v>
          </cell>
          <cell r="H117">
            <v>499857593</v>
          </cell>
          <cell r="I117">
            <v>25258090</v>
          </cell>
          <cell r="J117">
            <v>4.33</v>
          </cell>
          <cell r="K117">
            <v>19.8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19.3</v>
          </cell>
          <cell r="P117">
            <v>4.2</v>
          </cell>
          <cell r="Q117">
            <v>104947490</v>
          </cell>
          <cell r="R117">
            <v>25674665</v>
          </cell>
          <cell r="S117">
            <v>4.4000000000000004</v>
          </cell>
        </row>
        <row r="118">
          <cell r="A118" t="str">
            <v xml:space="preserve">344.01 94           </v>
          </cell>
          <cell r="B118">
            <v>47664</v>
          </cell>
          <cell r="C118">
            <v>40</v>
          </cell>
          <cell r="D118" t="str">
            <v xml:space="preserve"> R2.5</v>
          </cell>
          <cell r="E118">
            <v>-5</v>
          </cell>
          <cell r="F118">
            <v>153525782.00999999</v>
          </cell>
          <cell r="G118">
            <v>62513564</v>
          </cell>
          <cell r="H118">
            <v>98688507</v>
          </cell>
          <cell r="I118">
            <v>7495174</v>
          </cell>
          <cell r="J118">
            <v>4.88</v>
          </cell>
          <cell r="K118">
            <v>13.2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40.700000000000003</v>
          </cell>
          <cell r="P118">
            <v>10.6</v>
          </cell>
          <cell r="Q118">
            <v>69123174</v>
          </cell>
          <cell r="R118">
            <v>6996141</v>
          </cell>
          <cell r="S118">
            <v>4.5599999999999996</v>
          </cell>
        </row>
        <row r="119">
          <cell r="A119" t="str">
            <v xml:space="preserve">344.01 96           </v>
          </cell>
          <cell r="B119">
            <v>48029</v>
          </cell>
          <cell r="C119">
            <v>40</v>
          </cell>
          <cell r="D119" t="str">
            <v xml:space="preserve"> R2.5</v>
          </cell>
          <cell r="E119">
            <v>-5</v>
          </cell>
          <cell r="F119">
            <v>372345403.38</v>
          </cell>
          <cell r="G119">
            <v>136231904.43000001</v>
          </cell>
          <cell r="H119">
            <v>254730769</v>
          </cell>
          <cell r="I119">
            <v>18030523</v>
          </cell>
          <cell r="J119">
            <v>4.84</v>
          </cell>
          <cell r="K119">
            <v>14.1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36.6</v>
          </cell>
          <cell r="P119">
            <v>9.4</v>
          </cell>
          <cell r="Q119">
            <v>150896939</v>
          </cell>
          <cell r="R119">
            <v>17000280</v>
          </cell>
          <cell r="S119">
            <v>4.57</v>
          </cell>
        </row>
        <row r="120">
          <cell r="A120" t="str">
            <v xml:space="preserve">344.20 60           </v>
          </cell>
          <cell r="B120">
            <v>48760</v>
          </cell>
          <cell r="C120">
            <v>12</v>
          </cell>
          <cell r="D120" t="str">
            <v xml:space="preserve"> L0.5</v>
          </cell>
          <cell r="E120">
            <v>20</v>
          </cell>
          <cell r="F120">
            <v>74375981.069999993</v>
          </cell>
          <cell r="G120">
            <v>56434886.100000001</v>
          </cell>
          <cell r="H120">
            <v>3065899</v>
          </cell>
          <cell r="I120">
            <v>540356</v>
          </cell>
          <cell r="J120">
            <v>0.73</v>
          </cell>
          <cell r="K120">
            <v>5.7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75.900000000000006</v>
          </cell>
          <cell r="P120">
            <v>15.8</v>
          </cell>
          <cell r="Q120">
            <v>33770295</v>
          </cell>
          <cell r="R120">
            <v>4965816</v>
          </cell>
          <cell r="S120">
            <v>6.68</v>
          </cell>
        </row>
        <row r="121">
          <cell r="A121" t="str">
            <v xml:space="preserve">344.20 71           </v>
          </cell>
          <cell r="B121">
            <v>52047</v>
          </cell>
          <cell r="C121">
            <v>12</v>
          </cell>
          <cell r="D121" t="str">
            <v xml:space="preserve"> L0.5</v>
          </cell>
          <cell r="E121">
            <v>20</v>
          </cell>
          <cell r="F121">
            <v>26006934.52</v>
          </cell>
          <cell r="G121">
            <v>1397214.18</v>
          </cell>
          <cell r="H121">
            <v>19408333</v>
          </cell>
          <cell r="I121">
            <v>2999348</v>
          </cell>
          <cell r="J121">
            <v>11.53</v>
          </cell>
          <cell r="K121">
            <v>6.5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5.4</v>
          </cell>
          <cell r="P121">
            <v>11.2</v>
          </cell>
          <cell r="Q121">
            <v>9485052</v>
          </cell>
          <cell r="R121">
            <v>1733551</v>
          </cell>
          <cell r="S121">
            <v>6.67</v>
          </cell>
        </row>
        <row r="122">
          <cell r="A122" t="str">
            <v xml:space="preserve">344.20 72           </v>
          </cell>
          <cell r="B122">
            <v>52778</v>
          </cell>
          <cell r="C122">
            <v>12</v>
          </cell>
          <cell r="D122" t="str">
            <v xml:space="preserve"> L0.5</v>
          </cell>
          <cell r="E122">
            <v>20</v>
          </cell>
          <cell r="F122">
            <v>83514274.030000001</v>
          </cell>
          <cell r="G122">
            <v>8066153.1100000003</v>
          </cell>
          <cell r="H122">
            <v>58745266</v>
          </cell>
          <cell r="I122">
            <v>7147793</v>
          </cell>
          <cell r="J122">
            <v>8.56</v>
          </cell>
          <cell r="K122">
            <v>8.1999999999999993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9.6999999999999993</v>
          </cell>
          <cell r="P122">
            <v>6.5</v>
          </cell>
          <cell r="Q122">
            <v>19433408</v>
          </cell>
          <cell r="R122">
            <v>5575398</v>
          </cell>
          <cell r="S122">
            <v>6.68</v>
          </cell>
        </row>
        <row r="123">
          <cell r="A123" t="str">
            <v xml:space="preserve">344.20 74           </v>
          </cell>
          <cell r="B123">
            <v>53873</v>
          </cell>
          <cell r="C123">
            <v>12</v>
          </cell>
          <cell r="D123" t="str">
            <v xml:space="preserve"> L0.5</v>
          </cell>
          <cell r="E123">
            <v>20</v>
          </cell>
          <cell r="F123">
            <v>32380061.68</v>
          </cell>
          <cell r="G123">
            <v>2715653.77</v>
          </cell>
          <cell r="H123">
            <v>23188396</v>
          </cell>
          <cell r="I123">
            <v>2902863</v>
          </cell>
          <cell r="J123">
            <v>8.9600000000000009</v>
          </cell>
          <cell r="K123">
            <v>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8.4</v>
          </cell>
          <cell r="P123">
            <v>6.9</v>
          </cell>
          <cell r="Q123">
            <v>8442189</v>
          </cell>
          <cell r="R123">
            <v>2158425</v>
          </cell>
          <cell r="S123">
            <v>6.67</v>
          </cell>
        </row>
        <row r="124">
          <cell r="A124" t="str">
            <v xml:space="preserve">344.20 75           </v>
          </cell>
          <cell r="B124">
            <v>48760</v>
          </cell>
          <cell r="C124">
            <v>12</v>
          </cell>
          <cell r="D124" t="str">
            <v xml:space="preserve"> L0.5</v>
          </cell>
          <cell r="E124">
            <v>20</v>
          </cell>
          <cell r="F124">
            <v>27973570.460000001</v>
          </cell>
          <cell r="G124">
            <v>20284083.969999999</v>
          </cell>
          <cell r="H124">
            <v>2094772</v>
          </cell>
          <cell r="I124">
            <v>267769</v>
          </cell>
          <cell r="J124">
            <v>0.96</v>
          </cell>
          <cell r="K124">
            <v>7.8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72.5</v>
          </cell>
          <cell r="P124">
            <v>7.9</v>
          </cell>
          <cell r="Q124">
            <v>8403382</v>
          </cell>
          <cell r="R124">
            <v>1895966</v>
          </cell>
          <cell r="S124">
            <v>6.78</v>
          </cell>
        </row>
        <row r="125">
          <cell r="A125" t="str">
            <v xml:space="preserve">344.20 97           </v>
          </cell>
          <cell r="B125">
            <v>49125</v>
          </cell>
          <cell r="C125">
            <v>12</v>
          </cell>
          <cell r="D125" t="str">
            <v xml:space="preserve"> L0.5</v>
          </cell>
          <cell r="E125">
            <v>20</v>
          </cell>
          <cell r="F125">
            <v>53610403.710000001</v>
          </cell>
          <cell r="G125">
            <v>35341321.460000001</v>
          </cell>
          <cell r="H125">
            <v>7547002</v>
          </cell>
          <cell r="I125">
            <v>854758</v>
          </cell>
          <cell r="J125">
            <v>1.59</v>
          </cell>
          <cell r="K125">
            <v>8.8000000000000007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65.900000000000006</v>
          </cell>
          <cell r="P125">
            <v>4.2</v>
          </cell>
          <cell r="Q125">
            <v>10628841</v>
          </cell>
          <cell r="R125">
            <v>3687212</v>
          </cell>
          <cell r="S125">
            <v>6.88</v>
          </cell>
        </row>
        <row r="126">
          <cell r="A126" t="str">
            <v xml:space="preserve">345.00 60           </v>
          </cell>
          <cell r="B126">
            <v>48760</v>
          </cell>
          <cell r="C126">
            <v>45</v>
          </cell>
          <cell r="D126" t="str">
            <v xml:space="preserve"> S1.5</v>
          </cell>
          <cell r="E126">
            <v>-5</v>
          </cell>
          <cell r="F126">
            <v>2021517.63</v>
          </cell>
          <cell r="G126">
            <v>1613489.89</v>
          </cell>
          <cell r="H126">
            <v>509104</v>
          </cell>
          <cell r="I126">
            <v>33297</v>
          </cell>
          <cell r="J126">
            <v>1.65</v>
          </cell>
          <cell r="K126">
            <v>15.3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79.8</v>
          </cell>
          <cell r="P126">
            <v>16.2</v>
          </cell>
          <cell r="Q126">
            <v>1072631</v>
          </cell>
          <cell r="R126">
            <v>68772</v>
          </cell>
          <cell r="S126">
            <v>3.4</v>
          </cell>
        </row>
        <row r="127">
          <cell r="A127" t="str">
            <v xml:space="preserve">345.00 71           </v>
          </cell>
          <cell r="B127">
            <v>52047</v>
          </cell>
          <cell r="C127">
            <v>45</v>
          </cell>
          <cell r="D127" t="str">
            <v xml:space="preserve"> S1.5</v>
          </cell>
          <cell r="E127">
            <v>-5</v>
          </cell>
          <cell r="F127">
            <v>296766.71999999997</v>
          </cell>
          <cell r="G127">
            <v>111118.95</v>
          </cell>
          <cell r="H127">
            <v>200486</v>
          </cell>
          <cell r="I127">
            <v>8875</v>
          </cell>
          <cell r="J127">
            <v>2.99</v>
          </cell>
          <cell r="K127">
            <v>22.6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37.4</v>
          </cell>
          <cell r="P127">
            <v>12.2</v>
          </cell>
          <cell r="Q127">
            <v>107395</v>
          </cell>
          <cell r="R127">
            <v>9037</v>
          </cell>
          <cell r="S127">
            <v>3.05</v>
          </cell>
        </row>
        <row r="128">
          <cell r="A128" t="str">
            <v xml:space="preserve">345.00 72           </v>
          </cell>
          <cell r="B128">
            <v>52778</v>
          </cell>
          <cell r="C128">
            <v>45</v>
          </cell>
          <cell r="D128" t="str">
            <v xml:space="preserve"> S1.5</v>
          </cell>
          <cell r="E128">
            <v>-5</v>
          </cell>
          <cell r="F128">
            <v>9468135</v>
          </cell>
          <cell r="G128">
            <v>7420970.2599999998</v>
          </cell>
          <cell r="H128">
            <v>2520571</v>
          </cell>
          <cell r="I128">
            <v>101965</v>
          </cell>
          <cell r="J128">
            <v>1.08</v>
          </cell>
          <cell r="K128">
            <v>24.7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78.400000000000006</v>
          </cell>
          <cell r="P128">
            <v>9.1999999999999993</v>
          </cell>
          <cell r="Q128">
            <v>2670696</v>
          </cell>
          <cell r="R128">
            <v>294270</v>
          </cell>
          <cell r="S128">
            <v>3.11</v>
          </cell>
        </row>
        <row r="129">
          <cell r="A129" t="str">
            <v xml:space="preserve">345.00 74           </v>
          </cell>
          <cell r="B129">
            <v>53873</v>
          </cell>
          <cell r="C129">
            <v>45</v>
          </cell>
          <cell r="D129" t="str">
            <v xml:space="preserve"> S1.5</v>
          </cell>
          <cell r="E129">
            <v>-5</v>
          </cell>
          <cell r="F129">
            <v>2823972</v>
          </cell>
          <cell r="G129">
            <v>810921.32</v>
          </cell>
          <cell r="H129">
            <v>2154249</v>
          </cell>
          <cell r="I129">
            <v>79787</v>
          </cell>
          <cell r="J129">
            <v>2.83</v>
          </cell>
          <cell r="K129">
            <v>27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28.7</v>
          </cell>
          <cell r="P129">
            <v>8.1999999999999993</v>
          </cell>
          <cell r="Q129">
            <v>685577</v>
          </cell>
          <cell r="R129">
            <v>84507</v>
          </cell>
          <cell r="S129">
            <v>2.99</v>
          </cell>
        </row>
        <row r="130">
          <cell r="A130" t="str">
            <v xml:space="preserve">345.00 75           </v>
          </cell>
          <cell r="B130">
            <v>48760</v>
          </cell>
          <cell r="C130">
            <v>45</v>
          </cell>
          <cell r="D130" t="str">
            <v xml:space="preserve"> S1.5</v>
          </cell>
          <cell r="E130">
            <v>-5</v>
          </cell>
          <cell r="F130">
            <v>4392925.1399999997</v>
          </cell>
          <cell r="G130">
            <v>3714712.25</v>
          </cell>
          <cell r="H130">
            <v>897859</v>
          </cell>
          <cell r="I130">
            <v>55659</v>
          </cell>
          <cell r="J130">
            <v>1.27</v>
          </cell>
          <cell r="K130">
            <v>16.100000000000001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84.6</v>
          </cell>
          <cell r="P130">
            <v>8.1</v>
          </cell>
          <cell r="Q130">
            <v>1533399</v>
          </cell>
          <cell r="R130">
            <v>191083</v>
          </cell>
          <cell r="S130">
            <v>4.3499999999999996</v>
          </cell>
        </row>
        <row r="131">
          <cell r="A131" t="str">
            <v xml:space="preserve">345.00 91           </v>
          </cell>
          <cell r="B131">
            <v>46934</v>
          </cell>
          <cell r="C131">
            <v>45</v>
          </cell>
          <cell r="D131" t="str">
            <v xml:space="preserve"> S1.5</v>
          </cell>
          <cell r="E131">
            <v>-5</v>
          </cell>
          <cell r="F131">
            <v>406679.71</v>
          </cell>
          <cell r="G131">
            <v>188926.64</v>
          </cell>
          <cell r="H131">
            <v>238087</v>
          </cell>
          <cell r="I131">
            <v>20822</v>
          </cell>
          <cell r="J131">
            <v>5.12</v>
          </cell>
          <cell r="K131">
            <v>11.4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46.5</v>
          </cell>
          <cell r="P131">
            <v>10.4</v>
          </cell>
          <cell r="Q131">
            <v>188690</v>
          </cell>
          <cell r="R131">
            <v>20854</v>
          </cell>
          <cell r="S131">
            <v>5.13</v>
          </cell>
        </row>
        <row r="132">
          <cell r="A132" t="str">
            <v xml:space="preserve">345.00 92           </v>
          </cell>
          <cell r="B132">
            <v>47664</v>
          </cell>
          <cell r="C132">
            <v>45</v>
          </cell>
          <cell r="D132" t="str">
            <v xml:space="preserve"> S1.5</v>
          </cell>
          <cell r="E132">
            <v>-5</v>
          </cell>
          <cell r="F132">
            <v>7187907.9199999999</v>
          </cell>
          <cell r="G132">
            <v>3377314.53</v>
          </cell>
          <cell r="H132">
            <v>4169989</v>
          </cell>
          <cell r="I132">
            <v>309159</v>
          </cell>
          <cell r="J132">
            <v>4.3</v>
          </cell>
          <cell r="K132">
            <v>13.5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47</v>
          </cell>
          <cell r="P132">
            <v>8.1</v>
          </cell>
          <cell r="Q132">
            <v>2495585</v>
          </cell>
          <cell r="R132">
            <v>377317</v>
          </cell>
          <cell r="S132">
            <v>5.25</v>
          </cell>
        </row>
        <row r="133">
          <cell r="A133" t="str">
            <v xml:space="preserve">345.00 93           </v>
          </cell>
          <cell r="B133">
            <v>47664</v>
          </cell>
          <cell r="C133">
            <v>45</v>
          </cell>
          <cell r="D133" t="str">
            <v xml:space="preserve"> S1.5</v>
          </cell>
          <cell r="E133">
            <v>-5</v>
          </cell>
          <cell r="F133">
            <v>2438637.16</v>
          </cell>
          <cell r="G133">
            <v>1763154.56</v>
          </cell>
          <cell r="H133">
            <v>797414</v>
          </cell>
          <cell r="I133">
            <v>59300</v>
          </cell>
          <cell r="J133">
            <v>2.4300000000000002</v>
          </cell>
          <cell r="K133">
            <v>13.4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72.3</v>
          </cell>
          <cell r="P133">
            <v>14.6</v>
          </cell>
          <cell r="Q133">
            <v>1147772</v>
          </cell>
          <cell r="R133">
            <v>108366</v>
          </cell>
          <cell r="S133">
            <v>4.4400000000000004</v>
          </cell>
        </row>
        <row r="134">
          <cell r="A134" t="str">
            <v xml:space="preserve">345.00 95           </v>
          </cell>
          <cell r="B134">
            <v>50586</v>
          </cell>
          <cell r="C134">
            <v>45</v>
          </cell>
          <cell r="D134" t="str">
            <v xml:space="preserve"> S1.5</v>
          </cell>
          <cell r="E134">
            <v>-5</v>
          </cell>
          <cell r="F134">
            <v>201938.39</v>
          </cell>
          <cell r="G134">
            <v>172084.92</v>
          </cell>
          <cell r="H134">
            <v>39950</v>
          </cell>
          <cell r="I134">
            <v>2007</v>
          </cell>
          <cell r="J134">
            <v>0.99</v>
          </cell>
          <cell r="K134">
            <v>19.899999999999999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85.2</v>
          </cell>
          <cell r="P134">
            <v>21.6</v>
          </cell>
          <cell r="Q134">
            <v>105087</v>
          </cell>
          <cell r="R134">
            <v>5955</v>
          </cell>
          <cell r="S134">
            <v>2.95</v>
          </cell>
        </row>
        <row r="135">
          <cell r="A135" t="str">
            <v xml:space="preserve">345.00 97           </v>
          </cell>
          <cell r="B135">
            <v>49125</v>
          </cell>
          <cell r="C135">
            <v>45</v>
          </cell>
          <cell r="D135" t="str">
            <v xml:space="preserve"> S1.5</v>
          </cell>
          <cell r="E135">
            <v>-5</v>
          </cell>
          <cell r="F135">
            <v>3521060.99</v>
          </cell>
          <cell r="G135">
            <v>2410379.06</v>
          </cell>
          <cell r="H135">
            <v>1286735</v>
          </cell>
          <cell r="I135">
            <v>74292</v>
          </cell>
          <cell r="J135">
            <v>2.11</v>
          </cell>
          <cell r="K135">
            <v>17.3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68.5</v>
          </cell>
          <cell r="P135">
            <v>4.2</v>
          </cell>
          <cell r="Q135">
            <v>727074</v>
          </cell>
          <cell r="R135">
            <v>171546</v>
          </cell>
          <cell r="S135">
            <v>4.87</v>
          </cell>
        </row>
        <row r="136">
          <cell r="A136" t="str">
            <v xml:space="preserve">345.01 73           </v>
          </cell>
          <cell r="B136">
            <v>50221</v>
          </cell>
          <cell r="C136">
            <v>45</v>
          </cell>
          <cell r="D136" t="str">
            <v xml:space="preserve"> S1.5</v>
          </cell>
          <cell r="E136">
            <v>-5</v>
          </cell>
          <cell r="F136">
            <v>68432625.079999998</v>
          </cell>
          <cell r="G136">
            <v>13311770.689999999</v>
          </cell>
          <cell r="H136">
            <v>58542486</v>
          </cell>
          <cell r="I136">
            <v>2921282</v>
          </cell>
          <cell r="J136">
            <v>4.2699999999999996</v>
          </cell>
          <cell r="K136">
            <v>20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19.5</v>
          </cell>
          <cell r="P136">
            <v>4.2</v>
          </cell>
          <cell r="Q136">
            <v>12547909</v>
          </cell>
          <cell r="R136">
            <v>2960395</v>
          </cell>
          <cell r="S136">
            <v>4.33</v>
          </cell>
        </row>
        <row r="137">
          <cell r="A137" t="str">
            <v xml:space="preserve">345.01 94           </v>
          </cell>
          <cell r="B137">
            <v>47664</v>
          </cell>
          <cell r="C137">
            <v>45</v>
          </cell>
          <cell r="D137" t="str">
            <v xml:space="preserve"> S1.5</v>
          </cell>
          <cell r="E137">
            <v>-5</v>
          </cell>
          <cell r="F137">
            <v>13903072.539999999</v>
          </cell>
          <cell r="G137">
            <v>5771432.5</v>
          </cell>
          <cell r="H137">
            <v>8826794</v>
          </cell>
          <cell r="I137">
            <v>665811</v>
          </cell>
          <cell r="J137">
            <v>4.79</v>
          </cell>
          <cell r="K137">
            <v>13.3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41.5</v>
          </cell>
          <cell r="P137">
            <v>10.5</v>
          </cell>
          <cell r="Q137">
            <v>6306477</v>
          </cell>
          <cell r="R137">
            <v>625594</v>
          </cell>
          <cell r="S137">
            <v>4.5</v>
          </cell>
        </row>
        <row r="138">
          <cell r="A138" t="str">
            <v xml:space="preserve">345.01 96           </v>
          </cell>
          <cell r="B138">
            <v>48029</v>
          </cell>
          <cell r="C138">
            <v>45</v>
          </cell>
          <cell r="D138" t="str">
            <v xml:space="preserve"> S1.5</v>
          </cell>
          <cell r="E138">
            <v>-5</v>
          </cell>
          <cell r="F138">
            <v>36997247.700000003</v>
          </cell>
          <cell r="G138">
            <v>13607936.76</v>
          </cell>
          <cell r="H138">
            <v>25239173</v>
          </cell>
          <cell r="I138">
            <v>1772155</v>
          </cell>
          <cell r="J138">
            <v>4.79</v>
          </cell>
          <cell r="K138">
            <v>14.2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36.799999999999997</v>
          </cell>
          <cell r="P138">
            <v>9.1999999999999993</v>
          </cell>
          <cell r="Q138">
            <v>15050265</v>
          </cell>
          <cell r="R138">
            <v>1671687</v>
          </cell>
          <cell r="S138">
            <v>4.5199999999999996</v>
          </cell>
        </row>
        <row r="139">
          <cell r="A139" t="str">
            <v xml:space="preserve">346.00 60           </v>
          </cell>
          <cell r="B139">
            <v>48760</v>
          </cell>
          <cell r="C139">
            <v>45</v>
          </cell>
          <cell r="D139" t="str">
            <v xml:space="preserve"> S1.5</v>
          </cell>
          <cell r="E139">
            <v>-5</v>
          </cell>
          <cell r="F139">
            <v>792720.88</v>
          </cell>
          <cell r="G139">
            <v>114830.56</v>
          </cell>
          <cell r="H139">
            <v>717526</v>
          </cell>
          <cell r="I139">
            <v>45000</v>
          </cell>
          <cell r="J139">
            <v>5.68</v>
          </cell>
          <cell r="K139">
            <v>15.9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14.5</v>
          </cell>
          <cell r="P139">
            <v>9.4</v>
          </cell>
          <cell r="Q139">
            <v>276085</v>
          </cell>
          <cell r="R139">
            <v>34725</v>
          </cell>
          <cell r="S139">
            <v>4.38</v>
          </cell>
        </row>
        <row r="140">
          <cell r="A140" t="str">
            <v xml:space="preserve">346.00 72           </v>
          </cell>
          <cell r="B140">
            <v>52778</v>
          </cell>
          <cell r="C140">
            <v>45</v>
          </cell>
          <cell r="D140" t="str">
            <v xml:space="preserve"> S1.5</v>
          </cell>
          <cell r="E140">
            <v>-5</v>
          </cell>
          <cell r="F140">
            <v>2134388</v>
          </cell>
          <cell r="G140">
            <v>1670586.7</v>
          </cell>
          <cell r="H140">
            <v>570521</v>
          </cell>
          <cell r="I140">
            <v>23079</v>
          </cell>
          <cell r="J140">
            <v>1.08</v>
          </cell>
          <cell r="K140">
            <v>24.7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78.3</v>
          </cell>
          <cell r="P140">
            <v>9.1999999999999993</v>
          </cell>
          <cell r="Q140">
            <v>602051</v>
          </cell>
          <cell r="R140">
            <v>66337</v>
          </cell>
          <cell r="S140">
            <v>3.11</v>
          </cell>
        </row>
        <row r="141">
          <cell r="A141" t="str">
            <v xml:space="preserve">346.00 74           </v>
          </cell>
          <cell r="B141">
            <v>53873</v>
          </cell>
          <cell r="C141">
            <v>45</v>
          </cell>
          <cell r="D141" t="str">
            <v xml:space="preserve"> S1.5</v>
          </cell>
          <cell r="E141">
            <v>-5</v>
          </cell>
          <cell r="F141">
            <v>717365.05</v>
          </cell>
          <cell r="G141">
            <v>200277.77</v>
          </cell>
          <cell r="H141">
            <v>552956</v>
          </cell>
          <cell r="I141">
            <v>20425</v>
          </cell>
          <cell r="J141">
            <v>2.85</v>
          </cell>
          <cell r="K141">
            <v>27.1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27.9</v>
          </cell>
          <cell r="P141">
            <v>8</v>
          </cell>
          <cell r="Q141">
            <v>170079</v>
          </cell>
          <cell r="R141">
            <v>21560</v>
          </cell>
          <cell r="S141">
            <v>3.01</v>
          </cell>
        </row>
        <row r="142">
          <cell r="A142" t="str">
            <v xml:space="preserve">346.00 75           </v>
          </cell>
          <cell r="B142">
            <v>48760</v>
          </cell>
          <cell r="C142">
            <v>45</v>
          </cell>
          <cell r="D142" t="str">
            <v xml:space="preserve"> S1.5</v>
          </cell>
          <cell r="E142">
            <v>-5</v>
          </cell>
          <cell r="F142">
            <v>2005074.48</v>
          </cell>
          <cell r="G142">
            <v>1775641.78</v>
          </cell>
          <cell r="H142">
            <v>329686</v>
          </cell>
          <cell r="I142">
            <v>20465</v>
          </cell>
          <cell r="J142">
            <v>1.02</v>
          </cell>
          <cell r="K142">
            <v>16.100000000000001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88.6</v>
          </cell>
          <cell r="P142">
            <v>8.1999999999999993</v>
          </cell>
          <cell r="Q142">
            <v>708422</v>
          </cell>
          <cell r="R142">
            <v>86740</v>
          </cell>
          <cell r="S142">
            <v>4.33</v>
          </cell>
        </row>
        <row r="143">
          <cell r="A143" t="str">
            <v xml:space="preserve">346.00 92           </v>
          </cell>
          <cell r="B143">
            <v>47664</v>
          </cell>
          <cell r="C143">
            <v>45</v>
          </cell>
          <cell r="D143" t="str">
            <v xml:space="preserve"> S1.5</v>
          </cell>
          <cell r="E143">
            <v>-5</v>
          </cell>
          <cell r="F143">
            <v>353337.64</v>
          </cell>
          <cell r="G143">
            <v>265750.21999999997</v>
          </cell>
          <cell r="H143">
            <v>105254</v>
          </cell>
          <cell r="I143">
            <v>7885</v>
          </cell>
          <cell r="J143">
            <v>2.23</v>
          </cell>
          <cell r="K143">
            <v>13.3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75.2</v>
          </cell>
          <cell r="P143">
            <v>19.7</v>
          </cell>
          <cell r="Q143">
            <v>194125</v>
          </cell>
          <cell r="R143">
            <v>13958</v>
          </cell>
          <cell r="S143">
            <v>3.95</v>
          </cell>
        </row>
        <row r="144">
          <cell r="A144" t="str">
            <v xml:space="preserve">346.00 93           </v>
          </cell>
          <cell r="B144">
            <v>47664</v>
          </cell>
          <cell r="C144">
            <v>45</v>
          </cell>
          <cell r="D144" t="str">
            <v xml:space="preserve"> S1.5</v>
          </cell>
          <cell r="E144">
            <v>-5</v>
          </cell>
          <cell r="F144">
            <v>156087.78</v>
          </cell>
          <cell r="G144">
            <v>158502.48000000001</v>
          </cell>
          <cell r="H144">
            <v>5390</v>
          </cell>
          <cell r="I144">
            <v>421</v>
          </cell>
          <cell r="J144">
            <v>0.27</v>
          </cell>
          <cell r="K144">
            <v>12.8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101.5</v>
          </cell>
          <cell r="P144">
            <v>21.8</v>
          </cell>
          <cell r="Q144">
            <v>99948</v>
          </cell>
          <cell r="R144">
            <v>5171</v>
          </cell>
          <cell r="S144">
            <v>3.31</v>
          </cell>
        </row>
        <row r="145">
          <cell r="A145" t="str">
            <v xml:space="preserve">346.00 95           </v>
          </cell>
          <cell r="B145">
            <v>50586</v>
          </cell>
          <cell r="C145">
            <v>45</v>
          </cell>
          <cell r="D145" t="str">
            <v xml:space="preserve"> S1.5</v>
          </cell>
          <cell r="E145">
            <v>-5</v>
          </cell>
          <cell r="F145">
            <v>46462.34</v>
          </cell>
          <cell r="G145">
            <v>28649.66</v>
          </cell>
          <cell r="H145">
            <v>20136</v>
          </cell>
          <cell r="I145">
            <v>1180</v>
          </cell>
          <cell r="J145">
            <v>2.54</v>
          </cell>
          <cell r="K145">
            <v>17.100000000000001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61.7</v>
          </cell>
          <cell r="P145">
            <v>25.1</v>
          </cell>
          <cell r="Q145">
            <v>27338</v>
          </cell>
          <cell r="R145">
            <v>1258</v>
          </cell>
          <cell r="S145">
            <v>2.71</v>
          </cell>
        </row>
        <row r="146">
          <cell r="A146" t="str">
            <v xml:space="preserve">346.00 97           </v>
          </cell>
          <cell r="B146">
            <v>49125</v>
          </cell>
          <cell r="C146">
            <v>45</v>
          </cell>
          <cell r="D146" t="str">
            <v xml:space="preserve"> S1.5</v>
          </cell>
          <cell r="E146">
            <v>-5</v>
          </cell>
          <cell r="F146">
            <v>665876</v>
          </cell>
          <cell r="G146">
            <v>455832.41</v>
          </cell>
          <cell r="H146">
            <v>243337</v>
          </cell>
          <cell r="I146">
            <v>14049</v>
          </cell>
          <cell r="J146">
            <v>2.11</v>
          </cell>
          <cell r="K146">
            <v>17.3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68.5</v>
          </cell>
          <cell r="P146">
            <v>4.2</v>
          </cell>
          <cell r="Q146">
            <v>137499</v>
          </cell>
          <cell r="R146">
            <v>32441</v>
          </cell>
          <cell r="S146">
            <v>4.87</v>
          </cell>
        </row>
        <row r="147">
          <cell r="A147" t="str">
            <v xml:space="preserve">346.01 73           </v>
          </cell>
          <cell r="B147">
            <v>50221</v>
          </cell>
          <cell r="C147">
            <v>50</v>
          </cell>
          <cell r="D147" t="str">
            <v xml:space="preserve"> R2.5</v>
          </cell>
          <cell r="E147">
            <v>-5</v>
          </cell>
          <cell r="F147">
            <v>2820158.96</v>
          </cell>
          <cell r="G147">
            <v>548420.67000000004</v>
          </cell>
          <cell r="H147">
            <v>2412746</v>
          </cell>
          <cell r="I147">
            <v>119799</v>
          </cell>
          <cell r="J147">
            <v>4.25</v>
          </cell>
          <cell r="K147">
            <v>20.100000000000001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19.399999999999999</v>
          </cell>
          <cell r="P147">
            <v>4.2</v>
          </cell>
          <cell r="Q147">
            <v>503902</v>
          </cell>
          <cell r="R147">
            <v>122000</v>
          </cell>
          <cell r="S147">
            <v>4.33</v>
          </cell>
        </row>
        <row r="148">
          <cell r="A148" t="str">
            <v xml:space="preserve">346.01 94           </v>
          </cell>
          <cell r="B148">
            <v>47664</v>
          </cell>
          <cell r="C148">
            <v>50</v>
          </cell>
          <cell r="D148" t="str">
            <v xml:space="preserve"> R2.5</v>
          </cell>
          <cell r="E148">
            <v>-5</v>
          </cell>
          <cell r="F148">
            <v>479164.8</v>
          </cell>
          <cell r="G148">
            <v>120444.56</v>
          </cell>
          <cell r="H148">
            <v>382678</v>
          </cell>
          <cell r="I148">
            <v>28324</v>
          </cell>
          <cell r="J148">
            <v>5.91</v>
          </cell>
          <cell r="K148">
            <v>13.5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25.1</v>
          </cell>
          <cell r="P148">
            <v>5.7</v>
          </cell>
          <cell r="Q148">
            <v>146570</v>
          </cell>
          <cell r="R148">
            <v>26380</v>
          </cell>
          <cell r="S148">
            <v>5.51</v>
          </cell>
        </row>
        <row r="149">
          <cell r="A149" t="str">
            <v xml:space="preserve">346.01 96           </v>
          </cell>
          <cell r="B149">
            <v>48029</v>
          </cell>
          <cell r="C149">
            <v>50</v>
          </cell>
          <cell r="D149" t="str">
            <v xml:space="preserve"> R2.5</v>
          </cell>
          <cell r="E149">
            <v>-5</v>
          </cell>
          <cell r="F149">
            <v>706082.18</v>
          </cell>
          <cell r="G149">
            <v>166936.09</v>
          </cell>
          <cell r="H149">
            <v>574450</v>
          </cell>
          <cell r="I149">
            <v>39712</v>
          </cell>
          <cell r="J149">
            <v>5.62</v>
          </cell>
          <cell r="K149">
            <v>14.5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23.6</v>
          </cell>
          <cell r="P149">
            <v>5.5</v>
          </cell>
          <cell r="Q149">
            <v>200215</v>
          </cell>
          <cell r="R149">
            <v>37413</v>
          </cell>
          <cell r="S149">
            <v>5.3</v>
          </cell>
        </row>
        <row r="150">
          <cell r="A150" t="str">
            <v xml:space="preserve">346.10 60           </v>
          </cell>
          <cell r="B150">
            <v>46934</v>
          </cell>
          <cell r="C150">
            <v>15</v>
          </cell>
          <cell r="D150" t="str">
            <v xml:space="preserve">   L4</v>
          </cell>
          <cell r="E150">
            <v>0</v>
          </cell>
          <cell r="F150">
            <v>387249.85</v>
          </cell>
          <cell r="G150">
            <v>108494.59</v>
          </cell>
          <cell r="H150">
            <v>278755</v>
          </cell>
          <cell r="I150">
            <v>35473</v>
          </cell>
          <cell r="J150">
            <v>9.16</v>
          </cell>
          <cell r="K150">
            <v>7.9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28</v>
          </cell>
          <cell r="P150">
            <v>6.4</v>
          </cell>
          <cell r="Q150">
            <v>166766</v>
          </cell>
          <cell r="R150">
            <v>27048</v>
          </cell>
          <cell r="S150">
            <v>6.98</v>
          </cell>
        </row>
        <row r="151">
          <cell r="A151" t="str">
            <v xml:space="preserve">346.10 71           </v>
          </cell>
          <cell r="B151">
            <v>52047</v>
          </cell>
          <cell r="C151">
            <v>15</v>
          </cell>
          <cell r="D151" t="str">
            <v xml:space="preserve">   L4</v>
          </cell>
          <cell r="E151">
            <v>0</v>
          </cell>
          <cell r="F151">
            <v>44161.55</v>
          </cell>
          <cell r="G151">
            <v>12906.64</v>
          </cell>
          <cell r="H151">
            <v>31255</v>
          </cell>
          <cell r="I151">
            <v>3992</v>
          </cell>
          <cell r="J151">
            <v>9.0399999999999991</v>
          </cell>
          <cell r="K151">
            <v>7.8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29.2</v>
          </cell>
          <cell r="P151">
            <v>7.2</v>
          </cell>
          <cell r="Q151">
            <v>21109</v>
          </cell>
          <cell r="R151">
            <v>2946</v>
          </cell>
          <cell r="S151">
            <v>6.67</v>
          </cell>
        </row>
        <row r="152">
          <cell r="A152" t="str">
            <v xml:space="preserve">346.10 72           </v>
          </cell>
          <cell r="B152">
            <v>52778</v>
          </cell>
          <cell r="C152">
            <v>15</v>
          </cell>
          <cell r="D152" t="str">
            <v xml:space="preserve">   L4</v>
          </cell>
          <cell r="E152">
            <v>0</v>
          </cell>
          <cell r="F152">
            <v>469809.97</v>
          </cell>
          <cell r="G152">
            <v>36213.03</v>
          </cell>
          <cell r="H152">
            <v>433597</v>
          </cell>
          <cell r="I152">
            <v>46133</v>
          </cell>
          <cell r="J152">
            <v>9.82</v>
          </cell>
          <cell r="K152">
            <v>9.4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7.7</v>
          </cell>
          <cell r="P152">
            <v>5.2</v>
          </cell>
          <cell r="Q152">
            <v>159450</v>
          </cell>
          <cell r="R152">
            <v>31336</v>
          </cell>
          <cell r="S152">
            <v>6.67</v>
          </cell>
        </row>
        <row r="153">
          <cell r="A153" t="str">
            <v xml:space="preserve">346.10 74           </v>
          </cell>
          <cell r="B153">
            <v>53873</v>
          </cell>
          <cell r="C153">
            <v>15</v>
          </cell>
          <cell r="D153" t="str">
            <v xml:space="preserve">   L4</v>
          </cell>
          <cell r="E153">
            <v>0</v>
          </cell>
          <cell r="F153">
            <v>363626.33</v>
          </cell>
          <cell r="G153">
            <v>61077.14</v>
          </cell>
          <cell r="H153">
            <v>302549</v>
          </cell>
          <cell r="I153">
            <v>33962</v>
          </cell>
          <cell r="J153">
            <v>9.34</v>
          </cell>
          <cell r="K153">
            <v>8.9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16.8</v>
          </cell>
          <cell r="P153">
            <v>6</v>
          </cell>
          <cell r="Q153">
            <v>143788</v>
          </cell>
          <cell r="R153">
            <v>24254</v>
          </cell>
          <cell r="S153">
            <v>6.67</v>
          </cell>
        </row>
        <row r="154">
          <cell r="A154" t="str">
            <v xml:space="preserve">346.10 75           </v>
          </cell>
          <cell r="B154">
            <v>48760</v>
          </cell>
          <cell r="C154">
            <v>15</v>
          </cell>
          <cell r="D154" t="str">
            <v xml:space="preserve">   L4</v>
          </cell>
          <cell r="E154">
            <v>0</v>
          </cell>
          <cell r="F154">
            <v>310501.03000000003</v>
          </cell>
          <cell r="G154">
            <v>29325.599999999999</v>
          </cell>
          <cell r="H154">
            <v>281175</v>
          </cell>
          <cell r="I154">
            <v>30586</v>
          </cell>
          <cell r="J154">
            <v>9.85</v>
          </cell>
          <cell r="K154">
            <v>9.1999999999999993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9.4</v>
          </cell>
          <cell r="P154">
            <v>5.6</v>
          </cell>
          <cell r="Q154">
            <v>114628</v>
          </cell>
          <cell r="R154">
            <v>20815</v>
          </cell>
          <cell r="S154">
            <v>6.7</v>
          </cell>
        </row>
        <row r="155">
          <cell r="A155" t="str">
            <v xml:space="preserve">346.10 91           </v>
          </cell>
          <cell r="B155">
            <v>46934</v>
          </cell>
          <cell r="C155">
            <v>15</v>
          </cell>
          <cell r="D155" t="str">
            <v xml:space="preserve">   L4</v>
          </cell>
          <cell r="E155">
            <v>0</v>
          </cell>
          <cell r="F155">
            <v>10249.280000000001</v>
          </cell>
          <cell r="G155">
            <v>2694.32</v>
          </cell>
          <cell r="H155">
            <v>7555</v>
          </cell>
          <cell r="I155">
            <v>2041</v>
          </cell>
          <cell r="J155">
            <v>19.91</v>
          </cell>
          <cell r="K155">
            <v>3.7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26.3</v>
          </cell>
          <cell r="P155">
            <v>13.3</v>
          </cell>
          <cell r="Q155">
            <v>7213</v>
          </cell>
          <cell r="R155">
            <v>687</v>
          </cell>
          <cell r="S155">
            <v>6.7</v>
          </cell>
        </row>
        <row r="156">
          <cell r="A156" t="str">
            <v xml:space="preserve">346.10 92           </v>
          </cell>
          <cell r="B156">
            <v>47664</v>
          </cell>
          <cell r="C156">
            <v>15</v>
          </cell>
          <cell r="D156" t="str">
            <v xml:space="preserve">   L4</v>
          </cell>
          <cell r="E156">
            <v>0</v>
          </cell>
          <cell r="F156">
            <v>500057.41</v>
          </cell>
          <cell r="G156">
            <v>141521.12</v>
          </cell>
          <cell r="H156">
            <v>358536</v>
          </cell>
          <cell r="I156">
            <v>80315</v>
          </cell>
          <cell r="J156">
            <v>16.059999999999999</v>
          </cell>
          <cell r="K156">
            <v>4.5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28.3</v>
          </cell>
          <cell r="P156">
            <v>10.6</v>
          </cell>
          <cell r="Q156">
            <v>288327</v>
          </cell>
          <cell r="R156">
            <v>33742</v>
          </cell>
          <cell r="S156">
            <v>6.75</v>
          </cell>
        </row>
        <row r="157">
          <cell r="A157" t="str">
            <v xml:space="preserve">346.10 93           </v>
          </cell>
          <cell r="B157">
            <v>47664</v>
          </cell>
          <cell r="C157">
            <v>15</v>
          </cell>
          <cell r="D157" t="str">
            <v xml:space="preserve">   L4</v>
          </cell>
          <cell r="E157">
            <v>0</v>
          </cell>
          <cell r="F157">
            <v>313151.40000000002</v>
          </cell>
          <cell r="G157">
            <v>63835.98</v>
          </cell>
          <cell r="H157">
            <v>249315</v>
          </cell>
          <cell r="I157">
            <v>38756</v>
          </cell>
          <cell r="J157">
            <v>12.38</v>
          </cell>
          <cell r="K157">
            <v>6.4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20.399999999999999</v>
          </cell>
          <cell r="P157">
            <v>8.5</v>
          </cell>
          <cell r="Q157">
            <v>171658</v>
          </cell>
          <cell r="R157">
            <v>21011</v>
          </cell>
          <cell r="S157">
            <v>6.71</v>
          </cell>
        </row>
        <row r="158">
          <cell r="A158" t="str">
            <v xml:space="preserve">346.10 95           </v>
          </cell>
          <cell r="B158">
            <v>50586</v>
          </cell>
          <cell r="C158">
            <v>15</v>
          </cell>
          <cell r="D158" t="str">
            <v xml:space="preserve">   L4</v>
          </cell>
          <cell r="E158">
            <v>0</v>
          </cell>
          <cell r="F158">
            <v>252402.76</v>
          </cell>
          <cell r="G158">
            <v>85234.65</v>
          </cell>
          <cell r="H158">
            <v>167168</v>
          </cell>
          <cell r="I158">
            <v>27048</v>
          </cell>
          <cell r="J158">
            <v>10.72</v>
          </cell>
          <cell r="K158">
            <v>6.2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33.799999999999997</v>
          </cell>
          <cell r="P158">
            <v>8.9</v>
          </cell>
          <cell r="Q158">
            <v>129517</v>
          </cell>
          <cell r="R158">
            <v>16837</v>
          </cell>
          <cell r="S158">
            <v>6.67</v>
          </cell>
        </row>
        <row r="159">
          <cell r="A159" t="str">
            <v xml:space="preserve">346.11 73           </v>
          </cell>
          <cell r="B159">
            <v>50221</v>
          </cell>
          <cell r="C159">
            <v>15</v>
          </cell>
          <cell r="D159" t="str">
            <v xml:space="preserve">   L4</v>
          </cell>
          <cell r="E159">
            <v>0</v>
          </cell>
          <cell r="F159">
            <v>124261.07</v>
          </cell>
          <cell r="G159">
            <v>9773.49</v>
          </cell>
          <cell r="H159">
            <v>114488</v>
          </cell>
          <cell r="I159">
            <v>8911</v>
          </cell>
          <cell r="J159">
            <v>7.17</v>
          </cell>
          <cell r="K159">
            <v>12.8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7.9</v>
          </cell>
          <cell r="P159">
            <v>2.1</v>
          </cell>
          <cell r="Q159">
            <v>17550</v>
          </cell>
          <cell r="R159">
            <v>8302</v>
          </cell>
          <cell r="S159">
            <v>6.68</v>
          </cell>
        </row>
        <row r="160">
          <cell r="A160" t="str">
            <v xml:space="preserve">346.11 94           </v>
          </cell>
          <cell r="B160">
            <v>47664</v>
          </cell>
          <cell r="C160">
            <v>15</v>
          </cell>
          <cell r="D160" t="str">
            <v xml:space="preserve">   L4</v>
          </cell>
          <cell r="E160">
            <v>0</v>
          </cell>
          <cell r="F160">
            <v>324714.64</v>
          </cell>
          <cell r="G160">
            <v>95474.36</v>
          </cell>
          <cell r="H160">
            <v>229240</v>
          </cell>
          <cell r="I160">
            <v>32087</v>
          </cell>
          <cell r="J160">
            <v>9.8800000000000008</v>
          </cell>
          <cell r="K160">
            <v>7.1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29.4</v>
          </cell>
          <cell r="P160">
            <v>7.2</v>
          </cell>
          <cell r="Q160">
            <v>150879</v>
          </cell>
          <cell r="R160">
            <v>22170</v>
          </cell>
          <cell r="S160">
            <v>6.83</v>
          </cell>
        </row>
        <row r="161">
          <cell r="A161" t="str">
            <v xml:space="preserve">346.11 96           </v>
          </cell>
          <cell r="B161">
            <v>48029</v>
          </cell>
          <cell r="C161">
            <v>15</v>
          </cell>
          <cell r="D161" t="str">
            <v xml:space="preserve">   L4</v>
          </cell>
          <cell r="E161">
            <v>0</v>
          </cell>
          <cell r="F161">
            <v>333519.96999999997</v>
          </cell>
          <cell r="G161">
            <v>46845.66</v>
          </cell>
          <cell r="H161">
            <v>286674</v>
          </cell>
          <cell r="I161">
            <v>25531</v>
          </cell>
          <cell r="J161">
            <v>7.66</v>
          </cell>
          <cell r="K161">
            <v>11.2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14</v>
          </cell>
          <cell r="P161">
            <v>3</v>
          </cell>
          <cell r="Q161">
            <v>66956</v>
          </cell>
          <cell r="R161">
            <v>23305</v>
          </cell>
          <cell r="S161">
            <v>6.99</v>
          </cell>
        </row>
        <row r="162">
          <cell r="A162">
            <v>348</v>
          </cell>
          <cell r="B162" t="str">
            <v xml:space="preserve">          </v>
          </cell>
          <cell r="C162">
            <v>20</v>
          </cell>
          <cell r="D162" t="str">
            <v xml:space="preserve">   S3</v>
          </cell>
          <cell r="E162">
            <v>0</v>
          </cell>
          <cell r="F162">
            <v>4776731.5599999996</v>
          </cell>
          <cell r="G162">
            <v>95635.37</v>
          </cell>
          <cell r="H162">
            <v>4681096</v>
          </cell>
          <cell r="I162">
            <v>238466</v>
          </cell>
          <cell r="J162">
            <v>4.99</v>
          </cell>
          <cell r="K162">
            <v>19.600000000000001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</v>
          </cell>
          <cell r="P162">
            <v>0.4</v>
          </cell>
          <cell r="Q162">
            <v>88370</v>
          </cell>
          <cell r="R162">
            <v>238837</v>
          </cell>
          <cell r="S162">
            <v>5</v>
          </cell>
        </row>
        <row r="163">
          <cell r="A163">
            <v>350.1</v>
          </cell>
          <cell r="B163" t="str">
            <v xml:space="preserve">          </v>
          </cell>
          <cell r="C163">
            <v>75</v>
          </cell>
          <cell r="D163" t="str">
            <v xml:space="preserve">   R4</v>
          </cell>
          <cell r="E163">
            <v>0</v>
          </cell>
          <cell r="F163">
            <v>13037871.039999999</v>
          </cell>
          <cell r="G163">
            <v>3769177.55</v>
          </cell>
          <cell r="H163">
            <v>9268693</v>
          </cell>
          <cell r="I163">
            <v>143445</v>
          </cell>
          <cell r="J163">
            <v>1.1000000000000001</v>
          </cell>
          <cell r="K163">
            <v>64.599999999999994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28.9</v>
          </cell>
          <cell r="P163">
            <v>15.8</v>
          </cell>
          <cell r="Q163">
            <v>2653251</v>
          </cell>
          <cell r="R163">
            <v>173404</v>
          </cell>
          <cell r="S163">
            <v>1.33</v>
          </cell>
        </row>
        <row r="164">
          <cell r="A164">
            <v>350.16</v>
          </cell>
          <cell r="B164" t="str">
            <v xml:space="preserve">          </v>
          </cell>
          <cell r="C164">
            <v>75</v>
          </cell>
          <cell r="D164" t="str">
            <v xml:space="preserve">   R4</v>
          </cell>
          <cell r="E164">
            <v>0</v>
          </cell>
          <cell r="F164">
            <v>2478317.94</v>
          </cell>
          <cell r="G164">
            <v>-34424.42</v>
          </cell>
          <cell r="H164">
            <v>2512742</v>
          </cell>
          <cell r="I164">
            <v>34956</v>
          </cell>
          <cell r="J164">
            <v>1.41</v>
          </cell>
          <cell r="K164">
            <v>71.900000000000006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-1.4</v>
          </cell>
          <cell r="P164">
            <v>3.1</v>
          </cell>
          <cell r="Q164">
            <v>102923</v>
          </cell>
          <cell r="R164">
            <v>32962</v>
          </cell>
          <cell r="S164">
            <v>1.33</v>
          </cell>
        </row>
        <row r="165">
          <cell r="A165">
            <v>350.17</v>
          </cell>
          <cell r="B165" t="str">
            <v xml:space="preserve">          </v>
          </cell>
          <cell r="C165">
            <v>75</v>
          </cell>
          <cell r="D165" t="str">
            <v xml:space="preserve">   R4</v>
          </cell>
          <cell r="E165">
            <v>0</v>
          </cell>
          <cell r="F165">
            <v>20438119.84</v>
          </cell>
          <cell r="G165">
            <v>9201695.75</v>
          </cell>
          <cell r="H165">
            <v>11236424</v>
          </cell>
          <cell r="I165">
            <v>216465</v>
          </cell>
          <cell r="J165">
            <v>1.06</v>
          </cell>
          <cell r="K165">
            <v>51.9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25.6</v>
          </cell>
          <cell r="Q165">
            <v>6833661</v>
          </cell>
          <cell r="R165">
            <v>271827</v>
          </cell>
          <cell r="S165">
            <v>1.33</v>
          </cell>
        </row>
        <row r="166">
          <cell r="A166">
            <v>350.99</v>
          </cell>
          <cell r="B166" t="str">
            <v xml:space="preserve">          </v>
          </cell>
          <cell r="C166">
            <v>75</v>
          </cell>
          <cell r="D166" t="str">
            <v xml:space="preserve">   R4</v>
          </cell>
          <cell r="E166">
            <v>0</v>
          </cell>
          <cell r="F166">
            <v>172388.53</v>
          </cell>
          <cell r="G166">
            <v>39558.92</v>
          </cell>
          <cell r="H166">
            <v>132830</v>
          </cell>
          <cell r="I166">
            <v>2066</v>
          </cell>
          <cell r="J166">
            <v>1.2</v>
          </cell>
          <cell r="K166">
            <v>64.3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22.9</v>
          </cell>
          <cell r="P166">
            <v>11.3</v>
          </cell>
          <cell r="Q166">
            <v>25731</v>
          </cell>
          <cell r="R166">
            <v>2293</v>
          </cell>
          <cell r="S166">
            <v>1.33</v>
          </cell>
        </row>
        <row r="167">
          <cell r="A167">
            <v>352</v>
          </cell>
          <cell r="B167" t="str">
            <v xml:space="preserve">          </v>
          </cell>
          <cell r="C167">
            <v>65</v>
          </cell>
          <cell r="D167" t="str">
            <v xml:space="preserve">   R4</v>
          </cell>
          <cell r="E167">
            <v>-5</v>
          </cell>
          <cell r="F167">
            <v>3818787.78</v>
          </cell>
          <cell r="G167">
            <v>1232450.67</v>
          </cell>
          <cell r="H167">
            <v>2777276</v>
          </cell>
          <cell r="I167">
            <v>58188</v>
          </cell>
          <cell r="J167">
            <v>1.52</v>
          </cell>
          <cell r="K167">
            <v>47.7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32.299999999999997</v>
          </cell>
          <cell r="P167">
            <v>18.600000000000001</v>
          </cell>
          <cell r="Q167">
            <v>1116343</v>
          </cell>
          <cell r="R167">
            <v>61750</v>
          </cell>
          <cell r="S167">
            <v>1.62</v>
          </cell>
        </row>
        <row r="168">
          <cell r="A168">
            <v>352.6</v>
          </cell>
          <cell r="B168" t="str">
            <v xml:space="preserve">          </v>
          </cell>
          <cell r="C168">
            <v>65</v>
          </cell>
          <cell r="D168" t="str">
            <v xml:space="preserve">   R4</v>
          </cell>
          <cell r="E168">
            <v>-5</v>
          </cell>
          <cell r="F168">
            <v>1759633.82</v>
          </cell>
          <cell r="G168">
            <v>68051.58</v>
          </cell>
          <cell r="H168">
            <v>1779564</v>
          </cell>
          <cell r="I168">
            <v>28096</v>
          </cell>
          <cell r="J168">
            <v>1.6</v>
          </cell>
          <cell r="K168">
            <v>63.3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3.9</v>
          </cell>
          <cell r="P168">
            <v>1.7</v>
          </cell>
          <cell r="Q168">
            <v>47896</v>
          </cell>
          <cell r="R168">
            <v>28453</v>
          </cell>
          <cell r="S168">
            <v>1.62</v>
          </cell>
        </row>
        <row r="169">
          <cell r="A169">
            <v>352.7</v>
          </cell>
          <cell r="B169" t="str">
            <v xml:space="preserve">          </v>
          </cell>
          <cell r="C169">
            <v>65</v>
          </cell>
          <cell r="D169" t="str">
            <v xml:space="preserve">   R4</v>
          </cell>
          <cell r="E169">
            <v>-5</v>
          </cell>
          <cell r="F169">
            <v>2270219.17</v>
          </cell>
          <cell r="G169">
            <v>1182926.1399999999</v>
          </cell>
          <cell r="H169">
            <v>1200804</v>
          </cell>
          <cell r="I169">
            <v>29883</v>
          </cell>
          <cell r="J169">
            <v>1.32</v>
          </cell>
          <cell r="K169">
            <v>40.200000000000003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52.1</v>
          </cell>
          <cell r="P169">
            <v>30.5</v>
          </cell>
          <cell r="Q169">
            <v>1047746</v>
          </cell>
          <cell r="R169">
            <v>36705</v>
          </cell>
          <cell r="S169">
            <v>1.62</v>
          </cell>
        </row>
        <row r="170">
          <cell r="A170">
            <v>352.9</v>
          </cell>
          <cell r="B170" t="str">
            <v xml:space="preserve">          </v>
          </cell>
          <cell r="C170">
            <v>65</v>
          </cell>
          <cell r="D170" t="str">
            <v xml:space="preserve">   R4</v>
          </cell>
          <cell r="E170">
            <v>-5</v>
          </cell>
          <cell r="F170">
            <v>1956303.54</v>
          </cell>
          <cell r="G170">
            <v>298137.78999999998</v>
          </cell>
          <cell r="H170">
            <v>1755981</v>
          </cell>
          <cell r="I170">
            <v>29470</v>
          </cell>
          <cell r="J170">
            <v>1.51</v>
          </cell>
          <cell r="K170">
            <v>59.6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15.2</v>
          </cell>
          <cell r="P170">
            <v>6.6</v>
          </cell>
          <cell r="Q170">
            <v>205901</v>
          </cell>
          <cell r="R170">
            <v>31633</v>
          </cell>
          <cell r="S170">
            <v>1.62</v>
          </cell>
        </row>
        <row r="171">
          <cell r="A171">
            <v>353</v>
          </cell>
          <cell r="B171" t="str">
            <v xml:space="preserve">          </v>
          </cell>
          <cell r="C171">
            <v>45</v>
          </cell>
          <cell r="D171" t="str">
            <v xml:space="preserve"> R1.5</v>
          </cell>
          <cell r="E171">
            <v>-10</v>
          </cell>
          <cell r="F171">
            <v>157933119.28999999</v>
          </cell>
          <cell r="G171">
            <v>45791173.810000002</v>
          </cell>
          <cell r="H171">
            <v>127935257</v>
          </cell>
          <cell r="I171">
            <v>3642533</v>
          </cell>
          <cell r="J171">
            <v>2.31</v>
          </cell>
          <cell r="K171">
            <v>35.1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29</v>
          </cell>
          <cell r="P171">
            <v>13.5</v>
          </cell>
          <cell r="Q171">
            <v>39914859</v>
          </cell>
          <cell r="R171">
            <v>3856727</v>
          </cell>
          <cell r="S171">
            <v>2.44</v>
          </cell>
        </row>
        <row r="172">
          <cell r="A172">
            <v>353.6</v>
          </cell>
          <cell r="B172" t="str">
            <v xml:space="preserve">          </v>
          </cell>
          <cell r="C172">
            <v>45</v>
          </cell>
          <cell r="D172" t="str">
            <v xml:space="preserve"> R1.5</v>
          </cell>
          <cell r="E172">
            <v>-10</v>
          </cell>
          <cell r="F172">
            <v>108797057.09</v>
          </cell>
          <cell r="G172">
            <v>6534012.4800000004</v>
          </cell>
          <cell r="H172">
            <v>113142750</v>
          </cell>
          <cell r="I172">
            <v>2669975</v>
          </cell>
          <cell r="J172">
            <v>2.4500000000000002</v>
          </cell>
          <cell r="K172">
            <v>42.4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6</v>
          </cell>
          <cell r="P172">
            <v>3.2</v>
          </cell>
          <cell r="Q172">
            <v>6959035</v>
          </cell>
          <cell r="R172">
            <v>2656824</v>
          </cell>
          <cell r="S172">
            <v>2.44</v>
          </cell>
        </row>
        <row r="173">
          <cell r="A173">
            <v>353.7</v>
          </cell>
          <cell r="B173" t="str">
            <v xml:space="preserve">          </v>
          </cell>
          <cell r="C173">
            <v>45</v>
          </cell>
          <cell r="D173" t="str">
            <v xml:space="preserve"> R1.5</v>
          </cell>
          <cell r="E173">
            <v>-10</v>
          </cell>
          <cell r="F173">
            <v>198771431.59999999</v>
          </cell>
          <cell r="G173">
            <v>67306052.129999995</v>
          </cell>
          <cell r="H173">
            <v>151342523</v>
          </cell>
          <cell r="I173">
            <v>4951422</v>
          </cell>
          <cell r="J173">
            <v>2.4900000000000002</v>
          </cell>
          <cell r="K173">
            <v>30.6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33.9</v>
          </cell>
          <cell r="P173">
            <v>19.3</v>
          </cell>
          <cell r="Q173">
            <v>69294011</v>
          </cell>
          <cell r="R173">
            <v>4853812</v>
          </cell>
          <cell r="S173">
            <v>2.44</v>
          </cell>
        </row>
        <row r="174">
          <cell r="A174">
            <v>353.8</v>
          </cell>
          <cell r="B174" t="str">
            <v xml:space="preserve">          </v>
          </cell>
          <cell r="C174">
            <v>45</v>
          </cell>
          <cell r="D174" t="str">
            <v xml:space="preserve"> R1.5</v>
          </cell>
          <cell r="E174">
            <v>-10</v>
          </cell>
          <cell r="F174">
            <v>405246.36</v>
          </cell>
          <cell r="G174">
            <v>193972.31</v>
          </cell>
          <cell r="H174">
            <v>251799</v>
          </cell>
          <cell r="I174">
            <v>9978</v>
          </cell>
          <cell r="J174">
            <v>2.46</v>
          </cell>
          <cell r="K174">
            <v>25.2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47.9</v>
          </cell>
          <cell r="P174">
            <v>26.2</v>
          </cell>
          <cell r="Q174">
            <v>195787</v>
          </cell>
          <cell r="R174">
            <v>9896</v>
          </cell>
          <cell r="S174">
            <v>2.44</v>
          </cell>
        </row>
        <row r="175">
          <cell r="A175">
            <v>353.9</v>
          </cell>
          <cell r="B175" t="str">
            <v xml:space="preserve">          </v>
          </cell>
          <cell r="C175">
            <v>45</v>
          </cell>
          <cell r="D175" t="str">
            <v xml:space="preserve"> R1.5</v>
          </cell>
          <cell r="E175">
            <v>-10</v>
          </cell>
          <cell r="F175">
            <v>129568728.68000001</v>
          </cell>
          <cell r="G175">
            <v>38323241.859999999</v>
          </cell>
          <cell r="H175">
            <v>104202360</v>
          </cell>
          <cell r="I175">
            <v>2697721</v>
          </cell>
          <cell r="J175">
            <v>2.08</v>
          </cell>
          <cell r="K175">
            <v>38.6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29.6</v>
          </cell>
          <cell r="P175">
            <v>9.6</v>
          </cell>
          <cell r="Q175">
            <v>23801838</v>
          </cell>
          <cell r="R175">
            <v>3164068</v>
          </cell>
          <cell r="S175">
            <v>2.44</v>
          </cell>
        </row>
        <row r="176">
          <cell r="A176">
            <v>354</v>
          </cell>
          <cell r="B176" t="str">
            <v xml:space="preserve">          </v>
          </cell>
          <cell r="C176">
            <v>75</v>
          </cell>
          <cell r="D176" t="str">
            <v xml:space="preserve">   R4</v>
          </cell>
          <cell r="E176">
            <v>-15</v>
          </cell>
          <cell r="F176">
            <v>90563275.939999998</v>
          </cell>
          <cell r="G176">
            <v>43514474.619999997</v>
          </cell>
          <cell r="H176">
            <v>60633293</v>
          </cell>
          <cell r="I176">
            <v>1136178</v>
          </cell>
          <cell r="J176">
            <v>1.25</v>
          </cell>
          <cell r="K176">
            <v>53.4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48</v>
          </cell>
          <cell r="P176">
            <v>23.4</v>
          </cell>
          <cell r="Q176">
            <v>32015164</v>
          </cell>
          <cell r="R176">
            <v>1385165</v>
          </cell>
          <cell r="S176">
            <v>1.53</v>
          </cell>
        </row>
        <row r="177">
          <cell r="A177">
            <v>354.7</v>
          </cell>
          <cell r="B177" t="str">
            <v xml:space="preserve">          </v>
          </cell>
          <cell r="C177">
            <v>75</v>
          </cell>
          <cell r="D177" t="str">
            <v xml:space="preserve">   R4</v>
          </cell>
          <cell r="E177">
            <v>-15</v>
          </cell>
          <cell r="F177">
            <v>1507252.65</v>
          </cell>
          <cell r="G177">
            <v>896631.28</v>
          </cell>
          <cell r="H177">
            <v>836709</v>
          </cell>
          <cell r="I177">
            <v>16945</v>
          </cell>
          <cell r="J177">
            <v>1.1200000000000001</v>
          </cell>
          <cell r="K177">
            <v>49.4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59.5</v>
          </cell>
          <cell r="P177">
            <v>30.9</v>
          </cell>
          <cell r="Q177">
            <v>688128</v>
          </cell>
          <cell r="R177">
            <v>23053</v>
          </cell>
          <cell r="S177">
            <v>1.53</v>
          </cell>
        </row>
        <row r="178">
          <cell r="A178">
            <v>354.9</v>
          </cell>
          <cell r="B178" t="str">
            <v xml:space="preserve">          </v>
          </cell>
          <cell r="C178">
            <v>75</v>
          </cell>
          <cell r="D178" t="str">
            <v xml:space="preserve">   R4</v>
          </cell>
          <cell r="E178">
            <v>-15</v>
          </cell>
          <cell r="F178">
            <v>133399.28</v>
          </cell>
          <cell r="G178">
            <v>110351.05</v>
          </cell>
          <cell r="H178">
            <v>43058</v>
          </cell>
          <cell r="I178">
            <v>609</v>
          </cell>
          <cell r="J178">
            <v>0.46</v>
          </cell>
          <cell r="K178">
            <v>70.7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82.7</v>
          </cell>
          <cell r="P178">
            <v>28.3</v>
          </cell>
          <cell r="Q178">
            <v>56365</v>
          </cell>
          <cell r="R178">
            <v>2040</v>
          </cell>
          <cell r="S178">
            <v>1.53</v>
          </cell>
        </row>
        <row r="179">
          <cell r="A179">
            <v>355</v>
          </cell>
          <cell r="B179" t="str">
            <v xml:space="preserve">          </v>
          </cell>
          <cell r="C179">
            <v>43</v>
          </cell>
          <cell r="D179" t="str">
            <v xml:space="preserve">   R1</v>
          </cell>
          <cell r="E179">
            <v>-40</v>
          </cell>
          <cell r="F179">
            <v>85130847.549999997</v>
          </cell>
          <cell r="G179">
            <v>27928205.609999999</v>
          </cell>
          <cell r="H179">
            <v>91254981</v>
          </cell>
          <cell r="I179">
            <v>2587052</v>
          </cell>
          <cell r="J179">
            <v>3.04</v>
          </cell>
          <cell r="K179">
            <v>35.299999999999997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32.799999999999997</v>
          </cell>
          <cell r="P179">
            <v>12.8</v>
          </cell>
          <cell r="Q179">
            <v>23917601</v>
          </cell>
          <cell r="R179">
            <v>2776531</v>
          </cell>
          <cell r="S179">
            <v>3.26</v>
          </cell>
        </row>
        <row r="180">
          <cell r="A180">
            <v>355.6</v>
          </cell>
          <cell r="B180" t="str">
            <v xml:space="preserve">          </v>
          </cell>
          <cell r="C180">
            <v>43</v>
          </cell>
          <cell r="D180" t="str">
            <v xml:space="preserve">   R1</v>
          </cell>
          <cell r="E180">
            <v>-40</v>
          </cell>
          <cell r="F180">
            <v>78708415.219999999</v>
          </cell>
          <cell r="G180">
            <v>4825665.6500000004</v>
          </cell>
          <cell r="H180">
            <v>105366116</v>
          </cell>
          <cell r="I180">
            <v>2559412</v>
          </cell>
          <cell r="J180">
            <v>3.25</v>
          </cell>
          <cell r="K180">
            <v>41.2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6.1</v>
          </cell>
          <cell r="P180">
            <v>2.5</v>
          </cell>
          <cell r="Q180">
            <v>4696213</v>
          </cell>
          <cell r="R180">
            <v>2567468</v>
          </cell>
          <cell r="S180">
            <v>3.26</v>
          </cell>
        </row>
        <row r="181">
          <cell r="A181">
            <v>355.7</v>
          </cell>
          <cell r="B181" t="str">
            <v xml:space="preserve">          </v>
          </cell>
          <cell r="C181">
            <v>43</v>
          </cell>
          <cell r="D181" t="str">
            <v xml:space="preserve">   R1</v>
          </cell>
          <cell r="E181">
            <v>-40</v>
          </cell>
          <cell r="F181">
            <v>170738423.63</v>
          </cell>
          <cell r="G181">
            <v>47576642.549999997</v>
          </cell>
          <cell r="H181">
            <v>191457151</v>
          </cell>
          <cell r="I181">
            <v>5810001</v>
          </cell>
          <cell r="J181">
            <v>3.4</v>
          </cell>
          <cell r="K181">
            <v>33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27.9</v>
          </cell>
          <cell r="P181">
            <v>14.1</v>
          </cell>
          <cell r="Q181">
            <v>54005286</v>
          </cell>
          <cell r="R181">
            <v>5569285</v>
          </cell>
          <cell r="S181">
            <v>3.26</v>
          </cell>
        </row>
        <row r="182">
          <cell r="A182">
            <v>355.9</v>
          </cell>
          <cell r="B182" t="str">
            <v xml:space="preserve">          </v>
          </cell>
          <cell r="C182">
            <v>43</v>
          </cell>
          <cell r="D182" t="str">
            <v xml:space="preserve">   R1</v>
          </cell>
          <cell r="E182">
            <v>-40</v>
          </cell>
          <cell r="F182">
            <v>8879281.0700000003</v>
          </cell>
          <cell r="G182">
            <v>2097318.0099999998</v>
          </cell>
          <cell r="H182">
            <v>10333675</v>
          </cell>
          <cell r="I182">
            <v>274655</v>
          </cell>
          <cell r="J182">
            <v>3.09</v>
          </cell>
          <cell r="K182">
            <v>37.6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23.6</v>
          </cell>
          <cell r="P182">
            <v>7.8</v>
          </cell>
          <cell r="Q182">
            <v>1609909</v>
          </cell>
          <cell r="R182">
            <v>289642</v>
          </cell>
          <cell r="S182">
            <v>3.26</v>
          </cell>
        </row>
        <row r="183">
          <cell r="A183">
            <v>356</v>
          </cell>
          <cell r="B183" t="str">
            <v xml:space="preserve">          </v>
          </cell>
          <cell r="C183">
            <v>60</v>
          </cell>
          <cell r="D183" t="str">
            <v xml:space="preserve"> R2.5</v>
          </cell>
          <cell r="E183">
            <v>-10</v>
          </cell>
          <cell r="F183">
            <v>127496954.51000001</v>
          </cell>
          <cell r="G183">
            <v>69844695.090000004</v>
          </cell>
          <cell r="H183">
            <v>70401955</v>
          </cell>
          <cell r="I183">
            <v>1643066</v>
          </cell>
          <cell r="J183">
            <v>1.29</v>
          </cell>
          <cell r="K183">
            <v>42.8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54.8</v>
          </cell>
          <cell r="P183">
            <v>23</v>
          </cell>
          <cell r="Q183">
            <v>47150208</v>
          </cell>
          <cell r="R183">
            <v>2342119</v>
          </cell>
          <cell r="S183">
            <v>1.84</v>
          </cell>
        </row>
        <row r="184">
          <cell r="A184">
            <v>356.6</v>
          </cell>
          <cell r="B184" t="str">
            <v xml:space="preserve">          </v>
          </cell>
          <cell r="C184">
            <v>60</v>
          </cell>
          <cell r="D184" t="str">
            <v xml:space="preserve"> R2.5</v>
          </cell>
          <cell r="E184">
            <v>-10</v>
          </cell>
          <cell r="F184">
            <v>25127105.969999999</v>
          </cell>
          <cell r="G184">
            <v>1384143.75</v>
          </cell>
          <cell r="H184">
            <v>26255673</v>
          </cell>
          <cell r="I184">
            <v>455609</v>
          </cell>
          <cell r="J184">
            <v>1.81</v>
          </cell>
          <cell r="K184">
            <v>57.6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5.5</v>
          </cell>
          <cell r="P184">
            <v>2.5</v>
          </cell>
          <cell r="Q184">
            <v>1097467</v>
          </cell>
          <cell r="R184">
            <v>461585</v>
          </cell>
          <cell r="S184">
            <v>1.84</v>
          </cell>
        </row>
        <row r="185">
          <cell r="A185">
            <v>356.7</v>
          </cell>
          <cell r="B185" t="str">
            <v xml:space="preserve">          </v>
          </cell>
          <cell r="C185">
            <v>60</v>
          </cell>
          <cell r="D185" t="str">
            <v xml:space="preserve"> R2.5</v>
          </cell>
          <cell r="E185">
            <v>-10</v>
          </cell>
          <cell r="F185">
            <v>132747968.58</v>
          </cell>
          <cell r="G185">
            <v>70324577.640000001</v>
          </cell>
          <cell r="H185">
            <v>75698188</v>
          </cell>
          <cell r="I185">
            <v>1743446</v>
          </cell>
          <cell r="J185">
            <v>1.31</v>
          </cell>
          <cell r="K185">
            <v>43.4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53</v>
          </cell>
          <cell r="P185">
            <v>22.9</v>
          </cell>
          <cell r="Q185">
            <v>48526194</v>
          </cell>
          <cell r="R185">
            <v>2438580</v>
          </cell>
          <cell r="S185">
            <v>1.84</v>
          </cell>
        </row>
        <row r="186">
          <cell r="A186">
            <v>356.9</v>
          </cell>
          <cell r="B186" t="str">
            <v xml:space="preserve">          </v>
          </cell>
          <cell r="C186">
            <v>60</v>
          </cell>
          <cell r="D186" t="str">
            <v xml:space="preserve"> R2.5</v>
          </cell>
          <cell r="E186">
            <v>-10</v>
          </cell>
          <cell r="F186">
            <v>6269537.6799999997</v>
          </cell>
          <cell r="G186">
            <v>1610719.94</v>
          </cell>
          <cell r="H186">
            <v>5285772</v>
          </cell>
          <cell r="I186">
            <v>100331</v>
          </cell>
          <cell r="J186">
            <v>1.6</v>
          </cell>
          <cell r="K186">
            <v>52.7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25.7</v>
          </cell>
          <cell r="P186">
            <v>9.1</v>
          </cell>
          <cell r="Q186">
            <v>959707</v>
          </cell>
          <cell r="R186">
            <v>115171</v>
          </cell>
          <cell r="S186">
            <v>1.84</v>
          </cell>
        </row>
        <row r="187">
          <cell r="A187">
            <v>357.7</v>
          </cell>
          <cell r="B187" t="str">
            <v xml:space="preserve">          </v>
          </cell>
          <cell r="C187">
            <v>55</v>
          </cell>
          <cell r="D187" t="str">
            <v xml:space="preserve">   R4</v>
          </cell>
          <cell r="E187">
            <v>0</v>
          </cell>
          <cell r="F187">
            <v>700574.85</v>
          </cell>
          <cell r="G187">
            <v>375466.72</v>
          </cell>
          <cell r="H187">
            <v>325108</v>
          </cell>
          <cell r="I187">
            <v>17834</v>
          </cell>
          <cell r="J187">
            <v>2.5499999999999998</v>
          </cell>
          <cell r="K187">
            <v>18.2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53.6</v>
          </cell>
          <cell r="P187">
            <v>39.200000000000003</v>
          </cell>
          <cell r="Q187">
            <v>468369</v>
          </cell>
          <cell r="R187">
            <v>12750</v>
          </cell>
          <cell r="S187">
            <v>1.82</v>
          </cell>
        </row>
        <row r="188">
          <cell r="A188">
            <v>357.9</v>
          </cell>
          <cell r="B188" t="str">
            <v xml:space="preserve">          </v>
          </cell>
          <cell r="C188">
            <v>55</v>
          </cell>
          <cell r="D188" t="str">
            <v xml:space="preserve">   R4</v>
          </cell>
          <cell r="E188">
            <v>0</v>
          </cell>
          <cell r="F188">
            <v>510284.37</v>
          </cell>
          <cell r="G188">
            <v>114485.82</v>
          </cell>
          <cell r="H188">
            <v>395799</v>
          </cell>
          <cell r="I188">
            <v>8839</v>
          </cell>
          <cell r="J188">
            <v>1.73</v>
          </cell>
          <cell r="K188">
            <v>44.8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22.4</v>
          </cell>
          <cell r="P188">
            <v>10.199999999999999</v>
          </cell>
          <cell r="Q188">
            <v>94821</v>
          </cell>
          <cell r="R188">
            <v>9287</v>
          </cell>
          <cell r="S188">
            <v>1.82</v>
          </cell>
        </row>
        <row r="189">
          <cell r="A189">
            <v>358.7</v>
          </cell>
          <cell r="B189" t="str">
            <v xml:space="preserve">          </v>
          </cell>
          <cell r="C189">
            <v>55</v>
          </cell>
          <cell r="D189" t="str">
            <v xml:space="preserve">   R4</v>
          </cell>
          <cell r="E189">
            <v>0</v>
          </cell>
          <cell r="F189">
            <v>2932873.15</v>
          </cell>
          <cell r="G189">
            <v>2515857.46</v>
          </cell>
          <cell r="H189">
            <v>417016</v>
          </cell>
          <cell r="I189">
            <v>21673</v>
          </cell>
          <cell r="J189">
            <v>0.74</v>
          </cell>
          <cell r="K189">
            <v>19.2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85.8</v>
          </cell>
          <cell r="P189">
            <v>45</v>
          </cell>
          <cell r="Q189">
            <v>2151421</v>
          </cell>
          <cell r="R189">
            <v>53378</v>
          </cell>
          <cell r="S189">
            <v>1.82</v>
          </cell>
        </row>
        <row r="190">
          <cell r="A190">
            <v>358.9</v>
          </cell>
          <cell r="B190" t="str">
            <v xml:space="preserve">          </v>
          </cell>
          <cell r="C190">
            <v>55</v>
          </cell>
          <cell r="D190" t="str">
            <v xml:space="preserve">   R4</v>
          </cell>
          <cell r="E190">
            <v>0</v>
          </cell>
          <cell r="F190">
            <v>34023856.659999996</v>
          </cell>
          <cell r="G190">
            <v>8177268.2800000003</v>
          </cell>
          <cell r="H190">
            <v>25846588</v>
          </cell>
          <cell r="I190">
            <v>527144</v>
          </cell>
          <cell r="J190">
            <v>1.55</v>
          </cell>
          <cell r="K190">
            <v>49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24</v>
          </cell>
          <cell r="P190">
            <v>6.3</v>
          </cell>
          <cell r="Q190">
            <v>3880906</v>
          </cell>
          <cell r="R190">
            <v>619234</v>
          </cell>
          <cell r="S190">
            <v>1.82</v>
          </cell>
        </row>
        <row r="191">
          <cell r="A191">
            <v>359</v>
          </cell>
          <cell r="B191" t="str">
            <v xml:space="preserve">          </v>
          </cell>
          <cell r="C191">
            <v>65</v>
          </cell>
          <cell r="D191" t="str">
            <v xml:space="preserve">   R4</v>
          </cell>
          <cell r="E191">
            <v>0</v>
          </cell>
          <cell r="F191">
            <v>1379629.34</v>
          </cell>
          <cell r="G191">
            <v>397493.76000000001</v>
          </cell>
          <cell r="H191">
            <v>982136</v>
          </cell>
          <cell r="I191">
            <v>19310</v>
          </cell>
          <cell r="J191">
            <v>1.4</v>
          </cell>
          <cell r="K191">
            <v>50.9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28.8</v>
          </cell>
          <cell r="P191">
            <v>16.100000000000001</v>
          </cell>
          <cell r="Q191">
            <v>332895</v>
          </cell>
          <cell r="R191">
            <v>21246</v>
          </cell>
          <cell r="S191">
            <v>1.54</v>
          </cell>
        </row>
        <row r="192">
          <cell r="A192">
            <v>359.7</v>
          </cell>
          <cell r="B192" t="str">
            <v xml:space="preserve">          </v>
          </cell>
          <cell r="C192">
            <v>65</v>
          </cell>
          <cell r="D192" t="str">
            <v xml:space="preserve">   R4</v>
          </cell>
          <cell r="E192">
            <v>0</v>
          </cell>
          <cell r="F192">
            <v>568185.43000000005</v>
          </cell>
          <cell r="G192">
            <v>279528.76</v>
          </cell>
          <cell r="H192">
            <v>288657</v>
          </cell>
          <cell r="I192">
            <v>9535</v>
          </cell>
          <cell r="J192">
            <v>1.68</v>
          </cell>
          <cell r="K192">
            <v>30.3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49.2</v>
          </cell>
          <cell r="P192">
            <v>35.799999999999997</v>
          </cell>
          <cell r="Q192">
            <v>299321</v>
          </cell>
          <cell r="R192">
            <v>8750</v>
          </cell>
          <cell r="S192">
            <v>1.54</v>
          </cell>
        </row>
        <row r="193">
          <cell r="A193">
            <v>359.9</v>
          </cell>
          <cell r="B193" t="str">
            <v xml:space="preserve">          </v>
          </cell>
          <cell r="C193">
            <v>65</v>
          </cell>
          <cell r="D193" t="str">
            <v xml:space="preserve">   R4</v>
          </cell>
          <cell r="E193">
            <v>0</v>
          </cell>
          <cell r="F193">
            <v>5387661.8399999999</v>
          </cell>
          <cell r="G193">
            <v>84805.759999999995</v>
          </cell>
          <cell r="H193">
            <v>5302856</v>
          </cell>
          <cell r="I193">
            <v>82049</v>
          </cell>
          <cell r="J193">
            <v>1.52</v>
          </cell>
          <cell r="K193">
            <v>64.599999999999994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1.6</v>
          </cell>
          <cell r="P193">
            <v>0.4</v>
          </cell>
          <cell r="Q193">
            <v>30656</v>
          </cell>
          <cell r="R193">
            <v>82970</v>
          </cell>
          <cell r="S193">
            <v>1.54</v>
          </cell>
        </row>
        <row r="194">
          <cell r="A194">
            <v>359.99</v>
          </cell>
          <cell r="B194" t="str">
            <v xml:space="preserve">          </v>
          </cell>
          <cell r="C194">
            <v>65</v>
          </cell>
          <cell r="D194" t="str">
            <v xml:space="preserve">   R4</v>
          </cell>
          <cell r="E194">
            <v>0</v>
          </cell>
          <cell r="F194">
            <v>8020.92</v>
          </cell>
          <cell r="G194">
            <v>3313.15</v>
          </cell>
          <cell r="H194">
            <v>4708</v>
          </cell>
          <cell r="I194">
            <v>117</v>
          </cell>
          <cell r="J194">
            <v>1.46</v>
          </cell>
          <cell r="K194">
            <v>40.200000000000003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41.3</v>
          </cell>
          <cell r="P194">
            <v>25.2</v>
          </cell>
          <cell r="Q194">
            <v>3076</v>
          </cell>
          <cell r="R194">
            <v>124</v>
          </cell>
          <cell r="S194">
            <v>1.54</v>
          </cell>
        </row>
        <row r="195">
          <cell r="A195">
            <v>360.1</v>
          </cell>
          <cell r="B195" t="str">
            <v xml:space="preserve">          </v>
          </cell>
          <cell r="C195">
            <v>65</v>
          </cell>
          <cell r="D195" t="str">
            <v xml:space="preserve">   R4</v>
          </cell>
          <cell r="E195">
            <v>0</v>
          </cell>
          <cell r="F195">
            <v>6192997.7800000003</v>
          </cell>
          <cell r="G195">
            <v>3154464.1</v>
          </cell>
          <cell r="H195">
            <v>3038534</v>
          </cell>
          <cell r="I195">
            <v>69962</v>
          </cell>
          <cell r="J195">
            <v>1.1299999999999999</v>
          </cell>
          <cell r="K195">
            <v>43.4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50.9</v>
          </cell>
          <cell r="P195">
            <v>27.6</v>
          </cell>
          <cell r="Q195">
            <v>2505692</v>
          </cell>
          <cell r="R195">
            <v>95372</v>
          </cell>
          <cell r="S195">
            <v>1.54</v>
          </cell>
        </row>
        <row r="196">
          <cell r="A196">
            <v>361</v>
          </cell>
          <cell r="B196" t="str">
            <v xml:space="preserve">          </v>
          </cell>
          <cell r="C196">
            <v>60</v>
          </cell>
          <cell r="D196" t="str">
            <v xml:space="preserve">   R2</v>
          </cell>
          <cell r="E196">
            <v>-10</v>
          </cell>
          <cell r="F196">
            <v>7980826.7300000004</v>
          </cell>
          <cell r="G196">
            <v>2327040.6800000002</v>
          </cell>
          <cell r="H196">
            <v>6451869</v>
          </cell>
          <cell r="I196">
            <v>140499</v>
          </cell>
          <cell r="J196">
            <v>1.76</v>
          </cell>
          <cell r="K196">
            <v>45.9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29.2</v>
          </cell>
          <cell r="P196">
            <v>17.3</v>
          </cell>
          <cell r="Q196">
            <v>2119006</v>
          </cell>
          <cell r="R196">
            <v>146608</v>
          </cell>
          <cell r="S196">
            <v>1.84</v>
          </cell>
        </row>
        <row r="197">
          <cell r="A197">
            <v>362</v>
          </cell>
          <cell r="B197" t="str">
            <v xml:space="preserve">          </v>
          </cell>
          <cell r="C197">
            <v>52</v>
          </cell>
          <cell r="D197" t="str">
            <v xml:space="preserve">   S0</v>
          </cell>
          <cell r="E197">
            <v>-15</v>
          </cell>
          <cell r="F197">
            <v>434912648.51999998</v>
          </cell>
          <cell r="G197">
            <v>125213289.48</v>
          </cell>
          <cell r="H197">
            <v>374936256</v>
          </cell>
          <cell r="I197">
            <v>8871422</v>
          </cell>
          <cell r="J197">
            <v>2.04</v>
          </cell>
          <cell r="K197">
            <v>42.3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28.8</v>
          </cell>
          <cell r="P197">
            <v>14.3</v>
          </cell>
          <cell r="Q197">
            <v>100471019</v>
          </cell>
          <cell r="R197">
            <v>9602868</v>
          </cell>
          <cell r="S197">
            <v>2.21</v>
          </cell>
        </row>
        <row r="198">
          <cell r="A198">
            <v>363</v>
          </cell>
          <cell r="B198" t="str">
            <v xml:space="preserve">          </v>
          </cell>
          <cell r="C198">
            <v>20</v>
          </cell>
          <cell r="D198" t="str">
            <v xml:space="preserve">   S3</v>
          </cell>
          <cell r="E198">
            <v>0</v>
          </cell>
          <cell r="F198">
            <v>1194182.8600000001</v>
          </cell>
          <cell r="G198">
            <v>23908.84</v>
          </cell>
          <cell r="H198">
            <v>1170274</v>
          </cell>
          <cell r="I198">
            <v>59617</v>
          </cell>
          <cell r="J198">
            <v>4.99</v>
          </cell>
          <cell r="K198">
            <v>19.600000000000001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2</v>
          </cell>
          <cell r="P198">
            <v>0.4</v>
          </cell>
          <cell r="Q198">
            <v>22092</v>
          </cell>
          <cell r="R198">
            <v>59709</v>
          </cell>
          <cell r="S198">
            <v>5</v>
          </cell>
        </row>
        <row r="199">
          <cell r="A199">
            <v>364</v>
          </cell>
          <cell r="B199" t="str">
            <v xml:space="preserve">          </v>
          </cell>
          <cell r="C199">
            <v>46</v>
          </cell>
          <cell r="D199" t="str">
            <v xml:space="preserve"> R1.5</v>
          </cell>
          <cell r="E199">
            <v>-50</v>
          </cell>
          <cell r="F199">
            <v>340904415.12</v>
          </cell>
          <cell r="G199">
            <v>146427146.66</v>
          </cell>
          <cell r="H199">
            <v>364929476</v>
          </cell>
          <cell r="I199">
            <v>10713901</v>
          </cell>
          <cell r="J199">
            <v>3.14</v>
          </cell>
          <cell r="K199">
            <v>34.1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43</v>
          </cell>
          <cell r="P199">
            <v>17</v>
          </cell>
          <cell r="Q199">
            <v>138021506</v>
          </cell>
          <cell r="R199">
            <v>11096439</v>
          </cell>
          <cell r="S199">
            <v>3.25</v>
          </cell>
        </row>
        <row r="200">
          <cell r="A200">
            <v>365</v>
          </cell>
          <cell r="B200" t="str">
            <v xml:space="preserve">          </v>
          </cell>
          <cell r="C200">
            <v>38</v>
          </cell>
          <cell r="D200" t="str">
            <v xml:space="preserve"> R2.5</v>
          </cell>
          <cell r="E200">
            <v>-25</v>
          </cell>
          <cell r="F200">
            <v>409216186.50999999</v>
          </cell>
          <cell r="G200">
            <v>120401104.94</v>
          </cell>
          <cell r="H200">
            <v>391119128</v>
          </cell>
          <cell r="I200">
            <v>15306553</v>
          </cell>
          <cell r="J200">
            <v>3.74</v>
          </cell>
          <cell r="K200">
            <v>25.6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29.4</v>
          </cell>
          <cell r="P200">
            <v>13.1</v>
          </cell>
          <cell r="Q200">
            <v>148542282</v>
          </cell>
          <cell r="R200">
            <v>13452982</v>
          </cell>
          <cell r="S200">
            <v>3.29</v>
          </cell>
        </row>
        <row r="201">
          <cell r="A201">
            <v>366</v>
          </cell>
          <cell r="B201" t="str">
            <v xml:space="preserve">          </v>
          </cell>
          <cell r="C201">
            <v>55</v>
          </cell>
          <cell r="D201" t="str">
            <v xml:space="preserve">   R3</v>
          </cell>
          <cell r="E201">
            <v>-10</v>
          </cell>
          <cell r="F201">
            <v>672272622.88</v>
          </cell>
          <cell r="G201">
            <v>261027349.00999999</v>
          </cell>
          <cell r="H201">
            <v>478472536</v>
          </cell>
          <cell r="I201">
            <v>11912719</v>
          </cell>
          <cell r="J201">
            <v>1.77</v>
          </cell>
          <cell r="K201">
            <v>40.200000000000003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38.799999999999997</v>
          </cell>
          <cell r="P201">
            <v>17.2</v>
          </cell>
          <cell r="Q201">
            <v>215126408</v>
          </cell>
          <cell r="R201">
            <v>13458898</v>
          </cell>
          <cell r="S201">
            <v>2</v>
          </cell>
        </row>
        <row r="202">
          <cell r="A202">
            <v>367</v>
          </cell>
          <cell r="B202" t="str">
            <v xml:space="preserve">          </v>
          </cell>
          <cell r="C202">
            <v>38</v>
          </cell>
          <cell r="D202" t="str">
            <v xml:space="preserve"> R2.5</v>
          </cell>
          <cell r="E202">
            <v>-40</v>
          </cell>
          <cell r="F202">
            <v>844856752.28999996</v>
          </cell>
          <cell r="G202">
            <v>341308279.60000002</v>
          </cell>
          <cell r="H202">
            <v>841491174</v>
          </cell>
          <cell r="I202">
            <v>33220993</v>
          </cell>
          <cell r="J202">
            <v>3.93</v>
          </cell>
          <cell r="K202">
            <v>25.3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40.4</v>
          </cell>
          <cell r="P202">
            <v>14.2</v>
          </cell>
          <cell r="Q202">
            <v>377270206</v>
          </cell>
          <cell r="R202">
            <v>31107626</v>
          </cell>
          <cell r="S202">
            <v>3.68</v>
          </cell>
        </row>
        <row r="203">
          <cell r="A203">
            <v>368</v>
          </cell>
          <cell r="B203" t="str">
            <v xml:space="preserve">          </v>
          </cell>
          <cell r="C203">
            <v>44</v>
          </cell>
          <cell r="D203" t="str">
            <v xml:space="preserve">   R2</v>
          </cell>
          <cell r="E203">
            <v>-50</v>
          </cell>
          <cell r="F203">
            <v>462673680.60000002</v>
          </cell>
          <cell r="G203">
            <v>181111959.47999999</v>
          </cell>
          <cell r="H203">
            <v>512898561</v>
          </cell>
          <cell r="I203">
            <v>18805777</v>
          </cell>
          <cell r="J203">
            <v>4.0599999999999996</v>
          </cell>
          <cell r="K203">
            <v>27.3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39.1</v>
          </cell>
          <cell r="P203">
            <v>19.100000000000001</v>
          </cell>
          <cell r="Q203">
            <v>240978190</v>
          </cell>
          <cell r="R203">
            <v>15754039</v>
          </cell>
          <cell r="S203">
            <v>3.41</v>
          </cell>
        </row>
        <row r="204">
          <cell r="A204">
            <v>369</v>
          </cell>
          <cell r="B204" t="str">
            <v xml:space="preserve">          </v>
          </cell>
          <cell r="C204">
            <v>55</v>
          </cell>
          <cell r="D204" t="str">
            <v xml:space="preserve">   R3</v>
          </cell>
          <cell r="E204">
            <v>-60</v>
          </cell>
          <cell r="F204">
            <v>182057677.19</v>
          </cell>
          <cell r="G204">
            <v>116569686.06999999</v>
          </cell>
          <cell r="H204">
            <v>174722597</v>
          </cell>
          <cell r="I204">
            <v>5727599</v>
          </cell>
          <cell r="J204">
            <v>3.15</v>
          </cell>
          <cell r="K204">
            <v>30.5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64</v>
          </cell>
          <cell r="P204">
            <v>26.6</v>
          </cell>
          <cell r="Q204">
            <v>126606345</v>
          </cell>
          <cell r="R204">
            <v>5301520</v>
          </cell>
          <cell r="S204">
            <v>2.91</v>
          </cell>
        </row>
        <row r="205">
          <cell r="A205">
            <v>370</v>
          </cell>
          <cell r="B205" t="str">
            <v xml:space="preserve">          </v>
          </cell>
          <cell r="C205">
            <v>28</v>
          </cell>
          <cell r="D205" t="str">
            <v xml:space="preserve"> S0.5</v>
          </cell>
          <cell r="E205">
            <v>-20</v>
          </cell>
          <cell r="F205">
            <v>140665913.55000001</v>
          </cell>
          <cell r="G205">
            <v>34679835.299999997</v>
          </cell>
          <cell r="H205">
            <v>134119261</v>
          </cell>
          <cell r="I205">
            <v>9030341</v>
          </cell>
          <cell r="J205">
            <v>6.42</v>
          </cell>
          <cell r="K205">
            <v>14.9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24.7</v>
          </cell>
          <cell r="P205">
            <v>16.100000000000001</v>
          </cell>
          <cell r="Q205">
            <v>67152593</v>
          </cell>
          <cell r="R205">
            <v>6001860</v>
          </cell>
          <cell r="S205">
            <v>4.2699999999999996</v>
          </cell>
        </row>
        <row r="206">
          <cell r="A206">
            <v>373</v>
          </cell>
          <cell r="B206" t="str">
            <v xml:space="preserve">          </v>
          </cell>
          <cell r="C206">
            <v>31</v>
          </cell>
          <cell r="D206" t="str">
            <v xml:space="preserve"> S0.5</v>
          </cell>
          <cell r="E206">
            <v>-15</v>
          </cell>
          <cell r="F206">
            <v>53727968.479999997</v>
          </cell>
          <cell r="G206">
            <v>18793323.43</v>
          </cell>
          <cell r="H206">
            <v>42993840</v>
          </cell>
          <cell r="I206">
            <v>2552518</v>
          </cell>
          <cell r="J206">
            <v>4.75</v>
          </cell>
          <cell r="K206">
            <v>16.8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35</v>
          </cell>
          <cell r="P206">
            <v>18.7</v>
          </cell>
          <cell r="Q206">
            <v>25382569</v>
          </cell>
          <cell r="R206">
            <v>1994513</v>
          </cell>
          <cell r="S206">
            <v>3.71</v>
          </cell>
        </row>
        <row r="207">
          <cell r="A207" t="str">
            <v xml:space="preserve">390.00 01           </v>
          </cell>
          <cell r="B207">
            <v>57526</v>
          </cell>
          <cell r="C207">
            <v>75</v>
          </cell>
          <cell r="D207" t="str">
            <v xml:space="preserve"> S1.5</v>
          </cell>
          <cell r="E207">
            <v>-5</v>
          </cell>
          <cell r="F207">
            <v>20916098.27</v>
          </cell>
          <cell r="G207">
            <v>7596119</v>
          </cell>
          <cell r="H207">
            <v>14365784</v>
          </cell>
          <cell r="I207">
            <v>374164</v>
          </cell>
          <cell r="J207">
            <v>1.79</v>
          </cell>
          <cell r="K207">
            <v>38.4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36.299999999999997</v>
          </cell>
          <cell r="P207">
            <v>9.1999999999999993</v>
          </cell>
          <cell r="Q207">
            <v>4232245</v>
          </cell>
          <cell r="R207">
            <v>461410</v>
          </cell>
          <cell r="S207">
            <v>2.21</v>
          </cell>
        </row>
        <row r="208">
          <cell r="A208" t="str">
            <v xml:space="preserve">390.00 99           </v>
          </cell>
          <cell r="B208" t="str">
            <v xml:space="preserve">          </v>
          </cell>
          <cell r="C208">
            <v>45</v>
          </cell>
          <cell r="D208" t="str">
            <v xml:space="preserve"> S1.5</v>
          </cell>
          <cell r="E208">
            <v>-5</v>
          </cell>
          <cell r="F208">
            <v>27691074.899999999</v>
          </cell>
          <cell r="G208">
            <v>20042691.399999999</v>
          </cell>
          <cell r="H208">
            <v>9032937</v>
          </cell>
          <cell r="I208">
            <v>261922</v>
          </cell>
          <cell r="J208">
            <v>0.95</v>
          </cell>
          <cell r="K208">
            <v>34.5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72.400000000000006</v>
          </cell>
          <cell r="P208">
            <v>20.6</v>
          </cell>
          <cell r="Q208">
            <v>11166796</v>
          </cell>
          <cell r="R208">
            <v>645479</v>
          </cell>
          <cell r="S208">
            <v>2.33</v>
          </cell>
        </row>
        <row r="209">
          <cell r="A209">
            <v>390.1</v>
          </cell>
          <cell r="B209" t="str">
            <v xml:space="preserve">          </v>
          </cell>
          <cell r="C209">
            <v>40</v>
          </cell>
          <cell r="D209" t="str">
            <v xml:space="preserve">   R3</v>
          </cell>
          <cell r="E209">
            <v>0</v>
          </cell>
          <cell r="F209">
            <v>184775.85</v>
          </cell>
          <cell r="G209">
            <v>170844.11</v>
          </cell>
          <cell r="H209">
            <v>13932</v>
          </cell>
          <cell r="I209">
            <v>423</v>
          </cell>
          <cell r="J209">
            <v>0.23</v>
          </cell>
          <cell r="K209">
            <v>32.9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92.5</v>
          </cell>
          <cell r="P209">
            <v>7.9</v>
          </cell>
          <cell r="Q209">
            <v>35497</v>
          </cell>
          <cell r="R209">
            <v>4619</v>
          </cell>
          <cell r="S209">
            <v>2.5</v>
          </cell>
        </row>
        <row r="210">
          <cell r="A210" t="str">
            <v xml:space="preserve">391.10 01           </v>
          </cell>
          <cell r="B210" t="str">
            <v xml:space="preserve">          </v>
          </cell>
          <cell r="C210">
            <v>20</v>
          </cell>
          <cell r="D210" t="str">
            <v xml:space="preserve">   SQ</v>
          </cell>
          <cell r="E210">
            <v>0</v>
          </cell>
          <cell r="F210">
            <v>5896620.0700000003</v>
          </cell>
          <cell r="G210">
            <v>5896620.0700000003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100</v>
          </cell>
          <cell r="P210">
            <v>24.2</v>
          </cell>
          <cell r="Q210">
            <v>5896619</v>
          </cell>
          <cell r="R210">
            <v>0</v>
          </cell>
          <cell r="S210">
            <v>0</v>
          </cell>
        </row>
        <row r="211">
          <cell r="A211" t="str">
            <v xml:space="preserve">391.10 02           </v>
          </cell>
          <cell r="B211" t="str">
            <v xml:space="preserve">          </v>
          </cell>
          <cell r="C211">
            <v>20</v>
          </cell>
          <cell r="D211" t="str">
            <v xml:space="preserve">   SQ</v>
          </cell>
          <cell r="E211">
            <v>0</v>
          </cell>
          <cell r="F211">
            <v>4398911.17</v>
          </cell>
          <cell r="G211">
            <v>2177000</v>
          </cell>
          <cell r="H211">
            <v>2221911</v>
          </cell>
          <cell r="I211">
            <v>219874</v>
          </cell>
          <cell r="J211">
            <v>5</v>
          </cell>
          <cell r="K211">
            <v>10.1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49.5</v>
          </cell>
          <cell r="P211">
            <v>10</v>
          </cell>
          <cell r="Q211">
            <v>2196036</v>
          </cell>
          <cell r="R211">
            <v>219946</v>
          </cell>
          <cell r="S211">
            <v>5</v>
          </cell>
        </row>
        <row r="212">
          <cell r="A212">
            <v>391.2</v>
          </cell>
          <cell r="B212" t="str">
            <v xml:space="preserve">          </v>
          </cell>
          <cell r="C212">
            <v>5</v>
          </cell>
          <cell r="D212" t="str">
            <v xml:space="preserve">   SQ</v>
          </cell>
          <cell r="E212">
            <v>0</v>
          </cell>
          <cell r="F212">
            <v>22169281.93</v>
          </cell>
          <cell r="G212">
            <v>13532000</v>
          </cell>
          <cell r="H212">
            <v>8637282</v>
          </cell>
          <cell r="I212">
            <v>4433881</v>
          </cell>
          <cell r="J212">
            <v>20</v>
          </cell>
          <cell r="K212">
            <v>1.9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61</v>
          </cell>
          <cell r="P212">
            <v>3.2</v>
          </cell>
          <cell r="Q212">
            <v>14050279</v>
          </cell>
          <cell r="R212">
            <v>4323610</v>
          </cell>
          <cell r="S212">
            <v>19.5</v>
          </cell>
        </row>
        <row r="213">
          <cell r="A213">
            <v>392</v>
          </cell>
          <cell r="B213" t="str">
            <v xml:space="preserve">          </v>
          </cell>
          <cell r="C213">
            <v>12</v>
          </cell>
          <cell r="D213" t="str">
            <v xml:space="preserve">   L3</v>
          </cell>
          <cell r="E213">
            <v>10</v>
          </cell>
          <cell r="F213">
            <v>9188876.1099999994</v>
          </cell>
          <cell r="G213">
            <v>5273637.58</v>
          </cell>
          <cell r="H213">
            <v>2996351</v>
          </cell>
          <cell r="I213">
            <v>482333</v>
          </cell>
          <cell r="J213">
            <v>5.25</v>
          </cell>
          <cell r="K213">
            <v>6.2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57.4</v>
          </cell>
          <cell r="P213">
            <v>6.5</v>
          </cell>
          <cell r="Q213">
            <v>4114536</v>
          </cell>
          <cell r="R213">
            <v>688890</v>
          </cell>
          <cell r="S213">
            <v>7.5</v>
          </cell>
        </row>
        <row r="214">
          <cell r="A214" t="str">
            <v xml:space="preserve">393.00 01           </v>
          </cell>
          <cell r="B214" t="str">
            <v xml:space="preserve">          </v>
          </cell>
          <cell r="C214">
            <v>20</v>
          </cell>
          <cell r="D214" t="str">
            <v xml:space="preserve">   FA</v>
          </cell>
          <cell r="E214">
            <v>0</v>
          </cell>
          <cell r="F214">
            <v>589595.93000000005</v>
          </cell>
          <cell r="G214">
            <v>589595.93000000005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100</v>
          </cell>
          <cell r="P214">
            <v>24.8</v>
          </cell>
          <cell r="Q214">
            <v>589596</v>
          </cell>
          <cell r="R214">
            <v>0</v>
          </cell>
          <cell r="S214">
            <v>0</v>
          </cell>
        </row>
        <row r="215">
          <cell r="A215" t="str">
            <v xml:space="preserve">393.00 02           </v>
          </cell>
          <cell r="B215" t="str">
            <v xml:space="preserve">          </v>
          </cell>
          <cell r="C215">
            <v>20</v>
          </cell>
          <cell r="D215" t="str">
            <v xml:space="preserve">   SQ</v>
          </cell>
          <cell r="E215">
            <v>0</v>
          </cell>
          <cell r="F215">
            <v>170968.61</v>
          </cell>
          <cell r="G215">
            <v>33600</v>
          </cell>
          <cell r="H215">
            <v>137369</v>
          </cell>
          <cell r="I215">
            <v>8552</v>
          </cell>
          <cell r="J215">
            <v>5</v>
          </cell>
          <cell r="K215">
            <v>16.100000000000001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19.7</v>
          </cell>
          <cell r="P215">
            <v>3.9</v>
          </cell>
          <cell r="Q215">
            <v>33644</v>
          </cell>
          <cell r="R215">
            <v>8548</v>
          </cell>
          <cell r="S215">
            <v>5</v>
          </cell>
        </row>
        <row r="216">
          <cell r="A216" t="str">
            <v xml:space="preserve">394.00 01           </v>
          </cell>
          <cell r="B216" t="str">
            <v xml:space="preserve">          </v>
          </cell>
          <cell r="C216">
            <v>20</v>
          </cell>
          <cell r="D216" t="str">
            <v xml:space="preserve">   FA</v>
          </cell>
          <cell r="E216">
            <v>0</v>
          </cell>
          <cell r="F216">
            <v>3661294.93</v>
          </cell>
          <cell r="G216">
            <v>3661294.93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100</v>
          </cell>
          <cell r="P216">
            <v>23.4</v>
          </cell>
          <cell r="Q216">
            <v>3661294</v>
          </cell>
          <cell r="R216">
            <v>0</v>
          </cell>
          <cell r="S216">
            <v>0</v>
          </cell>
        </row>
        <row r="217">
          <cell r="A217" t="str">
            <v xml:space="preserve">394.00 02           </v>
          </cell>
          <cell r="B217" t="str">
            <v xml:space="preserve">          </v>
          </cell>
          <cell r="C217">
            <v>20</v>
          </cell>
          <cell r="D217" t="str">
            <v xml:space="preserve">   SQ</v>
          </cell>
          <cell r="E217">
            <v>0</v>
          </cell>
          <cell r="F217">
            <v>8917577.8399999999</v>
          </cell>
          <cell r="G217">
            <v>2134000</v>
          </cell>
          <cell r="H217">
            <v>6783578</v>
          </cell>
          <cell r="I217">
            <v>445520</v>
          </cell>
          <cell r="J217">
            <v>5</v>
          </cell>
          <cell r="K217">
            <v>15.2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23.9</v>
          </cell>
          <cell r="P217">
            <v>4.8</v>
          </cell>
          <cell r="Q217">
            <v>2139255</v>
          </cell>
          <cell r="R217">
            <v>445879</v>
          </cell>
          <cell r="S217">
            <v>5</v>
          </cell>
        </row>
        <row r="218">
          <cell r="A218" t="str">
            <v xml:space="preserve">395.00 01           </v>
          </cell>
          <cell r="B218" t="str">
            <v xml:space="preserve">          </v>
          </cell>
          <cell r="C218">
            <v>20</v>
          </cell>
          <cell r="D218" t="str">
            <v xml:space="preserve">   FA</v>
          </cell>
          <cell r="E218">
            <v>0</v>
          </cell>
          <cell r="F218">
            <v>4155876.27</v>
          </cell>
          <cell r="G218">
            <v>4155876.27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100</v>
          </cell>
          <cell r="P218">
            <v>23.8</v>
          </cell>
          <cell r="Q218">
            <v>4155877</v>
          </cell>
          <cell r="R218">
            <v>0</v>
          </cell>
          <cell r="S218">
            <v>0</v>
          </cell>
        </row>
        <row r="219">
          <cell r="A219" t="str">
            <v xml:space="preserve">395.00 02           </v>
          </cell>
          <cell r="B219" t="str">
            <v xml:space="preserve">          </v>
          </cell>
          <cell r="C219">
            <v>20</v>
          </cell>
          <cell r="D219" t="str">
            <v xml:space="preserve">   SQ</v>
          </cell>
          <cell r="E219">
            <v>0</v>
          </cell>
          <cell r="F219">
            <v>7875250.46</v>
          </cell>
          <cell r="G219">
            <v>3991000</v>
          </cell>
          <cell r="H219">
            <v>3884250</v>
          </cell>
          <cell r="I219">
            <v>393582</v>
          </cell>
          <cell r="J219">
            <v>5</v>
          </cell>
          <cell r="K219">
            <v>9.9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50.7</v>
          </cell>
          <cell r="P219">
            <v>10.199999999999999</v>
          </cell>
          <cell r="Q219">
            <v>4009442</v>
          </cell>
          <cell r="R219">
            <v>393763</v>
          </cell>
          <cell r="S219">
            <v>5</v>
          </cell>
        </row>
        <row r="220">
          <cell r="A220">
            <v>396</v>
          </cell>
          <cell r="B220" t="str">
            <v xml:space="preserve">          </v>
          </cell>
          <cell r="C220">
            <v>14</v>
          </cell>
          <cell r="D220" t="str">
            <v xml:space="preserve">   L3</v>
          </cell>
          <cell r="E220">
            <v>10</v>
          </cell>
          <cell r="F220">
            <v>6082762.2400000002</v>
          </cell>
          <cell r="G220">
            <v>2469390.7200000002</v>
          </cell>
          <cell r="H220">
            <v>3005095</v>
          </cell>
          <cell r="I220">
            <v>400413</v>
          </cell>
          <cell r="J220">
            <v>6.58</v>
          </cell>
          <cell r="K220">
            <v>7.5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40.6</v>
          </cell>
          <cell r="P220">
            <v>6.9</v>
          </cell>
          <cell r="Q220">
            <v>2537010</v>
          </cell>
          <cell r="R220">
            <v>390878</v>
          </cell>
          <cell r="S220">
            <v>6.43</v>
          </cell>
        </row>
        <row r="221">
          <cell r="A221" t="str">
            <v xml:space="preserve">397.00 01           </v>
          </cell>
          <cell r="B221" t="str">
            <v xml:space="preserve">          </v>
          </cell>
          <cell r="C221">
            <v>15</v>
          </cell>
          <cell r="D221" t="str">
            <v xml:space="preserve">   FA</v>
          </cell>
          <cell r="E221">
            <v>0</v>
          </cell>
          <cell r="F221">
            <v>12913083.02</v>
          </cell>
          <cell r="G221">
            <v>12913083.02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100</v>
          </cell>
          <cell r="P221">
            <v>21.3</v>
          </cell>
          <cell r="Q221">
            <v>12913083</v>
          </cell>
          <cell r="R221">
            <v>0</v>
          </cell>
          <cell r="S221">
            <v>0</v>
          </cell>
        </row>
        <row r="222">
          <cell r="A222" t="str">
            <v xml:space="preserve">397.00 02           </v>
          </cell>
          <cell r="B222" t="str">
            <v xml:space="preserve">          </v>
          </cell>
          <cell r="C222">
            <v>15</v>
          </cell>
          <cell r="D222" t="str">
            <v xml:space="preserve">   SQ</v>
          </cell>
          <cell r="E222">
            <v>0</v>
          </cell>
          <cell r="F222">
            <v>80874473</v>
          </cell>
          <cell r="G222">
            <v>28500000</v>
          </cell>
          <cell r="H222">
            <v>52374473</v>
          </cell>
          <cell r="I222">
            <v>5396167</v>
          </cell>
          <cell r="J222">
            <v>6.67</v>
          </cell>
          <cell r="K222">
            <v>9.6999999999999993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35.200000000000003</v>
          </cell>
          <cell r="P222">
            <v>5.3</v>
          </cell>
          <cell r="Q222">
            <v>28575798</v>
          </cell>
          <cell r="R222">
            <v>5394327</v>
          </cell>
          <cell r="S222">
            <v>6.67</v>
          </cell>
        </row>
        <row r="223">
          <cell r="A223" t="str">
            <v xml:space="preserve">398.00 01           </v>
          </cell>
          <cell r="B223" t="str">
            <v xml:space="preserve">          </v>
          </cell>
          <cell r="C223">
            <v>15</v>
          </cell>
          <cell r="D223" t="str">
            <v xml:space="preserve">   FA</v>
          </cell>
          <cell r="E223">
            <v>0</v>
          </cell>
          <cell r="F223">
            <v>86544.16</v>
          </cell>
          <cell r="G223">
            <v>86544.16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100</v>
          </cell>
          <cell r="P223">
            <v>18.5</v>
          </cell>
          <cell r="Q223">
            <v>86545</v>
          </cell>
          <cell r="R223">
            <v>0</v>
          </cell>
          <cell r="S223">
            <v>0</v>
          </cell>
        </row>
        <row r="224">
          <cell r="A224" t="str">
            <v xml:space="preserve">398.00 02           </v>
          </cell>
          <cell r="B224" t="str">
            <v xml:space="preserve">          </v>
          </cell>
          <cell r="C224">
            <v>15</v>
          </cell>
          <cell r="D224" t="str">
            <v xml:space="preserve">   SQ</v>
          </cell>
          <cell r="E224">
            <v>0</v>
          </cell>
          <cell r="F224">
            <v>190785.64</v>
          </cell>
          <cell r="G224">
            <v>67100</v>
          </cell>
          <cell r="H224">
            <v>123686</v>
          </cell>
          <cell r="I224">
            <v>12718</v>
          </cell>
          <cell r="J224">
            <v>6.67</v>
          </cell>
          <cell r="K224">
            <v>9.6999999999999993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35.200000000000003</v>
          </cell>
          <cell r="P224">
            <v>5.3</v>
          </cell>
          <cell r="Q224">
            <v>67090</v>
          </cell>
          <cell r="R224">
            <v>12725</v>
          </cell>
          <cell r="S224">
            <v>6.67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atherby, Niecie" refreshedDate="44342.320964236111" createdVersion="6" refreshedVersion="6" minRefreshableVersion="3" recordCount="42">
  <cacheSource type="worksheet">
    <worksheetSource ref="A1:V1048576" sheet="2022-2026budget"/>
  </cacheSource>
  <cacheFields count="22">
    <cacheField name="WBS" numFmtId="0">
      <sharedItems containsBlank="1"/>
    </cacheField>
    <cacheField name="Cost Center" numFmtId="0">
      <sharedItems containsBlank="1"/>
    </cacheField>
    <cacheField name="Manager" numFmtId="0">
      <sharedItems containsBlank="1"/>
    </cacheField>
    <cacheField name="Director" numFmtId="0">
      <sharedItems containsBlank="1"/>
    </cacheField>
    <cacheField name="VP" numFmtId="0">
      <sharedItems containsBlank="1"/>
    </cacheField>
    <cacheField name="Cost Center Description" numFmtId="0">
      <sharedItems containsBlank="1"/>
    </cacheField>
    <cacheField name="Project Type" numFmtId="0">
      <sharedItems containsBlank="1"/>
    </cacheField>
    <cacheField name="Reporting L1" numFmtId="0">
      <sharedItems containsBlank="1"/>
    </cacheField>
    <cacheField name="Reporting L2" numFmtId="0">
      <sharedItems containsBlank="1"/>
    </cacheField>
    <cacheField name="Reporting L3" numFmtId="0">
      <sharedItems containsBlank="1"/>
    </cacheField>
    <cacheField name="category for E3" numFmtId="0">
      <sharedItems containsBlank="1" count="5">
        <s v="maintenance"/>
        <s v="emergent"/>
        <s v="new construction"/>
        <s v="capacity"/>
        <m/>
      </sharedItems>
    </cacheField>
    <cacheField name="How to count" numFmtId="0">
      <sharedItems containsBlank="1" count="4">
        <s v="Miles of Main"/>
        <s v="Customer"/>
        <m/>
        <s v="Flat Fee" u="1"/>
      </sharedItems>
    </cacheField>
    <cacheField name="PDEF Description" numFmtId="0">
      <sharedItems containsBlank="1"/>
    </cacheField>
    <cacheField name="WBS L1 Description" numFmtId="0">
      <sharedItems containsBlank="1"/>
    </cacheField>
    <cacheField name="WBS L2 Description" numFmtId="0">
      <sharedItems containsBlank="1"/>
    </cacheField>
    <cacheField name="Prior 5-yr. Plan Category (if applicable)" numFmtId="0">
      <sharedItems containsBlank="1" count="18">
        <s v="Gas System Integrity"/>
        <s v="Gas System Integrity-emergent; Gas Measurement"/>
        <s v="Customer Construction - Gas"/>
        <s v="Customer Construction CIAC - Gas"/>
        <s v="Public Improvement - Gas"/>
        <s v="Placeholder - King County Franchise Fee "/>
        <s v="Gas System Integrity-emergent;Corrosion Improvement"/>
        <s v="Distribution Integrity Management System"/>
        <s v="Gas DIMP MP"/>
        <s v="Gas cost recovery mechanism: Dupont"/>
        <s v="Gas cost recovery mechanism: Buried meters"/>
        <s v="Gas System Integrity-emergent; Gas Construction"/>
        <s v="Gas System New Distribution"/>
        <s v="Gas cost recovery mechanism: Cross Bore"/>
        <s v="Gas cold weather action reinforcement "/>
        <s v="Marine Crossing"/>
        <s v="G Project Initiation"/>
        <m/>
      </sharedItems>
    </cacheField>
    <cacheField name="WBS L3 Description" numFmtId="0">
      <sharedItems containsBlank="1"/>
    </cacheField>
    <cacheField name="2022" numFmtId="0">
      <sharedItems containsString="0" containsBlank="1" containsNumber="1" minValue="-2500000" maxValue="120133127.00027549"/>
    </cacheField>
    <cacheField name="2023" numFmtId="0">
      <sharedItems containsString="0" containsBlank="1" containsNumber="1" minValue="-2500000" maxValue="84849778.841599494"/>
    </cacheField>
    <cacheField name="2024" numFmtId="0">
      <sharedItems containsString="0" containsBlank="1" containsNumber="1" minValue="-2500000" maxValue="69121364.92288065"/>
    </cacheField>
    <cacheField name="2025" numFmtId="0">
      <sharedItems containsString="0" containsBlank="1" containsNumber="1" minValue="-2500000" maxValue="71181439.288202852"/>
    </cacheField>
    <cacheField name="2026" numFmtId="0">
      <sharedItems containsString="0" containsBlank="1" containsNumber="1" minValue="-2500000" maxValue="73305513.3101748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s v="W_R.10011.01.01.03"/>
    <s v="CC_4022"/>
    <s v="Anthony Pagano"/>
    <s v="Roque Bamba"/>
    <s v="Booga Gilbertson"/>
    <s v="Mjr Project Construct Mgmt&amp;Project Mgmt"/>
    <s v="CA"/>
    <s v="Transmission and Distribution"/>
    <s v="Gas Operations"/>
    <s v="Gas Monitoring System MP"/>
    <x v="0"/>
    <x v="0"/>
    <s v="CAP-GAS MONITORING SYSTEM"/>
    <s v="GAS MONITORING SYSTEM"/>
    <s v="GAS MONITORING SYSTEM"/>
    <x v="0"/>
    <s v="G Gas System Monitoring Equip Replc"/>
    <n v="1200000"/>
    <n v="1200000"/>
    <n v="1200000"/>
    <n v="1200000"/>
    <n v="1200000"/>
  </r>
  <r>
    <s v="W_R.10011.01.01.04"/>
    <s v="CC_3037"/>
    <s v="Loretta Baggenstos"/>
    <s v="Harry Shapiro"/>
    <s v="Booga Gilbertson"/>
    <s v="Gas Measurement"/>
    <s v="CA"/>
    <s v="Transmission and Distribution"/>
    <s v="Gas Operations"/>
    <s v="Gas Measurement"/>
    <x v="1"/>
    <x v="0"/>
    <s v="CAP-GAS MONITORING SYSTEM"/>
    <s v="GAS MONITORING SYSTEM"/>
    <s v="GAS MONITORING SYSTEM"/>
    <x v="1"/>
    <s v="G Gauges Sems Dist"/>
    <n v="187000"/>
    <n v="192610"/>
    <n v="198390"/>
    <n v="204340"/>
    <n v="210470"/>
  </r>
  <r>
    <s v="W_R.10011.01.01.07"/>
    <s v="CC_4022"/>
    <s v="Anthony Pagano"/>
    <s v="Roque Bamba"/>
    <s v="Booga Gilbertson"/>
    <s v="Mjr Project Construct Mgmt&amp;Project Mgmt"/>
    <s v="CA"/>
    <s v="Transmission and Distribution"/>
    <s v="Gas Operations"/>
    <s v="Gas Monitoring System MP"/>
    <x v="0"/>
    <x v="0"/>
    <s v="CAP-GAS MONITORING SYSTEM"/>
    <s v="GAS MONITORING SYSTEM"/>
    <s v="GAS MONITORING SYSTEM"/>
    <x v="0"/>
    <s v="G Williams Pipeline Equipment Upgrades"/>
    <n v="609999.98939999996"/>
    <n v="600000"/>
    <n v="600000"/>
    <n v="600000"/>
    <n v="600000"/>
  </r>
  <r>
    <s v="W_R.10012.01.01.01"/>
    <s v="CC_4207"/>
    <s v="Jennifer Tada"/>
    <s v="Jennifer Tada"/>
    <s v="Booga Gilbertson"/>
    <s v="Director Customer &amp; System Projects"/>
    <s v="CA"/>
    <s v="Transmission and Distribution"/>
    <s v="Gas Operations"/>
    <s v="Gas Customer Construction"/>
    <x v="2"/>
    <x v="1"/>
    <s v="CAP-GAS NCC"/>
    <s v="ALTERATIONS/MODIFICATIONS MAINS&amp;SERVICES"/>
    <s v="COMMERCIAL/INDUSTRIAL"/>
    <x v="2"/>
    <s v="G Altered Modified Comm Ind Mains"/>
    <n v="120133127.00027549"/>
    <n v="84849778.841599494"/>
    <n v="69121364.92288065"/>
    <n v="71181439.288202852"/>
    <n v="73305513.310174853"/>
  </r>
  <r>
    <s v="W_R.10012.02.01.01"/>
    <s v="CC_9900"/>
    <s v="Tyler Pavel"/>
    <s v="Stephen King"/>
    <s v="Booga Gilbertson"/>
    <s v="Revenue Corporate Accounting"/>
    <s v="CA"/>
    <s v="Corporate Items"/>
    <s v="T&amp;D Corporate Items"/>
    <s v="Gas Customer Construction CIAC"/>
    <x v="2"/>
    <x v="1"/>
    <s v="CAP-GAS NCC"/>
    <s v="CIAC"/>
    <s v="CIAC"/>
    <x v="3"/>
    <s v="G 5 Yr Gas Refundable CIAC"/>
    <n v="-2500000"/>
    <n v="-2500000"/>
    <n v="-2500000"/>
    <n v="-2500000"/>
    <n v="-2500000"/>
  </r>
  <r>
    <s v="W_R.10013.01.01.01"/>
    <s v="CC_4207"/>
    <s v="Jennifer Tada"/>
    <s v="Jennifer Tada"/>
    <s v="Booga Gilbertson"/>
    <s v="Director Customer &amp; System Projects"/>
    <s v="CA"/>
    <s v="Transmission and Distribution"/>
    <s v="Gas Operations"/>
    <s v="Gas Customer Construction"/>
    <x v="0"/>
    <x v="1"/>
    <s v="CAP-GAS RELOCATIONS"/>
    <s v="CUSTOMER-DRIVEN RELOCATIONS"/>
    <s v="CUSTOMER-DRIVEN RELOCATIONS"/>
    <x v="4"/>
    <s v="G Cust Driven Relocate Reimburse Dist"/>
    <n v="18677004.218864609"/>
    <n v="21656312.448902041"/>
    <n v="21238067.462960795"/>
    <n v="20293039.938173883"/>
    <n v="19659493.017493635"/>
  </r>
  <r>
    <s v="W_R.10013.02.01.01"/>
    <s v="CC_4215"/>
    <s v="Andrew Markos"/>
    <s v="Catherine Koch"/>
    <s v="Booga Gilbertson"/>
    <s v="Land Planning and Sciences"/>
    <s v="CA"/>
    <s v="Transmission and Distribution"/>
    <s v="Operations Misc"/>
    <s v="Real Estate and Land Use Planning"/>
    <x v="0"/>
    <x v="0"/>
    <s v="CAP-GAS RELOCATIONS"/>
    <s v="FRANCHISE ACQUISITION"/>
    <s v="FRANCHISE ACQUISITION"/>
    <x v="5"/>
    <s v="G Franchises"/>
    <n v="410156"/>
    <n v="410156"/>
    <n v="418359"/>
    <n v="426726"/>
    <n v="435260"/>
  </r>
  <r>
    <s v="W_R.10015.01.01.01"/>
    <s v="CC_4588"/>
    <s v="Stephanie Kreshel"/>
    <s v="Roque Bamba"/>
    <s v="Booga Gilbertson"/>
    <s v="Infrastructure Program Management"/>
    <s v="CA"/>
    <s v="Transmission and Distribution"/>
    <s v="Gas Operations"/>
    <s v="Gas System Integrity"/>
    <x v="1"/>
    <x v="1"/>
    <s v="CAP-GAS SYSTEM WORK"/>
    <s v="CATHODIC PROTECTION SYSTEM"/>
    <s v="CATHODIC PROTECTION SYSTEM"/>
    <x v="6"/>
    <s v="G CP System Improv Main With Serv Dist"/>
    <n v="419999.859276"/>
    <n v="432600"/>
    <n v="445578"/>
    <n v="458945.34"/>
    <n v="472713.70020000002"/>
  </r>
  <r>
    <s v="W_R.10015.01.01.02"/>
    <s v="CC_4588"/>
    <s v="Stephanie Kreshel"/>
    <s v="Roque Bamba"/>
    <s v="Booga Gilbertson"/>
    <s v="Infrastructure Program Management"/>
    <s v="CA"/>
    <s v="Transmission and Distribution"/>
    <s v="Gas Operations"/>
    <s v="Gas System Integrity"/>
    <x v="1"/>
    <x v="1"/>
    <s v="CAP-GAS SYSTEM WORK"/>
    <s v="CATHODIC PROTECTION SYSTEM"/>
    <s v="CATHODIC PROTECTION SYSTEM"/>
    <x v="6"/>
    <s v="G CP System Improv Service Dist"/>
    <n v="3598189.2212544"/>
    <n v="3708000"/>
    <n v="3819240"/>
    <n v="3933817.2"/>
    <n v="4051831.7160000005"/>
  </r>
  <r>
    <s v="W_R.10015.01.01.03"/>
    <s v="CC_4160"/>
    <s v="Kathleen Weatherby"/>
    <s v="Catherine Koch"/>
    <s v="Booga Gilbertson"/>
    <s v="Gas System Integrity"/>
    <s v="CA"/>
    <s v="Transmission and Distribution"/>
    <s v="Gas Operations"/>
    <s v="Gas System Integrity"/>
    <x v="0"/>
    <x v="0"/>
    <s v="CAP-GAS SYSTEM WORK"/>
    <s v="CATHODIC PROTECTION SYSTEM"/>
    <s v="CATHODIC PROTECTION SYSTEM"/>
    <x v="7"/>
    <s v="G CP System Improv Dist"/>
    <n v="999999.94838399999"/>
    <n v="1545000"/>
    <n v="1591350"/>
    <n v="1639090.5"/>
    <n v="1688263.2150000001"/>
  </r>
  <r>
    <s v="W_R.10015.01.01.05"/>
    <s v="CC_4100"/>
    <s v="Paul Riley"/>
    <s v="Harry Shapiro"/>
    <s v="Booga Gilbertson"/>
    <s v="System Controls &amp; Protection"/>
    <s v="CA"/>
    <s v="Transmission and Distribution"/>
    <s v="Gas Operations"/>
    <s v="Gas System Integrity"/>
    <x v="1"/>
    <x v="0"/>
    <s v="CAP-GAS SYSTEM WORK"/>
    <s v="CATHODIC PROTECTION SYSTEM"/>
    <s v="CATHODIC PROTECTION SYSTEM"/>
    <x v="6"/>
    <s v="G Emergent CP System Improv Dist"/>
    <n v="1499999.9082348"/>
    <n v="1545000"/>
    <n v="1591350"/>
    <n v="1639090.5"/>
    <n v="1688263.2150000001"/>
  </r>
  <r>
    <s v="W_R.10015.03.01.01"/>
    <s v="CC_4588"/>
    <s v="Stephanie Kreshel"/>
    <s v="Roque Bamba"/>
    <s v="Booga Gilbertson"/>
    <s v="Infrastructure Program Management"/>
    <s v="CA"/>
    <s v="Transmission and Distribution"/>
    <s v="Gas Operations"/>
    <s v="Gas DIMP MP"/>
    <x v="0"/>
    <x v="0"/>
    <s v="CAP-GAS SYSTEM WORK"/>
    <s v="GAS DIMP MITIGATION MEASURES"/>
    <s v="BRIDGE AND SLIDE REMEDIATION PROGRAM"/>
    <x v="8"/>
    <s v="G DIMP Brdg Sld Dist Unmaintain Facil"/>
    <n v="298624.41910200001"/>
    <n v="638600"/>
    <n v="657758"/>
    <n v="677490.74"/>
    <n v="697815.46219999995"/>
  </r>
  <r>
    <s v="W_R.10015.03.02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ENCROACHMENT REMEDIATION PROGRAM"/>
    <x v="7"/>
    <s v="G DIMP Mobile Home Encroachment Program"/>
    <n v="499999.98640200001"/>
    <n v="650000"/>
    <n v="650000"/>
    <n v="650000"/>
    <n v="650000"/>
  </r>
  <r>
    <s v="W_R.10015.03.04.01"/>
    <s v="CC_4588"/>
    <s v="Stephanie Kreshel"/>
    <s v="Roque Bamba"/>
    <s v="Booga Gilbertson"/>
    <s v="Infrastructure Program Management"/>
    <s v="CA"/>
    <s v="Strategic Initiatives"/>
    <s v="Pipeline Integrity - CRM"/>
    <s v="Pipeline Replacement Program - CRM"/>
    <x v="0"/>
    <x v="1"/>
    <s v="CAP-GAS SYSTEM WORK"/>
    <s v="GAS DIMP MITIGATION MEASURES"/>
    <s v="PIPE REPLACEMENT PROGRAM"/>
    <x v="9"/>
    <s v="G DIMP Dupont Pipe Repl Main With Serv"/>
    <n v="54829599.999999948"/>
    <n v="55658300"/>
    <n v="56448357.7394391"/>
    <n v="57577325"/>
    <n v="58706500"/>
  </r>
  <r>
    <s v="W_R.10015.03.04.02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PIPE REPLACEMENT PROGRAM"/>
    <x v="7"/>
    <s v="G DIMP Older Stw Repl Main With Service"/>
    <n v="3200015.0522183999"/>
    <n v="4000000"/>
    <n v="4000000"/>
    <n v="4000000"/>
    <n v="4000000"/>
  </r>
  <r>
    <s v="W_R.10015.03.04.03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PIPE REPLACEMENT PROGRAM"/>
    <x v="7"/>
    <s v="G DIMP Older Stw Repl Service Only"/>
    <n v="1396732.3552920001"/>
    <n v="1500000"/>
    <n v="1500000"/>
    <n v="1500000"/>
    <n v="1500000"/>
  </r>
  <r>
    <s v="W_R.10015.03.07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0"/>
    <s v="CAP-GAS SYSTEM WORK"/>
    <s v="GAS DIMP MITIGATION MEASURES"/>
    <s v="SHALLOW MAIN &amp; SERVICE REPLACEMENT PROG"/>
    <x v="7"/>
    <s v="G DIMP Continuing Surveillance Other"/>
    <n v="299690.53161120001"/>
    <n v="550000"/>
    <n v="550000"/>
    <n v="550000"/>
    <n v="550000"/>
  </r>
  <r>
    <s v="W_R.10015.03.07.03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SHALLOW MAIN &amp; SERVICE REPLACEMENT PROG"/>
    <x v="7"/>
    <s v="G DIMP Shallow Serv and Main Repl"/>
    <n v="1198211.7504384001"/>
    <n v="2800000"/>
    <n v="2800000"/>
    <n v="2800000"/>
    <n v="2800000"/>
  </r>
  <r>
    <s v="W_R.10015.03.09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0"/>
    <s v="CAP-GAS SYSTEM WORK"/>
    <s v="GAS DIMP MITIGATION MEASURES"/>
    <s v="UNMAINTAINABLE FACILITIES PROGRAM"/>
    <x v="7"/>
    <s v="G DIMP Preventative Maint Facilities"/>
    <n v="2997851.6117135999"/>
    <n v="3500000"/>
    <n v="3500000"/>
    <n v="3500000"/>
    <n v="3500000"/>
  </r>
  <r>
    <s v="W_R.10015.03.09.03"/>
    <s v="CC_4022"/>
    <s v="Anthony Pagano"/>
    <s v="Roque Bamba"/>
    <s v="Booga Gilbertson"/>
    <s v="Mjr Project Construct Mgmt&amp;Project Mgmt"/>
    <s v="CA"/>
    <s v="Transmission and Distribution"/>
    <s v="Gas Operations"/>
    <s v="Gas DIMP MP"/>
    <x v="0"/>
    <x v="0"/>
    <s v="CAP-GAS SYSTEM WORK"/>
    <s v="GAS DIMP MITIGATION MEASURES"/>
    <s v="UNMAINTAINABLE FACILITIES PROGRAM"/>
    <x v="8"/>
    <s v="G DIMP Preventive Maint Dist Reg Dist"/>
    <n v="3600000"/>
    <n v="3708000"/>
    <n v="3800000"/>
    <n v="3900000"/>
    <n v="4000000"/>
  </r>
  <r>
    <s v="W_R.10015.03.09.05"/>
    <s v="CC_3037"/>
    <s v="Loretta Baggenstos"/>
    <s v="Harry Shapiro"/>
    <s v="Booga Gilbertson"/>
    <s v="Gas Measurement"/>
    <s v="CA"/>
    <s v="Transmission and Distribution"/>
    <s v="Gas Operations"/>
    <s v="Gas Measurement"/>
    <x v="0"/>
    <x v="1"/>
    <s v="CAP-GAS SYSTEM WORK"/>
    <s v="GAS DIMP MITIGATION MEASURES"/>
    <s v="UNMAINTAINABLE FACILITIES PROGRAM"/>
    <x v="7"/>
    <s v="G DIMP Preventive Maintenance MSA Dist"/>
    <n v="230000"/>
    <n v="236900"/>
    <n v="244007"/>
    <n v="251327.21000000002"/>
    <n v="258867.02630000003"/>
  </r>
  <r>
    <s v="W_R.10015.03.09.07"/>
    <s v="CC_4022"/>
    <s v="Anthony Pagano"/>
    <s v="Roque Bamba"/>
    <s v="Booga Gilbertson"/>
    <s v="Mjr Project Construct Mgmt&amp;Project Mgmt"/>
    <s v="CA"/>
    <s v="Transmission and Distribution"/>
    <s v="Gas Operations"/>
    <s v="Gas DIMP MP"/>
    <x v="0"/>
    <x v="0"/>
    <s v="CAP-GAS SYSTEM WORK"/>
    <s v="GAS DIMP MITIGATION MEASURES"/>
    <s v="UNMAINTAINABLE FACILITIES PROGRAM"/>
    <x v="8"/>
    <s v="G DIMP Preventive Maint Farm Taps Dist"/>
    <n v="400000"/>
    <n v="412000"/>
    <n v="424000"/>
    <n v="437000"/>
    <n v="450000"/>
  </r>
  <r>
    <s v="W_R.10015.03.09.14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UNMAINTAINABLE FACILITIES PROGRAM"/>
    <x v="7"/>
    <s v="G Idle Riser Remediation"/>
    <n v="2998280.4938687999"/>
    <n v="4400000"/>
    <n v="4400000"/>
    <n v="4400000"/>
    <n v="4400000"/>
  </r>
  <r>
    <s v="W_R.10015.03.09.15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UNMAINTAINABLE FACILITIES PROGRAM"/>
    <x v="10"/>
    <s v="G Buried Meter Riser Replacement"/>
    <n v="5000000"/>
    <n v="5000000"/>
    <n v="5000000"/>
    <n v="5000000"/>
    <n v="5000000"/>
  </r>
  <r>
    <s v="W_R.10015.03.11.01"/>
    <s v="CC_3083"/>
    <s v="John Klippert"/>
    <s v="Harry Shapiro"/>
    <s v="Booga Gilbertson"/>
    <s v="Gas Construction Performance Management"/>
    <s v="CA"/>
    <s v="Transmission and Distribution"/>
    <s v="Gas Operations"/>
    <s v="Distribution Integrity Management System"/>
    <x v="0"/>
    <x v="1"/>
    <s v="CAP-GAS SYSTEM WORK"/>
    <s v="GAS DIMP MITIGATION MEASURES"/>
    <s v="Guard Posts"/>
    <x v="7"/>
    <s v="G DIMP Guard Posts"/>
    <n v="180000.01180800001"/>
    <n v="185400"/>
    <n v="190962"/>
    <n v="196690.86000000002"/>
    <n v="202591.58580000003"/>
  </r>
  <r>
    <s v="W_R.10015.04.01.02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Leak Repair Main"/>
    <n v="3766264.8683392"/>
    <n v="3879312.8143893802"/>
    <n v="3995752.1988210599"/>
    <n v="4115684.7647856898"/>
    <n v="4239215.3077292601"/>
  </r>
  <r>
    <s v="W_R.10015.04.01.03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1"/>
    <s v="CAP-GAS SYSTEM WORK"/>
    <s v="GAS EMERGENCY RESPONSE"/>
    <s v="LEAK REPAIR"/>
    <x v="11"/>
    <s v="G Leak Repair Service"/>
    <n v="1031735.0172108"/>
    <n v="1062687.0677271241"/>
    <n v="1094567.6797589378"/>
    <n v="1127404.7101517059"/>
    <n v="1161226.851456257"/>
  </r>
  <r>
    <s v="W_R.10015.04.01.04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Scattered Short Main Rehab"/>
    <n v="2037911"/>
    <n v="2099048.33"/>
    <n v="2162019.7799"/>
    <n v="2226880.3732969998"/>
    <n v="2293686.7844959097"/>
  </r>
  <r>
    <s v="W_R.10015.04.01.05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3"/>
    <x v="1"/>
    <s v="CAP-GAS SYSTEM WORK"/>
    <s v="GAS EMERGENCY RESPONSE"/>
    <s v="LEAK REPAIR"/>
    <x v="12"/>
    <s v="G Service Replacement Misc"/>
    <n v="6840000"/>
    <n v="9363600"/>
    <n v="9560000"/>
    <n v="9741889"/>
    <n v="9741889"/>
  </r>
  <r>
    <s v="W_R.10015.04.01.06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0"/>
    <x v="0"/>
    <s v="CAP-GAS SYSTEM WORK"/>
    <s v="GAS EMERGENCY RESPONSE"/>
    <s v="LEAK REPAIR"/>
    <x v="13"/>
    <s v="G Sewer Cross Bore Repair Main"/>
    <n v="300000"/>
    <n v="309000"/>
    <n v="318270"/>
    <n v="327818.10000000003"/>
    <n v="337652.64300000004"/>
  </r>
  <r>
    <s v="W_R.10015.04.01.07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0"/>
    <x v="1"/>
    <s v="CAP-GAS SYSTEM WORK"/>
    <s v="GAS EMERGENCY RESPONSE"/>
    <s v="LEAK REPAIR"/>
    <x v="13"/>
    <s v="G Sewer Cross Bore Repair Service"/>
    <n v="150000"/>
    <n v="154500"/>
    <n v="159135"/>
    <n v="163909.05000000002"/>
    <n v="168826.32150000002"/>
  </r>
  <r>
    <s v="W_R.10015.04.01.08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Gas Work Release Main"/>
    <n v="150000"/>
    <n v="154500"/>
    <n v="159135"/>
    <n v="163909.05000000002"/>
    <n v="168826.32150000002"/>
  </r>
  <r>
    <s v="W_R.10015.04.01.09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1"/>
    <s v="CAP-GAS SYSTEM WORK"/>
    <s v="GAS EMERGENCY RESPONSE"/>
    <s v="LEAK REPAIR"/>
    <x v="11"/>
    <s v="G Gas Work Release Service"/>
    <n v="1200000"/>
    <n v="1236000"/>
    <n v="1273080"/>
    <n v="1311272.4000000001"/>
    <n v="1350610.5720000002"/>
  </r>
  <r>
    <s v="W_R.10015.06.01.01"/>
    <s v="CC_4588"/>
    <s v="Stephanie Kreshel"/>
    <s v="Roque Bamba"/>
    <s v="Booga Gilbertson"/>
    <s v="Infrastructure Program Management"/>
    <s v="CA"/>
    <s v="Transmission and Distribution"/>
    <s v="Gas Operations"/>
    <s v="Cold Weather Action Reinforcement"/>
    <x v="3"/>
    <x v="1"/>
    <s v="CAP-GAS SYSTEM WORK"/>
    <s v="GAS SYSTEM UPGRADE"/>
    <s v="GAS SYSTEM UPGRADE"/>
    <x v="14"/>
    <s v="G Cold Weather Action Reinforcement"/>
    <n v="30000"/>
    <n v="30000"/>
    <n v="30000"/>
    <n v="30000"/>
    <n v="30600"/>
  </r>
  <r>
    <s v="W_R.10015.06.01.02"/>
    <s v="CC_4022"/>
    <s v="Anthony Pagano"/>
    <s v="Roque Bamba"/>
    <s v="Booga Gilbertson"/>
    <s v="Mjr Project Construct Mgmt&amp;Project Mgmt"/>
    <s v="CA"/>
    <s v="Transmission and Distribution"/>
    <s v="Gas Operations"/>
    <s v="Gas System Upgrade MP"/>
    <x v="1"/>
    <x v="0"/>
    <s v="CAP-GAS SYSTEM WORK"/>
    <s v="GAS SYSTEM UPGRADE"/>
    <s v="GAS SYSTEM UPGRADE"/>
    <x v="8"/>
    <s v="G Odorizer Componant Repl Bulk Dist"/>
    <n v="200000"/>
    <n v="200000"/>
    <n v="200000"/>
    <n v="200000"/>
    <n v="200000"/>
  </r>
  <r>
    <s v="W_R.10015.06.01.04"/>
    <s v="CC_4022"/>
    <s v="Anthony Pagano"/>
    <s v="Roque Bamba"/>
    <s v="Booga Gilbertson"/>
    <s v="Mjr Project Construct Mgmt&amp;Project Mgmt"/>
    <s v="CA"/>
    <s v="Transmission and Distribution"/>
    <s v="Gas Operations"/>
    <s v="Gas System Upgrade MP"/>
    <x v="3"/>
    <x v="0"/>
    <s v="CAP-GAS SYSTEM WORK"/>
    <s v="GAS SYSTEM UPGRADE"/>
    <s v="GAS SYSTEM UPGRADE"/>
    <x v="0"/>
    <s v="G System Capacity Upgrade Bulk Dist"/>
    <n v="3000000"/>
    <n v="3000000"/>
    <n v="3000000"/>
    <n v="3000000"/>
    <n v="3000000"/>
  </r>
  <r>
    <s v="W_R.10015.06.01.05"/>
    <s v="CC_4588"/>
    <s v="Stephanie Kreshel"/>
    <s v="Roque Bamba"/>
    <s v="Booga Gilbertson"/>
    <s v="Infrastructure Program Management"/>
    <s v="CA"/>
    <s v="Transmission and Distribution"/>
    <s v="Gas Operations"/>
    <s v="Gas System Upgrade MP"/>
    <x v="3"/>
    <x v="0"/>
    <s v="CAP-GAS SYSTEM WORK"/>
    <s v="GAS SYSTEM UPGRADE"/>
    <s v="GAS SYSTEM UPGRADE"/>
    <x v="0"/>
    <s v="G System Capacity Upgrade Dist"/>
    <n v="4502399.0385887995"/>
    <n v="9000000"/>
    <n v="9000000"/>
    <n v="9000000"/>
    <n v="9000000"/>
  </r>
  <r>
    <s v="W_R.10060.01.01.01"/>
    <s v="CC_4022"/>
    <s v="Anthony Pagano"/>
    <s v="Roque Bamba"/>
    <s v="Booga Gilbertson"/>
    <s v="Mjr Project Construct Mgmt&amp;Project Mgmt"/>
    <s v="CA"/>
    <s v="Strategic Initiatives"/>
    <s v="Gas Major Projects"/>
    <s v="Vashon HP Mitigation"/>
    <x v="0"/>
    <x v="0"/>
    <s v="CAP-VASHON HP GAS"/>
    <s v="PIPELINE REPLACEMENT"/>
    <s v="VASHON MITIGATION PROJECT"/>
    <x v="15"/>
    <s v="G Marine Crossing Gas"/>
    <n v="850000"/>
    <n v="25000000"/>
    <m/>
    <m/>
    <n v="0"/>
  </r>
  <r>
    <s v="W_R.10060.01.01.02"/>
    <s v="CC_4022"/>
    <s v="Anthony Pagano"/>
    <s v="Roque Bamba"/>
    <s v="Booga Gilbertson"/>
    <s v="Mjr Project Construct Mgmt&amp;Project Mgmt"/>
    <s v="CA"/>
    <s v="Transmission and Distribution"/>
    <s v="Gas Operations"/>
    <s v="Vashon Interim Supply at Gig Harbor"/>
    <x v="0"/>
    <x v="0"/>
    <s v="CAP-VASHON HP GAS"/>
    <s v="PIPELINE REPLACEMENT"/>
    <s v="VASHON MITIGATION PROJECT"/>
    <x v="15"/>
    <s v="G Vashon Interim Supply at Gig Harbor"/>
    <n v="618000"/>
    <n v="1700000"/>
    <n v="7150000"/>
    <n v="0"/>
    <n v="0"/>
  </r>
  <r>
    <s v="W_R.10015.06.01.11"/>
    <s v="CC_4022"/>
    <s v="Anthony Pagano"/>
    <s v="Roque Bamba"/>
    <s v="Booga Gilbertson"/>
    <s v="Mjr Project Construct Mgmt&amp;Project Mgmt"/>
    <s v="CA"/>
    <m/>
    <m/>
    <m/>
    <x v="0"/>
    <x v="0"/>
    <m/>
    <m/>
    <s v="Gas Initiation Major Projects"/>
    <x v="16"/>
    <s v="Project intiation -Maint"/>
    <m/>
    <n v="1750000"/>
    <n v="2500000"/>
    <n v="2500000"/>
    <n v="2500000"/>
  </r>
  <r>
    <s v="W_R.10015.06.01.11"/>
    <s v="CC_4022"/>
    <s v="Anthony Pagano"/>
    <s v="Roque Bamba"/>
    <s v="Booga Gilbertson"/>
    <s v="Mjr Project Construct Mgmt&amp;Project Mgmt"/>
    <s v="CA"/>
    <m/>
    <m/>
    <m/>
    <x v="3"/>
    <x v="0"/>
    <m/>
    <m/>
    <s v="Gas Initiation Major Projects"/>
    <x v="16"/>
    <s v="Project intiation -Cap"/>
    <n v="806000"/>
    <n v="7000000"/>
    <n v="10000000"/>
    <n v="10000000"/>
    <n v="10000000"/>
  </r>
  <r>
    <m/>
    <m/>
    <m/>
    <m/>
    <m/>
    <m/>
    <m/>
    <m/>
    <m/>
    <m/>
    <x v="4"/>
    <x v="2"/>
    <m/>
    <m/>
    <m/>
    <x v="17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P10" firstHeaderRow="1" firstDataRow="3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5">
        <item sd="0" x="3"/>
        <item sd="0" x="1"/>
        <item sd="0" x="0"/>
        <item sd="0" x="2"/>
        <item x="4"/>
      </items>
    </pivotField>
    <pivotField axis="axisCol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  <pivotField axis="axisRow" showAll="0">
      <items count="19">
        <item x="2"/>
        <item x="3"/>
        <item x="7"/>
        <item x="14"/>
        <item x="10"/>
        <item x="13"/>
        <item x="9"/>
        <item x="8"/>
        <item x="0"/>
        <item x="11"/>
        <item x="1"/>
        <item x="6"/>
        <item x="12"/>
        <item x="15"/>
        <item x="5"/>
        <item x="4"/>
        <item h="1" x="17"/>
        <item x="16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0"/>
    <field x="15"/>
  </rowFields>
  <rowItems count="5">
    <i>
      <x/>
    </i>
    <i>
      <x v="1"/>
    </i>
    <i>
      <x v="2"/>
    </i>
    <i>
      <x v="3"/>
    </i>
    <i t="grand">
      <x/>
    </i>
  </rowItems>
  <colFields count="2">
    <field x="11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$2022" fld="17" baseField="15" baseItem="5"/>
    <dataField name="$2023" fld="18" baseField="15" baseItem="5"/>
    <dataField name="$2024" fld="19" baseField="15" baseItem="5"/>
    <dataField name="$ 2025" fld="20" baseField="15" baseItem="5"/>
    <dataField name="$2026" fld="21" baseField="15" baseItem="5"/>
  </dataFields>
  <formats count="6">
    <format dxfId="10">
      <pivotArea collapsedLevelsAreSubtotals="1" fieldPosition="0">
        <references count="1">
          <reference field="15" count="0"/>
        </references>
      </pivotArea>
    </format>
    <format dxfId="9">
      <pivotArea collapsedLevelsAreSubtotals="1" fieldPosition="0">
        <references count="1">
          <reference field="15" count="0"/>
        </references>
      </pivotArea>
    </format>
    <format dxfId="8">
      <pivotArea collapsedLevelsAreSubtotals="1" fieldPosition="0">
        <references count="1">
          <reference field="15" count="0"/>
        </references>
      </pivotArea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customProperty" Target="../customProperty1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2"/>
  <sheetViews>
    <sheetView topLeftCell="L7" workbookViewId="0">
      <selection activeCell="T39" sqref="T39:U39"/>
    </sheetView>
  </sheetViews>
  <sheetFormatPr defaultRowHeight="15" x14ac:dyDescent="0.25"/>
  <cols>
    <col min="1" max="1" width="21" bestFit="1" customWidth="1"/>
    <col min="2" max="2" width="11.28515625" bestFit="1" customWidth="1"/>
    <col min="3" max="3" width="21.7109375" bestFit="1" customWidth="1"/>
    <col min="4" max="4" width="17" bestFit="1" customWidth="1"/>
    <col min="5" max="5" width="18.7109375" bestFit="1" customWidth="1"/>
    <col min="6" max="6" width="45.140625" bestFit="1" customWidth="1"/>
    <col min="7" max="7" width="14" bestFit="1" customWidth="1"/>
    <col min="8" max="8" width="30.85546875" bestFit="1" customWidth="1"/>
    <col min="9" max="9" width="24.42578125" bestFit="1" customWidth="1"/>
    <col min="10" max="10" width="41.85546875" bestFit="1" customWidth="1"/>
    <col min="11" max="12" width="41.85546875" customWidth="1"/>
    <col min="13" max="13" width="35.28515625" hidden="1" customWidth="1"/>
    <col min="14" max="14" width="53.5703125" hidden="1" customWidth="1"/>
    <col min="15" max="15" width="54.140625" hidden="1" customWidth="1"/>
    <col min="16" max="16" width="55.28515625" bestFit="1" customWidth="1"/>
    <col min="17" max="17" width="46.42578125" bestFit="1" customWidth="1"/>
    <col min="18" max="22" width="12.7109375" bestFit="1" customWidth="1"/>
    <col min="23" max="23" width="12.5703125" bestFit="1" customWidth="1"/>
  </cols>
  <sheetData>
    <row r="1" spans="1:23" x14ac:dyDescent="0.25">
      <c r="A1" s="3" t="s">
        <v>50</v>
      </c>
      <c r="B1" s="3" t="s">
        <v>51</v>
      </c>
      <c r="C1" s="4" t="s">
        <v>52</v>
      </c>
      <c r="D1" s="4" t="s">
        <v>53</v>
      </c>
      <c r="E1" s="4" t="s">
        <v>54</v>
      </c>
      <c r="F1" s="4" t="s">
        <v>55</v>
      </c>
      <c r="G1" s="4" t="s">
        <v>56</v>
      </c>
      <c r="H1" s="4" t="s">
        <v>57</v>
      </c>
      <c r="I1" s="4" t="s">
        <v>58</v>
      </c>
      <c r="J1" s="4" t="s">
        <v>59</v>
      </c>
      <c r="K1" s="4" t="s">
        <v>229</v>
      </c>
      <c r="L1" s="4" t="s">
        <v>219</v>
      </c>
      <c r="M1" s="4" t="s">
        <v>60</v>
      </c>
      <c r="N1" s="4" t="s">
        <v>61</v>
      </c>
      <c r="O1" s="4" t="s">
        <v>62</v>
      </c>
      <c r="P1" s="4" t="s">
        <v>63</v>
      </c>
      <c r="Q1" s="4" t="s">
        <v>64</v>
      </c>
      <c r="R1" s="4">
        <v>2022</v>
      </c>
      <c r="S1" s="4">
        <v>2023</v>
      </c>
      <c r="T1" s="4">
        <v>2024</v>
      </c>
      <c r="U1" s="4">
        <v>2025</v>
      </c>
      <c r="V1" s="4">
        <v>2026</v>
      </c>
      <c r="W1" s="4"/>
    </row>
    <row r="2" spans="1:23" x14ac:dyDescent="0.25">
      <c r="A2" s="5" t="s">
        <v>65</v>
      </c>
      <c r="B2" s="6" t="s">
        <v>66</v>
      </c>
      <c r="C2" s="7" t="s">
        <v>69</v>
      </c>
      <c r="D2" s="7" t="s">
        <v>70</v>
      </c>
      <c r="E2" s="7" t="s">
        <v>71</v>
      </c>
      <c r="F2" s="7" t="s">
        <v>72</v>
      </c>
      <c r="G2" s="7" t="s">
        <v>73</v>
      </c>
      <c r="H2" s="7" t="s">
        <v>74</v>
      </c>
      <c r="I2" s="7" t="s">
        <v>75</v>
      </c>
      <c r="J2" s="7" t="s">
        <v>76</v>
      </c>
      <c r="K2" s="7" t="s">
        <v>230</v>
      </c>
      <c r="L2" s="7" t="s">
        <v>221</v>
      </c>
      <c r="M2" s="7" t="s">
        <v>77</v>
      </c>
      <c r="N2" s="7" t="s">
        <v>78</v>
      </c>
      <c r="O2" s="7" t="s">
        <v>78</v>
      </c>
      <c r="P2" s="7" t="s">
        <v>38</v>
      </c>
      <c r="Q2" s="7" t="s">
        <v>79</v>
      </c>
      <c r="R2" s="8">
        <v>1200000</v>
      </c>
      <c r="S2" s="8">
        <v>1200000</v>
      </c>
      <c r="T2" s="8">
        <v>1200000</v>
      </c>
      <c r="U2" s="8">
        <v>1200000</v>
      </c>
      <c r="V2" s="8">
        <v>1200000</v>
      </c>
      <c r="W2" s="8"/>
    </row>
    <row r="3" spans="1:23" x14ac:dyDescent="0.25">
      <c r="A3" s="6" t="s">
        <v>67</v>
      </c>
      <c r="B3" s="6" t="s">
        <v>68</v>
      </c>
      <c r="C3" s="7" t="s">
        <v>80</v>
      </c>
      <c r="D3" s="7" t="s">
        <v>81</v>
      </c>
      <c r="E3" s="7" t="s">
        <v>71</v>
      </c>
      <c r="F3" s="7" t="s">
        <v>37</v>
      </c>
      <c r="G3" s="7" t="s">
        <v>73</v>
      </c>
      <c r="H3" s="7" t="s">
        <v>74</v>
      </c>
      <c r="I3" s="7" t="s">
        <v>75</v>
      </c>
      <c r="J3" s="7" t="s">
        <v>37</v>
      </c>
      <c r="K3" s="7" t="s">
        <v>231</v>
      </c>
      <c r="L3" s="7" t="s">
        <v>221</v>
      </c>
      <c r="M3" s="7" t="s">
        <v>77</v>
      </c>
      <c r="N3" s="7" t="s">
        <v>78</v>
      </c>
      <c r="O3" s="7" t="s">
        <v>78</v>
      </c>
      <c r="P3" s="7" t="s">
        <v>82</v>
      </c>
      <c r="Q3" s="7" t="s">
        <v>83</v>
      </c>
      <c r="R3" s="11">
        <v>187000</v>
      </c>
      <c r="S3" s="11">
        <v>192610</v>
      </c>
      <c r="T3" s="11">
        <v>198390</v>
      </c>
      <c r="U3" s="11">
        <v>204340</v>
      </c>
      <c r="V3" s="11">
        <v>210470</v>
      </c>
      <c r="W3" s="8"/>
    </row>
    <row r="4" spans="1:23" x14ac:dyDescent="0.25">
      <c r="A4" s="5" t="s">
        <v>84</v>
      </c>
      <c r="B4" s="6" t="s">
        <v>66</v>
      </c>
      <c r="C4" s="7" t="s">
        <v>69</v>
      </c>
      <c r="D4" s="7" t="s">
        <v>70</v>
      </c>
      <c r="E4" s="7" t="s">
        <v>71</v>
      </c>
      <c r="F4" s="7" t="s">
        <v>72</v>
      </c>
      <c r="G4" s="7" t="s">
        <v>73</v>
      </c>
      <c r="H4" s="7" t="s">
        <v>74</v>
      </c>
      <c r="I4" s="7" t="s">
        <v>75</v>
      </c>
      <c r="J4" s="7" t="s">
        <v>76</v>
      </c>
      <c r="K4" s="7" t="s">
        <v>230</v>
      </c>
      <c r="L4" s="7" t="s">
        <v>221</v>
      </c>
      <c r="M4" s="7" t="s">
        <v>77</v>
      </c>
      <c r="N4" s="7" t="s">
        <v>78</v>
      </c>
      <c r="O4" s="7" t="s">
        <v>78</v>
      </c>
      <c r="P4" s="7" t="s">
        <v>38</v>
      </c>
      <c r="Q4" s="7" t="s">
        <v>87</v>
      </c>
      <c r="R4" s="8">
        <v>609999.98939999996</v>
      </c>
      <c r="S4" s="8">
        <v>600000</v>
      </c>
      <c r="T4" s="8">
        <v>600000</v>
      </c>
      <c r="U4" s="8">
        <v>600000</v>
      </c>
      <c r="V4" s="8">
        <v>600000</v>
      </c>
      <c r="W4" s="8"/>
    </row>
    <row r="5" spans="1:23" x14ac:dyDescent="0.25">
      <c r="A5" s="6" t="s">
        <v>85</v>
      </c>
      <c r="B5" s="6" t="s">
        <v>86</v>
      </c>
      <c r="C5" s="7" t="s">
        <v>88</v>
      </c>
      <c r="D5" s="7" t="s">
        <v>88</v>
      </c>
      <c r="E5" s="7" t="s">
        <v>71</v>
      </c>
      <c r="F5" s="7" t="s">
        <v>89</v>
      </c>
      <c r="G5" s="7" t="s">
        <v>73</v>
      </c>
      <c r="H5" s="7" t="s">
        <v>74</v>
      </c>
      <c r="I5" s="7" t="s">
        <v>75</v>
      </c>
      <c r="J5" s="7" t="s">
        <v>90</v>
      </c>
      <c r="K5" s="7" t="s">
        <v>232</v>
      </c>
      <c r="L5" s="7" t="s">
        <v>220</v>
      </c>
      <c r="M5" s="7" t="s">
        <v>91</v>
      </c>
      <c r="N5" s="7" t="s">
        <v>92</v>
      </c>
      <c r="O5" s="7" t="s">
        <v>93</v>
      </c>
      <c r="P5" s="7" t="s">
        <v>25</v>
      </c>
      <c r="Q5" s="7" t="s">
        <v>94</v>
      </c>
      <c r="R5" s="8">
        <v>120133127.00027549</v>
      </c>
      <c r="S5" s="8">
        <v>84849778.841599494</v>
      </c>
      <c r="T5" s="8">
        <v>69121364.92288065</v>
      </c>
      <c r="U5" s="8">
        <v>71181439.288202852</v>
      </c>
      <c r="V5" s="8">
        <v>73305513.310174853</v>
      </c>
      <c r="W5" s="8"/>
    </row>
    <row r="6" spans="1:23" x14ac:dyDescent="0.25">
      <c r="A6" s="6" t="s">
        <v>95</v>
      </c>
      <c r="B6" s="6" t="s">
        <v>96</v>
      </c>
      <c r="C6" s="7" t="s">
        <v>97</v>
      </c>
      <c r="D6" s="7" t="s">
        <v>98</v>
      </c>
      <c r="E6" s="12" t="s">
        <v>71</v>
      </c>
      <c r="F6" s="7" t="s">
        <v>99</v>
      </c>
      <c r="G6" s="7" t="s">
        <v>73</v>
      </c>
      <c r="H6" s="7" t="s">
        <v>100</v>
      </c>
      <c r="I6" s="7" t="s">
        <v>101</v>
      </c>
      <c r="J6" s="7" t="s">
        <v>102</v>
      </c>
      <c r="K6" s="7" t="s">
        <v>232</v>
      </c>
      <c r="L6" s="7" t="s">
        <v>220</v>
      </c>
      <c r="M6" s="7" t="s">
        <v>91</v>
      </c>
      <c r="N6" s="7" t="s">
        <v>103</v>
      </c>
      <c r="O6" s="7" t="s">
        <v>103</v>
      </c>
      <c r="P6" s="7" t="s">
        <v>26</v>
      </c>
      <c r="Q6" s="7" t="s">
        <v>104</v>
      </c>
      <c r="R6" s="10">
        <v>-2500000</v>
      </c>
      <c r="S6" s="10">
        <v>-2500000</v>
      </c>
      <c r="T6" s="10">
        <v>-2500000</v>
      </c>
      <c r="U6" s="10">
        <v>-2500000</v>
      </c>
      <c r="V6" s="10">
        <v>-2500000</v>
      </c>
      <c r="W6" s="8"/>
    </row>
    <row r="7" spans="1:23" x14ac:dyDescent="0.25">
      <c r="A7" s="6" t="s">
        <v>105</v>
      </c>
      <c r="B7" s="6" t="s">
        <v>86</v>
      </c>
      <c r="C7" s="7" t="s">
        <v>88</v>
      </c>
      <c r="D7" s="7" t="s">
        <v>88</v>
      </c>
      <c r="E7" s="7" t="s">
        <v>71</v>
      </c>
      <c r="F7" s="7" t="s">
        <v>89</v>
      </c>
      <c r="G7" s="7" t="s">
        <v>73</v>
      </c>
      <c r="H7" s="7" t="s">
        <v>74</v>
      </c>
      <c r="I7" s="7" t="s">
        <v>75</v>
      </c>
      <c r="J7" s="7" t="s">
        <v>90</v>
      </c>
      <c r="K7" s="7" t="s">
        <v>230</v>
      </c>
      <c r="L7" s="7" t="s">
        <v>220</v>
      </c>
      <c r="M7" s="7" t="s">
        <v>108</v>
      </c>
      <c r="N7" s="7" t="s">
        <v>109</v>
      </c>
      <c r="O7" s="7" t="s">
        <v>109</v>
      </c>
      <c r="P7" s="7" t="s">
        <v>45</v>
      </c>
      <c r="Q7" s="7" t="s">
        <v>110</v>
      </c>
      <c r="R7" s="8">
        <v>18677004.218864609</v>
      </c>
      <c r="S7" s="8">
        <v>21656312.448902041</v>
      </c>
      <c r="T7" s="8">
        <v>21238067.462960795</v>
      </c>
      <c r="U7" s="8">
        <v>20293039.938173883</v>
      </c>
      <c r="V7" s="8">
        <v>19659493.017493635</v>
      </c>
      <c r="W7" s="8"/>
    </row>
    <row r="8" spans="1:23" x14ac:dyDescent="0.25">
      <c r="A8" s="6" t="s">
        <v>106</v>
      </c>
      <c r="B8" s="6" t="s">
        <v>107</v>
      </c>
      <c r="C8" s="7" t="s">
        <v>111</v>
      </c>
      <c r="D8" s="7" t="s">
        <v>112</v>
      </c>
      <c r="E8" s="7" t="s">
        <v>71</v>
      </c>
      <c r="F8" s="7" t="s">
        <v>113</v>
      </c>
      <c r="G8" s="7" t="s">
        <v>73</v>
      </c>
      <c r="H8" s="7" t="s">
        <v>74</v>
      </c>
      <c r="I8" s="7" t="s">
        <v>114</v>
      </c>
      <c r="J8" s="7" t="s">
        <v>115</v>
      </c>
      <c r="K8" s="7" t="s">
        <v>230</v>
      </c>
      <c r="L8" s="7" t="s">
        <v>221</v>
      </c>
      <c r="M8" s="7" t="s">
        <v>108</v>
      </c>
      <c r="N8" s="7" t="s">
        <v>116</v>
      </c>
      <c r="O8" s="7" t="s">
        <v>116</v>
      </c>
      <c r="P8" s="7" t="s">
        <v>117</v>
      </c>
      <c r="Q8" s="7" t="s">
        <v>118</v>
      </c>
      <c r="R8" s="7">
        <v>410156</v>
      </c>
      <c r="S8" s="7">
        <v>410156</v>
      </c>
      <c r="T8" s="7">
        <v>418359</v>
      </c>
      <c r="U8" s="7">
        <v>426726</v>
      </c>
      <c r="V8" s="7">
        <v>435260</v>
      </c>
      <c r="W8" s="8"/>
    </row>
    <row r="9" spans="1:23" x14ac:dyDescent="0.25">
      <c r="A9" s="6" t="s">
        <v>119</v>
      </c>
      <c r="B9" s="6" t="s">
        <v>120</v>
      </c>
      <c r="C9" s="7" t="s">
        <v>126</v>
      </c>
      <c r="D9" s="7" t="s">
        <v>70</v>
      </c>
      <c r="E9" s="7" t="s">
        <v>71</v>
      </c>
      <c r="F9" s="7" t="s">
        <v>127</v>
      </c>
      <c r="G9" s="7" t="s">
        <v>73</v>
      </c>
      <c r="H9" s="7" t="s">
        <v>74</v>
      </c>
      <c r="I9" s="7" t="s">
        <v>75</v>
      </c>
      <c r="J9" s="7" t="s">
        <v>38</v>
      </c>
      <c r="K9" s="7" t="s">
        <v>231</v>
      </c>
      <c r="L9" s="7" t="s">
        <v>220</v>
      </c>
      <c r="M9" s="7" t="s">
        <v>128</v>
      </c>
      <c r="N9" s="7" t="s">
        <v>129</v>
      </c>
      <c r="O9" s="7" t="s">
        <v>129</v>
      </c>
      <c r="P9" s="7" t="s">
        <v>130</v>
      </c>
      <c r="Q9" s="7" t="s">
        <v>131</v>
      </c>
      <c r="R9" s="8">
        <v>419999.859276</v>
      </c>
      <c r="S9" s="8">
        <v>432600</v>
      </c>
      <c r="T9" s="8">
        <v>445578</v>
      </c>
      <c r="U9" s="8">
        <v>458945.34</v>
      </c>
      <c r="V9" s="8">
        <v>472713.70020000002</v>
      </c>
      <c r="W9" s="8"/>
    </row>
    <row r="10" spans="1:23" x14ac:dyDescent="0.25">
      <c r="A10" s="6" t="s">
        <v>121</v>
      </c>
      <c r="B10" s="6" t="s">
        <v>120</v>
      </c>
      <c r="C10" s="7" t="s">
        <v>126</v>
      </c>
      <c r="D10" s="7" t="s">
        <v>70</v>
      </c>
      <c r="E10" s="7" t="s">
        <v>71</v>
      </c>
      <c r="F10" s="7" t="s">
        <v>127</v>
      </c>
      <c r="G10" s="7" t="s">
        <v>73</v>
      </c>
      <c r="H10" s="7" t="s">
        <v>74</v>
      </c>
      <c r="I10" s="7" t="s">
        <v>75</v>
      </c>
      <c r="J10" s="7" t="s">
        <v>38</v>
      </c>
      <c r="K10" s="7" t="s">
        <v>231</v>
      </c>
      <c r="L10" s="7" t="s">
        <v>220</v>
      </c>
      <c r="M10" s="7" t="s">
        <v>128</v>
      </c>
      <c r="N10" s="7" t="s">
        <v>129</v>
      </c>
      <c r="O10" s="7" t="s">
        <v>129</v>
      </c>
      <c r="P10" s="7" t="s">
        <v>130</v>
      </c>
      <c r="Q10" s="7" t="s">
        <v>132</v>
      </c>
      <c r="R10" s="8">
        <v>3598189.2212544</v>
      </c>
      <c r="S10" s="8">
        <v>3708000</v>
      </c>
      <c r="T10" s="8">
        <v>3819240</v>
      </c>
      <c r="U10" s="8">
        <v>3933817.2</v>
      </c>
      <c r="V10" s="8">
        <v>4051831.7160000005</v>
      </c>
      <c r="W10" s="8"/>
    </row>
    <row r="11" spans="1:23" x14ac:dyDescent="0.25">
      <c r="A11" s="6" t="s">
        <v>122</v>
      </c>
      <c r="B11" s="6" t="s">
        <v>123</v>
      </c>
      <c r="C11" s="7" t="s">
        <v>133</v>
      </c>
      <c r="D11" s="7" t="s">
        <v>112</v>
      </c>
      <c r="E11" s="7" t="s">
        <v>71</v>
      </c>
      <c r="F11" s="7" t="s">
        <v>38</v>
      </c>
      <c r="G11" s="7" t="s">
        <v>73</v>
      </c>
      <c r="H11" s="7" t="s">
        <v>74</v>
      </c>
      <c r="I11" s="7" t="s">
        <v>75</v>
      </c>
      <c r="J11" s="7" t="s">
        <v>38</v>
      </c>
      <c r="K11" s="7" t="s">
        <v>230</v>
      </c>
      <c r="L11" s="7" t="s">
        <v>221</v>
      </c>
      <c r="M11" s="7" t="s">
        <v>128</v>
      </c>
      <c r="N11" s="7" t="s">
        <v>129</v>
      </c>
      <c r="O11" s="7" t="s">
        <v>129</v>
      </c>
      <c r="P11" s="7" t="s">
        <v>27</v>
      </c>
      <c r="Q11" s="7" t="s">
        <v>134</v>
      </c>
      <c r="R11" s="8">
        <v>999999.94838399999</v>
      </c>
      <c r="S11" s="8">
        <v>1545000</v>
      </c>
      <c r="T11" s="8">
        <v>1591350</v>
      </c>
      <c r="U11" s="8">
        <v>1639090.5</v>
      </c>
      <c r="V11" s="8">
        <v>1688263.2150000001</v>
      </c>
      <c r="W11" s="8"/>
    </row>
    <row r="12" spans="1:23" x14ac:dyDescent="0.25">
      <c r="A12" s="6" t="s">
        <v>124</v>
      </c>
      <c r="B12" s="6" t="s">
        <v>125</v>
      </c>
      <c r="C12" s="7" t="s">
        <v>135</v>
      </c>
      <c r="D12" s="7" t="s">
        <v>81</v>
      </c>
      <c r="E12" s="7" t="s">
        <v>71</v>
      </c>
      <c r="F12" s="7" t="s">
        <v>136</v>
      </c>
      <c r="G12" s="7" t="s">
        <v>73</v>
      </c>
      <c r="H12" s="7" t="s">
        <v>74</v>
      </c>
      <c r="I12" s="7" t="s">
        <v>75</v>
      </c>
      <c r="J12" s="7" t="s">
        <v>38</v>
      </c>
      <c r="K12" s="7" t="s">
        <v>231</v>
      </c>
      <c r="L12" s="7" t="s">
        <v>221</v>
      </c>
      <c r="M12" s="7" t="s">
        <v>128</v>
      </c>
      <c r="N12" s="7" t="s">
        <v>129</v>
      </c>
      <c r="O12" s="7" t="s">
        <v>129</v>
      </c>
      <c r="P12" s="7" t="s">
        <v>130</v>
      </c>
      <c r="Q12" s="7" t="s">
        <v>137</v>
      </c>
      <c r="R12" s="8">
        <v>1499999.9082348</v>
      </c>
      <c r="S12" s="8">
        <v>1545000</v>
      </c>
      <c r="T12" s="8">
        <v>1591350</v>
      </c>
      <c r="U12" s="8">
        <v>1639090.5</v>
      </c>
      <c r="V12" s="8">
        <v>1688263.2150000001</v>
      </c>
      <c r="W12" s="8"/>
    </row>
    <row r="13" spans="1:23" x14ac:dyDescent="0.25">
      <c r="A13" s="6" t="s">
        <v>138</v>
      </c>
      <c r="B13" s="6" t="s">
        <v>120</v>
      </c>
      <c r="C13" s="7" t="s">
        <v>126</v>
      </c>
      <c r="D13" s="7" t="s">
        <v>70</v>
      </c>
      <c r="E13" s="7" t="s">
        <v>71</v>
      </c>
      <c r="F13" s="7" t="s">
        <v>127</v>
      </c>
      <c r="G13" s="7" t="s">
        <v>73</v>
      </c>
      <c r="H13" s="7" t="s">
        <v>74</v>
      </c>
      <c r="I13" s="7" t="s">
        <v>75</v>
      </c>
      <c r="J13" s="7" t="s">
        <v>35</v>
      </c>
      <c r="K13" s="7" t="s">
        <v>230</v>
      </c>
      <c r="L13" s="7" t="s">
        <v>221</v>
      </c>
      <c r="M13" s="7" t="s">
        <v>128</v>
      </c>
      <c r="N13" s="7" t="s">
        <v>143</v>
      </c>
      <c r="O13" s="7" t="s">
        <v>144</v>
      </c>
      <c r="P13" s="7" t="s">
        <v>35</v>
      </c>
      <c r="Q13" s="7" t="s">
        <v>145</v>
      </c>
      <c r="R13" s="8">
        <v>298624.41910200001</v>
      </c>
      <c r="S13" s="13">
        <v>638600</v>
      </c>
      <c r="T13" s="13">
        <v>657758</v>
      </c>
      <c r="U13" s="13">
        <v>677490.74</v>
      </c>
      <c r="V13" s="13">
        <v>697815.46219999995</v>
      </c>
      <c r="W13" s="8"/>
    </row>
    <row r="14" spans="1:23" x14ac:dyDescent="0.25">
      <c r="A14" s="6" t="s">
        <v>139</v>
      </c>
      <c r="B14" s="6" t="s">
        <v>120</v>
      </c>
      <c r="C14" s="7" t="s">
        <v>126</v>
      </c>
      <c r="D14" s="7" t="s">
        <v>70</v>
      </c>
      <c r="E14" s="7" t="s">
        <v>71</v>
      </c>
      <c r="F14" s="7" t="s">
        <v>127</v>
      </c>
      <c r="G14" s="7" t="s">
        <v>73</v>
      </c>
      <c r="H14" s="7" t="s">
        <v>74</v>
      </c>
      <c r="I14" s="7" t="s">
        <v>75</v>
      </c>
      <c r="J14" s="7" t="s">
        <v>27</v>
      </c>
      <c r="K14" s="7" t="s">
        <v>230</v>
      </c>
      <c r="L14" s="7" t="s">
        <v>220</v>
      </c>
      <c r="M14" s="7" t="s">
        <v>128</v>
      </c>
      <c r="N14" s="7" t="s">
        <v>143</v>
      </c>
      <c r="O14" s="7" t="s">
        <v>146</v>
      </c>
      <c r="P14" s="7" t="s">
        <v>27</v>
      </c>
      <c r="Q14" s="7" t="s">
        <v>147</v>
      </c>
      <c r="R14" s="8">
        <v>499999.98640200001</v>
      </c>
      <c r="S14" s="8">
        <v>650000</v>
      </c>
      <c r="T14" s="8">
        <v>650000</v>
      </c>
      <c r="U14" s="8">
        <v>650000</v>
      </c>
      <c r="V14" s="8">
        <v>650000</v>
      </c>
      <c r="W14" s="8"/>
    </row>
    <row r="15" spans="1:23" x14ac:dyDescent="0.25">
      <c r="A15" s="6" t="s">
        <v>140</v>
      </c>
      <c r="B15" s="6" t="s">
        <v>120</v>
      </c>
      <c r="C15" s="7" t="s">
        <v>126</v>
      </c>
      <c r="D15" s="7" t="s">
        <v>70</v>
      </c>
      <c r="E15" s="7" t="s">
        <v>71</v>
      </c>
      <c r="F15" s="7" t="s">
        <v>127</v>
      </c>
      <c r="G15" s="7" t="s">
        <v>73</v>
      </c>
      <c r="H15" s="7" t="s">
        <v>148</v>
      </c>
      <c r="I15" s="7" t="s">
        <v>149</v>
      </c>
      <c r="J15" s="7" t="s">
        <v>150</v>
      </c>
      <c r="K15" s="7" t="s">
        <v>230</v>
      </c>
      <c r="L15" s="7" t="s">
        <v>220</v>
      </c>
      <c r="M15" s="7" t="s">
        <v>128</v>
      </c>
      <c r="N15" s="7" t="s">
        <v>143</v>
      </c>
      <c r="O15" s="7" t="s">
        <v>151</v>
      </c>
      <c r="P15" s="7" t="s">
        <v>34</v>
      </c>
      <c r="Q15" s="7" t="s">
        <v>152</v>
      </c>
      <c r="R15" s="8">
        <v>54829599.999999948</v>
      </c>
      <c r="S15" s="13">
        <v>55658300</v>
      </c>
      <c r="T15" s="13">
        <v>56448357.7394391</v>
      </c>
      <c r="U15" s="13">
        <v>57577325</v>
      </c>
      <c r="V15" s="13">
        <v>58706500</v>
      </c>
      <c r="W15" s="8"/>
    </row>
    <row r="16" spans="1:23" x14ac:dyDescent="0.25">
      <c r="A16" s="6" t="s">
        <v>141</v>
      </c>
      <c r="B16" s="6" t="s">
        <v>120</v>
      </c>
      <c r="C16" s="7" t="s">
        <v>126</v>
      </c>
      <c r="D16" s="7" t="s">
        <v>70</v>
      </c>
      <c r="E16" s="7" t="s">
        <v>71</v>
      </c>
      <c r="F16" s="7" t="s">
        <v>127</v>
      </c>
      <c r="G16" s="7" t="s">
        <v>73</v>
      </c>
      <c r="H16" s="7" t="s">
        <v>74</v>
      </c>
      <c r="I16" s="7" t="s">
        <v>75</v>
      </c>
      <c r="J16" s="7" t="s">
        <v>27</v>
      </c>
      <c r="K16" s="7" t="s">
        <v>230</v>
      </c>
      <c r="L16" s="7" t="s">
        <v>220</v>
      </c>
      <c r="M16" s="7" t="s">
        <v>128</v>
      </c>
      <c r="N16" s="7" t="s">
        <v>143</v>
      </c>
      <c r="O16" s="7" t="s">
        <v>151</v>
      </c>
      <c r="P16" s="7" t="s">
        <v>27</v>
      </c>
      <c r="Q16" s="7" t="s">
        <v>153</v>
      </c>
      <c r="R16" s="8">
        <v>3200015.0522183999</v>
      </c>
      <c r="S16" s="8">
        <v>4000000</v>
      </c>
      <c r="T16" s="8">
        <v>4000000</v>
      </c>
      <c r="U16" s="8">
        <v>4000000</v>
      </c>
      <c r="V16" s="8">
        <v>4000000</v>
      </c>
      <c r="W16" s="8"/>
    </row>
    <row r="17" spans="1:23" x14ac:dyDescent="0.25">
      <c r="A17" s="6" t="s">
        <v>142</v>
      </c>
      <c r="B17" s="6" t="s">
        <v>120</v>
      </c>
      <c r="C17" s="7" t="s">
        <v>126</v>
      </c>
      <c r="D17" s="7" t="s">
        <v>70</v>
      </c>
      <c r="E17" s="7" t="s">
        <v>71</v>
      </c>
      <c r="F17" s="7" t="s">
        <v>127</v>
      </c>
      <c r="G17" s="7" t="s">
        <v>73</v>
      </c>
      <c r="H17" s="7" t="s">
        <v>74</v>
      </c>
      <c r="I17" s="7" t="s">
        <v>75</v>
      </c>
      <c r="J17" s="7" t="s">
        <v>27</v>
      </c>
      <c r="K17" s="7" t="s">
        <v>230</v>
      </c>
      <c r="L17" s="7" t="s">
        <v>220</v>
      </c>
      <c r="M17" s="7" t="s">
        <v>128</v>
      </c>
      <c r="N17" s="7" t="s">
        <v>143</v>
      </c>
      <c r="O17" s="7" t="s">
        <v>151</v>
      </c>
      <c r="P17" s="7" t="s">
        <v>27</v>
      </c>
      <c r="Q17" s="7" t="s">
        <v>154</v>
      </c>
      <c r="R17" s="8">
        <v>1396732.3552920001</v>
      </c>
      <c r="S17" s="13">
        <v>1500000</v>
      </c>
      <c r="T17" s="13">
        <v>1500000</v>
      </c>
      <c r="U17" s="13">
        <v>1500000</v>
      </c>
      <c r="V17" s="13">
        <v>1500000</v>
      </c>
      <c r="W17" s="8"/>
    </row>
    <row r="18" spans="1:23" x14ac:dyDescent="0.25">
      <c r="A18" s="6" t="s">
        <v>155</v>
      </c>
      <c r="B18" s="6" t="s">
        <v>120</v>
      </c>
      <c r="C18" s="7" t="s">
        <v>126</v>
      </c>
      <c r="D18" s="7" t="s">
        <v>70</v>
      </c>
      <c r="E18" s="7" t="s">
        <v>71</v>
      </c>
      <c r="F18" s="7" t="s">
        <v>127</v>
      </c>
      <c r="G18" s="7" t="s">
        <v>73</v>
      </c>
      <c r="H18" s="7" t="s">
        <v>74</v>
      </c>
      <c r="I18" s="7" t="s">
        <v>75</v>
      </c>
      <c r="J18" s="7" t="s">
        <v>27</v>
      </c>
      <c r="K18" s="7" t="s">
        <v>230</v>
      </c>
      <c r="L18" s="7" t="s">
        <v>221</v>
      </c>
      <c r="M18" s="7" t="s">
        <v>128</v>
      </c>
      <c r="N18" s="7" t="s">
        <v>143</v>
      </c>
      <c r="O18" s="7" t="s">
        <v>157</v>
      </c>
      <c r="P18" s="7" t="s">
        <v>27</v>
      </c>
      <c r="Q18" s="7" t="s">
        <v>158</v>
      </c>
      <c r="R18" s="8">
        <v>299690.53161120001</v>
      </c>
      <c r="S18" s="13">
        <v>550000</v>
      </c>
      <c r="T18" s="13">
        <v>550000</v>
      </c>
      <c r="U18" s="13">
        <v>550000</v>
      </c>
      <c r="V18" s="13">
        <v>550000</v>
      </c>
      <c r="W18" s="8"/>
    </row>
    <row r="19" spans="1:23" x14ac:dyDescent="0.25">
      <c r="A19" s="6" t="s">
        <v>156</v>
      </c>
      <c r="B19" s="6" t="s">
        <v>120</v>
      </c>
      <c r="C19" s="7" t="s">
        <v>126</v>
      </c>
      <c r="D19" s="7" t="s">
        <v>70</v>
      </c>
      <c r="E19" s="7" t="s">
        <v>71</v>
      </c>
      <c r="F19" s="7" t="s">
        <v>127</v>
      </c>
      <c r="G19" s="7" t="s">
        <v>73</v>
      </c>
      <c r="H19" s="7" t="s">
        <v>74</v>
      </c>
      <c r="I19" s="7" t="s">
        <v>75</v>
      </c>
      <c r="J19" s="7" t="s">
        <v>27</v>
      </c>
      <c r="K19" s="7" t="s">
        <v>230</v>
      </c>
      <c r="L19" s="7" t="s">
        <v>220</v>
      </c>
      <c r="M19" s="7" t="s">
        <v>128</v>
      </c>
      <c r="N19" s="7" t="s">
        <v>143</v>
      </c>
      <c r="O19" s="7" t="s">
        <v>157</v>
      </c>
      <c r="P19" s="7" t="s">
        <v>27</v>
      </c>
      <c r="Q19" s="7" t="s">
        <v>159</v>
      </c>
      <c r="R19" s="8">
        <v>1198211.7504384001</v>
      </c>
      <c r="S19" s="13">
        <v>2800000</v>
      </c>
      <c r="T19" s="13">
        <v>2800000</v>
      </c>
      <c r="U19" s="13">
        <v>2800000</v>
      </c>
      <c r="V19" s="13">
        <v>2800000</v>
      </c>
      <c r="W19" s="8"/>
    </row>
    <row r="20" spans="1:23" x14ac:dyDescent="0.25">
      <c r="A20" s="6" t="s">
        <v>160</v>
      </c>
      <c r="B20" s="6" t="s">
        <v>120</v>
      </c>
      <c r="C20" s="7" t="s">
        <v>126</v>
      </c>
      <c r="D20" s="7" t="s">
        <v>70</v>
      </c>
      <c r="E20" s="7" t="s">
        <v>71</v>
      </c>
      <c r="F20" s="7" t="s">
        <v>127</v>
      </c>
      <c r="G20" s="7" t="s">
        <v>73</v>
      </c>
      <c r="H20" s="7" t="s">
        <v>74</v>
      </c>
      <c r="I20" s="7" t="s">
        <v>75</v>
      </c>
      <c r="J20" s="7" t="s">
        <v>27</v>
      </c>
      <c r="K20" s="7" t="s">
        <v>230</v>
      </c>
      <c r="L20" s="7" t="s">
        <v>221</v>
      </c>
      <c r="M20" s="7" t="s">
        <v>128</v>
      </c>
      <c r="N20" s="7" t="s">
        <v>143</v>
      </c>
      <c r="O20" s="7" t="s">
        <v>168</v>
      </c>
      <c r="P20" s="7" t="s">
        <v>27</v>
      </c>
      <c r="Q20" s="7" t="s">
        <v>169</v>
      </c>
      <c r="R20" s="8">
        <v>2997851.6117135999</v>
      </c>
      <c r="S20" s="13">
        <v>3500000</v>
      </c>
      <c r="T20" s="13">
        <v>3500000</v>
      </c>
      <c r="U20" s="13">
        <v>3500000</v>
      </c>
      <c r="V20" s="13">
        <v>3500000</v>
      </c>
      <c r="W20" s="8"/>
    </row>
    <row r="21" spans="1:23" x14ac:dyDescent="0.25">
      <c r="A21" s="5" t="s">
        <v>161</v>
      </c>
      <c r="B21" s="6" t="s">
        <v>66</v>
      </c>
      <c r="C21" s="7" t="s">
        <v>69</v>
      </c>
      <c r="D21" s="7" t="s">
        <v>70</v>
      </c>
      <c r="E21" s="7" t="s">
        <v>71</v>
      </c>
      <c r="F21" s="7" t="s">
        <v>72</v>
      </c>
      <c r="G21" s="7" t="s">
        <v>73</v>
      </c>
      <c r="H21" s="7" t="s">
        <v>74</v>
      </c>
      <c r="I21" s="7" t="s">
        <v>75</v>
      </c>
      <c r="J21" s="7" t="s">
        <v>35</v>
      </c>
      <c r="K21" s="7" t="s">
        <v>230</v>
      </c>
      <c r="L21" s="7" t="s">
        <v>221</v>
      </c>
      <c r="M21" s="7" t="s">
        <v>128</v>
      </c>
      <c r="N21" s="7" t="s">
        <v>143</v>
      </c>
      <c r="O21" s="7" t="s">
        <v>168</v>
      </c>
      <c r="P21" s="7" t="s">
        <v>35</v>
      </c>
      <c r="Q21" s="7" t="s">
        <v>170</v>
      </c>
      <c r="R21" s="8">
        <v>3600000</v>
      </c>
      <c r="S21" s="8">
        <v>3708000</v>
      </c>
      <c r="T21" s="8">
        <v>3800000</v>
      </c>
      <c r="U21" s="8">
        <v>3900000</v>
      </c>
      <c r="V21" s="8">
        <v>4000000</v>
      </c>
      <c r="W21" s="8"/>
    </row>
    <row r="22" spans="1:23" x14ac:dyDescent="0.25">
      <c r="A22" s="6" t="s">
        <v>162</v>
      </c>
      <c r="B22" s="6" t="s">
        <v>68</v>
      </c>
      <c r="C22" s="7" t="s">
        <v>80</v>
      </c>
      <c r="D22" s="7" t="s">
        <v>81</v>
      </c>
      <c r="E22" s="7" t="s">
        <v>71</v>
      </c>
      <c r="F22" s="7" t="s">
        <v>37</v>
      </c>
      <c r="G22" s="7" t="s">
        <v>73</v>
      </c>
      <c r="H22" s="7" t="s">
        <v>74</v>
      </c>
      <c r="I22" s="7" t="s">
        <v>75</v>
      </c>
      <c r="J22" s="7" t="s">
        <v>37</v>
      </c>
      <c r="K22" s="7" t="s">
        <v>230</v>
      </c>
      <c r="L22" s="7" t="s">
        <v>220</v>
      </c>
      <c r="M22" s="7" t="s">
        <v>128</v>
      </c>
      <c r="N22" s="7" t="s">
        <v>143</v>
      </c>
      <c r="O22" s="7" t="s">
        <v>168</v>
      </c>
      <c r="P22" s="7" t="s">
        <v>27</v>
      </c>
      <c r="Q22" s="7" t="s">
        <v>171</v>
      </c>
      <c r="R22" s="8">
        <v>230000</v>
      </c>
      <c r="S22" s="8">
        <v>236900</v>
      </c>
      <c r="T22" s="8">
        <v>244007</v>
      </c>
      <c r="U22" s="8">
        <v>251327.21000000002</v>
      </c>
      <c r="V22" s="8">
        <v>258867.02630000003</v>
      </c>
      <c r="W22" s="8"/>
    </row>
    <row r="23" spans="1:23" x14ac:dyDescent="0.25">
      <c r="A23" s="5" t="s">
        <v>163</v>
      </c>
      <c r="B23" s="6" t="s">
        <v>66</v>
      </c>
      <c r="C23" s="7" t="s">
        <v>69</v>
      </c>
      <c r="D23" s="7" t="s">
        <v>70</v>
      </c>
      <c r="E23" s="7" t="s">
        <v>71</v>
      </c>
      <c r="F23" s="7" t="s">
        <v>72</v>
      </c>
      <c r="G23" s="7" t="s">
        <v>73</v>
      </c>
      <c r="H23" s="7" t="s">
        <v>74</v>
      </c>
      <c r="I23" s="7" t="s">
        <v>75</v>
      </c>
      <c r="J23" s="7" t="s">
        <v>35</v>
      </c>
      <c r="K23" s="7" t="s">
        <v>230</v>
      </c>
      <c r="L23" s="7" t="s">
        <v>221</v>
      </c>
      <c r="M23" s="7" t="s">
        <v>128</v>
      </c>
      <c r="N23" s="7" t="s">
        <v>143</v>
      </c>
      <c r="O23" s="7" t="s">
        <v>168</v>
      </c>
      <c r="P23" s="7" t="s">
        <v>35</v>
      </c>
      <c r="Q23" s="7" t="s">
        <v>172</v>
      </c>
      <c r="R23" s="8">
        <v>400000</v>
      </c>
      <c r="S23" s="8">
        <v>412000</v>
      </c>
      <c r="T23" s="8">
        <v>424000</v>
      </c>
      <c r="U23" s="8">
        <v>437000</v>
      </c>
      <c r="V23" s="8">
        <v>450000</v>
      </c>
      <c r="W23" s="8"/>
    </row>
    <row r="24" spans="1:23" x14ac:dyDescent="0.25">
      <c r="A24" s="6" t="s">
        <v>164</v>
      </c>
      <c r="B24" s="6" t="s">
        <v>120</v>
      </c>
      <c r="C24" s="7" t="s">
        <v>126</v>
      </c>
      <c r="D24" s="7" t="s">
        <v>70</v>
      </c>
      <c r="E24" s="7" t="s">
        <v>71</v>
      </c>
      <c r="F24" s="7" t="s">
        <v>127</v>
      </c>
      <c r="G24" s="7" t="s">
        <v>73</v>
      </c>
      <c r="H24" s="7" t="s">
        <v>74</v>
      </c>
      <c r="I24" s="7" t="s">
        <v>75</v>
      </c>
      <c r="J24" s="7" t="s">
        <v>27</v>
      </c>
      <c r="K24" s="7" t="s">
        <v>230</v>
      </c>
      <c r="L24" s="7" t="s">
        <v>220</v>
      </c>
      <c r="M24" s="7" t="s">
        <v>128</v>
      </c>
      <c r="N24" s="7" t="s">
        <v>143</v>
      </c>
      <c r="O24" s="7" t="s">
        <v>168</v>
      </c>
      <c r="P24" s="7" t="s">
        <v>27</v>
      </c>
      <c r="Q24" s="7" t="s">
        <v>173</v>
      </c>
      <c r="R24" s="8">
        <v>2998280.4938687999</v>
      </c>
      <c r="S24" s="13">
        <v>4400000</v>
      </c>
      <c r="T24" s="13">
        <v>4400000</v>
      </c>
      <c r="U24" s="13">
        <v>4400000</v>
      </c>
      <c r="V24" s="13">
        <v>4400000</v>
      </c>
      <c r="W24" s="8"/>
    </row>
    <row r="25" spans="1:23" x14ac:dyDescent="0.25">
      <c r="A25" s="6" t="s">
        <v>165</v>
      </c>
      <c r="B25" s="6" t="s">
        <v>120</v>
      </c>
      <c r="C25" s="7" t="s">
        <v>126</v>
      </c>
      <c r="D25" s="7" t="s">
        <v>70</v>
      </c>
      <c r="E25" s="7" t="s">
        <v>71</v>
      </c>
      <c r="F25" s="7" t="s">
        <v>127</v>
      </c>
      <c r="G25" s="7" t="s">
        <v>73</v>
      </c>
      <c r="H25" s="7" t="s">
        <v>74</v>
      </c>
      <c r="I25" s="7" t="s">
        <v>75</v>
      </c>
      <c r="J25" s="7" t="s">
        <v>27</v>
      </c>
      <c r="K25" s="7" t="s">
        <v>230</v>
      </c>
      <c r="L25" s="7" t="s">
        <v>220</v>
      </c>
      <c r="M25" s="7" t="s">
        <v>128</v>
      </c>
      <c r="N25" s="7" t="s">
        <v>143</v>
      </c>
      <c r="O25" s="7" t="s">
        <v>168</v>
      </c>
      <c r="P25" s="7" t="s">
        <v>32</v>
      </c>
      <c r="Q25" s="7" t="s">
        <v>174</v>
      </c>
      <c r="R25" s="8">
        <v>5000000</v>
      </c>
      <c r="S25" s="8">
        <v>5000000</v>
      </c>
      <c r="T25" s="8">
        <v>5000000</v>
      </c>
      <c r="U25" s="8">
        <v>5000000</v>
      </c>
      <c r="V25" s="8">
        <v>5000000</v>
      </c>
      <c r="W25" s="8"/>
    </row>
    <row r="26" spans="1:23" x14ac:dyDescent="0.25">
      <c r="A26" s="6" t="s">
        <v>166</v>
      </c>
      <c r="B26" s="6" t="s">
        <v>167</v>
      </c>
      <c r="C26" s="7" t="s">
        <v>175</v>
      </c>
      <c r="D26" s="7" t="s">
        <v>81</v>
      </c>
      <c r="E26" s="7" t="s">
        <v>71</v>
      </c>
      <c r="F26" s="7" t="s">
        <v>176</v>
      </c>
      <c r="G26" s="7" t="s">
        <v>73</v>
      </c>
      <c r="H26" s="7" t="s">
        <v>74</v>
      </c>
      <c r="I26" s="7" t="s">
        <v>75</v>
      </c>
      <c r="J26" s="7" t="s">
        <v>27</v>
      </c>
      <c r="K26" s="7" t="s">
        <v>230</v>
      </c>
      <c r="L26" s="7" t="s">
        <v>220</v>
      </c>
      <c r="M26" s="7" t="s">
        <v>128</v>
      </c>
      <c r="N26" s="7" t="s">
        <v>143</v>
      </c>
      <c r="O26" s="7" t="s">
        <v>177</v>
      </c>
      <c r="P26" s="7" t="s">
        <v>27</v>
      </c>
      <c r="Q26" s="7" t="s">
        <v>178</v>
      </c>
      <c r="R26" s="8">
        <v>180000.01180800001</v>
      </c>
      <c r="S26" s="8">
        <v>185400</v>
      </c>
      <c r="T26" s="8">
        <v>190962</v>
      </c>
      <c r="U26" s="8">
        <v>196690.86000000002</v>
      </c>
      <c r="V26" s="8">
        <v>202591.58580000003</v>
      </c>
      <c r="W26" s="8"/>
    </row>
    <row r="27" spans="1:23" x14ac:dyDescent="0.25">
      <c r="A27" s="6" t="s">
        <v>179</v>
      </c>
      <c r="B27" s="6" t="s">
        <v>167</v>
      </c>
      <c r="C27" s="7" t="s">
        <v>175</v>
      </c>
      <c r="D27" s="7" t="s">
        <v>81</v>
      </c>
      <c r="E27" s="7" t="s">
        <v>71</v>
      </c>
      <c r="F27" s="7" t="s">
        <v>176</v>
      </c>
      <c r="G27" s="7" t="s">
        <v>73</v>
      </c>
      <c r="H27" s="7" t="s">
        <v>74</v>
      </c>
      <c r="I27" s="7" t="s">
        <v>75</v>
      </c>
      <c r="J27" s="7" t="s">
        <v>29</v>
      </c>
      <c r="K27" s="7" t="s">
        <v>231</v>
      </c>
      <c r="L27" s="7" t="s">
        <v>221</v>
      </c>
      <c r="M27" s="7" t="s">
        <v>128</v>
      </c>
      <c r="N27" s="7" t="s">
        <v>187</v>
      </c>
      <c r="O27" s="7" t="s">
        <v>188</v>
      </c>
      <c r="P27" s="7" t="s">
        <v>189</v>
      </c>
      <c r="Q27" s="7" t="s">
        <v>190</v>
      </c>
      <c r="R27" s="8">
        <v>3766264.8683392</v>
      </c>
      <c r="S27" s="8">
        <v>3879312.8143893802</v>
      </c>
      <c r="T27" s="8">
        <v>3995752.1988210599</v>
      </c>
      <c r="U27" s="8">
        <v>4115684.7647856898</v>
      </c>
      <c r="V27" s="8">
        <v>4239215.3077292601</v>
      </c>
      <c r="W27" s="8"/>
    </row>
    <row r="28" spans="1:23" x14ac:dyDescent="0.25">
      <c r="A28" s="6" t="s">
        <v>180</v>
      </c>
      <c r="B28" s="6" t="s">
        <v>167</v>
      </c>
      <c r="C28" s="7" t="s">
        <v>175</v>
      </c>
      <c r="D28" s="7" t="s">
        <v>81</v>
      </c>
      <c r="E28" s="7" t="s">
        <v>71</v>
      </c>
      <c r="F28" s="7" t="s">
        <v>176</v>
      </c>
      <c r="G28" s="7" t="s">
        <v>73</v>
      </c>
      <c r="H28" s="7" t="s">
        <v>74</v>
      </c>
      <c r="I28" s="7" t="s">
        <v>75</v>
      </c>
      <c r="J28" s="7" t="s">
        <v>29</v>
      </c>
      <c r="K28" s="7" t="s">
        <v>231</v>
      </c>
      <c r="L28" s="7" t="s">
        <v>220</v>
      </c>
      <c r="M28" s="7" t="s">
        <v>128</v>
      </c>
      <c r="N28" s="7" t="s">
        <v>187</v>
      </c>
      <c r="O28" s="7" t="s">
        <v>188</v>
      </c>
      <c r="P28" s="7" t="s">
        <v>189</v>
      </c>
      <c r="Q28" s="7" t="s">
        <v>191</v>
      </c>
      <c r="R28" s="8">
        <v>1031735.0172108</v>
      </c>
      <c r="S28" s="8">
        <v>1062687.0677271241</v>
      </c>
      <c r="T28" s="8">
        <v>1094567.6797589378</v>
      </c>
      <c r="U28" s="8">
        <v>1127404.7101517059</v>
      </c>
      <c r="V28" s="8">
        <v>1161226.851456257</v>
      </c>
      <c r="W28" s="8"/>
    </row>
    <row r="29" spans="1:23" x14ac:dyDescent="0.25">
      <c r="A29" s="6" t="s">
        <v>181</v>
      </c>
      <c r="B29" s="6" t="s">
        <v>167</v>
      </c>
      <c r="C29" s="7" t="s">
        <v>175</v>
      </c>
      <c r="D29" s="7" t="s">
        <v>81</v>
      </c>
      <c r="E29" s="7" t="s">
        <v>71</v>
      </c>
      <c r="F29" s="7" t="s">
        <v>176</v>
      </c>
      <c r="G29" s="7" t="s">
        <v>73</v>
      </c>
      <c r="H29" s="7" t="s">
        <v>74</v>
      </c>
      <c r="I29" s="7" t="s">
        <v>75</v>
      </c>
      <c r="J29" s="7" t="s">
        <v>29</v>
      </c>
      <c r="K29" s="7" t="s">
        <v>231</v>
      </c>
      <c r="L29" s="7" t="s">
        <v>221</v>
      </c>
      <c r="M29" s="7" t="s">
        <v>128</v>
      </c>
      <c r="N29" s="7" t="s">
        <v>187</v>
      </c>
      <c r="O29" s="7" t="s">
        <v>188</v>
      </c>
      <c r="P29" s="7" t="s">
        <v>189</v>
      </c>
      <c r="Q29" s="7" t="s">
        <v>192</v>
      </c>
      <c r="R29" s="11">
        <v>2037911</v>
      </c>
      <c r="S29" s="11">
        <v>2099048.33</v>
      </c>
      <c r="T29" s="11">
        <v>2162019.7799</v>
      </c>
      <c r="U29" s="11">
        <v>2226880.3732969998</v>
      </c>
      <c r="V29" s="11">
        <v>2293686.7844959097</v>
      </c>
      <c r="W29" s="8"/>
    </row>
    <row r="30" spans="1:23" x14ac:dyDescent="0.25">
      <c r="A30" s="6" t="s">
        <v>182</v>
      </c>
      <c r="B30" s="6" t="s">
        <v>167</v>
      </c>
      <c r="C30" s="7" t="s">
        <v>175</v>
      </c>
      <c r="D30" s="7" t="s">
        <v>81</v>
      </c>
      <c r="E30" s="7" t="s">
        <v>71</v>
      </c>
      <c r="F30" s="7" t="s">
        <v>176</v>
      </c>
      <c r="G30" s="7" t="s">
        <v>73</v>
      </c>
      <c r="H30" s="7" t="s">
        <v>74</v>
      </c>
      <c r="I30" s="7" t="s">
        <v>75</v>
      </c>
      <c r="J30" s="7" t="s">
        <v>29</v>
      </c>
      <c r="K30" s="7" t="s">
        <v>233</v>
      </c>
      <c r="L30" s="7" t="s">
        <v>220</v>
      </c>
      <c r="M30" s="7" t="s">
        <v>128</v>
      </c>
      <c r="N30" s="7" t="s">
        <v>187</v>
      </c>
      <c r="O30" s="7" t="s">
        <v>188</v>
      </c>
      <c r="P30" s="7" t="s">
        <v>39</v>
      </c>
      <c r="Q30" s="7" t="s">
        <v>193</v>
      </c>
      <c r="R30" s="8">
        <v>6840000</v>
      </c>
      <c r="S30" s="8">
        <v>9363600</v>
      </c>
      <c r="T30" s="8">
        <v>9560000</v>
      </c>
      <c r="U30" s="8">
        <v>9741889</v>
      </c>
      <c r="V30" s="8">
        <v>9741889</v>
      </c>
      <c r="W30" s="8"/>
    </row>
    <row r="31" spans="1:23" x14ac:dyDescent="0.25">
      <c r="A31" s="6" t="s">
        <v>183</v>
      </c>
      <c r="B31" s="6" t="s">
        <v>167</v>
      </c>
      <c r="C31" s="7" t="s">
        <v>175</v>
      </c>
      <c r="D31" s="7" t="s">
        <v>81</v>
      </c>
      <c r="E31" s="7" t="s">
        <v>71</v>
      </c>
      <c r="F31" s="7" t="s">
        <v>176</v>
      </c>
      <c r="G31" s="7" t="s">
        <v>73</v>
      </c>
      <c r="H31" s="7" t="s">
        <v>74</v>
      </c>
      <c r="I31" s="7" t="s">
        <v>75</v>
      </c>
      <c r="J31" s="7" t="s">
        <v>29</v>
      </c>
      <c r="K31" s="7" t="s">
        <v>230</v>
      </c>
      <c r="L31" s="7" t="s">
        <v>221</v>
      </c>
      <c r="M31" s="7" t="s">
        <v>128</v>
      </c>
      <c r="N31" s="7" t="s">
        <v>187</v>
      </c>
      <c r="O31" s="7" t="s">
        <v>188</v>
      </c>
      <c r="P31" s="7" t="s">
        <v>33</v>
      </c>
      <c r="Q31" s="7" t="s">
        <v>194</v>
      </c>
      <c r="R31" s="11">
        <v>300000</v>
      </c>
      <c r="S31" s="11">
        <v>309000</v>
      </c>
      <c r="T31" s="11">
        <v>318270</v>
      </c>
      <c r="U31" s="11">
        <v>327818.10000000003</v>
      </c>
      <c r="V31" s="11">
        <v>337652.64300000004</v>
      </c>
      <c r="W31" s="8"/>
    </row>
    <row r="32" spans="1:23" x14ac:dyDescent="0.25">
      <c r="A32" s="6" t="s">
        <v>184</v>
      </c>
      <c r="B32" s="6" t="s">
        <v>167</v>
      </c>
      <c r="C32" s="7" t="s">
        <v>175</v>
      </c>
      <c r="D32" s="7" t="s">
        <v>81</v>
      </c>
      <c r="E32" s="7" t="s">
        <v>71</v>
      </c>
      <c r="F32" s="7" t="s">
        <v>176</v>
      </c>
      <c r="G32" s="7" t="s">
        <v>73</v>
      </c>
      <c r="H32" s="7" t="s">
        <v>74</v>
      </c>
      <c r="I32" s="7" t="s">
        <v>75</v>
      </c>
      <c r="J32" s="7" t="s">
        <v>29</v>
      </c>
      <c r="K32" s="7" t="s">
        <v>230</v>
      </c>
      <c r="L32" s="7" t="s">
        <v>220</v>
      </c>
      <c r="M32" s="7" t="s">
        <v>128</v>
      </c>
      <c r="N32" s="7" t="s">
        <v>187</v>
      </c>
      <c r="O32" s="7" t="s">
        <v>188</v>
      </c>
      <c r="P32" s="7" t="s">
        <v>33</v>
      </c>
      <c r="Q32" s="7" t="s">
        <v>195</v>
      </c>
      <c r="R32" s="8">
        <v>150000</v>
      </c>
      <c r="S32" s="8">
        <v>154500</v>
      </c>
      <c r="T32" s="8">
        <v>159135</v>
      </c>
      <c r="U32" s="8">
        <v>163909.05000000002</v>
      </c>
      <c r="V32" s="8">
        <v>168826.32150000002</v>
      </c>
      <c r="W32" s="8"/>
    </row>
    <row r="33" spans="1:40" x14ac:dyDescent="0.25">
      <c r="A33" s="6" t="s">
        <v>185</v>
      </c>
      <c r="B33" s="6" t="s">
        <v>167</v>
      </c>
      <c r="C33" s="7" t="s">
        <v>175</v>
      </c>
      <c r="D33" s="7" t="s">
        <v>81</v>
      </c>
      <c r="E33" s="7" t="s">
        <v>71</v>
      </c>
      <c r="F33" s="7" t="s">
        <v>176</v>
      </c>
      <c r="G33" s="7" t="s">
        <v>73</v>
      </c>
      <c r="H33" s="7" t="s">
        <v>74</v>
      </c>
      <c r="I33" s="7" t="s">
        <v>75</v>
      </c>
      <c r="J33" s="7" t="s">
        <v>29</v>
      </c>
      <c r="K33" s="7" t="s">
        <v>231</v>
      </c>
      <c r="L33" s="7" t="s">
        <v>221</v>
      </c>
      <c r="M33" s="7" t="s">
        <v>128</v>
      </c>
      <c r="N33" s="7" t="s">
        <v>187</v>
      </c>
      <c r="O33" s="7" t="s">
        <v>188</v>
      </c>
      <c r="P33" s="7" t="s">
        <v>189</v>
      </c>
      <c r="Q33" s="7" t="s">
        <v>196</v>
      </c>
      <c r="R33" s="11">
        <v>150000</v>
      </c>
      <c r="S33" s="11">
        <v>154500</v>
      </c>
      <c r="T33" s="11">
        <v>159135</v>
      </c>
      <c r="U33" s="11">
        <v>163909.05000000002</v>
      </c>
      <c r="V33" s="11">
        <v>168826.32150000002</v>
      </c>
      <c r="W33" s="8"/>
    </row>
    <row r="34" spans="1:40" x14ac:dyDescent="0.25">
      <c r="A34" s="6" t="s">
        <v>186</v>
      </c>
      <c r="B34" s="6" t="s">
        <v>167</v>
      </c>
      <c r="C34" s="7" t="s">
        <v>175</v>
      </c>
      <c r="D34" s="7" t="s">
        <v>81</v>
      </c>
      <c r="E34" s="7" t="s">
        <v>71</v>
      </c>
      <c r="F34" s="7" t="s">
        <v>176</v>
      </c>
      <c r="G34" s="7" t="s">
        <v>73</v>
      </c>
      <c r="H34" s="7" t="s">
        <v>74</v>
      </c>
      <c r="I34" s="7" t="s">
        <v>75</v>
      </c>
      <c r="J34" s="7" t="s">
        <v>29</v>
      </c>
      <c r="K34" s="7" t="s">
        <v>231</v>
      </c>
      <c r="L34" s="7" t="s">
        <v>220</v>
      </c>
      <c r="M34" s="7" t="s">
        <v>128</v>
      </c>
      <c r="N34" s="7" t="s">
        <v>187</v>
      </c>
      <c r="O34" s="7" t="s">
        <v>188</v>
      </c>
      <c r="P34" s="7" t="s">
        <v>189</v>
      </c>
      <c r="Q34" s="7" t="s">
        <v>197</v>
      </c>
      <c r="R34" s="8">
        <v>1200000</v>
      </c>
      <c r="S34" s="8">
        <v>1236000</v>
      </c>
      <c r="T34" s="8">
        <v>1273080</v>
      </c>
      <c r="U34" s="8">
        <v>1311272.4000000001</v>
      </c>
      <c r="V34" s="8">
        <v>1350610.5720000002</v>
      </c>
      <c r="W34" s="8"/>
    </row>
    <row r="35" spans="1:40" x14ac:dyDescent="0.25">
      <c r="A35" s="6" t="s">
        <v>198</v>
      </c>
      <c r="B35" s="6" t="s">
        <v>120</v>
      </c>
      <c r="C35" s="7" t="s">
        <v>126</v>
      </c>
      <c r="D35" s="7" t="s">
        <v>70</v>
      </c>
      <c r="E35" s="7" t="s">
        <v>71</v>
      </c>
      <c r="F35" s="7" t="s">
        <v>127</v>
      </c>
      <c r="G35" s="7" t="s">
        <v>73</v>
      </c>
      <c r="H35" s="7" t="s">
        <v>74</v>
      </c>
      <c r="I35" s="7" t="s">
        <v>75</v>
      </c>
      <c r="J35" s="7" t="s">
        <v>202</v>
      </c>
      <c r="K35" s="7" t="s">
        <v>233</v>
      </c>
      <c r="L35" s="7" t="s">
        <v>220</v>
      </c>
      <c r="M35" s="7" t="s">
        <v>128</v>
      </c>
      <c r="N35" s="7" t="s">
        <v>203</v>
      </c>
      <c r="O35" s="7" t="s">
        <v>203</v>
      </c>
      <c r="P35" s="7" t="s">
        <v>28</v>
      </c>
      <c r="Q35" s="7" t="s">
        <v>204</v>
      </c>
      <c r="R35" s="8">
        <v>30000</v>
      </c>
      <c r="S35" s="8">
        <v>30000</v>
      </c>
      <c r="T35" s="8">
        <v>30000</v>
      </c>
      <c r="U35" s="8">
        <v>30000</v>
      </c>
      <c r="V35" s="8">
        <v>30600</v>
      </c>
      <c r="W35" s="8"/>
    </row>
    <row r="36" spans="1:40" x14ac:dyDescent="0.25">
      <c r="A36" s="5" t="s">
        <v>199</v>
      </c>
      <c r="B36" s="6" t="s">
        <v>66</v>
      </c>
      <c r="C36" s="7" t="s">
        <v>69</v>
      </c>
      <c r="D36" s="7" t="s">
        <v>70</v>
      </c>
      <c r="E36" s="7" t="s">
        <v>71</v>
      </c>
      <c r="F36" s="7" t="s">
        <v>72</v>
      </c>
      <c r="G36" s="7" t="s">
        <v>73</v>
      </c>
      <c r="H36" s="7" t="s">
        <v>74</v>
      </c>
      <c r="I36" s="7" t="s">
        <v>75</v>
      </c>
      <c r="J36" s="7" t="s">
        <v>205</v>
      </c>
      <c r="K36" s="7" t="s">
        <v>231</v>
      </c>
      <c r="L36" s="7" t="s">
        <v>221</v>
      </c>
      <c r="M36" s="7" t="s">
        <v>128</v>
      </c>
      <c r="N36" s="7" t="s">
        <v>203</v>
      </c>
      <c r="O36" s="7" t="s">
        <v>203</v>
      </c>
      <c r="P36" s="7" t="s">
        <v>35</v>
      </c>
      <c r="Q36" s="7" t="s">
        <v>206</v>
      </c>
      <c r="R36" s="8">
        <v>200000</v>
      </c>
      <c r="S36" s="8">
        <v>200000</v>
      </c>
      <c r="T36" s="8">
        <v>200000</v>
      </c>
      <c r="U36" s="8">
        <v>200000</v>
      </c>
      <c r="V36" s="8">
        <v>200000</v>
      </c>
      <c r="W36" s="8"/>
    </row>
    <row r="37" spans="1:40" x14ac:dyDescent="0.25">
      <c r="A37" s="5" t="s">
        <v>200</v>
      </c>
      <c r="B37" s="6" t="s">
        <v>66</v>
      </c>
      <c r="C37" s="7" t="s">
        <v>69</v>
      </c>
      <c r="D37" s="7" t="s">
        <v>70</v>
      </c>
      <c r="E37" s="7" t="s">
        <v>71</v>
      </c>
      <c r="F37" s="7" t="s">
        <v>72</v>
      </c>
      <c r="G37" s="7" t="s">
        <v>73</v>
      </c>
      <c r="H37" s="7" t="s">
        <v>74</v>
      </c>
      <c r="I37" s="7" t="s">
        <v>75</v>
      </c>
      <c r="J37" s="7" t="s">
        <v>205</v>
      </c>
      <c r="K37" s="7" t="s">
        <v>233</v>
      </c>
      <c r="L37" s="7" t="s">
        <v>221</v>
      </c>
      <c r="M37" s="7" t="s">
        <v>128</v>
      </c>
      <c r="N37" s="7" t="s">
        <v>203</v>
      </c>
      <c r="O37" s="7" t="s">
        <v>203</v>
      </c>
      <c r="P37" s="7" t="s">
        <v>38</v>
      </c>
      <c r="Q37" s="7" t="s">
        <v>207</v>
      </c>
      <c r="R37" s="8">
        <v>3000000</v>
      </c>
      <c r="S37" s="8">
        <v>3000000</v>
      </c>
      <c r="T37" s="8">
        <v>3000000</v>
      </c>
      <c r="U37" s="8">
        <v>3000000</v>
      </c>
      <c r="V37" s="8">
        <v>3000000</v>
      </c>
      <c r="W37" s="8"/>
    </row>
    <row r="38" spans="1:40" x14ac:dyDescent="0.25">
      <c r="A38" s="6" t="s">
        <v>201</v>
      </c>
      <c r="B38" s="6" t="s">
        <v>120</v>
      </c>
      <c r="C38" s="7" t="s">
        <v>126</v>
      </c>
      <c r="D38" s="7" t="s">
        <v>70</v>
      </c>
      <c r="E38" s="7" t="s">
        <v>71</v>
      </c>
      <c r="F38" s="7" t="s">
        <v>127</v>
      </c>
      <c r="G38" s="7" t="s">
        <v>73</v>
      </c>
      <c r="H38" s="7" t="s">
        <v>74</v>
      </c>
      <c r="I38" s="7" t="s">
        <v>75</v>
      </c>
      <c r="J38" s="7" t="s">
        <v>205</v>
      </c>
      <c r="K38" s="7" t="s">
        <v>233</v>
      </c>
      <c r="L38" s="7" t="s">
        <v>221</v>
      </c>
      <c r="M38" s="7" t="s">
        <v>128</v>
      </c>
      <c r="N38" s="7" t="s">
        <v>203</v>
      </c>
      <c r="O38" s="7" t="s">
        <v>203</v>
      </c>
      <c r="P38" s="7" t="s">
        <v>38</v>
      </c>
      <c r="Q38" s="7" t="s">
        <v>208</v>
      </c>
      <c r="R38" s="8">
        <v>4502399.0385887995</v>
      </c>
      <c r="S38" s="13">
        <v>9000000</v>
      </c>
      <c r="T38" s="13">
        <v>9000000</v>
      </c>
      <c r="U38" s="13">
        <v>9000000</v>
      </c>
      <c r="V38" s="13">
        <v>9000000</v>
      </c>
      <c r="W38" s="8"/>
    </row>
    <row r="39" spans="1:40" x14ac:dyDescent="0.25">
      <c r="A39" s="6" t="s">
        <v>209</v>
      </c>
      <c r="B39" s="6" t="s">
        <v>66</v>
      </c>
      <c r="C39" s="7" t="s">
        <v>69</v>
      </c>
      <c r="D39" s="7" t="s">
        <v>70</v>
      </c>
      <c r="E39" s="7" t="s">
        <v>71</v>
      </c>
      <c r="F39" s="7" t="s">
        <v>72</v>
      </c>
      <c r="G39" s="7" t="s">
        <v>73</v>
      </c>
      <c r="H39" s="7" t="s">
        <v>148</v>
      </c>
      <c r="I39" s="7" t="s">
        <v>211</v>
      </c>
      <c r="J39" s="7" t="s">
        <v>212</v>
      </c>
      <c r="K39" s="7" t="s">
        <v>230</v>
      </c>
      <c r="L39" s="7" t="s">
        <v>221</v>
      </c>
      <c r="M39" s="7" t="s">
        <v>213</v>
      </c>
      <c r="N39" s="7" t="s">
        <v>214</v>
      </c>
      <c r="O39" s="7" t="s">
        <v>215</v>
      </c>
      <c r="P39" s="7" t="s">
        <v>44</v>
      </c>
      <c r="Q39" s="7" t="s">
        <v>216</v>
      </c>
      <c r="R39" s="8">
        <v>850000</v>
      </c>
      <c r="S39" s="8">
        <v>25000000</v>
      </c>
      <c r="T39" s="8"/>
      <c r="U39" s="8"/>
      <c r="V39" s="8">
        <v>0</v>
      </c>
      <c r="W39" s="8"/>
    </row>
    <row r="40" spans="1:40" x14ac:dyDescent="0.25">
      <c r="A40" s="6" t="s">
        <v>210</v>
      </c>
      <c r="B40" s="6" t="s">
        <v>66</v>
      </c>
      <c r="C40" s="7" t="s">
        <v>69</v>
      </c>
      <c r="D40" s="7" t="s">
        <v>70</v>
      </c>
      <c r="E40" s="7" t="s">
        <v>71</v>
      </c>
      <c r="F40" s="7" t="s">
        <v>72</v>
      </c>
      <c r="G40" s="7" t="s">
        <v>73</v>
      </c>
      <c r="H40" s="7" t="s">
        <v>74</v>
      </c>
      <c r="I40" s="7" t="s">
        <v>75</v>
      </c>
      <c r="J40" s="7" t="s">
        <v>217</v>
      </c>
      <c r="K40" s="7" t="s">
        <v>230</v>
      </c>
      <c r="L40" s="7" t="s">
        <v>221</v>
      </c>
      <c r="M40" s="7" t="s">
        <v>213</v>
      </c>
      <c r="N40" s="7" t="s">
        <v>214</v>
      </c>
      <c r="O40" s="7" t="s">
        <v>215</v>
      </c>
      <c r="P40" s="7" t="s">
        <v>44</v>
      </c>
      <c r="Q40" s="7" t="s">
        <v>218</v>
      </c>
      <c r="R40" s="8">
        <v>618000</v>
      </c>
      <c r="S40" s="8">
        <v>1700000</v>
      </c>
      <c r="T40" s="8">
        <v>7150000</v>
      </c>
      <c r="U40" s="8">
        <v>0</v>
      </c>
      <c r="V40" s="8">
        <v>0</v>
      </c>
      <c r="W40" s="8"/>
    </row>
    <row r="41" spans="1:40" x14ac:dyDescent="0.25">
      <c r="A41" s="6" t="s">
        <v>225</v>
      </c>
      <c r="B41" s="6" t="s">
        <v>66</v>
      </c>
      <c r="C41" s="7" t="s">
        <v>69</v>
      </c>
      <c r="D41" s="7" t="s">
        <v>70</v>
      </c>
      <c r="E41" s="7" t="s">
        <v>71</v>
      </c>
      <c r="F41" s="7" t="s">
        <v>72</v>
      </c>
      <c r="G41" s="7" t="s">
        <v>73</v>
      </c>
      <c r="H41" s="7"/>
      <c r="I41" s="7"/>
      <c r="J41" s="7"/>
      <c r="K41" s="7" t="s">
        <v>230</v>
      </c>
      <c r="L41" s="7" t="s">
        <v>221</v>
      </c>
      <c r="M41" s="7"/>
      <c r="N41" s="7"/>
      <c r="O41" s="7" t="s">
        <v>36</v>
      </c>
      <c r="P41" s="7" t="s">
        <v>226</v>
      </c>
      <c r="Q41" s="8" t="s">
        <v>234</v>
      </c>
      <c r="S41" s="18">
        <f>S42*25%</f>
        <v>1750000</v>
      </c>
      <c r="T41" s="18">
        <f t="shared" ref="T41:V41" si="0">T42*25%</f>
        <v>2500000</v>
      </c>
      <c r="U41" s="18">
        <f t="shared" si="0"/>
        <v>2500000</v>
      </c>
      <c r="V41" s="18">
        <f t="shared" si="0"/>
        <v>2500000</v>
      </c>
      <c r="W41" s="8"/>
      <c r="X41" s="9"/>
      <c r="Y41" s="9"/>
      <c r="Z41" s="9"/>
      <c r="AA41" s="9">
        <v>0</v>
      </c>
      <c r="AB41" s="9">
        <v>0</v>
      </c>
      <c r="AC41" t="s">
        <v>227</v>
      </c>
      <c r="AD41" s="9" t="s">
        <v>228</v>
      </c>
      <c r="AE41" s="9"/>
      <c r="AL41" s="10">
        <v>27806000</v>
      </c>
      <c r="AM41" s="10">
        <v>0</v>
      </c>
      <c r="AN41" s="10">
        <v>27806000</v>
      </c>
    </row>
    <row r="42" spans="1:40" x14ac:dyDescent="0.25">
      <c r="A42" s="6" t="s">
        <v>225</v>
      </c>
      <c r="B42" s="6" t="s">
        <v>66</v>
      </c>
      <c r="C42" s="7" t="s">
        <v>69</v>
      </c>
      <c r="D42" s="7" t="s">
        <v>70</v>
      </c>
      <c r="E42" s="7" t="s">
        <v>71</v>
      </c>
      <c r="F42" s="7" t="s">
        <v>72</v>
      </c>
      <c r="G42" s="7" t="s">
        <v>73</v>
      </c>
      <c r="H42" s="7"/>
      <c r="I42" s="7"/>
      <c r="J42" s="7"/>
      <c r="K42" s="7" t="s">
        <v>233</v>
      </c>
      <c r="L42" s="7" t="s">
        <v>221</v>
      </c>
      <c r="M42" s="7"/>
      <c r="N42" s="7"/>
      <c r="O42" s="7" t="s">
        <v>36</v>
      </c>
      <c r="P42" s="7" t="s">
        <v>226</v>
      </c>
      <c r="Q42" s="8" t="s">
        <v>235</v>
      </c>
      <c r="R42" s="8">
        <v>806000</v>
      </c>
      <c r="S42" s="8">
        <v>7000000</v>
      </c>
      <c r="T42" s="8">
        <v>10000000</v>
      </c>
      <c r="U42" s="8">
        <v>10000000</v>
      </c>
      <c r="V42" s="8">
        <v>10000000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3:AE3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40" sqref="Q40"/>
    </sheetView>
  </sheetViews>
  <sheetFormatPr defaultRowHeight="12" x14ac:dyDescent="0.2"/>
  <cols>
    <col min="1" max="1" width="2.7109375" style="57" customWidth="1"/>
    <col min="2" max="2" width="42.5703125" style="57" bestFit="1" customWidth="1"/>
    <col min="3" max="14" width="9" style="57" bestFit="1" customWidth="1"/>
    <col min="15" max="29" width="10.5703125" style="57" bestFit="1" customWidth="1"/>
    <col min="30" max="31" width="5.28515625" style="57" bestFit="1" customWidth="1"/>
    <col min="32" max="16384" width="9.140625" style="57"/>
  </cols>
  <sheetData>
    <row r="3" spans="2:31" x14ac:dyDescent="0.2">
      <c r="B3" s="55" t="s">
        <v>294</v>
      </c>
      <c r="C3" s="56">
        <v>2024</v>
      </c>
      <c r="D3" s="56">
        <v>2025</v>
      </c>
      <c r="E3" s="56">
        <v>2026</v>
      </c>
      <c r="F3" s="56">
        <v>2027</v>
      </c>
      <c r="G3" s="56">
        <v>2028</v>
      </c>
      <c r="H3" s="56">
        <v>2029</v>
      </c>
      <c r="I3" s="56">
        <v>2030</v>
      </c>
      <c r="J3" s="56">
        <v>2031</v>
      </c>
      <c r="K3" s="56">
        <v>2032</v>
      </c>
      <c r="L3" s="56">
        <v>2033</v>
      </c>
      <c r="M3" s="56">
        <v>2034</v>
      </c>
      <c r="N3" s="56">
        <v>2035</v>
      </c>
      <c r="O3" s="56">
        <v>2036</v>
      </c>
      <c r="P3" s="56">
        <v>2037</v>
      </c>
      <c r="Q3" s="56">
        <v>2038</v>
      </c>
      <c r="R3" s="56">
        <v>2039</v>
      </c>
      <c r="S3" s="56">
        <v>2040</v>
      </c>
      <c r="T3" s="56">
        <v>2041</v>
      </c>
      <c r="U3" s="56">
        <v>2042</v>
      </c>
      <c r="V3" s="56">
        <v>2043</v>
      </c>
      <c r="W3" s="56">
        <v>2044</v>
      </c>
      <c r="X3" s="56">
        <v>2045</v>
      </c>
      <c r="Y3" s="56">
        <v>2046</v>
      </c>
      <c r="Z3" s="56">
        <v>2047</v>
      </c>
      <c r="AA3" s="56">
        <v>2048</v>
      </c>
      <c r="AB3" s="56">
        <v>2049</v>
      </c>
      <c r="AC3" s="56">
        <v>2050</v>
      </c>
    </row>
    <row r="4" spans="2:31" ht="15" x14ac:dyDescent="0.25">
      <c r="B4" s="57" t="s">
        <v>284</v>
      </c>
      <c r="C4" s="58">
        <v>831023.66666666674</v>
      </c>
      <c r="D4" s="58">
        <v>840393</v>
      </c>
      <c r="E4" s="58">
        <v>849567.75</v>
      </c>
      <c r="F4" s="58">
        <v>858633.66666666651</v>
      </c>
      <c r="G4" s="58">
        <v>867813.83333333337</v>
      </c>
      <c r="H4" s="58">
        <v>877074.5</v>
      </c>
      <c r="I4" s="58">
        <v>886321.75000000012</v>
      </c>
      <c r="J4" s="58">
        <v>895573.66666666663</v>
      </c>
      <c r="K4" s="58">
        <v>904825.91666666663</v>
      </c>
      <c r="L4" s="58">
        <v>914017.16666666674</v>
      </c>
      <c r="M4" s="58">
        <v>923176</v>
      </c>
      <c r="N4" s="58">
        <v>932272.08333333349</v>
      </c>
      <c r="O4" s="58">
        <v>941303.41666666663</v>
      </c>
      <c r="P4" s="58">
        <v>950258.83333333337</v>
      </c>
      <c r="Q4" s="58">
        <v>959164.66666666686</v>
      </c>
      <c r="R4" s="58">
        <v>968016.08333333337</v>
      </c>
      <c r="S4" s="58">
        <v>976868.66666666674</v>
      </c>
      <c r="T4" s="58">
        <v>985778</v>
      </c>
      <c r="U4" s="58">
        <v>994680</v>
      </c>
      <c r="V4" s="58">
        <v>1003601.4166666667</v>
      </c>
      <c r="W4" s="58">
        <v>1012544.25</v>
      </c>
      <c r="X4" s="58">
        <v>1021476.5</v>
      </c>
      <c r="Y4" s="58">
        <v>1030361.5000000001</v>
      </c>
      <c r="Z4" s="58">
        <v>1039146.1666666666</v>
      </c>
      <c r="AA4" s="58">
        <v>1047807.0833333335</v>
      </c>
      <c r="AB4" s="58">
        <v>1056307.5</v>
      </c>
      <c r="AC4" s="58">
        <v>1064609.666666667</v>
      </c>
    </row>
    <row r="5" spans="2:31" ht="15" x14ac:dyDescent="0.25">
      <c r="B5" s="57" t="s">
        <v>285</v>
      </c>
      <c r="C5" s="58">
        <v>58134</v>
      </c>
      <c r="D5" s="58">
        <v>58278</v>
      </c>
      <c r="E5" s="58">
        <v>58405</v>
      </c>
      <c r="F5" s="58">
        <v>58553</v>
      </c>
      <c r="G5" s="58">
        <v>58725</v>
      </c>
      <c r="H5" s="58">
        <v>58910</v>
      </c>
      <c r="I5" s="58">
        <v>59079</v>
      </c>
      <c r="J5" s="58">
        <v>59238</v>
      </c>
      <c r="K5" s="58">
        <v>59376</v>
      </c>
      <c r="L5" s="58">
        <v>59525</v>
      </c>
      <c r="M5" s="58">
        <v>59671</v>
      </c>
      <c r="N5" s="58">
        <v>59797</v>
      </c>
      <c r="O5" s="58">
        <v>59907</v>
      </c>
      <c r="P5" s="58">
        <v>60000</v>
      </c>
      <c r="Q5" s="58">
        <v>60091</v>
      </c>
      <c r="R5" s="58">
        <v>60181</v>
      </c>
      <c r="S5" s="58">
        <v>60272</v>
      </c>
      <c r="T5" s="58">
        <v>60371</v>
      </c>
      <c r="U5" s="58">
        <v>60464</v>
      </c>
      <c r="V5" s="58">
        <v>60547</v>
      </c>
      <c r="W5" s="58">
        <v>60627</v>
      </c>
      <c r="X5" s="58">
        <v>60710</v>
      </c>
      <c r="Y5" s="58">
        <v>60786</v>
      </c>
      <c r="Z5" s="58">
        <v>60825</v>
      </c>
      <c r="AA5" s="58">
        <v>60852</v>
      </c>
      <c r="AB5" s="58">
        <v>60871</v>
      </c>
      <c r="AC5" s="58">
        <v>60878</v>
      </c>
    </row>
    <row r="6" spans="2:31" ht="15" x14ac:dyDescent="0.25">
      <c r="B6" s="57" t="s">
        <v>286</v>
      </c>
      <c r="C6" s="58">
        <v>2235</v>
      </c>
      <c r="D6" s="58">
        <v>2218</v>
      </c>
      <c r="E6" s="58">
        <v>2200</v>
      </c>
      <c r="F6" s="58">
        <v>2183</v>
      </c>
      <c r="G6" s="58">
        <v>2166</v>
      </c>
      <c r="H6" s="58">
        <v>2149</v>
      </c>
      <c r="I6" s="58">
        <v>2132</v>
      </c>
      <c r="J6" s="58">
        <v>2114</v>
      </c>
      <c r="K6" s="58">
        <v>2097</v>
      </c>
      <c r="L6" s="58">
        <v>2080</v>
      </c>
      <c r="M6" s="58">
        <v>2063</v>
      </c>
      <c r="N6" s="58">
        <v>2046</v>
      </c>
      <c r="O6" s="58">
        <v>2028</v>
      </c>
      <c r="P6" s="58">
        <v>2011</v>
      </c>
      <c r="Q6" s="58">
        <v>1994</v>
      </c>
      <c r="R6" s="58">
        <v>1977</v>
      </c>
      <c r="S6" s="58">
        <v>1960</v>
      </c>
      <c r="T6" s="58">
        <v>1942</v>
      </c>
      <c r="U6" s="58">
        <v>1925</v>
      </c>
      <c r="V6" s="58">
        <v>1908</v>
      </c>
      <c r="W6" s="58">
        <v>1891</v>
      </c>
      <c r="X6" s="58">
        <v>1874</v>
      </c>
      <c r="Y6" s="58">
        <v>1856</v>
      </c>
      <c r="Z6" s="58">
        <v>1839</v>
      </c>
      <c r="AA6" s="58">
        <v>1822</v>
      </c>
      <c r="AB6" s="58">
        <v>1805</v>
      </c>
      <c r="AC6" s="58">
        <v>1788</v>
      </c>
    </row>
    <row r="7" spans="2:31" ht="15" x14ac:dyDescent="0.25">
      <c r="B7" s="57" t="s">
        <v>282</v>
      </c>
      <c r="C7" s="58">
        <v>891392.66666666674</v>
      </c>
      <c r="D7" s="58">
        <v>900889</v>
      </c>
      <c r="E7" s="58">
        <v>910172.75</v>
      </c>
      <c r="F7" s="58">
        <v>919369.66666666651</v>
      </c>
      <c r="G7" s="58">
        <v>928704.83333333337</v>
      </c>
      <c r="H7" s="58">
        <v>938133.5</v>
      </c>
      <c r="I7" s="58">
        <v>947532.75000000012</v>
      </c>
      <c r="J7" s="58">
        <v>956925.66666666663</v>
      </c>
      <c r="K7" s="58">
        <v>966298.91666666663</v>
      </c>
      <c r="L7" s="58">
        <v>975622.16666666674</v>
      </c>
      <c r="M7" s="58">
        <v>984910</v>
      </c>
      <c r="N7" s="58">
        <v>994115.08333333349</v>
      </c>
      <c r="O7" s="58">
        <v>1003238.4166666666</v>
      </c>
      <c r="P7" s="58">
        <v>1012269.8333333334</v>
      </c>
      <c r="Q7" s="58">
        <v>1021249.6666666669</v>
      </c>
      <c r="R7" s="58">
        <v>1030174.0833333334</v>
      </c>
      <c r="S7" s="58">
        <v>1039100.6666666667</v>
      </c>
      <c r="T7" s="58">
        <v>1048091</v>
      </c>
      <c r="U7" s="58">
        <v>1057069</v>
      </c>
      <c r="V7" s="58">
        <v>1066056.4166666667</v>
      </c>
      <c r="W7" s="58">
        <v>1075062.25</v>
      </c>
      <c r="X7" s="58">
        <v>1084060.5</v>
      </c>
      <c r="Y7" s="58">
        <v>1093003.5</v>
      </c>
      <c r="Z7" s="58">
        <v>1101810.1666666665</v>
      </c>
      <c r="AA7" s="58">
        <v>1110481.0833333335</v>
      </c>
      <c r="AB7" s="58">
        <v>1118983.5</v>
      </c>
      <c r="AC7" s="58">
        <v>1127275.666666667</v>
      </c>
    </row>
    <row r="8" spans="2:31" x14ac:dyDescent="0.2">
      <c r="X8" s="84">
        <f>X10*(1+X17)</f>
        <v>315227.71643570857</v>
      </c>
      <c r="Y8" s="84">
        <f>X8*(1+Y17)</f>
        <v>311824.25831708324</v>
      </c>
      <c r="Z8" s="84">
        <f t="shared" ref="Z8:AC8" si="0">Y8*(1+Z17)</f>
        <v>309254.48379320197</v>
      </c>
      <c r="AA8" s="84">
        <f t="shared" si="0"/>
        <v>307336.21104647894</v>
      </c>
      <c r="AB8" s="84">
        <f t="shared" si="0"/>
        <v>305498.01479785528</v>
      </c>
      <c r="AC8" s="84">
        <f t="shared" si="0"/>
        <v>305011.73884019541</v>
      </c>
    </row>
    <row r="9" spans="2:31" x14ac:dyDescent="0.2">
      <c r="B9" s="55" t="s">
        <v>287</v>
      </c>
      <c r="C9" s="56">
        <v>2024</v>
      </c>
      <c r="D9" s="56">
        <v>2025</v>
      </c>
      <c r="E9" s="56">
        <v>2026</v>
      </c>
      <c r="F9" s="56">
        <v>2027</v>
      </c>
      <c r="G9" s="56">
        <v>2028</v>
      </c>
      <c r="H9" s="56">
        <v>2029</v>
      </c>
      <c r="I9" s="56">
        <v>2030</v>
      </c>
      <c r="J9" s="56">
        <v>2031</v>
      </c>
      <c r="K9" s="56">
        <v>2032</v>
      </c>
      <c r="L9" s="56">
        <v>2033</v>
      </c>
      <c r="M9" s="56">
        <v>2034</v>
      </c>
      <c r="N9" s="56">
        <v>2035</v>
      </c>
      <c r="O9" s="56">
        <v>2036</v>
      </c>
      <c r="P9" s="56">
        <v>2037</v>
      </c>
      <c r="Q9" s="56">
        <v>2038</v>
      </c>
      <c r="R9" s="56">
        <v>2039</v>
      </c>
      <c r="S9" s="56">
        <v>2040</v>
      </c>
      <c r="T9" s="56">
        <v>2041</v>
      </c>
      <c r="U9" s="56">
        <v>2042</v>
      </c>
      <c r="V9" s="56">
        <v>2043</v>
      </c>
      <c r="W9" s="56">
        <v>2044</v>
      </c>
      <c r="X9" s="56">
        <v>2045</v>
      </c>
      <c r="Y9" s="56">
        <v>2046</v>
      </c>
      <c r="Z9" s="56">
        <v>2047</v>
      </c>
      <c r="AA9" s="56">
        <v>2048</v>
      </c>
      <c r="AB9" s="56">
        <v>2049</v>
      </c>
      <c r="AC9" s="56">
        <v>2050</v>
      </c>
    </row>
    <row r="10" spans="2:31" ht="15" x14ac:dyDescent="0.25">
      <c r="B10" s="57" t="s">
        <v>288</v>
      </c>
      <c r="C10" s="58">
        <v>822682.64797970792</v>
      </c>
      <c r="D10" s="58">
        <v>819833.35912935459</v>
      </c>
      <c r="E10" s="58">
        <v>812394.21606502298</v>
      </c>
      <c r="F10" s="58">
        <v>799702.06301905762</v>
      </c>
      <c r="G10" s="58">
        <v>781409.6012958202</v>
      </c>
      <c r="H10" s="58">
        <v>757357.93311213772</v>
      </c>
      <c r="I10" s="58">
        <v>727825.87860702863</v>
      </c>
      <c r="J10" s="58">
        <v>693591.00194136414</v>
      </c>
      <c r="K10" s="58">
        <v>655715.33441811358</v>
      </c>
      <c r="L10" s="58">
        <v>615322.08527746424</v>
      </c>
      <c r="M10" s="58">
        <v>573425.5046084132</v>
      </c>
      <c r="N10" s="58">
        <v>530813.93248481036</v>
      </c>
      <c r="O10" s="58">
        <v>488184.27820952871</v>
      </c>
      <c r="P10" s="58">
        <v>445533.4233677361</v>
      </c>
      <c r="Q10" s="58">
        <v>413497.68819661264</v>
      </c>
      <c r="R10" s="58">
        <v>385309.35353257938</v>
      </c>
      <c r="S10" s="58">
        <v>361637.18481630483</v>
      </c>
      <c r="T10" s="58">
        <v>342934.81092936196</v>
      </c>
      <c r="U10" s="58">
        <v>329291.19568123936</v>
      </c>
      <c r="V10" s="58">
        <v>320422.20557572739</v>
      </c>
      <c r="W10" s="58">
        <v>316293.01734376955</v>
      </c>
      <c r="X10" s="58">
        <v>318787.44667707069</v>
      </c>
      <c r="Y10" s="58">
        <v>321268.68092671479</v>
      </c>
      <c r="Z10" s="58">
        <v>323721.89598637004</v>
      </c>
      <c r="AA10" s="58">
        <v>326022.05988257006</v>
      </c>
      <c r="AB10" s="58">
        <v>327890.36427815794</v>
      </c>
      <c r="AC10" s="58">
        <v>327894.90811548778</v>
      </c>
      <c r="AD10" s="59">
        <v>0.6054325270533959</v>
      </c>
      <c r="AE10" s="59">
        <v>-0.69200457371184776</v>
      </c>
    </row>
    <row r="11" spans="2:31" ht="15" x14ac:dyDescent="0.25">
      <c r="B11" s="57" t="s">
        <v>289</v>
      </c>
      <c r="C11" s="58">
        <v>822682.64797970792</v>
      </c>
      <c r="D11" s="58">
        <v>819833.35912935459</v>
      </c>
      <c r="E11" s="58">
        <v>812394.21606502298</v>
      </c>
      <c r="F11" s="58">
        <v>799702.06301905762</v>
      </c>
      <c r="G11" s="58">
        <v>781409.6012958202</v>
      </c>
      <c r="H11" s="58">
        <v>757357.93311213772</v>
      </c>
      <c r="I11" s="58">
        <v>727825.87860702863</v>
      </c>
      <c r="J11" s="58">
        <v>693591.00194136414</v>
      </c>
      <c r="K11" s="58">
        <v>655715.33441811358</v>
      </c>
      <c r="L11" s="58">
        <v>615322.08527746424</v>
      </c>
      <c r="M11" s="58">
        <v>573425.5046084132</v>
      </c>
      <c r="N11" s="58">
        <v>530813.93248481036</v>
      </c>
      <c r="O11" s="58">
        <v>488184.27820952871</v>
      </c>
      <c r="P11" s="58">
        <v>445533.4233677361</v>
      </c>
      <c r="Q11" s="58">
        <v>413497.68819661264</v>
      </c>
      <c r="R11" s="58">
        <v>385309.35353257938</v>
      </c>
      <c r="S11" s="58">
        <v>361637.18481630483</v>
      </c>
      <c r="T11" s="58">
        <v>342934.81092936196</v>
      </c>
      <c r="U11" s="58">
        <v>329291.19568123936</v>
      </c>
      <c r="V11" s="58">
        <v>320422.20557572751</v>
      </c>
      <c r="W11" s="58">
        <v>316293.01734376955</v>
      </c>
      <c r="X11" s="58">
        <v>318787.44667707069</v>
      </c>
      <c r="Y11" s="58">
        <v>321268.68092671479</v>
      </c>
      <c r="Z11" s="58">
        <v>323721.89598637004</v>
      </c>
      <c r="AA11" s="58">
        <v>326022.05988257006</v>
      </c>
      <c r="AB11" s="58">
        <v>327890.36427815794</v>
      </c>
      <c r="AC11" s="58">
        <v>327894.90811548778</v>
      </c>
    </row>
    <row r="12" spans="2:31" ht="15" x14ac:dyDescent="0.25">
      <c r="B12" s="57" t="s">
        <v>290</v>
      </c>
      <c r="C12" s="58">
        <v>831023.66666666674</v>
      </c>
      <c r="D12" s="58">
        <v>840393</v>
      </c>
      <c r="E12" s="58">
        <v>849567.75</v>
      </c>
      <c r="F12" s="58">
        <v>858633.66666666651</v>
      </c>
      <c r="G12" s="58">
        <v>867813.83333333337</v>
      </c>
      <c r="H12" s="58">
        <v>877074.5</v>
      </c>
      <c r="I12" s="58">
        <v>886321.75000000012</v>
      </c>
      <c r="J12" s="58">
        <v>895573.66666666663</v>
      </c>
      <c r="K12" s="58">
        <v>904825.91666666663</v>
      </c>
      <c r="L12" s="58">
        <v>914017.16666666674</v>
      </c>
      <c r="M12" s="58">
        <v>923176</v>
      </c>
      <c r="N12" s="58">
        <v>932272.08333333349</v>
      </c>
      <c r="O12" s="58">
        <v>941303.41666666663</v>
      </c>
      <c r="P12" s="58">
        <v>950258.83333333337</v>
      </c>
      <c r="Q12" s="58">
        <v>959164.66666666686</v>
      </c>
      <c r="R12" s="58">
        <v>968016.08333333337</v>
      </c>
      <c r="S12" s="58">
        <v>976868.66666666674</v>
      </c>
      <c r="T12" s="58">
        <v>985778</v>
      </c>
      <c r="U12" s="58">
        <v>994680</v>
      </c>
      <c r="V12" s="58">
        <v>1003601.4166666667</v>
      </c>
      <c r="W12" s="58">
        <v>1012544.25</v>
      </c>
      <c r="X12" s="58">
        <v>1021476.5</v>
      </c>
      <c r="Y12" s="58">
        <v>1030361.5000000001</v>
      </c>
      <c r="Z12" s="58">
        <v>1039146.1666666666</v>
      </c>
      <c r="AA12" s="58">
        <v>1047807.0833333335</v>
      </c>
      <c r="AB12" s="58">
        <v>1056307.5</v>
      </c>
      <c r="AC12" s="58">
        <v>1064609.666666667</v>
      </c>
    </row>
    <row r="13" spans="2:31" ht="15" x14ac:dyDescent="0.25">
      <c r="B13" s="57" t="s">
        <v>291</v>
      </c>
      <c r="C13" s="58">
        <v>829925.23281393258</v>
      </c>
      <c r="D13" s="58">
        <v>837704.91032697528</v>
      </c>
      <c r="E13" s="58">
        <v>844757.33058750094</v>
      </c>
      <c r="F13" s="58">
        <v>851072.58100961649</v>
      </c>
      <c r="G13" s="58">
        <v>856741.46952035173</v>
      </c>
      <c r="H13" s="58">
        <v>861711.95812368032</v>
      </c>
      <c r="I13" s="58">
        <v>865971.263229865</v>
      </c>
      <c r="J13" s="58">
        <v>869627.27996844798</v>
      </c>
      <c r="K13" s="58">
        <v>872814.8981818246</v>
      </c>
      <c r="L13" s="58">
        <v>875662.07831169863</v>
      </c>
      <c r="M13" s="58">
        <v>878308.74620833632</v>
      </c>
      <c r="N13" s="58">
        <v>880848.92780701746</v>
      </c>
      <c r="O13" s="58">
        <v>883371.02725401986</v>
      </c>
      <c r="P13" s="58">
        <v>885871.92613451125</v>
      </c>
      <c r="Q13" s="58">
        <v>888358.97832227591</v>
      </c>
      <c r="R13" s="58">
        <v>890830.83405566926</v>
      </c>
      <c r="S13" s="58">
        <v>893303.01559359767</v>
      </c>
      <c r="T13" s="58">
        <v>895791.04519496625</v>
      </c>
      <c r="U13" s="58">
        <v>898277.02688211657</v>
      </c>
      <c r="V13" s="58">
        <v>900768.43088759517</v>
      </c>
      <c r="W13" s="58">
        <v>903265.81573346152</v>
      </c>
      <c r="X13" s="58">
        <v>905760.24506676279</v>
      </c>
      <c r="Y13" s="58">
        <v>908241.47931640688</v>
      </c>
      <c r="Z13" s="58">
        <v>910694.69437606214</v>
      </c>
      <c r="AA13" s="58">
        <v>912994.85827226215</v>
      </c>
      <c r="AB13" s="58">
        <v>914863.16266785003</v>
      </c>
      <c r="AC13" s="58">
        <v>916687.89374686475</v>
      </c>
    </row>
    <row r="14" spans="2:31" ht="15" x14ac:dyDescent="0.25">
      <c r="B14" s="57" t="s">
        <v>285</v>
      </c>
      <c r="C14" s="58">
        <v>58064.450920371244</v>
      </c>
      <c r="D14" s="58">
        <v>58060.884053849819</v>
      </c>
      <c r="E14" s="58">
        <v>57941.850021313949</v>
      </c>
      <c r="F14" s="58">
        <v>57726.889025253717</v>
      </c>
      <c r="G14" s="58">
        <v>57401.037864013852</v>
      </c>
      <c r="H14" s="58">
        <v>56930.924533321675</v>
      </c>
      <c r="I14" s="58">
        <v>56277.2543684876</v>
      </c>
      <c r="J14" s="58">
        <v>55442.472651884484</v>
      </c>
      <c r="K14" s="58">
        <v>54429.607959447792</v>
      </c>
      <c r="L14" s="58">
        <v>53284.213746237197</v>
      </c>
      <c r="M14" s="58">
        <v>52028.498589122151</v>
      </c>
      <c r="N14" s="58">
        <v>50685.877549686913</v>
      </c>
      <c r="O14" s="58">
        <v>49289.628935485307</v>
      </c>
      <c r="P14" s="58">
        <v>47861.808874681934</v>
      </c>
      <c r="Q14" s="58">
        <v>46432.727447223187</v>
      </c>
      <c r="R14" s="58">
        <v>45003.320424122576</v>
      </c>
      <c r="S14" s="58">
        <v>43593.504062411404</v>
      </c>
      <c r="T14" s="58">
        <v>42202.574485668993</v>
      </c>
      <c r="U14" s="58">
        <v>40823.123737719638</v>
      </c>
      <c r="V14" s="58">
        <v>39455.142267417628</v>
      </c>
      <c r="W14" s="58">
        <v>38105.606276700215</v>
      </c>
      <c r="X14" s="58">
        <v>36780.158483981002</v>
      </c>
      <c r="Y14" s="58">
        <v>35473.81170606357</v>
      </c>
      <c r="Z14" s="58">
        <v>34229.550456530822</v>
      </c>
      <c r="AA14" s="58">
        <v>33039.999914355329</v>
      </c>
      <c r="AB14" s="58">
        <v>31910.074463931782</v>
      </c>
      <c r="AC14" s="58">
        <v>30855.297785924118</v>
      </c>
    </row>
    <row r="15" spans="2:31" ht="15" x14ac:dyDescent="0.25">
      <c r="B15" s="57" t="s">
        <v>286</v>
      </c>
      <c r="C15" s="58">
        <v>2212.65</v>
      </c>
      <c r="D15" s="58">
        <v>2173.64</v>
      </c>
      <c r="E15" s="58">
        <v>2134</v>
      </c>
      <c r="F15" s="58">
        <v>2095.6800000000003</v>
      </c>
      <c r="G15" s="58">
        <v>2036.04</v>
      </c>
      <c r="H15" s="58">
        <v>1998.5700000000002</v>
      </c>
      <c r="I15" s="58">
        <v>1961.44</v>
      </c>
      <c r="J15" s="58">
        <v>1923.7400000000002</v>
      </c>
      <c r="K15" s="58">
        <v>1887.3</v>
      </c>
      <c r="L15" s="58">
        <v>1851.2</v>
      </c>
      <c r="M15" s="58">
        <v>1815.44</v>
      </c>
      <c r="N15" s="58">
        <v>1780.02</v>
      </c>
      <c r="O15" s="58">
        <v>1744.08</v>
      </c>
      <c r="P15" s="58">
        <v>1709.35</v>
      </c>
      <c r="Q15" s="58">
        <v>1674.96</v>
      </c>
      <c r="R15" s="58">
        <v>1640.9099999999999</v>
      </c>
      <c r="S15" s="58">
        <v>1607.1999999999998</v>
      </c>
      <c r="T15" s="58">
        <v>1573.02</v>
      </c>
      <c r="U15" s="58">
        <v>1540</v>
      </c>
      <c r="V15" s="58">
        <v>1507.3200000000002</v>
      </c>
      <c r="W15" s="58">
        <v>1456.0700000000002</v>
      </c>
      <c r="X15" s="58">
        <v>1424.24</v>
      </c>
      <c r="Y15" s="58">
        <v>1392</v>
      </c>
      <c r="Z15" s="58">
        <v>1360.86</v>
      </c>
      <c r="AA15" s="58">
        <v>1330.06</v>
      </c>
      <c r="AB15" s="58">
        <v>1299.5999999999999</v>
      </c>
      <c r="AC15" s="58">
        <v>1269.48</v>
      </c>
    </row>
    <row r="17" spans="2:31" x14ac:dyDescent="0.2">
      <c r="W17" s="83">
        <f>(W19-V19)/V19</f>
        <v>-1.1290225640749565E-2</v>
      </c>
      <c r="X17" s="83">
        <f t="shared" ref="X17:AC17" si="1">(X19-W19)/W19</f>
        <v>-1.1166469315111036E-2</v>
      </c>
      <c r="Y17" s="83">
        <f t="shared" si="1"/>
        <v>-1.0796823823451693E-2</v>
      </c>
      <c r="Z17" s="83">
        <f t="shared" si="1"/>
        <v>-8.241098809150962E-3</v>
      </c>
      <c r="AA17" s="83">
        <f t="shared" si="1"/>
        <v>-6.2028938859484978E-3</v>
      </c>
      <c r="AB17" s="83">
        <f t="shared" si="1"/>
        <v>-5.9810597728286816E-3</v>
      </c>
      <c r="AC17" s="83">
        <f t="shared" si="1"/>
        <v>-1.5917483391230955E-3</v>
      </c>
    </row>
    <row r="18" spans="2:31" x14ac:dyDescent="0.2">
      <c r="B18" s="55" t="s">
        <v>292</v>
      </c>
      <c r="C18" s="56">
        <v>2024</v>
      </c>
      <c r="D18" s="56">
        <v>2025</v>
      </c>
      <c r="E18" s="56">
        <v>2026</v>
      </c>
      <c r="F18" s="56">
        <v>2027</v>
      </c>
      <c r="G18" s="56">
        <v>2028</v>
      </c>
      <c r="H18" s="56">
        <v>2029</v>
      </c>
      <c r="I18" s="56">
        <v>2030</v>
      </c>
      <c r="J18" s="56">
        <v>2031</v>
      </c>
      <c r="K18" s="56">
        <v>2032</v>
      </c>
      <c r="L18" s="56">
        <v>2033</v>
      </c>
      <c r="M18" s="56">
        <v>2034</v>
      </c>
      <c r="N18" s="56">
        <v>2035</v>
      </c>
      <c r="O18" s="56">
        <v>2036</v>
      </c>
      <c r="P18" s="56">
        <v>2037</v>
      </c>
      <c r="Q18" s="56">
        <v>2038</v>
      </c>
      <c r="R18" s="56">
        <v>2039</v>
      </c>
      <c r="S18" s="56">
        <v>2040</v>
      </c>
      <c r="T18" s="56">
        <v>2041</v>
      </c>
      <c r="U18" s="56">
        <v>2042</v>
      </c>
      <c r="V18" s="56">
        <v>2043</v>
      </c>
      <c r="W18" s="56">
        <v>2044</v>
      </c>
      <c r="X18" s="56">
        <v>2045</v>
      </c>
      <c r="Y18" s="56">
        <v>2046</v>
      </c>
      <c r="Z18" s="56">
        <v>2047</v>
      </c>
      <c r="AA18" s="56">
        <v>2048</v>
      </c>
      <c r="AB18" s="56">
        <v>2049</v>
      </c>
      <c r="AC18" s="56">
        <v>2050</v>
      </c>
    </row>
    <row r="19" spans="2:31" ht="15" x14ac:dyDescent="0.25">
      <c r="B19" s="57" t="s">
        <v>288</v>
      </c>
      <c r="C19" s="58">
        <v>830440.00871163304</v>
      </c>
      <c r="D19" s="58">
        <v>838670.55100502609</v>
      </c>
      <c r="E19" s="58">
        <v>845855.03428696073</v>
      </c>
      <c r="F19" s="58">
        <v>851740.42363868665</v>
      </c>
      <c r="G19" s="58">
        <v>856188.62160425354</v>
      </c>
      <c r="H19" s="58">
        <v>858902.87167649227</v>
      </c>
      <c r="I19" s="58">
        <v>859673.13630745339</v>
      </c>
      <c r="J19" s="58">
        <v>858511.40952747758</v>
      </c>
      <c r="K19" s="58">
        <v>855543.93542040174</v>
      </c>
      <c r="L19" s="58">
        <v>850972.85770294128</v>
      </c>
      <c r="M19" s="58">
        <v>845093.43325896189</v>
      </c>
      <c r="N19" s="58">
        <v>838188.47592645139</v>
      </c>
      <c r="O19" s="58">
        <v>830526.91261799948</v>
      </c>
      <c r="P19" s="58">
        <v>822331.43727444869</v>
      </c>
      <c r="Q19" s="58">
        <v>813782.20082090027</v>
      </c>
      <c r="R19" s="58">
        <v>805004.10517535743</v>
      </c>
      <c r="S19" s="58">
        <v>796093.83442086342</v>
      </c>
      <c r="T19" s="58">
        <v>787155.7643477245</v>
      </c>
      <c r="U19" s="58">
        <v>778188.35573604482</v>
      </c>
      <c r="V19" s="58">
        <v>769285.71084317169</v>
      </c>
      <c r="W19" s="58">
        <v>760600.30158554786</v>
      </c>
      <c r="X19" s="58">
        <v>752107.08165682864</v>
      </c>
      <c r="Y19" s="58">
        <v>743986.71399980946</v>
      </c>
      <c r="Z19" s="58">
        <v>737855.4459770415</v>
      </c>
      <c r="AA19" s="58">
        <v>733278.6069424767</v>
      </c>
      <c r="AB19" s="58">
        <v>728892.8237642172</v>
      </c>
      <c r="AC19" s="58">
        <v>727732.60982259177</v>
      </c>
    </row>
    <row r="20" spans="2:31" ht="15" x14ac:dyDescent="0.25">
      <c r="B20" s="57" t="s">
        <v>289</v>
      </c>
      <c r="C20" s="58">
        <v>830440.00871163304</v>
      </c>
      <c r="D20" s="58">
        <v>838670.55100502609</v>
      </c>
      <c r="E20" s="58">
        <v>845855.03428696073</v>
      </c>
      <c r="F20" s="58">
        <v>851740.42363868665</v>
      </c>
      <c r="G20" s="58">
        <v>856188.62160425354</v>
      </c>
      <c r="H20" s="58">
        <v>858902.87167649227</v>
      </c>
      <c r="I20" s="58">
        <v>859673.13630745339</v>
      </c>
      <c r="J20" s="58">
        <v>858511.40952747758</v>
      </c>
      <c r="K20" s="58">
        <v>855543.93542040174</v>
      </c>
      <c r="L20" s="58">
        <v>850972.85770294128</v>
      </c>
      <c r="M20" s="58">
        <v>845093.43325896189</v>
      </c>
      <c r="N20" s="58">
        <v>838188.47592645139</v>
      </c>
      <c r="O20" s="58">
        <v>830526.91261799948</v>
      </c>
      <c r="P20" s="58">
        <v>822331.43727444869</v>
      </c>
      <c r="Q20" s="58">
        <v>813782.20082090027</v>
      </c>
      <c r="R20" s="58">
        <v>805004.10517535743</v>
      </c>
      <c r="S20" s="58">
        <v>796093.83442086342</v>
      </c>
      <c r="T20" s="58">
        <v>787155.7643477245</v>
      </c>
      <c r="U20" s="58">
        <v>778188.35573604482</v>
      </c>
      <c r="V20" s="58">
        <v>769285.71084317169</v>
      </c>
      <c r="W20" s="58">
        <v>760600.30158554786</v>
      </c>
      <c r="X20" s="58">
        <v>752107.08165682864</v>
      </c>
      <c r="Y20" s="58">
        <v>743986.71399980946</v>
      </c>
      <c r="Z20" s="58">
        <v>737855.4459770415</v>
      </c>
      <c r="AA20" s="58">
        <v>733278.6069424767</v>
      </c>
      <c r="AB20" s="58">
        <v>728892.8237642172</v>
      </c>
      <c r="AC20" s="58">
        <v>727732.60982259177</v>
      </c>
    </row>
    <row r="21" spans="2:31" ht="15" x14ac:dyDescent="0.25">
      <c r="B21" s="57" t="s">
        <v>290</v>
      </c>
      <c r="C21" s="58">
        <v>831023.66666666674</v>
      </c>
      <c r="D21" s="58">
        <v>840393</v>
      </c>
      <c r="E21" s="58">
        <v>849567.75</v>
      </c>
      <c r="F21" s="58">
        <v>858633.66666666651</v>
      </c>
      <c r="G21" s="58">
        <v>867813.83333333337</v>
      </c>
      <c r="H21" s="58">
        <v>877074.5</v>
      </c>
      <c r="I21" s="58">
        <v>886321.75000000012</v>
      </c>
      <c r="J21" s="58">
        <v>895573.66666666663</v>
      </c>
      <c r="K21" s="58">
        <v>904825.91666666663</v>
      </c>
      <c r="L21" s="58">
        <v>914017.16666666674</v>
      </c>
      <c r="M21" s="58">
        <v>923176</v>
      </c>
      <c r="N21" s="58">
        <v>932272.08333333349</v>
      </c>
      <c r="O21" s="58">
        <v>941303.41666666663</v>
      </c>
      <c r="P21" s="58">
        <v>950258.83333333337</v>
      </c>
      <c r="Q21" s="58">
        <v>959164.66666666686</v>
      </c>
      <c r="R21" s="58">
        <v>968016.08333333337</v>
      </c>
      <c r="S21" s="58">
        <v>976868.66666666674</v>
      </c>
      <c r="T21" s="58">
        <v>985778</v>
      </c>
      <c r="U21" s="58">
        <v>994680</v>
      </c>
      <c r="V21" s="58">
        <v>1003601.4166666667</v>
      </c>
      <c r="W21" s="58">
        <v>1012544.25</v>
      </c>
      <c r="X21" s="58">
        <v>1021476.5</v>
      </c>
      <c r="Y21" s="58">
        <v>1030361.5000000001</v>
      </c>
      <c r="Z21" s="58">
        <v>1039146.1666666666</v>
      </c>
      <c r="AA21" s="58">
        <v>1047807.0833333335</v>
      </c>
      <c r="AB21" s="58">
        <v>1056307.5</v>
      </c>
      <c r="AC21" s="58">
        <v>1064609.666666667</v>
      </c>
    </row>
    <row r="22" spans="2:31" ht="15" x14ac:dyDescent="0.25">
      <c r="B22" s="57" t="s">
        <v>291</v>
      </c>
      <c r="C22" s="58">
        <v>830778.8154428174</v>
      </c>
      <c r="D22" s="58">
        <v>839674.28332291264</v>
      </c>
      <c r="E22" s="58">
        <v>848030.98818902147</v>
      </c>
      <c r="F22" s="58">
        <v>855798.81352138228</v>
      </c>
      <c r="G22" s="58">
        <v>863033.35669944319</v>
      </c>
      <c r="H22" s="58">
        <v>869588.51275467838</v>
      </c>
      <c r="I22" s="58">
        <v>875335.36419840774</v>
      </c>
      <c r="J22" s="58">
        <v>880285.90506097185</v>
      </c>
      <c r="K22" s="58">
        <v>884490.6673708898</v>
      </c>
      <c r="L22" s="58">
        <v>888019.29874806979</v>
      </c>
      <c r="M22" s="58">
        <v>891003.38442738145</v>
      </c>
      <c r="N22" s="58">
        <v>893556.00468489015</v>
      </c>
      <c r="O22" s="58">
        <v>895789.75288930966</v>
      </c>
      <c r="P22" s="58">
        <v>897796.00280462683</v>
      </c>
      <c r="Q22" s="58">
        <v>899652.7674406108</v>
      </c>
      <c r="R22" s="58">
        <v>901410.66659502324</v>
      </c>
      <c r="S22" s="58">
        <v>903115.51724682888</v>
      </c>
      <c r="T22" s="58">
        <v>904792.61185332108</v>
      </c>
      <c r="U22" s="58">
        <v>906439.30480354861</v>
      </c>
      <c r="V22" s="58">
        <v>908089.58945093583</v>
      </c>
      <c r="W22" s="58">
        <v>909743.83575570548</v>
      </c>
      <c r="X22" s="58">
        <v>911396.12435429776</v>
      </c>
      <c r="Y22" s="58">
        <v>913178.80483481102</v>
      </c>
      <c r="Z22" s="58">
        <v>915381.08991893451</v>
      </c>
      <c r="AA22" s="58">
        <v>917552.35131263244</v>
      </c>
      <c r="AB22" s="58">
        <v>919683.37591995974</v>
      </c>
      <c r="AC22" s="58">
        <v>921764.69994848408</v>
      </c>
    </row>
    <row r="23" spans="2:31" x14ac:dyDescent="0.2">
      <c r="B23" s="57" t="s">
        <v>285</v>
      </c>
      <c r="C23" s="60">
        <v>58064.450920371244</v>
      </c>
      <c r="D23" s="60">
        <v>58060.884053849819</v>
      </c>
      <c r="E23" s="60">
        <v>57941.850021313949</v>
      </c>
      <c r="F23" s="60">
        <v>57726.889025253717</v>
      </c>
      <c r="G23" s="60">
        <v>57401.037864013852</v>
      </c>
      <c r="H23" s="60">
        <v>56930.924533321675</v>
      </c>
      <c r="I23" s="60">
        <v>56277.2543684876</v>
      </c>
      <c r="J23" s="60">
        <v>55442.472651884484</v>
      </c>
      <c r="K23" s="60">
        <v>54429.607959447792</v>
      </c>
      <c r="L23" s="60">
        <v>53284.213746237197</v>
      </c>
      <c r="M23" s="60">
        <v>52028.498589122151</v>
      </c>
      <c r="N23" s="60">
        <v>50685.877549686913</v>
      </c>
      <c r="O23" s="60">
        <v>49289.628935485307</v>
      </c>
      <c r="P23" s="60">
        <v>47861.808874681934</v>
      </c>
      <c r="Q23" s="60">
        <v>46432.727447223187</v>
      </c>
      <c r="R23" s="60">
        <v>45003.320424122576</v>
      </c>
      <c r="S23" s="60">
        <v>43593.504062411404</v>
      </c>
      <c r="T23" s="60">
        <v>42202.574485668993</v>
      </c>
      <c r="U23" s="60">
        <v>40823.123737719638</v>
      </c>
      <c r="V23" s="60">
        <v>39455.142267417628</v>
      </c>
      <c r="W23" s="60">
        <v>38105.606276700215</v>
      </c>
      <c r="X23" s="60">
        <v>36780.158483981002</v>
      </c>
      <c r="Y23" s="60">
        <v>35473.81170606357</v>
      </c>
      <c r="Z23" s="60">
        <v>34229.550456530822</v>
      </c>
      <c r="AA23" s="60">
        <v>33039.999914355329</v>
      </c>
      <c r="AB23" s="60">
        <v>31910.074463931782</v>
      </c>
      <c r="AC23" s="60">
        <v>30855.297785924118</v>
      </c>
    </row>
    <row r="24" spans="2:31" x14ac:dyDescent="0.2">
      <c r="B24" s="57" t="s">
        <v>286</v>
      </c>
      <c r="C24" s="60">
        <v>2212.65</v>
      </c>
      <c r="D24" s="60">
        <v>2173.64</v>
      </c>
      <c r="E24" s="60">
        <v>2134</v>
      </c>
      <c r="F24" s="60">
        <v>2095.6800000000003</v>
      </c>
      <c r="G24" s="60">
        <v>2036.04</v>
      </c>
      <c r="H24" s="60">
        <v>1998.5700000000002</v>
      </c>
      <c r="I24" s="60">
        <v>1961.44</v>
      </c>
      <c r="J24" s="60">
        <v>1923.7400000000002</v>
      </c>
      <c r="K24" s="60">
        <v>1887.3</v>
      </c>
      <c r="L24" s="60">
        <v>1851.2</v>
      </c>
      <c r="M24" s="60">
        <v>1815.44</v>
      </c>
      <c r="N24" s="60">
        <v>1780.02</v>
      </c>
      <c r="O24" s="60">
        <v>1744.08</v>
      </c>
      <c r="P24" s="60">
        <v>1709.35</v>
      </c>
      <c r="Q24" s="60">
        <v>1674.96</v>
      </c>
      <c r="R24" s="60">
        <v>1640.9099999999999</v>
      </c>
      <c r="S24" s="60">
        <v>1607.1999999999998</v>
      </c>
      <c r="T24" s="60">
        <v>1573.02</v>
      </c>
      <c r="U24" s="60">
        <v>1540</v>
      </c>
      <c r="V24" s="60">
        <v>1507.3200000000002</v>
      </c>
      <c r="W24" s="60">
        <v>1456.0700000000002</v>
      </c>
      <c r="X24" s="60">
        <v>1424.24</v>
      </c>
      <c r="Y24" s="60">
        <v>1392</v>
      </c>
      <c r="Z24" s="60">
        <v>1360.86</v>
      </c>
      <c r="AA24" s="60">
        <v>1330.06</v>
      </c>
      <c r="AB24" s="60">
        <v>1299.5999999999999</v>
      </c>
      <c r="AC24" s="60">
        <v>1269.48</v>
      </c>
    </row>
    <row r="25" spans="2:31" x14ac:dyDescent="0.2">
      <c r="D25" s="83">
        <f>(D27-C27)/C27</f>
        <v>3.2552051847199799E-3</v>
      </c>
      <c r="E25" s="83">
        <f t="shared" ref="E25:U25" si="2">(E27-D27)/D27</f>
        <v>-1.5354789388254215E-4</v>
      </c>
      <c r="F25" s="83">
        <f t="shared" si="2"/>
        <v>-4.1047892485369716E-3</v>
      </c>
      <c r="G25" s="83">
        <f t="shared" si="2"/>
        <v>-8.3831340597813418E-3</v>
      </c>
      <c r="H25" s="83">
        <f t="shared" si="2"/>
        <v>-1.3029702776335854E-2</v>
      </c>
      <c r="I25" s="83">
        <f t="shared" si="2"/>
        <v>-1.7795265336468687E-2</v>
      </c>
      <c r="J25" s="83">
        <f t="shared" si="2"/>
        <v>-2.2297086872552864E-2</v>
      </c>
      <c r="K25" s="83">
        <f t="shared" si="2"/>
        <v>-2.6314720812574629E-2</v>
      </c>
      <c r="L25" s="83">
        <f t="shared" si="2"/>
        <v>-2.9752887380412516E-2</v>
      </c>
      <c r="M25" s="83">
        <f t="shared" si="2"/>
        <v>-3.2582806986921981E-2</v>
      </c>
      <c r="N25" s="83">
        <f t="shared" si="2"/>
        <v>-3.4907203657469271E-2</v>
      </c>
      <c r="O25" s="83">
        <f t="shared" si="2"/>
        <v>-3.6735667720334216E-2</v>
      </c>
      <c r="P25" s="83">
        <f t="shared" si="2"/>
        <v>-3.8557593610346184E-2</v>
      </c>
      <c r="Q25" s="83">
        <f t="shared" si="2"/>
        <v>-3.2010486988427983E-2</v>
      </c>
      <c r="R25" s="83">
        <f t="shared" si="2"/>
        <v>-3.0120619298316158E-2</v>
      </c>
      <c r="S25" s="83">
        <f t="shared" si="2"/>
        <v>-2.737299089782309E-2</v>
      </c>
      <c r="T25" s="83">
        <f t="shared" si="2"/>
        <v>-2.3874668209455201E-2</v>
      </c>
      <c r="U25" s="83">
        <f t="shared" si="2"/>
        <v>-2.0008151872479941E-2</v>
      </c>
      <c r="V25" s="83">
        <f>(V27-U27)/U27</f>
        <v>-1.6046919309383231E-2</v>
      </c>
      <c r="W25" s="83">
        <f t="shared" ref="W25:AB25" si="3">(W27-V27)/V27</f>
        <v>-1.1759662655011459E-2</v>
      </c>
      <c r="X25" s="83">
        <f t="shared" si="3"/>
        <v>-5.5704594781795739E-3</v>
      </c>
      <c r="Y25" s="83">
        <f t="shared" si="3"/>
        <v>-5.2658158746486982E-3</v>
      </c>
      <c r="Z25" s="83">
        <f t="shared" si="3"/>
        <v>-3.452742863946168E-3</v>
      </c>
      <c r="AA25" s="83">
        <f t="shared" si="3"/>
        <v>-2.1446154211939151E-3</v>
      </c>
      <c r="AB25" s="83">
        <f t="shared" si="3"/>
        <v>-2.3765479070422301E-3</v>
      </c>
    </row>
    <row r="26" spans="2:31" x14ac:dyDescent="0.2">
      <c r="B26" s="61" t="s">
        <v>293</v>
      </c>
      <c r="C26" s="62">
        <v>2024</v>
      </c>
      <c r="D26" s="62">
        <v>2025</v>
      </c>
      <c r="E26" s="62">
        <v>2026</v>
      </c>
      <c r="F26" s="62">
        <v>2027</v>
      </c>
      <c r="G26" s="62">
        <v>2028</v>
      </c>
      <c r="H26" s="62">
        <v>2029</v>
      </c>
      <c r="I26" s="62">
        <v>2030</v>
      </c>
      <c r="J26" s="62">
        <v>2031</v>
      </c>
      <c r="K26" s="62">
        <v>2032</v>
      </c>
      <c r="L26" s="62">
        <v>2033</v>
      </c>
      <c r="M26" s="62">
        <v>2034</v>
      </c>
      <c r="N26" s="62">
        <v>2035</v>
      </c>
      <c r="O26" s="62">
        <v>2036</v>
      </c>
      <c r="P26" s="62">
        <v>2037</v>
      </c>
      <c r="Q26" s="62">
        <v>2038</v>
      </c>
      <c r="R26" s="62">
        <v>2039</v>
      </c>
      <c r="S26" s="62">
        <v>2040</v>
      </c>
      <c r="T26" s="62">
        <v>2041</v>
      </c>
      <c r="U26" s="62">
        <v>2042</v>
      </c>
      <c r="V26" s="62">
        <v>2043</v>
      </c>
      <c r="W26" s="62">
        <v>2044</v>
      </c>
      <c r="X26" s="62">
        <v>2045</v>
      </c>
      <c r="Y26" s="62">
        <v>2046</v>
      </c>
      <c r="Z26" s="62">
        <v>2047</v>
      </c>
      <c r="AA26" s="62">
        <v>2048</v>
      </c>
      <c r="AB26" s="62">
        <v>2049</v>
      </c>
      <c r="AC26" s="62">
        <v>2050</v>
      </c>
    </row>
    <row r="27" spans="2:31" ht="15" x14ac:dyDescent="0.25">
      <c r="B27" s="57" t="s">
        <v>288</v>
      </c>
      <c r="C27" s="60">
        <v>826561.32834567048</v>
      </c>
      <c r="D27" s="60">
        <v>829251.95506719034</v>
      </c>
      <c r="E27" s="60">
        <v>829124.62517599179</v>
      </c>
      <c r="F27" s="60">
        <v>825721.24332887214</v>
      </c>
      <c r="G27" s="60">
        <v>818799.11145003687</v>
      </c>
      <c r="H27" s="60">
        <v>808130.402394315</v>
      </c>
      <c r="I27" s="60">
        <v>793749.50745724095</v>
      </c>
      <c r="J27" s="60">
        <v>776051.2057344208</v>
      </c>
      <c r="K27" s="60">
        <v>755629.6349192576</v>
      </c>
      <c r="L27" s="60">
        <v>733147.4714902027</v>
      </c>
      <c r="M27" s="60">
        <v>709259.46893368755</v>
      </c>
      <c r="N27" s="60">
        <v>684501.20420563081</v>
      </c>
      <c r="O27" s="60">
        <v>659355.59541376412</v>
      </c>
      <c r="P27" s="60">
        <v>633932.43032109237</v>
      </c>
      <c r="Q27" s="60">
        <v>613639.94450875651</v>
      </c>
      <c r="R27" s="60">
        <v>595156.7293539684</v>
      </c>
      <c r="S27" s="60">
        <v>578865.50961858407</v>
      </c>
      <c r="T27" s="60">
        <v>565045.28763854317</v>
      </c>
      <c r="U27" s="60">
        <v>553739.77570864209</v>
      </c>
      <c r="V27" s="60">
        <v>544853.95820944954</v>
      </c>
      <c r="W27" s="60">
        <v>538446.6594646587</v>
      </c>
      <c r="X27" s="60">
        <v>535447.26416694967</v>
      </c>
      <c r="Y27" s="60">
        <v>532627.69746326213</v>
      </c>
      <c r="Z27" s="60">
        <v>530788.67098170577</v>
      </c>
      <c r="AA27" s="60">
        <v>529650.33341252338</v>
      </c>
      <c r="AB27" s="60">
        <v>528391.59402118763</v>
      </c>
      <c r="AC27" s="60">
        <v>527813.75896903977</v>
      </c>
      <c r="AD27" s="59">
        <v>-0.36486314392686003</v>
      </c>
      <c r="AE27" s="59">
        <v>-0.50421851736360368</v>
      </c>
    </row>
    <row r="28" spans="2:31" ht="15" x14ac:dyDescent="0.25">
      <c r="B28" s="57" t="s">
        <v>289</v>
      </c>
      <c r="C28" s="60">
        <v>826561.32834567048</v>
      </c>
      <c r="D28" s="60">
        <v>829251.95506719034</v>
      </c>
      <c r="E28" s="60">
        <v>829124.62517599179</v>
      </c>
      <c r="F28" s="60">
        <v>825721.24332887214</v>
      </c>
      <c r="G28" s="60">
        <v>818799.11145003687</v>
      </c>
      <c r="H28" s="60">
        <v>808130.402394315</v>
      </c>
      <c r="I28" s="60">
        <v>793749.50745724095</v>
      </c>
      <c r="J28" s="60">
        <v>776051.2057344208</v>
      </c>
      <c r="K28" s="60">
        <v>755629.6349192576</v>
      </c>
      <c r="L28" s="60">
        <v>733147.4714902027</v>
      </c>
      <c r="M28" s="60">
        <v>709259.46893368755</v>
      </c>
      <c r="N28" s="60">
        <v>684501.20420563081</v>
      </c>
      <c r="O28" s="60">
        <v>659355.59541376412</v>
      </c>
      <c r="P28" s="60">
        <v>633932.43032109237</v>
      </c>
      <c r="Q28" s="60">
        <v>613639.94450875651</v>
      </c>
      <c r="R28" s="60">
        <v>595156.7293539684</v>
      </c>
      <c r="S28" s="60">
        <v>578865.50961858407</v>
      </c>
      <c r="T28" s="60">
        <v>565045.28763854317</v>
      </c>
      <c r="U28" s="60">
        <v>553739.77570864209</v>
      </c>
      <c r="V28" s="60">
        <v>544853.95820944966</v>
      </c>
      <c r="W28" s="60">
        <v>538446.6594646587</v>
      </c>
      <c r="X28" s="60">
        <v>535447.26416694967</v>
      </c>
      <c r="Y28" s="60">
        <v>532627.69746326213</v>
      </c>
      <c r="Z28" s="60">
        <v>530788.67098170577</v>
      </c>
      <c r="AA28" s="60">
        <v>529650.33341252338</v>
      </c>
      <c r="AB28" s="60">
        <v>528391.59402118763</v>
      </c>
      <c r="AC28" s="60">
        <v>527813.75896903977</v>
      </c>
      <c r="AD28" s="59"/>
    </row>
    <row r="29" spans="2:31" x14ac:dyDescent="0.2">
      <c r="B29" s="57" t="s">
        <v>290</v>
      </c>
      <c r="C29" s="60">
        <v>831023.66666666674</v>
      </c>
      <c r="D29" s="60">
        <v>840393</v>
      </c>
      <c r="E29" s="60">
        <v>849567.75</v>
      </c>
      <c r="F29" s="60">
        <v>858633.66666666651</v>
      </c>
      <c r="G29" s="60">
        <v>867813.83333333337</v>
      </c>
      <c r="H29" s="60">
        <v>877074.5</v>
      </c>
      <c r="I29" s="60">
        <v>886321.75000000012</v>
      </c>
      <c r="J29" s="60">
        <v>895573.66666666663</v>
      </c>
      <c r="K29" s="60">
        <v>904825.91666666663</v>
      </c>
      <c r="L29" s="60">
        <v>914017.16666666674</v>
      </c>
      <c r="M29" s="60">
        <v>923176</v>
      </c>
      <c r="N29" s="60">
        <v>932272.08333333349</v>
      </c>
      <c r="O29" s="60">
        <v>941303.41666666663</v>
      </c>
      <c r="P29" s="60">
        <v>950258.83333333337</v>
      </c>
      <c r="Q29" s="60">
        <v>959164.66666666686</v>
      </c>
      <c r="R29" s="60">
        <v>968016.08333333337</v>
      </c>
      <c r="S29" s="60">
        <v>976868.66666666674</v>
      </c>
      <c r="T29" s="60">
        <v>985778</v>
      </c>
      <c r="U29" s="60">
        <v>994680</v>
      </c>
      <c r="V29" s="60">
        <v>1003601.4166666667</v>
      </c>
      <c r="W29" s="60">
        <v>1012544.25</v>
      </c>
      <c r="X29" s="60">
        <v>1021476.5</v>
      </c>
      <c r="Y29" s="60">
        <v>1030361.5000000001</v>
      </c>
      <c r="Z29" s="60">
        <v>1039146.1666666666</v>
      </c>
      <c r="AA29" s="60">
        <v>1047807.0833333335</v>
      </c>
      <c r="AB29" s="60">
        <v>1056307.5</v>
      </c>
      <c r="AC29" s="60">
        <v>1064609.666666667</v>
      </c>
    </row>
    <row r="30" spans="2:31" x14ac:dyDescent="0.2">
      <c r="B30" s="57" t="s">
        <v>291</v>
      </c>
      <c r="C30" s="60">
        <v>830352.02412837499</v>
      </c>
      <c r="D30" s="60">
        <v>838689.59682494402</v>
      </c>
      <c r="E30" s="60">
        <v>846394.15938826115</v>
      </c>
      <c r="F30" s="60">
        <v>853435.69726549939</v>
      </c>
      <c r="G30" s="60">
        <v>859887.4131098974</v>
      </c>
      <c r="H30" s="60">
        <v>865650.23543917935</v>
      </c>
      <c r="I30" s="60">
        <v>870653.31371413637</v>
      </c>
      <c r="J30" s="60">
        <v>874956.59251470992</v>
      </c>
      <c r="K30" s="60">
        <v>878652.78277635714</v>
      </c>
      <c r="L30" s="60">
        <v>881840.68852988421</v>
      </c>
      <c r="M30" s="60">
        <v>884656.06531785894</v>
      </c>
      <c r="N30" s="60">
        <v>887202.46624595381</v>
      </c>
      <c r="O30" s="60">
        <v>889580.3900716647</v>
      </c>
      <c r="P30" s="60">
        <v>891833.96446956904</v>
      </c>
      <c r="Q30" s="60">
        <v>894005.87288144336</v>
      </c>
      <c r="R30" s="60">
        <v>896120.75032534625</v>
      </c>
      <c r="S30" s="60">
        <v>898209.26642021327</v>
      </c>
      <c r="T30" s="60">
        <v>900291.82852414367</v>
      </c>
      <c r="U30" s="60">
        <v>902358.16584283253</v>
      </c>
      <c r="V30" s="60">
        <v>904429.01016926556</v>
      </c>
      <c r="W30" s="60">
        <v>906504.8257445835</v>
      </c>
      <c r="X30" s="60">
        <v>908578.18471053033</v>
      </c>
      <c r="Y30" s="60">
        <v>910710.14207560895</v>
      </c>
      <c r="Z30" s="60">
        <v>913037.89214749832</v>
      </c>
      <c r="AA30" s="60">
        <v>915273.6047924473</v>
      </c>
      <c r="AB30" s="60">
        <v>917273.26929390489</v>
      </c>
      <c r="AC30" s="60">
        <v>919226.29684767441</v>
      </c>
    </row>
    <row r="31" spans="2:31" x14ac:dyDescent="0.2">
      <c r="B31" s="57" t="s">
        <v>285</v>
      </c>
      <c r="C31" s="60">
        <v>58064.450920371244</v>
      </c>
      <c r="D31" s="60">
        <v>58060.884053849819</v>
      </c>
      <c r="E31" s="60">
        <v>57941.850021313949</v>
      </c>
      <c r="F31" s="60">
        <v>57726.889025253717</v>
      </c>
      <c r="G31" s="60">
        <v>57401.037864013852</v>
      </c>
      <c r="H31" s="60">
        <v>56930.924533321675</v>
      </c>
      <c r="I31" s="60">
        <v>56277.2543684876</v>
      </c>
      <c r="J31" s="60">
        <v>55442.472651884484</v>
      </c>
      <c r="K31" s="60">
        <v>54429.607959447792</v>
      </c>
      <c r="L31" s="60">
        <v>53284.213746237197</v>
      </c>
      <c r="M31" s="60">
        <v>52028.498589122151</v>
      </c>
      <c r="N31" s="60">
        <v>50685.877549686913</v>
      </c>
      <c r="O31" s="60">
        <v>49289.628935485307</v>
      </c>
      <c r="P31" s="60">
        <v>47861.808874681934</v>
      </c>
      <c r="Q31" s="60">
        <v>46432.727447223187</v>
      </c>
      <c r="R31" s="60">
        <v>45003.320424122576</v>
      </c>
      <c r="S31" s="60">
        <v>43593.504062411404</v>
      </c>
      <c r="T31" s="60">
        <v>42202.574485668993</v>
      </c>
      <c r="U31" s="60">
        <v>40823.123737719638</v>
      </c>
      <c r="V31" s="60">
        <v>39455.142267417628</v>
      </c>
      <c r="W31" s="60">
        <v>38105.606276700215</v>
      </c>
      <c r="X31" s="60">
        <v>36780.158483981002</v>
      </c>
      <c r="Y31" s="60">
        <v>35473.81170606357</v>
      </c>
      <c r="Z31" s="60">
        <v>34229.550456530822</v>
      </c>
      <c r="AA31" s="60">
        <v>33039.999914355329</v>
      </c>
      <c r="AB31" s="60">
        <v>31910.074463931782</v>
      </c>
      <c r="AC31" s="60">
        <v>30855.297785924118</v>
      </c>
    </row>
    <row r="32" spans="2:31" x14ac:dyDescent="0.2">
      <c r="B32" s="57" t="s">
        <v>286</v>
      </c>
      <c r="C32" s="60">
        <v>2212.65</v>
      </c>
      <c r="D32" s="60">
        <v>2173.64</v>
      </c>
      <c r="E32" s="60">
        <v>2134</v>
      </c>
      <c r="F32" s="60">
        <v>2095.6800000000003</v>
      </c>
      <c r="G32" s="60">
        <v>2036.04</v>
      </c>
      <c r="H32" s="60">
        <v>1998.5700000000002</v>
      </c>
      <c r="I32" s="60">
        <v>1961.44</v>
      </c>
      <c r="J32" s="60">
        <v>1923.7400000000002</v>
      </c>
      <c r="K32" s="60">
        <v>1887.3</v>
      </c>
      <c r="L32" s="60">
        <v>1851.2</v>
      </c>
      <c r="M32" s="60">
        <v>1815.44</v>
      </c>
      <c r="N32" s="60">
        <v>1780.02</v>
      </c>
      <c r="O32" s="60">
        <v>1744.08</v>
      </c>
      <c r="P32" s="60">
        <v>1709.35</v>
      </c>
      <c r="Q32" s="60">
        <v>1674.96</v>
      </c>
      <c r="R32" s="60">
        <v>1640.9099999999999</v>
      </c>
      <c r="S32" s="60">
        <v>1607.1999999999998</v>
      </c>
      <c r="T32" s="60">
        <v>1573.02</v>
      </c>
      <c r="U32" s="60">
        <v>1540</v>
      </c>
      <c r="V32" s="60">
        <v>1507.3200000000002</v>
      </c>
      <c r="W32" s="60">
        <v>1456.0700000000002</v>
      </c>
      <c r="X32" s="60">
        <v>1424.24</v>
      </c>
      <c r="Y32" s="60">
        <v>1392</v>
      </c>
      <c r="Z32" s="60">
        <v>1360.86</v>
      </c>
      <c r="AA32" s="60">
        <v>1330.06</v>
      </c>
      <c r="AB32" s="60">
        <v>1299.5999999999999</v>
      </c>
      <c r="AC32" s="60">
        <v>1269.48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3"/>
  <sheetViews>
    <sheetView topLeftCell="I1" workbookViewId="0">
      <pane ySplit="2" topLeftCell="A3" activePane="bottomLeft" state="frozen"/>
      <selection pane="bottomLeft" activeCell="H10" sqref="H10:AA10"/>
    </sheetView>
  </sheetViews>
  <sheetFormatPr defaultRowHeight="15" x14ac:dyDescent="0.25"/>
  <cols>
    <col min="2" max="2" width="15.28515625" bestFit="1" customWidth="1"/>
    <col min="3" max="7" width="12.28515625" customWidth="1"/>
    <col min="8" max="8" width="14.28515625" bestFit="1" customWidth="1"/>
    <col min="9" max="12" width="14.5703125" bestFit="1" customWidth="1"/>
    <col min="13" max="27" width="12.5703125" bestFit="1" customWidth="1"/>
  </cols>
  <sheetData>
    <row r="2" spans="1:27" ht="15.75" thickBot="1" x14ac:dyDescent="0.3">
      <c r="H2" s="32">
        <v>1</v>
      </c>
      <c r="I2" s="32">
        <v>2</v>
      </c>
      <c r="J2" s="32">
        <v>3</v>
      </c>
      <c r="K2" s="32">
        <v>4</v>
      </c>
      <c r="L2" s="32">
        <v>5</v>
      </c>
      <c r="M2" s="32">
        <v>6</v>
      </c>
      <c r="N2" s="32">
        <v>7</v>
      </c>
      <c r="O2" s="32">
        <v>8</v>
      </c>
      <c r="P2" s="32">
        <v>9</v>
      </c>
      <c r="Q2" s="32">
        <v>10</v>
      </c>
      <c r="R2" s="32">
        <v>11</v>
      </c>
      <c r="S2" s="32">
        <v>12</v>
      </c>
      <c r="T2" s="32">
        <v>13</v>
      </c>
      <c r="U2" s="32">
        <v>14</v>
      </c>
      <c r="V2" s="32">
        <v>15</v>
      </c>
      <c r="W2" s="32">
        <v>16</v>
      </c>
      <c r="X2" s="32">
        <v>17</v>
      </c>
      <c r="Y2" s="32">
        <v>18</v>
      </c>
      <c r="Z2" s="32">
        <v>19</v>
      </c>
      <c r="AA2" s="32">
        <v>20</v>
      </c>
    </row>
    <row r="4" spans="1:27" ht="13.5" customHeight="1" x14ac:dyDescent="0.25"/>
    <row r="5" spans="1:27" ht="13.5" customHeight="1" x14ac:dyDescent="0.25"/>
    <row r="6" spans="1:27" ht="15.75" thickBot="1" x14ac:dyDescent="0.3">
      <c r="B6" s="13"/>
      <c r="C6" s="13">
        <v>2017</v>
      </c>
      <c r="D6" s="13">
        <v>2018</v>
      </c>
      <c r="E6" s="13">
        <v>2019</v>
      </c>
      <c r="F6" s="13">
        <v>2020</v>
      </c>
      <c r="G6" s="13">
        <v>2021</v>
      </c>
      <c r="H6" s="44">
        <v>2022</v>
      </c>
      <c r="I6" s="44">
        <v>2023</v>
      </c>
      <c r="J6" s="44">
        <v>2024</v>
      </c>
      <c r="K6" s="44">
        <v>2025</v>
      </c>
      <c r="L6" s="44">
        <v>2026</v>
      </c>
      <c r="M6" s="44">
        <v>2027</v>
      </c>
      <c r="N6" s="44">
        <v>2028</v>
      </c>
      <c r="O6" s="44">
        <v>2029</v>
      </c>
      <c r="P6" s="44">
        <v>2030</v>
      </c>
      <c r="Q6" s="44">
        <v>2031</v>
      </c>
      <c r="R6" s="44">
        <v>2032</v>
      </c>
      <c r="S6" s="44">
        <v>2033</v>
      </c>
      <c r="T6" s="44">
        <v>2034</v>
      </c>
      <c r="U6" s="44">
        <v>2035</v>
      </c>
      <c r="V6" s="44">
        <v>2036</v>
      </c>
      <c r="W6" s="44">
        <v>2037</v>
      </c>
      <c r="X6" s="44">
        <v>2038</v>
      </c>
      <c r="Y6" s="44">
        <v>2039</v>
      </c>
      <c r="Z6" s="44">
        <v>2040</v>
      </c>
      <c r="AA6" s="44">
        <v>2041</v>
      </c>
    </row>
    <row r="7" spans="1:27" x14ac:dyDescent="0.25">
      <c r="A7" s="86" t="s">
        <v>272</v>
      </c>
      <c r="B7" s="13" t="s">
        <v>273</v>
      </c>
      <c r="C7" s="45">
        <v>37584520</v>
      </c>
      <c r="D7" s="45">
        <v>42332284.850000001</v>
      </c>
      <c r="E7" s="45">
        <v>50924188.130000003</v>
      </c>
      <c r="F7" s="45">
        <v>56199634.120000005</v>
      </c>
      <c r="G7" s="45">
        <v>49960663</v>
      </c>
      <c r="H7" s="10">
        <v>58705189.524981186</v>
      </c>
      <c r="I7" s="10">
        <v>63000352.757813409</v>
      </c>
      <c r="J7" s="10">
        <v>67405756.556137875</v>
      </c>
      <c r="K7" s="10">
        <v>72153059.787750036</v>
      </c>
      <c r="L7" s="10">
        <v>77188059.008091986</v>
      </c>
      <c r="M7" s="18">
        <f t="shared" ref="M7:AA11" si="0">L7*(1+$B$33)</f>
        <v>78152909.745693132</v>
      </c>
      <c r="N7" s="18">
        <f t="shared" si="0"/>
        <v>79129821.117514297</v>
      </c>
      <c r="O7" s="18">
        <f t="shared" si="0"/>
        <v>80118943.881483227</v>
      </c>
      <c r="P7" s="18">
        <f t="shared" si="0"/>
        <v>81120430.680001765</v>
      </c>
      <c r="Q7" s="18">
        <f t="shared" si="0"/>
        <v>82134436.06350179</v>
      </c>
      <c r="R7" s="18">
        <f t="shared" si="0"/>
        <v>83161116.514295563</v>
      </c>
      <c r="S7" s="18">
        <f t="shared" si="0"/>
        <v>84200630.470724255</v>
      </c>
      <c r="T7" s="18">
        <f t="shared" si="0"/>
        <v>85253138.351608306</v>
      </c>
      <c r="U7" s="18">
        <f t="shared" si="0"/>
        <v>86318802.581003413</v>
      </c>
      <c r="V7" s="18">
        <f t="shared" si="0"/>
        <v>87397787.613265947</v>
      </c>
      <c r="W7" s="18">
        <f t="shared" si="0"/>
        <v>88490259.958431765</v>
      </c>
      <c r="X7" s="18">
        <f t="shared" si="0"/>
        <v>89596388.207912162</v>
      </c>
      <c r="Y7" s="18">
        <f t="shared" si="0"/>
        <v>90716343.060511053</v>
      </c>
      <c r="Z7" s="18">
        <f t="shared" si="0"/>
        <v>91850297.34876743</v>
      </c>
      <c r="AA7" s="18">
        <f t="shared" si="0"/>
        <v>92998426.065627024</v>
      </c>
    </row>
    <row r="8" spans="1:27" x14ac:dyDescent="0.25">
      <c r="A8" s="87"/>
      <c r="B8" s="13" t="s">
        <v>274</v>
      </c>
      <c r="C8" s="45">
        <v>19130367.32</v>
      </c>
      <c r="D8" s="45">
        <v>24163738.500000004</v>
      </c>
      <c r="E8" s="45">
        <v>19630151.899999999</v>
      </c>
      <c r="F8" s="45">
        <v>26654890.66</v>
      </c>
      <c r="G8" s="45">
        <v>46166562</v>
      </c>
      <c r="H8" s="10">
        <v>47532989.972189754</v>
      </c>
      <c r="I8" s="10">
        <v>53530434.688335925</v>
      </c>
      <c r="J8" s="10">
        <v>56245803.605536379</v>
      </c>
      <c r="K8" s="10">
        <v>58700425.795782514</v>
      </c>
      <c r="L8" s="10">
        <v>61702396.146284752</v>
      </c>
      <c r="M8" s="18">
        <f t="shared" si="0"/>
        <v>62473676.098113306</v>
      </c>
      <c r="N8" s="18">
        <f t="shared" si="0"/>
        <v>63254597.049339719</v>
      </c>
      <c r="O8" s="18">
        <f t="shared" si="0"/>
        <v>64045279.512456462</v>
      </c>
      <c r="P8" s="18">
        <f t="shared" si="0"/>
        <v>64845845.506362163</v>
      </c>
      <c r="Q8" s="18">
        <f t="shared" si="0"/>
        <v>65656418.575191684</v>
      </c>
      <c r="R8" s="18">
        <f t="shared" si="0"/>
        <v>66477123.807381578</v>
      </c>
      <c r="S8" s="18">
        <f t="shared" si="0"/>
        <v>67308087.854973838</v>
      </c>
      <c r="T8" s="18">
        <f t="shared" si="0"/>
        <v>68149438.953161001</v>
      </c>
      <c r="U8" s="18">
        <f t="shared" si="0"/>
        <v>69001306.940075517</v>
      </c>
      <c r="V8" s="18">
        <f t="shared" si="0"/>
        <v>69863823.276826456</v>
      </c>
      <c r="W8" s="18">
        <f t="shared" si="0"/>
        <v>70737121.067786783</v>
      </c>
      <c r="X8" s="18">
        <f t="shared" si="0"/>
        <v>71621335.081134111</v>
      </c>
      <c r="Y8" s="18">
        <f t="shared" si="0"/>
        <v>72516601.769648284</v>
      </c>
      <c r="Z8" s="18">
        <f t="shared" si="0"/>
        <v>73423059.291768879</v>
      </c>
      <c r="AA8" s="18">
        <f t="shared" si="0"/>
        <v>74340847.53291598</v>
      </c>
    </row>
    <row r="9" spans="1:27" x14ac:dyDescent="0.25">
      <c r="A9" s="87"/>
      <c r="B9" s="13" t="s">
        <v>275</v>
      </c>
      <c r="C9" s="45">
        <v>28253.39</v>
      </c>
      <c r="D9" s="45">
        <v>2642896.2600000002</v>
      </c>
      <c r="E9" s="45">
        <v>6757264.4900000002</v>
      </c>
      <c r="F9" s="45">
        <v>4895622.62</v>
      </c>
      <c r="G9" s="45">
        <v>5348408</v>
      </c>
      <c r="H9" s="10">
        <v>5022286.8464709828</v>
      </c>
      <c r="I9" s="10">
        <v>5337534.6371835275</v>
      </c>
      <c r="J9" s="10">
        <v>5658905.1637320677</v>
      </c>
      <c r="K9" s="10">
        <v>6007942.832484426</v>
      </c>
      <c r="L9" s="10">
        <v>6379342.6301411875</v>
      </c>
      <c r="M9" s="18">
        <f t="shared" si="0"/>
        <v>6459084.4130179519</v>
      </c>
      <c r="N9" s="18">
        <f t="shared" si="0"/>
        <v>6539822.968180676</v>
      </c>
      <c r="O9" s="18">
        <f t="shared" si="0"/>
        <v>6621570.7552829338</v>
      </c>
      <c r="P9" s="18">
        <f t="shared" si="0"/>
        <v>6704340.3897239706</v>
      </c>
      <c r="Q9" s="18">
        <f t="shared" si="0"/>
        <v>6788144.6445955196</v>
      </c>
      <c r="R9" s="18">
        <f t="shared" si="0"/>
        <v>6872996.4526529629</v>
      </c>
      <c r="S9" s="18">
        <f t="shared" si="0"/>
        <v>6958908.9083111249</v>
      </c>
      <c r="T9" s="18">
        <f t="shared" si="0"/>
        <v>7045895.269665014</v>
      </c>
      <c r="U9" s="18">
        <f t="shared" si="0"/>
        <v>7133968.9605358262</v>
      </c>
      <c r="V9" s="18">
        <f t="shared" si="0"/>
        <v>7223143.572542524</v>
      </c>
      <c r="W9" s="18">
        <f t="shared" si="0"/>
        <v>7313432.8671993054</v>
      </c>
      <c r="X9" s="18">
        <f t="shared" si="0"/>
        <v>7404850.7780392962</v>
      </c>
      <c r="Y9" s="18">
        <f t="shared" si="0"/>
        <v>7497411.4127647867</v>
      </c>
      <c r="Z9" s="18">
        <f t="shared" si="0"/>
        <v>7591129.0554243466</v>
      </c>
      <c r="AA9" s="18">
        <f t="shared" si="0"/>
        <v>7686018.1686171507</v>
      </c>
    </row>
    <row r="10" spans="1:27" x14ac:dyDescent="0.25">
      <c r="A10" s="87"/>
      <c r="B10" s="13" t="s">
        <v>276</v>
      </c>
      <c r="C10" s="45">
        <v>87202489.250000015</v>
      </c>
      <c r="D10" s="45">
        <v>101292941.97</v>
      </c>
      <c r="E10" s="45">
        <v>107348773.81999999</v>
      </c>
      <c r="F10" s="45">
        <v>115037928.48</v>
      </c>
      <c r="G10" s="45">
        <v>115680262</v>
      </c>
      <c r="H10" s="52">
        <v>120133127.00027549</v>
      </c>
      <c r="I10" s="46" t="e">
        <f>H10*(1+$B$33)*('Customer summary'!#REF!+1)</f>
        <v>#REF!</v>
      </c>
      <c r="J10" s="46" t="e">
        <f>I10*(1+$B$33)*('Customer summary'!#REF!+1)</f>
        <v>#REF!</v>
      </c>
      <c r="K10" s="46" t="e">
        <f>J10*(1+$B$33)*('Customer summary'!#REF!+1)</f>
        <v>#REF!</v>
      </c>
      <c r="L10" s="46" t="e">
        <f>K10*(1+$B$33)*('Customer summary'!#REF!+1)</f>
        <v>#REF!</v>
      </c>
      <c r="M10" s="46" t="e">
        <f>L10*(1+$B$33)*('Customer summary'!#REF!+1)</f>
        <v>#REF!</v>
      </c>
      <c r="N10" s="46" t="e">
        <f>M10*(1+$B$33)*('Customer summary'!#REF!+1)</f>
        <v>#REF!</v>
      </c>
      <c r="O10" s="46" t="e">
        <f>N10*(1+$B$33)*('Customer summary'!#REF!+1)</f>
        <v>#REF!</v>
      </c>
      <c r="P10" s="46" t="e">
        <f>O10*(1+$B$33)*('Customer summary'!#REF!+1)</f>
        <v>#REF!</v>
      </c>
      <c r="Q10" s="46" t="e">
        <f>P10*(1+$B$33)*('Customer summary'!#REF!+1)</f>
        <v>#REF!</v>
      </c>
      <c r="R10" s="46" t="e">
        <f>Q10*(1+$B$33)*('Customer summary'!#REF!+1)</f>
        <v>#REF!</v>
      </c>
      <c r="S10" s="46" t="e">
        <f>R10*(1+$B$33)*('Customer summary'!#REF!+1)</f>
        <v>#REF!</v>
      </c>
      <c r="T10" s="46" t="e">
        <f>S10*(1+$B$33)*('Customer summary'!#REF!+1)</f>
        <v>#REF!</v>
      </c>
      <c r="U10" s="46" t="e">
        <f>T10*(1+$B$33)*('Customer summary'!#REF!+1)</f>
        <v>#REF!</v>
      </c>
      <c r="V10" s="46" t="e">
        <f>U10*(1+$B$33)*('Customer summary'!#REF!+1)</f>
        <v>#REF!</v>
      </c>
      <c r="W10" s="46" t="e">
        <f>V10*(1+$B$33)*('Customer summary'!#REF!+1)</f>
        <v>#REF!</v>
      </c>
      <c r="X10" s="46" t="e">
        <f>W10*(1+$B$33)*('Customer summary'!#REF!+1)</f>
        <v>#REF!</v>
      </c>
      <c r="Y10" s="46" t="e">
        <f>X10*(1+$B$33)*('Customer summary'!#REF!+1)</f>
        <v>#REF!</v>
      </c>
      <c r="Z10" s="46" t="e">
        <f>Y10*(1+$B$33)*('Customer summary'!#REF!+1)</f>
        <v>#REF!</v>
      </c>
      <c r="AA10" s="46" t="e">
        <f>Z10*(1+$B$33)*('Customer summary'!#REF!+1)</f>
        <v>#REF!</v>
      </c>
    </row>
    <row r="11" spans="1:27" ht="15.75" thickBot="1" x14ac:dyDescent="0.3">
      <c r="A11" s="88"/>
      <c r="B11" s="13" t="s">
        <v>277</v>
      </c>
      <c r="C11" s="45">
        <v>10726452.660000002</v>
      </c>
      <c r="D11" s="45">
        <v>21756778.609999992</v>
      </c>
      <c r="E11" s="45">
        <v>21765023.400000006</v>
      </c>
      <c r="F11" s="45">
        <v>29377587.77</v>
      </c>
      <c r="G11" s="45">
        <v>14677554</v>
      </c>
      <c r="H11" s="10">
        <v>18677004.218864609</v>
      </c>
      <c r="I11" s="10">
        <v>21656312.448902041</v>
      </c>
      <c r="J11" s="10">
        <v>21238067.462960795</v>
      </c>
      <c r="K11" s="10">
        <v>20293039.938173883</v>
      </c>
      <c r="L11" s="10">
        <v>19659493.017493635</v>
      </c>
      <c r="M11" s="18">
        <f t="shared" si="0"/>
        <v>19905236.680212304</v>
      </c>
      <c r="N11" s="18">
        <f t="shared" si="0"/>
        <v>20154052.138714958</v>
      </c>
      <c r="O11" s="18">
        <f t="shared" si="0"/>
        <v>20405977.790448893</v>
      </c>
      <c r="P11" s="18">
        <f t="shared" si="0"/>
        <v>20661052.512829505</v>
      </c>
      <c r="Q11" s="18">
        <f t="shared" si="0"/>
        <v>20919315.669239871</v>
      </c>
      <c r="R11" s="18">
        <f t="shared" si="0"/>
        <v>21180807.115105368</v>
      </c>
      <c r="S11" s="18">
        <f t="shared" si="0"/>
        <v>21445567.204044186</v>
      </c>
      <c r="T11" s="18">
        <f t="shared" si="0"/>
        <v>21713636.794094738</v>
      </c>
      <c r="U11" s="18">
        <f t="shared" si="0"/>
        <v>21985057.254020922</v>
      </c>
      <c r="V11" s="18">
        <f t="shared" si="0"/>
        <v>22259870.469696183</v>
      </c>
      <c r="W11" s="18">
        <f t="shared" si="0"/>
        <v>22538118.850567386</v>
      </c>
      <c r="X11" s="18">
        <f t="shared" si="0"/>
        <v>22819845.336199477</v>
      </c>
      <c r="Y11" s="18">
        <f t="shared" si="0"/>
        <v>23105093.40290197</v>
      </c>
      <c r="Z11" s="18">
        <f t="shared" si="0"/>
        <v>23393907.070438243</v>
      </c>
      <c r="AA11" s="18">
        <f t="shared" si="0"/>
        <v>23686330.908818722</v>
      </c>
    </row>
    <row r="12" spans="1:27" x14ac:dyDescent="0.25">
      <c r="B12" s="13"/>
      <c r="C12" s="47">
        <f>SUM(C7:C11)</f>
        <v>154672082.62</v>
      </c>
      <c r="D12" s="47">
        <f t="shared" ref="D12:AA12" si="1">SUM(D7:D11)</f>
        <v>192188640.19</v>
      </c>
      <c r="E12" s="47">
        <f t="shared" si="1"/>
        <v>206425401.73999998</v>
      </c>
      <c r="F12" s="47">
        <f t="shared" si="1"/>
        <v>232165663.65000001</v>
      </c>
      <c r="G12" s="48">
        <f t="shared" si="1"/>
        <v>231833449</v>
      </c>
      <c r="H12" s="48">
        <f t="shared" si="1"/>
        <v>250070597.56278205</v>
      </c>
      <c r="I12" s="48" t="e">
        <f t="shared" si="1"/>
        <v>#REF!</v>
      </c>
      <c r="J12" s="48" t="e">
        <f t="shared" si="1"/>
        <v>#REF!</v>
      </c>
      <c r="K12" s="48" t="e">
        <f t="shared" si="1"/>
        <v>#REF!</v>
      </c>
      <c r="L12" s="48" t="e">
        <f t="shared" si="1"/>
        <v>#REF!</v>
      </c>
      <c r="M12" s="48" t="e">
        <f t="shared" si="1"/>
        <v>#REF!</v>
      </c>
      <c r="N12" s="48" t="e">
        <f t="shared" si="1"/>
        <v>#REF!</v>
      </c>
      <c r="O12" s="48" t="e">
        <f t="shared" si="1"/>
        <v>#REF!</v>
      </c>
      <c r="P12" s="48" t="e">
        <f t="shared" si="1"/>
        <v>#REF!</v>
      </c>
      <c r="Q12" s="48" t="e">
        <f t="shared" si="1"/>
        <v>#REF!</v>
      </c>
      <c r="R12" s="48" t="e">
        <f t="shared" si="1"/>
        <v>#REF!</v>
      </c>
      <c r="S12" s="48" t="e">
        <f t="shared" si="1"/>
        <v>#REF!</v>
      </c>
      <c r="T12" s="48" t="e">
        <f t="shared" si="1"/>
        <v>#REF!</v>
      </c>
      <c r="U12" s="48" t="e">
        <f t="shared" si="1"/>
        <v>#REF!</v>
      </c>
      <c r="V12" s="48" t="e">
        <f t="shared" si="1"/>
        <v>#REF!</v>
      </c>
      <c r="W12" s="48" t="e">
        <f t="shared" si="1"/>
        <v>#REF!</v>
      </c>
      <c r="X12" s="48" t="e">
        <f t="shared" si="1"/>
        <v>#REF!</v>
      </c>
      <c r="Y12" s="48" t="e">
        <f t="shared" si="1"/>
        <v>#REF!</v>
      </c>
      <c r="Z12" s="48" t="e">
        <f t="shared" si="1"/>
        <v>#REF!</v>
      </c>
      <c r="AA12" s="48" t="e">
        <f t="shared" si="1"/>
        <v>#REF!</v>
      </c>
    </row>
    <row r="13" spans="1:27" x14ac:dyDescent="0.25">
      <c r="B13" s="13"/>
      <c r="C13" s="13"/>
      <c r="D13" s="13"/>
      <c r="E13" s="13"/>
      <c r="F13" s="13"/>
      <c r="G13" s="13"/>
    </row>
    <row r="14" spans="1:27" x14ac:dyDescent="0.25">
      <c r="B14" s="13"/>
      <c r="C14" s="13"/>
      <c r="D14" s="13"/>
      <c r="E14" s="13"/>
      <c r="F14" s="13"/>
      <c r="G14" s="13"/>
    </row>
    <row r="15" spans="1:27" ht="15.75" thickBot="1" x14ac:dyDescent="0.3">
      <c r="B15" s="13"/>
      <c r="C15" s="13">
        <v>2017</v>
      </c>
      <c r="D15" s="13">
        <v>2018</v>
      </c>
      <c r="E15" s="13">
        <v>2019</v>
      </c>
      <c r="F15" s="13">
        <v>2020</v>
      </c>
      <c r="G15" s="13">
        <v>2021</v>
      </c>
      <c r="H15" s="44">
        <v>2022</v>
      </c>
      <c r="I15" s="44">
        <v>2023</v>
      </c>
      <c r="J15" s="44">
        <v>2024</v>
      </c>
      <c r="K15" s="44">
        <v>2025</v>
      </c>
      <c r="L15" s="44">
        <v>2026</v>
      </c>
      <c r="M15" s="44">
        <v>2027</v>
      </c>
      <c r="N15" s="44">
        <v>2028</v>
      </c>
      <c r="O15" s="44">
        <v>2029</v>
      </c>
      <c r="P15" s="44">
        <v>2030</v>
      </c>
      <c r="Q15" s="44">
        <v>2031</v>
      </c>
      <c r="R15" s="44">
        <v>2032</v>
      </c>
      <c r="S15" s="44">
        <v>2033</v>
      </c>
      <c r="T15" s="44">
        <v>2034</v>
      </c>
      <c r="U15" s="44">
        <v>2035</v>
      </c>
      <c r="V15" s="44">
        <v>2036</v>
      </c>
      <c r="W15" s="44">
        <v>2037</v>
      </c>
      <c r="X15" s="44">
        <v>2038</v>
      </c>
      <c r="Y15" s="44">
        <v>2039</v>
      </c>
      <c r="Z15" s="44">
        <v>2040</v>
      </c>
      <c r="AA15" s="44">
        <v>2041</v>
      </c>
    </row>
    <row r="16" spans="1:27" x14ac:dyDescent="0.25">
      <c r="A16" s="86" t="s">
        <v>278</v>
      </c>
      <c r="B16" s="13" t="s">
        <v>273</v>
      </c>
      <c r="C16" s="45">
        <f>C7</f>
        <v>37584520</v>
      </c>
      <c r="D16" s="45">
        <f t="shared" ref="D16:G16" si="2">D7</f>
        <v>42332284.850000001</v>
      </c>
      <c r="E16" s="45">
        <f t="shared" si="2"/>
        <v>50924188.130000003</v>
      </c>
      <c r="F16" s="45">
        <f t="shared" si="2"/>
        <v>56199634.120000005</v>
      </c>
      <c r="G16" s="45">
        <f t="shared" si="2"/>
        <v>49960663</v>
      </c>
      <c r="H16" s="10">
        <v>58705189.524981186</v>
      </c>
      <c r="I16" s="10">
        <v>63000352.757813409</v>
      </c>
      <c r="J16" s="10">
        <v>67405756.556137875</v>
      </c>
      <c r="K16" s="10">
        <v>72153059.787750036</v>
      </c>
      <c r="L16" s="10">
        <v>77188059.008091986</v>
      </c>
      <c r="M16" s="18">
        <f t="shared" ref="M16:AA18" si="3">L16*(1+$B$33)</f>
        <v>78152909.745693132</v>
      </c>
      <c r="N16" s="18">
        <f t="shared" si="3"/>
        <v>79129821.117514297</v>
      </c>
      <c r="O16" s="18">
        <f t="shared" si="3"/>
        <v>80118943.881483227</v>
      </c>
      <c r="P16" s="18">
        <f t="shared" si="3"/>
        <v>81120430.680001765</v>
      </c>
      <c r="Q16" s="18">
        <f t="shared" si="3"/>
        <v>82134436.06350179</v>
      </c>
      <c r="R16" s="18">
        <f t="shared" si="3"/>
        <v>83161116.514295563</v>
      </c>
      <c r="S16" s="18">
        <f t="shared" si="3"/>
        <v>84200630.470724255</v>
      </c>
      <c r="T16" s="18">
        <f t="shared" si="3"/>
        <v>85253138.351608306</v>
      </c>
      <c r="U16" s="18">
        <f t="shared" si="3"/>
        <v>86318802.581003413</v>
      </c>
      <c r="V16" s="18">
        <f t="shared" si="3"/>
        <v>87397787.613265947</v>
      </c>
      <c r="W16" s="18">
        <f t="shared" si="3"/>
        <v>88490259.958431765</v>
      </c>
      <c r="X16" s="18">
        <f t="shared" si="3"/>
        <v>89596388.207912162</v>
      </c>
      <c r="Y16" s="18">
        <f t="shared" si="3"/>
        <v>90716343.060511053</v>
      </c>
      <c r="Z16" s="18">
        <f t="shared" si="3"/>
        <v>91850297.34876743</v>
      </c>
      <c r="AA16" s="18">
        <f t="shared" si="3"/>
        <v>92998426.065627024</v>
      </c>
    </row>
    <row r="17" spans="1:27" x14ac:dyDescent="0.25">
      <c r="A17" s="87"/>
      <c r="B17" s="13" t="s">
        <v>274</v>
      </c>
      <c r="C17" s="45">
        <f t="shared" ref="C17:G20" si="4">C8</f>
        <v>19130367.32</v>
      </c>
      <c r="D17" s="45">
        <f t="shared" si="4"/>
        <v>24163738.500000004</v>
      </c>
      <c r="E17" s="45">
        <f t="shared" si="4"/>
        <v>19630151.899999999</v>
      </c>
      <c r="F17" s="45">
        <f t="shared" si="4"/>
        <v>26654890.66</v>
      </c>
      <c r="G17" s="45">
        <f t="shared" si="4"/>
        <v>46166562</v>
      </c>
      <c r="H17" s="10">
        <v>47532989.972189754</v>
      </c>
      <c r="I17" s="10">
        <v>53530434.688335925</v>
      </c>
      <c r="J17" s="10">
        <v>56245803.605536379</v>
      </c>
      <c r="K17" s="10">
        <v>58700425.795782514</v>
      </c>
      <c r="L17" s="10">
        <v>61702396.146284752</v>
      </c>
      <c r="M17" s="18">
        <f t="shared" si="3"/>
        <v>62473676.098113306</v>
      </c>
      <c r="N17" s="18">
        <f t="shared" si="3"/>
        <v>63254597.049339719</v>
      </c>
      <c r="O17" s="18">
        <f t="shared" si="3"/>
        <v>64045279.512456462</v>
      </c>
      <c r="P17" s="18">
        <f t="shared" si="3"/>
        <v>64845845.506362163</v>
      </c>
      <c r="Q17" s="18">
        <f t="shared" si="3"/>
        <v>65656418.575191684</v>
      </c>
      <c r="R17" s="18">
        <f t="shared" si="3"/>
        <v>66477123.807381578</v>
      </c>
      <c r="S17" s="18">
        <f t="shared" si="3"/>
        <v>67308087.854973838</v>
      </c>
      <c r="T17" s="18">
        <f t="shared" si="3"/>
        <v>68149438.953161001</v>
      </c>
      <c r="U17" s="18">
        <f t="shared" si="3"/>
        <v>69001306.940075517</v>
      </c>
      <c r="V17" s="18">
        <f t="shared" si="3"/>
        <v>69863823.276826456</v>
      </c>
      <c r="W17" s="18">
        <f t="shared" si="3"/>
        <v>70737121.067786783</v>
      </c>
      <c r="X17" s="18">
        <f t="shared" si="3"/>
        <v>71621335.081134111</v>
      </c>
      <c r="Y17" s="18">
        <f t="shared" si="3"/>
        <v>72516601.769648284</v>
      </c>
      <c r="Z17" s="18">
        <f t="shared" si="3"/>
        <v>73423059.291768879</v>
      </c>
      <c r="AA17" s="18">
        <f t="shared" si="3"/>
        <v>74340847.53291598</v>
      </c>
    </row>
    <row r="18" spans="1:27" x14ac:dyDescent="0.25">
      <c r="A18" s="87"/>
      <c r="B18" s="13" t="s">
        <v>275</v>
      </c>
      <c r="C18" s="45">
        <f t="shared" si="4"/>
        <v>28253.39</v>
      </c>
      <c r="D18" s="45">
        <f t="shared" si="4"/>
        <v>2642896.2600000002</v>
      </c>
      <c r="E18" s="45">
        <f t="shared" si="4"/>
        <v>6757264.4900000002</v>
      </c>
      <c r="F18" s="45">
        <f t="shared" si="4"/>
        <v>4895622.62</v>
      </c>
      <c r="G18" s="45">
        <f t="shared" si="4"/>
        <v>5348408</v>
      </c>
      <c r="H18" s="10">
        <v>5022286.8464709828</v>
      </c>
      <c r="I18" s="10">
        <v>5337534.6371835275</v>
      </c>
      <c r="J18" s="10">
        <v>5658905.1637320677</v>
      </c>
      <c r="K18" s="10">
        <v>6007942.832484426</v>
      </c>
      <c r="L18" s="10">
        <v>6379342.6301411875</v>
      </c>
      <c r="M18" s="18">
        <f t="shared" si="3"/>
        <v>6459084.4130179519</v>
      </c>
      <c r="N18" s="18">
        <f t="shared" si="3"/>
        <v>6539822.968180676</v>
      </c>
      <c r="O18" s="18">
        <f t="shared" si="3"/>
        <v>6621570.7552829338</v>
      </c>
      <c r="P18" s="18">
        <f t="shared" si="3"/>
        <v>6704340.3897239706</v>
      </c>
      <c r="Q18" s="18">
        <f t="shared" si="3"/>
        <v>6788144.6445955196</v>
      </c>
      <c r="R18" s="18">
        <f t="shared" si="3"/>
        <v>6872996.4526529629</v>
      </c>
      <c r="S18" s="18">
        <f t="shared" si="3"/>
        <v>6958908.9083111249</v>
      </c>
      <c r="T18" s="18">
        <f t="shared" si="3"/>
        <v>7045895.269665014</v>
      </c>
      <c r="U18" s="18">
        <f t="shared" si="3"/>
        <v>7133968.9605358262</v>
      </c>
      <c r="V18" s="18">
        <f t="shared" si="3"/>
        <v>7223143.572542524</v>
      </c>
      <c r="W18" s="18">
        <f t="shared" si="3"/>
        <v>7313432.8671993054</v>
      </c>
      <c r="X18" s="18">
        <f t="shared" si="3"/>
        <v>7404850.7780392962</v>
      </c>
      <c r="Y18" s="18">
        <f t="shared" si="3"/>
        <v>7497411.4127647867</v>
      </c>
      <c r="Z18" s="18">
        <f t="shared" si="3"/>
        <v>7591129.0554243466</v>
      </c>
      <c r="AA18" s="18">
        <f t="shared" si="3"/>
        <v>7686018.1686171507</v>
      </c>
    </row>
    <row r="19" spans="1:27" x14ac:dyDescent="0.25">
      <c r="A19" s="87"/>
      <c r="B19" s="13" t="s">
        <v>276</v>
      </c>
      <c r="C19" s="45">
        <f t="shared" si="4"/>
        <v>87202489.250000015</v>
      </c>
      <c r="D19" s="45">
        <f t="shared" si="4"/>
        <v>101292941.97</v>
      </c>
      <c r="E19" s="45">
        <f t="shared" si="4"/>
        <v>107348773.81999999</v>
      </c>
      <c r="F19" s="45">
        <f t="shared" si="4"/>
        <v>115037928.48</v>
      </c>
      <c r="G19" s="45">
        <f t="shared" si="4"/>
        <v>115680262</v>
      </c>
      <c r="H19" s="52">
        <v>120133127.00027549</v>
      </c>
      <c r="I19" s="46" t="e">
        <f>H19*(1+$B$33)*('Customer summary'!#REF!+1)</f>
        <v>#REF!</v>
      </c>
      <c r="J19" s="46" t="e">
        <f>I19*(1+$B$33)*('Customer summary'!#REF!+1)</f>
        <v>#REF!</v>
      </c>
      <c r="K19" s="37" t="e">
        <f>J19*(1+$B$33)*$B$34</f>
        <v>#REF!</v>
      </c>
      <c r="L19" s="37" t="e">
        <f>K19*(1+$B$33)</f>
        <v>#REF!</v>
      </c>
      <c r="M19" s="38" t="e">
        <f>L19*(1+$B$33)*(1-$B$35)</f>
        <v>#REF!</v>
      </c>
      <c r="N19" s="38" t="e">
        <f t="shared" ref="N19:AA19" si="5">M19*(1+$B$33)*(1-$B$35)</f>
        <v>#REF!</v>
      </c>
      <c r="O19" s="38" t="e">
        <f t="shared" si="5"/>
        <v>#REF!</v>
      </c>
      <c r="P19" s="38" t="e">
        <f t="shared" si="5"/>
        <v>#REF!</v>
      </c>
      <c r="Q19" s="38" t="e">
        <f t="shared" si="5"/>
        <v>#REF!</v>
      </c>
      <c r="R19" s="38" t="e">
        <f t="shared" si="5"/>
        <v>#REF!</v>
      </c>
      <c r="S19" s="38" t="e">
        <f t="shared" si="5"/>
        <v>#REF!</v>
      </c>
      <c r="T19" s="38" t="e">
        <f t="shared" si="5"/>
        <v>#REF!</v>
      </c>
      <c r="U19" s="38" t="e">
        <f t="shared" si="5"/>
        <v>#REF!</v>
      </c>
      <c r="V19" s="38" t="e">
        <f t="shared" si="5"/>
        <v>#REF!</v>
      </c>
      <c r="W19" s="38" t="e">
        <f t="shared" si="5"/>
        <v>#REF!</v>
      </c>
      <c r="X19" s="38" t="e">
        <f t="shared" si="5"/>
        <v>#REF!</v>
      </c>
      <c r="Y19" s="38" t="e">
        <f t="shared" si="5"/>
        <v>#REF!</v>
      </c>
      <c r="Z19" s="38" t="e">
        <f t="shared" si="5"/>
        <v>#REF!</v>
      </c>
      <c r="AA19" s="38" t="e">
        <f t="shared" si="5"/>
        <v>#REF!</v>
      </c>
    </row>
    <row r="20" spans="1:27" ht="15.75" thickBot="1" x14ac:dyDescent="0.3">
      <c r="A20" s="88"/>
      <c r="B20" s="13" t="s">
        <v>277</v>
      </c>
      <c r="C20" s="45">
        <f t="shared" si="4"/>
        <v>10726452.660000002</v>
      </c>
      <c r="D20" s="45">
        <f t="shared" si="4"/>
        <v>21756778.609999992</v>
      </c>
      <c r="E20" s="45">
        <f t="shared" si="4"/>
        <v>21765023.400000006</v>
      </c>
      <c r="F20" s="45">
        <f t="shared" si="4"/>
        <v>29377587.77</v>
      </c>
      <c r="G20" s="45">
        <f t="shared" si="4"/>
        <v>14677554</v>
      </c>
      <c r="H20" s="10">
        <v>18677004.218864609</v>
      </c>
      <c r="I20" s="10">
        <v>21656312.448902041</v>
      </c>
      <c r="J20" s="10">
        <v>21238067.462960795</v>
      </c>
      <c r="K20" s="10">
        <v>20293039.938173883</v>
      </c>
      <c r="L20" s="10">
        <v>19659493.017493635</v>
      </c>
      <c r="M20" s="18">
        <f t="shared" ref="M20:AA20" si="6">L20*(1+$B$33)</f>
        <v>19905236.680212304</v>
      </c>
      <c r="N20" s="18">
        <f t="shared" si="6"/>
        <v>20154052.138714958</v>
      </c>
      <c r="O20" s="18">
        <f t="shared" si="6"/>
        <v>20405977.790448893</v>
      </c>
      <c r="P20" s="18">
        <f t="shared" si="6"/>
        <v>20661052.512829505</v>
      </c>
      <c r="Q20" s="18">
        <f t="shared" si="6"/>
        <v>20919315.669239871</v>
      </c>
      <c r="R20" s="18">
        <f t="shared" si="6"/>
        <v>21180807.115105368</v>
      </c>
      <c r="S20" s="18">
        <f t="shared" si="6"/>
        <v>21445567.204044186</v>
      </c>
      <c r="T20" s="18">
        <f t="shared" si="6"/>
        <v>21713636.794094738</v>
      </c>
      <c r="U20" s="18">
        <f t="shared" si="6"/>
        <v>21985057.254020922</v>
      </c>
      <c r="V20" s="18">
        <f t="shared" si="6"/>
        <v>22259870.469696183</v>
      </c>
      <c r="W20" s="18">
        <f t="shared" si="6"/>
        <v>22538118.850567386</v>
      </c>
      <c r="X20" s="18">
        <f t="shared" si="6"/>
        <v>22819845.336199477</v>
      </c>
      <c r="Y20" s="18">
        <f t="shared" si="6"/>
        <v>23105093.40290197</v>
      </c>
      <c r="Z20" s="18">
        <f t="shared" si="6"/>
        <v>23393907.070438243</v>
      </c>
      <c r="AA20" s="18">
        <f t="shared" si="6"/>
        <v>23686330.908818722</v>
      </c>
    </row>
    <row r="21" spans="1:27" x14ac:dyDescent="0.25">
      <c r="B21" s="13"/>
      <c r="C21" s="47">
        <f>SUM(C16:C20)</f>
        <v>154672082.62</v>
      </c>
      <c r="D21" s="47">
        <f t="shared" ref="D21:AA21" si="7">SUM(D16:D20)</f>
        <v>192188640.19</v>
      </c>
      <c r="E21" s="47">
        <f t="shared" si="7"/>
        <v>206425401.73999998</v>
      </c>
      <c r="F21" s="47">
        <f t="shared" si="7"/>
        <v>232165663.65000001</v>
      </c>
      <c r="G21" s="48">
        <f t="shared" si="7"/>
        <v>231833449</v>
      </c>
      <c r="H21" s="48">
        <f t="shared" si="7"/>
        <v>250070597.56278205</v>
      </c>
      <c r="I21" s="48" t="e">
        <f t="shared" si="7"/>
        <v>#REF!</v>
      </c>
      <c r="J21" s="48" t="e">
        <f t="shared" si="7"/>
        <v>#REF!</v>
      </c>
      <c r="K21" s="48" t="e">
        <f t="shared" si="7"/>
        <v>#REF!</v>
      </c>
      <c r="L21" s="48" t="e">
        <f t="shared" si="7"/>
        <v>#REF!</v>
      </c>
      <c r="M21" s="48" t="e">
        <f t="shared" si="7"/>
        <v>#REF!</v>
      </c>
      <c r="N21" s="48" t="e">
        <f t="shared" si="7"/>
        <v>#REF!</v>
      </c>
      <c r="O21" s="48" t="e">
        <f t="shared" si="7"/>
        <v>#REF!</v>
      </c>
      <c r="P21" s="48" t="e">
        <f t="shared" si="7"/>
        <v>#REF!</v>
      </c>
      <c r="Q21" s="48" t="e">
        <f t="shared" si="7"/>
        <v>#REF!</v>
      </c>
      <c r="R21" s="48" t="e">
        <f t="shared" si="7"/>
        <v>#REF!</v>
      </c>
      <c r="S21" s="48" t="e">
        <f t="shared" si="7"/>
        <v>#REF!</v>
      </c>
      <c r="T21" s="48" t="e">
        <f t="shared" si="7"/>
        <v>#REF!</v>
      </c>
      <c r="U21" s="48" t="e">
        <f t="shared" si="7"/>
        <v>#REF!</v>
      </c>
      <c r="V21" s="48" t="e">
        <f t="shared" si="7"/>
        <v>#REF!</v>
      </c>
      <c r="W21" s="48" t="e">
        <f t="shared" si="7"/>
        <v>#REF!</v>
      </c>
      <c r="X21" s="48" t="e">
        <f t="shared" si="7"/>
        <v>#REF!</v>
      </c>
      <c r="Y21" s="48" t="e">
        <f t="shared" si="7"/>
        <v>#REF!</v>
      </c>
      <c r="Z21" s="48" t="e">
        <f t="shared" si="7"/>
        <v>#REF!</v>
      </c>
      <c r="AA21" s="48" t="e">
        <f t="shared" si="7"/>
        <v>#REF!</v>
      </c>
    </row>
    <row r="22" spans="1:27" x14ac:dyDescent="0.25">
      <c r="B22" s="13"/>
      <c r="C22" s="13"/>
      <c r="D22" s="13"/>
      <c r="E22" s="13"/>
      <c r="F22" s="13"/>
      <c r="G22" s="13"/>
    </row>
    <row r="23" spans="1:27" x14ac:dyDescent="0.25">
      <c r="B23" s="13"/>
      <c r="C23" s="13"/>
      <c r="D23" s="13"/>
      <c r="E23" s="13"/>
      <c r="F23" s="13"/>
      <c r="G23" s="13"/>
    </row>
    <row r="24" spans="1:27" ht="15.75" thickBot="1" x14ac:dyDescent="0.3">
      <c r="B24" s="13"/>
      <c r="C24" s="13">
        <v>2017</v>
      </c>
      <c r="D24" s="13">
        <v>2018</v>
      </c>
      <c r="E24" s="13">
        <v>2019</v>
      </c>
      <c r="F24" s="13">
        <v>2020</v>
      </c>
      <c r="G24" s="13">
        <v>2021</v>
      </c>
      <c r="H24" s="44">
        <v>2022</v>
      </c>
      <c r="I24" s="44">
        <v>2023</v>
      </c>
      <c r="J24" s="44">
        <v>2024</v>
      </c>
      <c r="K24" s="44">
        <v>2025</v>
      </c>
      <c r="L24" s="44">
        <v>2026</v>
      </c>
      <c r="M24" s="44">
        <v>2027</v>
      </c>
      <c r="N24" s="44">
        <v>2028</v>
      </c>
      <c r="O24" s="44">
        <v>2029</v>
      </c>
      <c r="P24" s="44">
        <v>2030</v>
      </c>
      <c r="Q24" s="44">
        <v>2031</v>
      </c>
      <c r="R24" s="44">
        <v>2032</v>
      </c>
      <c r="S24" s="44">
        <v>2033</v>
      </c>
      <c r="T24" s="44">
        <v>2034</v>
      </c>
      <c r="U24" s="44">
        <v>2035</v>
      </c>
      <c r="V24" s="44">
        <v>2036</v>
      </c>
      <c r="W24" s="44">
        <v>2037</v>
      </c>
      <c r="X24" s="44">
        <v>2038</v>
      </c>
      <c r="Y24" s="44">
        <v>2039</v>
      </c>
      <c r="Z24" s="44">
        <v>2040</v>
      </c>
      <c r="AA24" s="44">
        <v>2041</v>
      </c>
    </row>
    <row r="25" spans="1:27" x14ac:dyDescent="0.25">
      <c r="A25" s="86" t="s">
        <v>279</v>
      </c>
      <c r="B25" s="13" t="s">
        <v>273</v>
      </c>
      <c r="C25" s="45">
        <f>C16</f>
        <v>37584520</v>
      </c>
      <c r="D25" s="45">
        <f t="shared" ref="D25:G25" si="8">D16</f>
        <v>42332284.850000001</v>
      </c>
      <c r="E25" s="45">
        <f t="shared" si="8"/>
        <v>50924188.130000003</v>
      </c>
      <c r="F25" s="45">
        <f t="shared" si="8"/>
        <v>56199634.120000005</v>
      </c>
      <c r="G25" s="45">
        <f t="shared" si="8"/>
        <v>49960663</v>
      </c>
      <c r="H25" s="10">
        <v>58705189.524981186</v>
      </c>
      <c r="I25" s="10">
        <v>63000352.757813409</v>
      </c>
      <c r="J25" s="10">
        <v>67405756.556137875</v>
      </c>
      <c r="K25" s="10">
        <v>72153059.787750036</v>
      </c>
      <c r="L25" s="10">
        <v>77188059.008091986</v>
      </c>
      <c r="M25" s="18">
        <f>L25*(1+$B$33)</f>
        <v>78152909.745693132</v>
      </c>
      <c r="N25" s="18">
        <f t="shared" ref="N25:AA25" si="9">M25*(1+$B$33)</f>
        <v>79129821.117514297</v>
      </c>
      <c r="O25" s="18">
        <f t="shared" si="9"/>
        <v>80118943.881483227</v>
      </c>
      <c r="P25" s="18">
        <f t="shared" si="9"/>
        <v>81120430.680001765</v>
      </c>
      <c r="Q25" s="18">
        <f t="shared" si="9"/>
        <v>82134436.06350179</v>
      </c>
      <c r="R25" s="18">
        <f t="shared" si="9"/>
        <v>83161116.514295563</v>
      </c>
      <c r="S25" s="18">
        <f t="shared" si="9"/>
        <v>84200630.470724255</v>
      </c>
      <c r="T25" s="18">
        <f t="shared" si="9"/>
        <v>85253138.351608306</v>
      </c>
      <c r="U25" s="18">
        <f t="shared" si="9"/>
        <v>86318802.581003413</v>
      </c>
      <c r="V25" s="18">
        <f t="shared" si="9"/>
        <v>87397787.613265947</v>
      </c>
      <c r="W25" s="18">
        <f t="shared" si="9"/>
        <v>88490259.958431765</v>
      </c>
      <c r="X25" s="18">
        <f t="shared" si="9"/>
        <v>89596388.207912162</v>
      </c>
      <c r="Y25" s="18">
        <f t="shared" si="9"/>
        <v>90716343.060511053</v>
      </c>
      <c r="Z25" s="18">
        <f t="shared" si="9"/>
        <v>91850297.34876743</v>
      </c>
      <c r="AA25" s="18">
        <f t="shared" si="9"/>
        <v>92998426.065627024</v>
      </c>
    </row>
    <row r="26" spans="1:27" x14ac:dyDescent="0.25">
      <c r="A26" s="87"/>
      <c r="B26" s="13" t="s">
        <v>274</v>
      </c>
      <c r="C26" s="45">
        <f t="shared" ref="C26:G29" si="10">C17</f>
        <v>19130367.32</v>
      </c>
      <c r="D26" s="45">
        <f t="shared" si="10"/>
        <v>24163738.500000004</v>
      </c>
      <c r="E26" s="45">
        <f t="shared" si="10"/>
        <v>19630151.899999999</v>
      </c>
      <c r="F26" s="45">
        <f t="shared" si="10"/>
        <v>26654890.66</v>
      </c>
      <c r="G26" s="45">
        <f t="shared" si="10"/>
        <v>46166562</v>
      </c>
      <c r="H26" s="10">
        <v>47532989.972189754</v>
      </c>
      <c r="I26" s="10">
        <v>53530434.688335925</v>
      </c>
      <c r="J26" s="10">
        <v>56245803.605536379</v>
      </c>
      <c r="K26" s="10">
        <v>58700425.795782514</v>
      </c>
      <c r="L26" s="10">
        <v>61702396.146284752</v>
      </c>
      <c r="M26" s="18">
        <f t="shared" ref="M26:AA28" si="11">L26*(1+$B$33)</f>
        <v>62473676.098113306</v>
      </c>
      <c r="N26" s="18">
        <f t="shared" si="11"/>
        <v>63254597.049339719</v>
      </c>
      <c r="O26" s="18">
        <f t="shared" si="11"/>
        <v>64045279.512456462</v>
      </c>
      <c r="P26" s="18">
        <f t="shared" si="11"/>
        <v>64845845.506362163</v>
      </c>
      <c r="Q26" s="18">
        <f t="shared" si="11"/>
        <v>65656418.575191684</v>
      </c>
      <c r="R26" s="18">
        <f t="shared" si="11"/>
        <v>66477123.807381578</v>
      </c>
      <c r="S26" s="18">
        <f t="shared" si="11"/>
        <v>67308087.854973838</v>
      </c>
      <c r="T26" s="18">
        <f t="shared" si="11"/>
        <v>68149438.953161001</v>
      </c>
      <c r="U26" s="18">
        <f t="shared" si="11"/>
        <v>69001306.940075517</v>
      </c>
      <c r="V26" s="18">
        <f t="shared" si="11"/>
        <v>69863823.276826456</v>
      </c>
      <c r="W26" s="18">
        <f t="shared" si="11"/>
        <v>70737121.067786783</v>
      </c>
      <c r="X26" s="18">
        <f t="shared" si="11"/>
        <v>71621335.081134111</v>
      </c>
      <c r="Y26" s="18">
        <f t="shared" si="11"/>
        <v>72516601.769648284</v>
      </c>
      <c r="Z26" s="18">
        <f t="shared" si="11"/>
        <v>73423059.291768879</v>
      </c>
      <c r="AA26" s="18">
        <f t="shared" si="11"/>
        <v>74340847.53291598</v>
      </c>
    </row>
    <row r="27" spans="1:27" x14ac:dyDescent="0.25">
      <c r="A27" s="87"/>
      <c r="B27" s="13" t="s">
        <v>275</v>
      </c>
      <c r="C27" s="45">
        <f t="shared" si="10"/>
        <v>28253.39</v>
      </c>
      <c r="D27" s="45">
        <f t="shared" si="10"/>
        <v>2642896.2600000002</v>
      </c>
      <c r="E27" s="45">
        <f t="shared" si="10"/>
        <v>6757264.4900000002</v>
      </c>
      <c r="F27" s="45">
        <f t="shared" si="10"/>
        <v>4895622.62</v>
      </c>
      <c r="G27" s="45">
        <f t="shared" si="10"/>
        <v>5348408</v>
      </c>
      <c r="H27" s="10">
        <v>5022286.8464709828</v>
      </c>
      <c r="I27" s="10">
        <v>5337534.6371835275</v>
      </c>
      <c r="J27" s="10">
        <v>5658905.1637320677</v>
      </c>
      <c r="K27" s="10">
        <v>6007942.832484426</v>
      </c>
      <c r="L27" s="10">
        <v>6379342.6301411875</v>
      </c>
      <c r="M27" s="18">
        <f t="shared" si="11"/>
        <v>6459084.4130179519</v>
      </c>
      <c r="N27" s="18">
        <f t="shared" si="11"/>
        <v>6539822.968180676</v>
      </c>
      <c r="O27" s="18">
        <f t="shared" si="11"/>
        <v>6621570.7552829338</v>
      </c>
      <c r="P27" s="18">
        <f t="shared" si="11"/>
        <v>6704340.3897239706</v>
      </c>
      <c r="Q27" s="18">
        <f t="shared" si="11"/>
        <v>6788144.6445955196</v>
      </c>
      <c r="R27" s="18">
        <f t="shared" si="11"/>
        <v>6872996.4526529629</v>
      </c>
      <c r="S27" s="18">
        <f t="shared" si="11"/>
        <v>6958908.9083111249</v>
      </c>
      <c r="T27" s="18">
        <f t="shared" si="11"/>
        <v>7045895.269665014</v>
      </c>
      <c r="U27" s="18">
        <f t="shared" si="11"/>
        <v>7133968.9605358262</v>
      </c>
      <c r="V27" s="18">
        <f t="shared" si="11"/>
        <v>7223143.572542524</v>
      </c>
      <c r="W27" s="18">
        <f t="shared" si="11"/>
        <v>7313432.8671993054</v>
      </c>
      <c r="X27" s="18">
        <f t="shared" si="11"/>
        <v>7404850.7780392962</v>
      </c>
      <c r="Y27" s="18">
        <f t="shared" si="11"/>
        <v>7497411.4127647867</v>
      </c>
      <c r="Z27" s="18">
        <f t="shared" si="11"/>
        <v>7591129.0554243466</v>
      </c>
      <c r="AA27" s="18">
        <f t="shared" si="11"/>
        <v>7686018.1686171507</v>
      </c>
    </row>
    <row r="28" spans="1:27" x14ac:dyDescent="0.25">
      <c r="A28" s="87"/>
      <c r="B28" s="13" t="s">
        <v>276</v>
      </c>
      <c r="C28" s="45">
        <f t="shared" si="10"/>
        <v>87202489.250000015</v>
      </c>
      <c r="D28" s="45">
        <f t="shared" si="10"/>
        <v>101292941.97</v>
      </c>
      <c r="E28" s="45">
        <f t="shared" si="10"/>
        <v>107348773.81999999</v>
      </c>
      <c r="F28" s="45">
        <f t="shared" si="10"/>
        <v>115037928.48</v>
      </c>
      <c r="G28" s="45">
        <f t="shared" si="10"/>
        <v>115680262</v>
      </c>
      <c r="H28" s="52">
        <v>120133127.00027549</v>
      </c>
      <c r="I28" s="46" t="e">
        <f>H28*(1+$B$33)*('Customer summary'!#REF!+1)</f>
        <v>#REF!</v>
      </c>
      <c r="J28" s="46" t="e">
        <f>I28*(1+$B$33)*('Customer summary'!#REF!+1)</f>
        <v>#REF!</v>
      </c>
      <c r="K28" s="46" t="e">
        <f t="shared" ref="K28:R28" si="12">(J28*(1+$B$33))-$B$37</f>
        <v>#REF!</v>
      </c>
      <c r="L28" s="46" t="e">
        <f t="shared" si="12"/>
        <v>#REF!</v>
      </c>
      <c r="M28" s="46" t="e">
        <f t="shared" si="12"/>
        <v>#REF!</v>
      </c>
      <c r="N28" s="46" t="e">
        <f t="shared" si="12"/>
        <v>#REF!</v>
      </c>
      <c r="O28" s="46" t="e">
        <f t="shared" si="12"/>
        <v>#REF!</v>
      </c>
      <c r="P28" s="46" t="e">
        <f t="shared" si="12"/>
        <v>#REF!</v>
      </c>
      <c r="Q28" s="46" t="e">
        <f t="shared" si="12"/>
        <v>#REF!</v>
      </c>
      <c r="R28" s="46" t="e">
        <f t="shared" si="12"/>
        <v>#REF!</v>
      </c>
      <c r="S28" s="37" t="e">
        <f t="shared" si="11"/>
        <v>#REF!</v>
      </c>
      <c r="T28" s="37" t="e">
        <f t="shared" si="11"/>
        <v>#REF!</v>
      </c>
      <c r="U28" s="37" t="e">
        <f t="shared" si="11"/>
        <v>#REF!</v>
      </c>
      <c r="V28" s="37" t="e">
        <f t="shared" si="11"/>
        <v>#REF!</v>
      </c>
      <c r="W28" s="37" t="e">
        <f t="shared" si="11"/>
        <v>#REF!</v>
      </c>
      <c r="X28" s="37" t="e">
        <f t="shared" si="11"/>
        <v>#REF!</v>
      </c>
      <c r="Y28" s="37" t="e">
        <f t="shared" si="11"/>
        <v>#REF!</v>
      </c>
      <c r="Z28" s="37" t="e">
        <f t="shared" si="11"/>
        <v>#REF!</v>
      </c>
      <c r="AA28" s="37" t="e">
        <f t="shared" si="11"/>
        <v>#REF!</v>
      </c>
    </row>
    <row r="29" spans="1:27" ht="15.75" thickBot="1" x14ac:dyDescent="0.3">
      <c r="A29" s="88"/>
      <c r="B29" s="13" t="s">
        <v>277</v>
      </c>
      <c r="C29" s="45">
        <f t="shared" si="10"/>
        <v>10726452.660000002</v>
      </c>
      <c r="D29" s="45">
        <f t="shared" si="10"/>
        <v>21756778.609999992</v>
      </c>
      <c r="E29" s="45">
        <f t="shared" si="10"/>
        <v>21765023.400000006</v>
      </c>
      <c r="F29" s="45">
        <f t="shared" si="10"/>
        <v>29377587.77</v>
      </c>
      <c r="G29" s="45">
        <f t="shared" si="10"/>
        <v>14677554</v>
      </c>
      <c r="H29" s="10">
        <v>18677004.218864609</v>
      </c>
      <c r="I29" s="10">
        <v>21656312.448902041</v>
      </c>
      <c r="J29" s="10">
        <v>21238067.462960795</v>
      </c>
      <c r="K29" s="10">
        <v>20293039.938173883</v>
      </c>
      <c r="L29" s="10">
        <v>19659493.017493635</v>
      </c>
      <c r="M29" s="18">
        <f t="shared" ref="M29:AA29" si="13">L29*(1+$B$33)</f>
        <v>19905236.680212304</v>
      </c>
      <c r="N29" s="18">
        <f t="shared" si="13"/>
        <v>20154052.138714958</v>
      </c>
      <c r="O29" s="18">
        <f t="shared" si="13"/>
        <v>20405977.790448893</v>
      </c>
      <c r="P29" s="18">
        <f t="shared" si="13"/>
        <v>20661052.512829505</v>
      </c>
      <c r="Q29" s="18">
        <f t="shared" si="13"/>
        <v>20919315.669239871</v>
      </c>
      <c r="R29" s="18">
        <f t="shared" si="13"/>
        <v>21180807.115105368</v>
      </c>
      <c r="S29" s="18">
        <f t="shared" si="13"/>
        <v>21445567.204044186</v>
      </c>
      <c r="T29" s="18">
        <f t="shared" si="13"/>
        <v>21713636.794094738</v>
      </c>
      <c r="U29" s="18">
        <f t="shared" si="13"/>
        <v>21985057.254020922</v>
      </c>
      <c r="V29" s="18">
        <f t="shared" si="13"/>
        <v>22259870.469696183</v>
      </c>
      <c r="W29" s="18">
        <f t="shared" si="13"/>
        <v>22538118.850567386</v>
      </c>
      <c r="X29" s="18">
        <f t="shared" si="13"/>
        <v>22819845.336199477</v>
      </c>
      <c r="Y29" s="18">
        <f t="shared" si="13"/>
        <v>23105093.40290197</v>
      </c>
      <c r="Z29" s="18">
        <f t="shared" si="13"/>
        <v>23393907.070438243</v>
      </c>
      <c r="AA29" s="18">
        <f t="shared" si="13"/>
        <v>23686330.908818722</v>
      </c>
    </row>
    <row r="30" spans="1:27" x14ac:dyDescent="0.25">
      <c r="B30" s="13"/>
      <c r="C30" s="47">
        <f>SUM(C25:C29)</f>
        <v>154672082.62</v>
      </c>
      <c r="D30" s="47">
        <f t="shared" ref="D30:AA30" si="14">SUM(D25:D29)</f>
        <v>192188640.19</v>
      </c>
      <c r="E30" s="47">
        <f t="shared" si="14"/>
        <v>206425401.73999998</v>
      </c>
      <c r="F30" s="47">
        <f t="shared" si="14"/>
        <v>232165663.65000001</v>
      </c>
      <c r="G30" s="48">
        <f t="shared" si="14"/>
        <v>231833449</v>
      </c>
      <c r="H30" s="48">
        <f t="shared" si="14"/>
        <v>250070597.56278205</v>
      </c>
      <c r="I30" s="48" t="e">
        <f t="shared" si="14"/>
        <v>#REF!</v>
      </c>
      <c r="J30" s="48" t="e">
        <f t="shared" si="14"/>
        <v>#REF!</v>
      </c>
      <c r="K30" s="48" t="e">
        <f t="shared" si="14"/>
        <v>#REF!</v>
      </c>
      <c r="L30" s="48" t="e">
        <f t="shared" si="14"/>
        <v>#REF!</v>
      </c>
      <c r="M30" s="48" t="e">
        <f t="shared" si="14"/>
        <v>#REF!</v>
      </c>
      <c r="N30" s="48" t="e">
        <f t="shared" si="14"/>
        <v>#REF!</v>
      </c>
      <c r="O30" s="48" t="e">
        <f t="shared" si="14"/>
        <v>#REF!</v>
      </c>
      <c r="P30" s="48" t="e">
        <f t="shared" si="14"/>
        <v>#REF!</v>
      </c>
      <c r="Q30" s="48" t="e">
        <f t="shared" si="14"/>
        <v>#REF!</v>
      </c>
      <c r="R30" s="48" t="e">
        <f t="shared" si="14"/>
        <v>#REF!</v>
      </c>
      <c r="S30" s="48" t="e">
        <f t="shared" si="14"/>
        <v>#REF!</v>
      </c>
      <c r="T30" s="48" t="e">
        <f t="shared" si="14"/>
        <v>#REF!</v>
      </c>
      <c r="U30" s="48" t="e">
        <f t="shared" si="14"/>
        <v>#REF!</v>
      </c>
      <c r="V30" s="48" t="e">
        <f t="shared" si="14"/>
        <v>#REF!</v>
      </c>
      <c r="W30" s="48" t="e">
        <f t="shared" si="14"/>
        <v>#REF!</v>
      </c>
      <c r="X30" s="48" t="e">
        <f t="shared" si="14"/>
        <v>#REF!</v>
      </c>
      <c r="Y30" s="48" t="e">
        <f t="shared" si="14"/>
        <v>#REF!</v>
      </c>
      <c r="Z30" s="48" t="e">
        <f t="shared" si="14"/>
        <v>#REF!</v>
      </c>
      <c r="AA30" s="48" t="e">
        <f t="shared" si="14"/>
        <v>#REF!</v>
      </c>
    </row>
    <row r="33" spans="2:3" x14ac:dyDescent="0.25">
      <c r="B33" s="39">
        <v>1.2500000000000001E-2</v>
      </c>
      <c r="C33" t="s">
        <v>263</v>
      </c>
    </row>
    <row r="34" spans="2:3" x14ac:dyDescent="0.25">
      <c r="B34" s="40">
        <v>0.5</v>
      </c>
      <c r="C34" t="s">
        <v>264</v>
      </c>
    </row>
    <row r="35" spans="2:3" x14ac:dyDescent="0.25">
      <c r="B35" s="40">
        <f>40%/15</f>
        <v>2.6666666666666668E-2</v>
      </c>
      <c r="C35" t="s">
        <v>265</v>
      </c>
    </row>
    <row r="36" spans="2:3" x14ac:dyDescent="0.25">
      <c r="B36" s="40">
        <v>0.1</v>
      </c>
      <c r="C36" t="s">
        <v>266</v>
      </c>
    </row>
    <row r="37" spans="2:3" x14ac:dyDescent="0.25">
      <c r="B37" s="43">
        <v>14000000</v>
      </c>
      <c r="C37" t="s">
        <v>271</v>
      </c>
    </row>
    <row r="38" spans="2:3" x14ac:dyDescent="0.25">
      <c r="B38" s="10"/>
    </row>
    <row r="39" spans="2:3" x14ac:dyDescent="0.25">
      <c r="B39" s="9"/>
      <c r="C39" s="10"/>
    </row>
    <row r="41" spans="2:3" x14ac:dyDescent="0.25">
      <c r="B41" s="41" t="s">
        <v>267</v>
      </c>
    </row>
    <row r="42" spans="2:3" x14ac:dyDescent="0.25">
      <c r="B42" s="41" t="s">
        <v>268</v>
      </c>
    </row>
    <row r="43" spans="2:3" x14ac:dyDescent="0.25">
      <c r="B43" s="41" t="s">
        <v>269</v>
      </c>
    </row>
  </sheetData>
  <mergeCells count="3">
    <mergeCell ref="A7:A11"/>
    <mergeCell ref="A16:A20"/>
    <mergeCell ref="A25:A29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A29" sqref="A29:XFD29"/>
    </sheetView>
  </sheetViews>
  <sheetFormatPr defaultRowHeight="15" x14ac:dyDescent="0.25"/>
  <cols>
    <col min="2" max="2" width="56.7109375" bestFit="1" customWidth="1"/>
    <col min="3" max="3" width="16.28515625" bestFit="1" customWidth="1"/>
    <col min="4" max="8" width="15.28515625" bestFit="1" customWidth="1"/>
    <col min="9" max="22" width="16.28515625" bestFit="1" customWidth="1"/>
  </cols>
  <sheetData>
    <row r="1" spans="1:22" s="1" customFormat="1" x14ac:dyDescent="0.25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s="1" customFormat="1" x14ac:dyDescent="0.25">
      <c r="A2" s="1" t="s">
        <v>252</v>
      </c>
      <c r="B2" s="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1" customFormat="1" x14ac:dyDescent="0.25">
      <c r="A3" s="1" t="s">
        <v>252</v>
      </c>
      <c r="B3" s="1" t="s">
        <v>22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</row>
    <row r="4" spans="1:22" s="1" customFormat="1" x14ac:dyDescent="0.25">
      <c r="A4" s="1" t="s">
        <v>252</v>
      </c>
      <c r="B4" s="1" t="s">
        <v>23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</row>
    <row r="5" spans="1:22" s="1" customFormat="1" x14ac:dyDescent="0.25">
      <c r="A5" s="1" t="s">
        <v>230</v>
      </c>
      <c r="B5" s="1" t="s">
        <v>24</v>
      </c>
      <c r="C5" s="2">
        <v>1197800</v>
      </c>
      <c r="D5" s="2">
        <v>1233734</v>
      </c>
      <c r="E5" s="2">
        <v>1270746</v>
      </c>
      <c r="F5" s="2">
        <v>1308868</v>
      </c>
      <c r="G5" s="2">
        <v>1348134</v>
      </c>
      <c r="H5" s="2">
        <v>4068553.8180149999</v>
      </c>
      <c r="I5" s="2">
        <v>3468268</v>
      </c>
      <c r="J5" s="2">
        <v>3404620.4656919739</v>
      </c>
      <c r="K5" s="2">
        <v>3506759.0796627328</v>
      </c>
      <c r="L5" s="2">
        <v>5895314.9237537924</v>
      </c>
      <c r="M5" s="2">
        <v>3720320.7076141932</v>
      </c>
      <c r="N5" s="2">
        <v>3831930.328842619</v>
      </c>
      <c r="O5" s="2">
        <v>3946888.2387078977</v>
      </c>
      <c r="P5" s="2">
        <v>4065294.8858691347</v>
      </c>
      <c r="Q5" s="2">
        <v>4187253.7324452088</v>
      </c>
      <c r="R5" s="2">
        <v>4312871.3444185648</v>
      </c>
      <c r="S5" s="2">
        <v>4442257.4847511221</v>
      </c>
      <c r="T5" s="2">
        <v>4575525.2092936561</v>
      </c>
      <c r="U5" s="2">
        <v>4712790.9655724661</v>
      </c>
      <c r="V5" s="2">
        <v>4854174.6945396401</v>
      </c>
    </row>
    <row r="6" spans="1:22" s="1" customFormat="1" x14ac:dyDescent="0.25">
      <c r="A6" s="1" t="s">
        <v>232</v>
      </c>
      <c r="B6" s="1" t="s">
        <v>25</v>
      </c>
      <c r="C6" s="2">
        <v>82827977</v>
      </c>
      <c r="D6" s="2">
        <v>88535698</v>
      </c>
      <c r="E6" s="2">
        <v>89576957</v>
      </c>
      <c r="F6" s="2">
        <v>90465997</v>
      </c>
      <c r="G6" s="2">
        <v>91960330</v>
      </c>
      <c r="H6" s="2">
        <v>95950488.718699992</v>
      </c>
      <c r="I6" s="2">
        <v>100113780.42420436</v>
      </c>
      <c r="J6" s="2">
        <v>104457717.35681058</v>
      </c>
      <c r="K6" s="2">
        <v>108990137.71292259</v>
      </c>
      <c r="L6" s="2">
        <v>113719219.7882863</v>
      </c>
      <c r="M6" s="2">
        <v>118653496.73490003</v>
      </c>
      <c r="N6" s="2">
        <v>123801871.95822732</v>
      </c>
      <c r="O6" s="2">
        <v>129173635.18249479</v>
      </c>
      <c r="P6" s="2">
        <v>134778479.21306324</v>
      </c>
      <c r="Q6" s="2">
        <v>140626517.42611802</v>
      </c>
      <c r="R6" s="2">
        <v>146728302.01723728</v>
      </c>
      <c r="S6" s="2">
        <v>153094843.04176521</v>
      </c>
      <c r="T6" s="2">
        <v>159737628.28134739</v>
      </c>
      <c r="U6" s="2">
        <v>166668643.97247505</v>
      </c>
      <c r="V6" s="2">
        <v>173900396.43444073</v>
      </c>
    </row>
    <row r="7" spans="1:22" s="1" customFormat="1" x14ac:dyDescent="0.25">
      <c r="A7" s="1" t="s">
        <v>232</v>
      </c>
      <c r="B7" s="1" t="s">
        <v>26</v>
      </c>
      <c r="C7" s="2">
        <v>-1506100</v>
      </c>
      <c r="D7" s="2">
        <v>-1548400</v>
      </c>
      <c r="E7" s="2">
        <v>-3005100</v>
      </c>
      <c r="F7" s="2">
        <v>-3005100</v>
      </c>
      <c r="G7" s="2">
        <v>-3090366.1146333334</v>
      </c>
      <c r="H7" s="2">
        <v>-6848282.9612699989</v>
      </c>
      <c r="I7" s="2">
        <v>-7145429.9589595031</v>
      </c>
      <c r="J7" s="2">
        <v>-7455470.1648787558</v>
      </c>
      <c r="K7" s="2">
        <v>-7778963.015332845</v>
      </c>
      <c r="L7" s="2">
        <v>-8116492.2205681372</v>
      </c>
      <c r="M7" s="2">
        <v>-8468666.8180185873</v>
      </c>
      <c r="N7" s="2">
        <v>-8836122.2712524142</v>
      </c>
      <c r="O7" s="2">
        <v>-9219521.6166020557</v>
      </c>
      <c r="P7" s="2">
        <v>-9619556.6595464181</v>
      </c>
      <c r="Q7" s="2">
        <v>-10036949.223004136</v>
      </c>
      <c r="R7" s="2">
        <v>-10472452.449790284</v>
      </c>
      <c r="S7" s="2">
        <v>-10926852.161586685</v>
      </c>
      <c r="T7" s="2">
        <v>-11400968.27687793</v>
      </c>
      <c r="U7" s="2">
        <v>-11895656.290411662</v>
      </c>
      <c r="V7" s="2">
        <v>-12411808.816852624</v>
      </c>
    </row>
    <row r="8" spans="1:22" s="1" customFormat="1" x14ac:dyDescent="0.25">
      <c r="A8" s="1" t="s">
        <v>230</v>
      </c>
      <c r="B8" s="1" t="s">
        <v>27</v>
      </c>
      <c r="C8" s="2">
        <v>18437063</v>
      </c>
      <c r="D8" s="2">
        <v>16848794</v>
      </c>
      <c r="E8" s="2">
        <v>23269899</v>
      </c>
      <c r="F8" s="2">
        <v>18943375</v>
      </c>
      <c r="G8" s="2">
        <v>19322242</v>
      </c>
      <c r="H8" s="2">
        <v>19901909.260000002</v>
      </c>
      <c r="I8" s="2">
        <v>20498966.537800003</v>
      </c>
      <c r="J8" s="2">
        <v>21113935.533934005</v>
      </c>
      <c r="K8" s="2">
        <v>21747353.599952023</v>
      </c>
      <c r="L8" s="2">
        <v>22399774.207950585</v>
      </c>
      <c r="M8" s="2">
        <v>23071767.434189104</v>
      </c>
      <c r="N8" s="2">
        <v>23763920.457214776</v>
      </c>
      <c r="O8" s="2">
        <v>24476838.070931219</v>
      </c>
      <c r="P8" s="2">
        <v>25211143.213059157</v>
      </c>
      <c r="Q8" s="2">
        <v>25967477.509450931</v>
      </c>
      <c r="R8" s="2">
        <v>26746501.834734458</v>
      </c>
      <c r="S8" s="2">
        <v>27548896.889776494</v>
      </c>
      <c r="T8" s="2">
        <v>28375363.796469789</v>
      </c>
      <c r="U8" s="2">
        <v>29226624.710363884</v>
      </c>
      <c r="V8" s="2">
        <v>30103423.4516748</v>
      </c>
    </row>
    <row r="9" spans="1:22" s="1" customFormat="1" x14ac:dyDescent="0.25">
      <c r="A9" s="1" t="s">
        <v>252</v>
      </c>
      <c r="B9" s="1" t="s">
        <v>28</v>
      </c>
      <c r="C9" s="2">
        <v>30000</v>
      </c>
      <c r="D9" s="2">
        <v>30000</v>
      </c>
      <c r="E9" s="2">
        <v>30000</v>
      </c>
      <c r="F9" s="2">
        <v>30000</v>
      </c>
      <c r="G9" s="2">
        <v>30600</v>
      </c>
      <c r="H9" s="2">
        <v>31518</v>
      </c>
      <c r="I9" s="2">
        <v>32463.54</v>
      </c>
      <c r="J9" s="2">
        <v>33437.446199999998</v>
      </c>
      <c r="K9" s="2">
        <v>34440.569585999998</v>
      </c>
      <c r="L9" s="2">
        <v>35473.786673579998</v>
      </c>
      <c r="M9" s="2">
        <v>36538.000273787402</v>
      </c>
      <c r="N9" s="2">
        <v>37634.140282001026</v>
      </c>
      <c r="O9" s="2">
        <v>38763.164490461058</v>
      </c>
      <c r="P9" s="2">
        <v>39926.059425174892</v>
      </c>
      <c r="Q9" s="2">
        <v>41123.841207930142</v>
      </c>
      <c r="R9" s="2">
        <v>42357.556444168047</v>
      </c>
      <c r="S9" s="2">
        <v>43628.28313749309</v>
      </c>
      <c r="T9" s="2">
        <v>44937.131631617885</v>
      </c>
      <c r="U9" s="2">
        <v>46285.245580566421</v>
      </c>
      <c r="V9" s="2">
        <v>47673.802947983415</v>
      </c>
    </row>
    <row r="10" spans="1:22" s="1" customFormat="1" x14ac:dyDescent="0.25">
      <c r="A10" s="1" t="s">
        <v>252</v>
      </c>
      <c r="B10" s="1" t="s">
        <v>29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s="1" customFormat="1" x14ac:dyDescent="0.25">
      <c r="A11" s="1" t="s">
        <v>252</v>
      </c>
      <c r="B11" s="1" t="s">
        <v>30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s="1" customFormat="1" x14ac:dyDescent="0.25">
      <c r="A12" s="1" t="s">
        <v>252</v>
      </c>
      <c r="B12" s="1" t="s">
        <v>31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s="1" customFormat="1" x14ac:dyDescent="0.25">
      <c r="A13" s="1" t="s">
        <v>230</v>
      </c>
      <c r="B13" s="1" t="s">
        <v>32</v>
      </c>
      <c r="C13" s="2">
        <v>4800000</v>
      </c>
      <c r="D13" s="2">
        <v>4800000</v>
      </c>
      <c r="E13" s="2">
        <v>3360000</v>
      </c>
      <c r="F13" s="2">
        <v>3360000</v>
      </c>
      <c r="G13" s="2">
        <v>3427200</v>
      </c>
      <c r="H13" s="2">
        <v>579637.03714999987</v>
      </c>
      <c r="I13" s="2">
        <v>597026.14826449985</v>
      </c>
      <c r="J13" s="2">
        <v>614936.93271243491</v>
      </c>
      <c r="K13" s="2">
        <v>633385.040693808</v>
      </c>
      <c r="L13" s="2">
        <v>652386.59191462223</v>
      </c>
      <c r="M13" s="2">
        <v>671958.18967206089</v>
      </c>
      <c r="N13" s="2">
        <v>692116.93536222272</v>
      </c>
      <c r="O13" s="2">
        <v>712880.44342308945</v>
      </c>
      <c r="P13" s="2">
        <v>734266.85672578216</v>
      </c>
      <c r="Q13" s="2">
        <v>756294.86242755561</v>
      </c>
      <c r="R13" s="2">
        <v>778983.70830038225</v>
      </c>
      <c r="S13" s="2">
        <v>802353.21954939375</v>
      </c>
      <c r="T13" s="2">
        <v>826423.81613587553</v>
      </c>
      <c r="U13" s="2">
        <v>851216.53061995178</v>
      </c>
      <c r="V13" s="2">
        <v>876753.02653855039</v>
      </c>
    </row>
    <row r="14" spans="1:22" s="1" customFormat="1" x14ac:dyDescent="0.25">
      <c r="A14" s="1" t="s">
        <v>230</v>
      </c>
      <c r="B14" s="1" t="s">
        <v>33</v>
      </c>
      <c r="C14" s="2">
        <v>169689</v>
      </c>
      <c r="D14" s="2">
        <v>169374</v>
      </c>
      <c r="E14" s="2">
        <v>168945</v>
      </c>
      <c r="F14" s="2">
        <v>168517.0865953452</v>
      </c>
      <c r="G14" s="2">
        <v>171887</v>
      </c>
      <c r="H14" s="2">
        <v>177160</v>
      </c>
      <c r="I14" s="2">
        <v>182474.80000000002</v>
      </c>
      <c r="J14" s="2">
        <v>93974.522000000012</v>
      </c>
      <c r="K14" s="2">
        <v>48396.878830000009</v>
      </c>
      <c r="L14" s="2">
        <v>24924.392597450005</v>
      </c>
      <c r="M14" s="2">
        <v>12836.062187686754</v>
      </c>
      <c r="N14" s="2">
        <v>6610.5720266586786</v>
      </c>
      <c r="O14" s="2">
        <v>3404.4445937292194</v>
      </c>
      <c r="P14" s="2">
        <v>1753.288965770548</v>
      </c>
      <c r="Q14" s="2">
        <v>902.94381737183221</v>
      </c>
      <c r="R14" s="2">
        <v>465.0160659464936</v>
      </c>
      <c r="S14" s="2">
        <v>239.4832739624442</v>
      </c>
      <c r="T14" s="2">
        <v>123.33388609065877</v>
      </c>
      <c r="U14" s="2">
        <v>63.516951336689267</v>
      </c>
      <c r="V14" s="2">
        <v>32.711229938394972</v>
      </c>
    </row>
    <row r="15" spans="1:22" s="1" customFormat="1" x14ac:dyDescent="0.25">
      <c r="A15" s="1" t="s">
        <v>230</v>
      </c>
      <c r="B15" s="1" t="s">
        <v>34</v>
      </c>
      <c r="C15" s="2">
        <v>54829600</v>
      </c>
      <c r="D15" s="2">
        <v>54879300</v>
      </c>
      <c r="E15" s="2">
        <v>55658300</v>
      </c>
      <c r="F15" s="2">
        <v>56448357.7394391</v>
      </c>
      <c r="G15" s="2">
        <v>57577325</v>
      </c>
      <c r="H15" s="2">
        <v>38603826.674189992</v>
      </c>
      <c r="I15" s="2">
        <v>39761941.47441569</v>
      </c>
      <c r="J15" s="2">
        <v>40954799.718648158</v>
      </c>
      <c r="K15" s="2">
        <v>42183443.710207604</v>
      </c>
      <c r="L15" s="2">
        <v>43448947.021513835</v>
      </c>
      <c r="M15" s="2">
        <v>44752415.432159252</v>
      </c>
      <c r="N15" s="2">
        <v>46094987.895124033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s="1" customFormat="1" x14ac:dyDescent="0.25">
      <c r="A16" s="1" t="s">
        <v>230</v>
      </c>
      <c r="B16" s="1" t="s">
        <v>35</v>
      </c>
      <c r="C16" s="2">
        <v>2061248</v>
      </c>
      <c r="D16" s="2">
        <v>2011863</v>
      </c>
      <c r="E16" s="2">
        <v>2673292</v>
      </c>
      <c r="F16" s="2">
        <v>1883662</v>
      </c>
      <c r="G16" s="2">
        <v>1921335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s="35" customFormat="1" x14ac:dyDescent="0.25">
      <c r="A17" s="35" t="s">
        <v>252</v>
      </c>
      <c r="B17" s="35" t="s">
        <v>36</v>
      </c>
      <c r="C17" s="36">
        <v>188000</v>
      </c>
      <c r="D17" s="36">
        <v>806000</v>
      </c>
      <c r="E17" s="36">
        <v>44000000</v>
      </c>
      <c r="F17" s="36">
        <v>39500000</v>
      </c>
      <c r="G17" s="36">
        <v>31000000</v>
      </c>
      <c r="H17" s="36">
        <v>28981851.857499994</v>
      </c>
      <c r="I17" s="36">
        <v>29851307.413224995</v>
      </c>
      <c r="J17" s="36">
        <v>30746846.635621745</v>
      </c>
      <c r="K17" s="36">
        <v>31669252.034690399</v>
      </c>
      <c r="L17" s="36">
        <v>32619329.595731113</v>
      </c>
      <c r="M17" s="36">
        <v>33597909.483603045</v>
      </c>
      <c r="N17" s="36">
        <v>34605846.76811114</v>
      </c>
      <c r="O17" s="36">
        <v>35644022.171154477</v>
      </c>
      <c r="P17" s="36">
        <v>29370674.269031279</v>
      </c>
      <c r="Q17" s="36">
        <v>30251794.49710222</v>
      </c>
      <c r="R17" s="36">
        <v>31159348.332015287</v>
      </c>
      <c r="S17" s="36">
        <v>32094128.781975746</v>
      </c>
      <c r="T17" s="36">
        <v>33056952.64543502</v>
      </c>
      <c r="U17" s="36">
        <v>34048661.224798068</v>
      </c>
      <c r="V17" s="36">
        <v>35070121.061542012</v>
      </c>
    </row>
    <row r="18" spans="1:22" s="1" customFormat="1" x14ac:dyDescent="0.25">
      <c r="A18" s="1" t="s">
        <v>252</v>
      </c>
      <c r="B18" s="1" t="s">
        <v>37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s="35" customFormat="1" x14ac:dyDescent="0.25">
      <c r="A19" s="1" t="s">
        <v>252</v>
      </c>
      <c r="B19" s="35" t="s">
        <v>38</v>
      </c>
      <c r="C19" s="36">
        <v>4096400</v>
      </c>
      <c r="D19" s="36">
        <v>4148797</v>
      </c>
      <c r="E19" s="36">
        <v>4231773</v>
      </c>
      <c r="F19" s="36">
        <v>4316408</v>
      </c>
      <c r="G19" s="36">
        <v>4402737</v>
      </c>
      <c r="H19" s="36">
        <v>5564819.1100000003</v>
      </c>
      <c r="I19" s="36">
        <v>5731763.6833000006</v>
      </c>
      <c r="J19" s="36">
        <v>5903716.5937990006</v>
      </c>
      <c r="K19" s="36">
        <v>6080828.0916129705</v>
      </c>
      <c r="L19" s="36">
        <v>6263252.93436136</v>
      </c>
      <c r="M19" s="36">
        <v>6451150.5223922012</v>
      </c>
      <c r="N19" s="36">
        <v>6644685.0380639676</v>
      </c>
      <c r="O19" s="36">
        <v>6844025.5892058872</v>
      </c>
      <c r="P19" s="36">
        <v>7049346.3568820637</v>
      </c>
      <c r="Q19" s="36">
        <v>7260826.7475885255</v>
      </c>
      <c r="R19" s="36">
        <v>7478651.5500161815</v>
      </c>
      <c r="S19" s="36">
        <v>7703011.0965166669</v>
      </c>
      <c r="T19" s="36">
        <v>7934101.4294121675</v>
      </c>
      <c r="U19" s="36">
        <v>8172124.4722945327</v>
      </c>
      <c r="V19" s="36">
        <v>8417288.2064633686</v>
      </c>
    </row>
    <row r="20" spans="1:22" s="35" customFormat="1" x14ac:dyDescent="0.25">
      <c r="A20" s="1" t="s">
        <v>252</v>
      </c>
      <c r="B20" s="35" t="s">
        <v>39</v>
      </c>
      <c r="C20" s="36">
        <v>4500000</v>
      </c>
      <c r="D20" s="36">
        <v>6840000</v>
      </c>
      <c r="E20" s="36">
        <v>9363600</v>
      </c>
      <c r="F20" s="36">
        <v>9560000</v>
      </c>
      <c r="G20" s="36">
        <v>9741889</v>
      </c>
      <c r="H20" s="36">
        <v>15960959.935209997</v>
      </c>
      <c r="I20" s="36">
        <v>16653505.986798758</v>
      </c>
      <c r="J20" s="36">
        <v>17376101.611565955</v>
      </c>
      <c r="K20" s="36">
        <v>18130050.660491802</v>
      </c>
      <c r="L20" s="36">
        <v>18916713.558650538</v>
      </c>
      <c r="M20" s="36">
        <v>19737509.759960383</v>
      </c>
      <c r="N20" s="36">
        <v>20593920.308445062</v>
      </c>
      <c r="O20" s="36">
        <v>21487490.510628492</v>
      </c>
      <c r="P20" s="36">
        <v>22419832.723884657</v>
      </c>
      <c r="Q20" s="36">
        <v>23392629.265774012</v>
      </c>
      <c r="R20" s="36">
        <v>24407635.449615944</v>
      </c>
      <c r="S20" s="36">
        <v>25466682.75177478</v>
      </c>
      <c r="T20" s="36">
        <v>26571682.116374284</v>
      </c>
      <c r="U20" s="36">
        <v>27724627.403403763</v>
      </c>
      <c r="V20" s="36">
        <v>28927598.986437447</v>
      </c>
    </row>
    <row r="21" spans="1:22" s="1" customFormat="1" x14ac:dyDescent="0.25">
      <c r="A21" s="1" t="s">
        <v>253</v>
      </c>
      <c r="B21" s="1" t="s">
        <v>40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6"/>
      <c r="J21" s="16"/>
      <c r="K21" s="16"/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s="1" customFormat="1" x14ac:dyDescent="0.25">
      <c r="A22" s="1" t="s">
        <v>253</v>
      </c>
      <c r="B22" s="1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s="1" customFormat="1" x14ac:dyDescent="0.25">
      <c r="A23" s="1" t="s">
        <v>253</v>
      </c>
      <c r="B23" s="1" t="s">
        <v>42</v>
      </c>
      <c r="C23" s="2">
        <v>5848376</v>
      </c>
      <c r="D23" s="2">
        <v>1000000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s="1" customFormat="1" x14ac:dyDescent="0.25">
      <c r="A24" s="1" t="s">
        <v>253</v>
      </c>
      <c r="B24" s="1" t="s">
        <v>43</v>
      </c>
      <c r="C24" s="2">
        <v>4764888</v>
      </c>
      <c r="D24" s="2">
        <v>1000000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s="1" customFormat="1" x14ac:dyDescent="0.25">
      <c r="A25" s="1" t="s">
        <v>230</v>
      </c>
      <c r="B25" s="1" t="s">
        <v>44</v>
      </c>
      <c r="C25" s="2">
        <v>10000000</v>
      </c>
      <c r="D25" s="2">
        <v>25000000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s="1" customFormat="1" x14ac:dyDescent="0.25">
      <c r="A26" s="1" t="s">
        <v>230</v>
      </c>
      <c r="B26" s="1" t="s">
        <v>45</v>
      </c>
      <c r="C26" s="2">
        <v>35962407</v>
      </c>
      <c r="D26" s="2">
        <v>37400904</v>
      </c>
      <c r="E26" s="2">
        <v>38896940</v>
      </c>
      <c r="F26" s="2">
        <v>40452818</v>
      </c>
      <c r="G26" s="2">
        <v>42070930</v>
      </c>
      <c r="H26" s="2">
        <v>43333057.899999999</v>
      </c>
      <c r="I26" s="2">
        <v>44633049.637000002</v>
      </c>
      <c r="J26" s="2">
        <v>45972041.126110002</v>
      </c>
      <c r="K26" s="2">
        <v>47351202.359893307</v>
      </c>
      <c r="L26" s="2">
        <v>48771738.43069011</v>
      </c>
      <c r="M26" s="2">
        <v>50234890.583610818</v>
      </c>
      <c r="N26" s="2">
        <v>51741937.301119141</v>
      </c>
      <c r="O26" s="2">
        <v>53294195.420152716</v>
      </c>
      <c r="P26" s="2">
        <v>54893021.282757297</v>
      </c>
      <c r="Q26" s="2">
        <v>56539811.921240017</v>
      </c>
      <c r="R26" s="2">
        <v>58236006.278877221</v>
      </c>
      <c r="S26" s="2">
        <v>59983086.467243537</v>
      </c>
      <c r="T26" s="2">
        <v>61782579.061260842</v>
      </c>
      <c r="U26" s="2">
        <v>63636056.433098666</v>
      </c>
      <c r="V26" s="2">
        <v>65545138.126091629</v>
      </c>
    </row>
    <row r="27" spans="1:22" s="1" customFormat="1" x14ac:dyDescent="0.25">
      <c r="A27" s="1" t="s">
        <v>253</v>
      </c>
      <c r="B27" s="1" t="s">
        <v>46</v>
      </c>
      <c r="C27" s="2">
        <v>0</v>
      </c>
      <c r="D27" s="2">
        <v>2000000</v>
      </c>
      <c r="E27" s="2">
        <v>12906100</v>
      </c>
      <c r="F27" s="2">
        <v>17914609.148348864</v>
      </c>
      <c r="G27" s="2">
        <v>15000000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s="1" customFormat="1" x14ac:dyDescent="0.25">
      <c r="A28" s="1" t="s">
        <v>253</v>
      </c>
      <c r="B28" s="1" t="s">
        <v>47</v>
      </c>
      <c r="D28" s="2"/>
      <c r="E28" s="2"/>
      <c r="F28" s="2"/>
      <c r="G28" s="2"/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  <c r="V28" s="2">
        <v>26666666.666666668</v>
      </c>
    </row>
    <row r="29" spans="1:22" s="1" customFormat="1" x14ac:dyDescent="0.25">
      <c r="A29" s="1" t="s">
        <v>230</v>
      </c>
      <c r="B29" s="1" t="s">
        <v>260</v>
      </c>
      <c r="D29" s="2"/>
      <c r="E29" s="2">
        <v>20000000</v>
      </c>
      <c r="F29" s="2">
        <v>14000000</v>
      </c>
      <c r="G29" s="2">
        <v>5000000</v>
      </c>
      <c r="H29" s="2">
        <v>9000000</v>
      </c>
      <c r="I29" s="2">
        <v>10000000</v>
      </c>
      <c r="J29" s="2">
        <v>10000000</v>
      </c>
      <c r="K29" s="2">
        <v>11000000</v>
      </c>
      <c r="L29" s="2">
        <v>11000000</v>
      </c>
      <c r="M29" s="2">
        <v>12000000</v>
      </c>
      <c r="N29" s="2">
        <v>13000000</v>
      </c>
      <c r="O29" s="2">
        <v>13000000</v>
      </c>
      <c r="P29" s="2">
        <v>7000000</v>
      </c>
      <c r="Q29" s="2">
        <v>7000000</v>
      </c>
      <c r="R29" s="2">
        <v>8000000</v>
      </c>
      <c r="S29" s="2">
        <v>9000000</v>
      </c>
      <c r="T29" s="2">
        <f t="shared" ref="T29" si="0">S29*1.01</f>
        <v>9090000</v>
      </c>
      <c r="U29" s="2">
        <v>10000000</v>
      </c>
      <c r="V29" s="2">
        <v>10000000</v>
      </c>
    </row>
    <row r="30" spans="1:22" x14ac:dyDescent="0.25">
      <c r="A30" s="1" t="s">
        <v>231</v>
      </c>
      <c r="B30" s="1" t="s">
        <v>49</v>
      </c>
      <c r="E30" s="2">
        <v>16000000</v>
      </c>
      <c r="F30" s="2">
        <f>E30*1.04</f>
        <v>16640000</v>
      </c>
      <c r="G30" s="2">
        <f t="shared" ref="G30:V30" si="1">F30*1.04</f>
        <v>17305600</v>
      </c>
      <c r="H30" s="2">
        <f t="shared" si="1"/>
        <v>17997824</v>
      </c>
      <c r="I30" s="2">
        <f t="shared" si="1"/>
        <v>18717736.960000001</v>
      </c>
      <c r="J30" s="2">
        <f t="shared" si="1"/>
        <v>19466446.4384</v>
      </c>
      <c r="K30" s="2">
        <f t="shared" si="1"/>
        <v>20245104.295936</v>
      </c>
      <c r="L30" s="2">
        <f t="shared" si="1"/>
        <v>21054908.467773441</v>
      </c>
      <c r="M30" s="2">
        <f t="shared" si="1"/>
        <v>21897104.806484379</v>
      </c>
      <c r="N30" s="2">
        <f t="shared" si="1"/>
        <v>22772988.998743754</v>
      </c>
      <c r="O30" s="2">
        <f t="shared" si="1"/>
        <v>23683908.558693506</v>
      </c>
      <c r="P30" s="2">
        <f t="shared" si="1"/>
        <v>24631264.901041247</v>
      </c>
      <c r="Q30" s="2">
        <f t="shared" si="1"/>
        <v>25616515.497082897</v>
      </c>
      <c r="R30" s="2">
        <f t="shared" si="1"/>
        <v>26641176.116966214</v>
      </c>
      <c r="S30" s="2">
        <f t="shared" si="1"/>
        <v>27706823.161644865</v>
      </c>
      <c r="T30" s="2">
        <f t="shared" si="1"/>
        <v>28815096.088110659</v>
      </c>
      <c r="U30" s="2">
        <f t="shared" si="1"/>
        <v>29967699.931635085</v>
      </c>
      <c r="V30" s="2">
        <f t="shared" si="1"/>
        <v>31166407.928900491</v>
      </c>
    </row>
    <row r="31" spans="1:22" s="1" customFormat="1" x14ac:dyDescent="0.25">
      <c r="A31" s="1" t="s">
        <v>233</v>
      </c>
      <c r="B31" s="1" t="s">
        <v>261</v>
      </c>
      <c r="C31" s="2">
        <f>C17+C20+C19</f>
        <v>8784400</v>
      </c>
      <c r="D31" s="2">
        <f>D17+D20+D19</f>
        <v>11794797</v>
      </c>
      <c r="E31" s="2">
        <v>22000000</v>
      </c>
      <c r="F31" s="2">
        <v>22440000</v>
      </c>
      <c r="G31" s="2">
        <v>22888800</v>
      </c>
      <c r="H31" s="2">
        <v>23346576</v>
      </c>
      <c r="I31" s="2">
        <v>23813507.52</v>
      </c>
      <c r="J31" s="2">
        <v>24289777.670400001</v>
      </c>
      <c r="K31" s="2">
        <v>24775573.223808002</v>
      </c>
      <c r="L31" s="2">
        <v>25271084.688284162</v>
      </c>
      <c r="M31" s="2">
        <v>25776506.382049847</v>
      </c>
      <c r="N31" s="2">
        <v>26292036.509690844</v>
      </c>
      <c r="O31" s="2">
        <v>26817877.23988466</v>
      </c>
      <c r="P31" s="2">
        <v>27354234.784682352</v>
      </c>
      <c r="Q31" s="2">
        <v>27901319.480376001</v>
      </c>
      <c r="R31" s="2">
        <v>28459345.86998352</v>
      </c>
      <c r="S31" s="2">
        <v>29028532.787383191</v>
      </c>
      <c r="T31" s="2">
        <v>29609103.443130855</v>
      </c>
      <c r="U31" s="2">
        <v>30201285.511993472</v>
      </c>
      <c r="V31" s="2">
        <v>30805311.22223334</v>
      </c>
    </row>
    <row r="32" spans="1:22" s="1" customFormat="1" x14ac:dyDescent="0.25">
      <c r="A32" s="1" t="s">
        <v>262</v>
      </c>
      <c r="B32" s="1" t="s">
        <v>25</v>
      </c>
      <c r="C32" s="2">
        <v>115680262</v>
      </c>
      <c r="D32" s="2">
        <v>104525562.03852838</v>
      </c>
      <c r="E32" s="2">
        <f>D32*1.01</f>
        <v>105570817.65891367</v>
      </c>
      <c r="F32" s="2">
        <f t="shared" ref="F32:V32" si="2">E32*1.01</f>
        <v>106626525.8355028</v>
      </c>
      <c r="G32" s="2">
        <f t="shared" si="2"/>
        <v>107692791.09385784</v>
      </c>
      <c r="H32" s="2">
        <f t="shared" si="2"/>
        <v>108769719.00479642</v>
      </c>
      <c r="I32" s="2">
        <f t="shared" si="2"/>
        <v>109857416.19484438</v>
      </c>
      <c r="J32" s="2">
        <f t="shared" si="2"/>
        <v>110955990.35679282</v>
      </c>
      <c r="K32" s="2">
        <f t="shared" si="2"/>
        <v>112065550.26036075</v>
      </c>
      <c r="L32" s="2">
        <f t="shared" si="2"/>
        <v>113186205.76296435</v>
      </c>
      <c r="M32" s="2">
        <f t="shared" si="2"/>
        <v>114318067.820594</v>
      </c>
      <c r="N32" s="2">
        <f t="shared" si="2"/>
        <v>115461248.49879993</v>
      </c>
      <c r="O32" s="2">
        <f t="shared" si="2"/>
        <v>116615860.98378794</v>
      </c>
      <c r="P32" s="2">
        <f t="shared" si="2"/>
        <v>117782019.59362581</v>
      </c>
      <c r="Q32" s="2">
        <f t="shared" si="2"/>
        <v>118959839.78956208</v>
      </c>
      <c r="R32" s="2">
        <f t="shared" si="2"/>
        <v>120149438.1874577</v>
      </c>
      <c r="S32" s="2">
        <f t="shared" si="2"/>
        <v>121350932.56933227</v>
      </c>
      <c r="T32" s="2">
        <f t="shared" si="2"/>
        <v>122564441.8950256</v>
      </c>
      <c r="U32" s="2">
        <f t="shared" si="2"/>
        <v>123790086.31397586</v>
      </c>
      <c r="V32" s="2">
        <f t="shared" si="2"/>
        <v>125027987.17711562</v>
      </c>
    </row>
    <row r="33" spans="1:22" s="1" customFormat="1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5" spans="1:22" x14ac:dyDescent="0.25">
      <c r="A35" s="1" t="s">
        <v>254</v>
      </c>
      <c r="B35" s="1" t="s">
        <v>254</v>
      </c>
      <c r="C35" s="2">
        <f t="shared" ref="C35:K35" si="3">SUM(C2:C32)</f>
        <v>352672010</v>
      </c>
      <c r="D35" s="2">
        <f t="shared" si="3"/>
        <v>361476423.03852838</v>
      </c>
      <c r="E35" s="2">
        <f t="shared" si="3"/>
        <v>445972269.65891367</v>
      </c>
      <c r="F35" s="2">
        <f t="shared" si="3"/>
        <v>441054037.8098861</v>
      </c>
      <c r="G35" s="2">
        <f t="shared" si="3"/>
        <v>427771433.9792245</v>
      </c>
      <c r="H35" s="2">
        <f t="shared" si="3"/>
        <v>432086285.02095807</v>
      </c>
      <c r="I35" s="2">
        <f t="shared" si="3"/>
        <v>443434445.02755982</v>
      </c>
      <c r="J35" s="2">
        <f t="shared" si="3"/>
        <v>454595538.91047466</v>
      </c>
      <c r="K35" s="2">
        <f t="shared" si="3"/>
        <v>467349181.16998184</v>
      </c>
      <c r="L35" s="2">
        <f>SUM(L2:L32)</f>
        <v>481809448.59724379</v>
      </c>
      <c r="M35" s="2">
        <f t="shared" ref="M35:V35" si="4">SUM(M2:M32)</f>
        <v>493130471.76833892</v>
      </c>
      <c r="N35" s="2">
        <f t="shared" si="4"/>
        <v>507172280.10546774</v>
      </c>
      <c r="O35" s="2">
        <f t="shared" si="4"/>
        <v>473186935.06821352</v>
      </c>
      <c r="P35" s="2">
        <f t="shared" si="4"/>
        <v>472378367.43613327</v>
      </c>
      <c r="Q35" s="2">
        <f t="shared" si="4"/>
        <v>485132024.95785534</v>
      </c>
      <c r="R35" s="2">
        <f t="shared" si="4"/>
        <v>499335297.47900921</v>
      </c>
      <c r="S35" s="2">
        <f t="shared" si="4"/>
        <v>514005230.5232048</v>
      </c>
      <c r="T35" s="2">
        <f t="shared" si="4"/>
        <v>528249656.63730258</v>
      </c>
      <c r="U35" s="2">
        <f t="shared" si="4"/>
        <v>543817176.60901773</v>
      </c>
      <c r="V35" s="2">
        <f t="shared" si="4"/>
        <v>558997164.67996955</v>
      </c>
    </row>
  </sheetData>
  <autoFilter ref="A1:V35"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V31" sqref="V31"/>
    </sheetView>
  </sheetViews>
  <sheetFormatPr defaultRowHeight="15" x14ac:dyDescent="0.25"/>
  <cols>
    <col min="2" max="2" width="56.7109375" bestFit="1" customWidth="1"/>
    <col min="3" max="8" width="15.28515625" bestFit="1" customWidth="1"/>
    <col min="9" max="22" width="16.28515625" bestFit="1" customWidth="1"/>
  </cols>
  <sheetData>
    <row r="1" spans="1:22" s="1" customFormat="1" x14ac:dyDescent="0.25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s="1" customFormat="1" x14ac:dyDescent="0.25">
      <c r="B2" s="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1" customFormat="1" x14ac:dyDescent="0.25">
      <c r="B3" s="1" t="s">
        <v>22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</row>
    <row r="4" spans="1:22" s="1" customFormat="1" x14ac:dyDescent="0.25">
      <c r="B4" s="1" t="s">
        <v>23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</row>
    <row r="5" spans="1:22" s="1" customFormat="1" x14ac:dyDescent="0.25">
      <c r="A5" s="1" t="s">
        <v>230</v>
      </c>
      <c r="B5" s="1" t="s">
        <v>24</v>
      </c>
      <c r="C5" s="2">
        <v>1197800</v>
      </c>
      <c r="D5" s="2">
        <v>1233734</v>
      </c>
      <c r="E5" s="2">
        <v>1270746</v>
      </c>
      <c r="F5" s="2">
        <v>1308868</v>
      </c>
      <c r="G5" s="2">
        <v>1348134</v>
      </c>
      <c r="H5" s="2">
        <v>4068553.8180149999</v>
      </c>
      <c r="I5" s="2">
        <v>3468268</v>
      </c>
      <c r="J5" s="2">
        <v>3404620.4656919739</v>
      </c>
      <c r="K5" s="2">
        <v>3506759.0796627328</v>
      </c>
      <c r="L5" s="2">
        <v>5895314.9237537924</v>
      </c>
      <c r="M5" s="2">
        <v>3720320.7076141932</v>
      </c>
      <c r="N5" s="2">
        <v>3831930.328842619</v>
      </c>
      <c r="O5" s="2">
        <v>3946888.2387078977</v>
      </c>
      <c r="P5" s="2">
        <v>4065294.8858691347</v>
      </c>
      <c r="Q5" s="2">
        <v>4187253.7324452088</v>
      </c>
      <c r="R5" s="2">
        <v>4312871.3444185648</v>
      </c>
      <c r="S5" s="2">
        <v>4442257.4847511221</v>
      </c>
      <c r="T5" s="2">
        <v>4575525.2092936561</v>
      </c>
      <c r="U5" s="2">
        <v>4712790.9655724661</v>
      </c>
      <c r="V5" s="2">
        <v>4854174.6945396401</v>
      </c>
    </row>
    <row r="6" spans="1:22" s="1" customFormat="1" x14ac:dyDescent="0.25">
      <c r="A6" s="1" t="s">
        <v>232</v>
      </c>
      <c r="B6" s="1" t="s">
        <v>25</v>
      </c>
      <c r="C6" s="2">
        <v>82827977</v>
      </c>
      <c r="D6" s="2">
        <v>88535698</v>
      </c>
      <c r="E6" s="2">
        <v>89576957</v>
      </c>
      <c r="F6" s="2">
        <v>90465997</v>
      </c>
      <c r="G6" s="2">
        <v>91960330</v>
      </c>
      <c r="H6" s="2">
        <v>95950488.718699992</v>
      </c>
      <c r="I6" s="2">
        <v>100113780.42420436</v>
      </c>
      <c r="J6" s="2">
        <v>104457717.35681058</v>
      </c>
      <c r="K6" s="2">
        <v>108990137.71292259</v>
      </c>
      <c r="L6" s="2">
        <v>113719219.7882863</v>
      </c>
      <c r="M6" s="2">
        <v>118653496.73490003</v>
      </c>
      <c r="N6" s="2">
        <v>123801871.95822732</v>
      </c>
      <c r="O6" s="2">
        <v>129173635.18249479</v>
      </c>
      <c r="P6" s="2">
        <v>134778479.21306324</v>
      </c>
      <c r="Q6" s="2">
        <v>140626517.42611802</v>
      </c>
      <c r="R6" s="2">
        <v>146728302.01723728</v>
      </c>
      <c r="S6" s="2">
        <v>153094843.04176521</v>
      </c>
      <c r="T6" s="2">
        <v>159737628.28134739</v>
      </c>
      <c r="U6" s="2">
        <v>166668643.97247505</v>
      </c>
      <c r="V6" s="2">
        <v>173900396.43444073</v>
      </c>
    </row>
    <row r="7" spans="1:22" s="1" customFormat="1" x14ac:dyDescent="0.25">
      <c r="A7" s="1" t="s">
        <v>232</v>
      </c>
      <c r="B7" s="1" t="s">
        <v>26</v>
      </c>
      <c r="C7" s="2">
        <v>-1506100</v>
      </c>
      <c r="D7" s="2">
        <v>-1548400</v>
      </c>
      <c r="E7" s="2">
        <v>-3005100</v>
      </c>
      <c r="F7" s="2">
        <v>-3005100</v>
      </c>
      <c r="G7" s="2">
        <v>-3090366.1146333334</v>
      </c>
      <c r="H7" s="2">
        <v>-6848282.9612699989</v>
      </c>
      <c r="I7" s="2">
        <v>-7145429.9589595031</v>
      </c>
      <c r="J7" s="2">
        <v>-7455470.1648787558</v>
      </c>
      <c r="K7" s="2">
        <v>-7778963.015332845</v>
      </c>
      <c r="L7" s="2">
        <v>-8116492.2205681372</v>
      </c>
      <c r="M7" s="2">
        <v>-8468666.8180185873</v>
      </c>
      <c r="N7" s="2">
        <v>-8836122.2712524142</v>
      </c>
      <c r="O7" s="2">
        <v>-9219521.6166020557</v>
      </c>
      <c r="P7" s="2">
        <v>-9619556.6595464181</v>
      </c>
      <c r="Q7" s="2">
        <v>-10036949.223004136</v>
      </c>
      <c r="R7" s="2">
        <v>-10472452.449790284</v>
      </c>
      <c r="S7" s="2">
        <v>-10926852.161586685</v>
      </c>
      <c r="T7" s="2">
        <v>-11400968.27687793</v>
      </c>
      <c r="U7" s="2">
        <v>-11895656.290411662</v>
      </c>
      <c r="V7" s="2">
        <v>-12411808.816852624</v>
      </c>
    </row>
    <row r="8" spans="1:22" s="1" customFormat="1" x14ac:dyDescent="0.25">
      <c r="B8" s="1" t="s">
        <v>27</v>
      </c>
      <c r="C8" s="2">
        <v>18437063</v>
      </c>
      <c r="D8" s="2">
        <v>16848794</v>
      </c>
      <c r="E8" s="2">
        <v>23269899</v>
      </c>
      <c r="F8" s="2">
        <v>18943375</v>
      </c>
      <c r="G8" s="2">
        <v>19322242</v>
      </c>
      <c r="H8" s="2">
        <v>19901909.260000002</v>
      </c>
      <c r="I8" s="2">
        <v>20498966.537800003</v>
      </c>
      <c r="J8" s="2">
        <v>21113935.533934005</v>
      </c>
      <c r="K8" s="2">
        <v>21747353.599952023</v>
      </c>
      <c r="L8" s="2">
        <v>22399774.207950585</v>
      </c>
      <c r="M8" s="2">
        <v>23071767.434189104</v>
      </c>
      <c r="N8" s="2">
        <v>23763920.457214776</v>
      </c>
      <c r="O8" s="2">
        <v>24476838.070931219</v>
      </c>
      <c r="P8" s="2">
        <v>25211143.213059157</v>
      </c>
      <c r="Q8" s="2">
        <v>25967477.509450931</v>
      </c>
      <c r="R8" s="2">
        <v>26746501.834734458</v>
      </c>
      <c r="S8" s="2">
        <v>27548896.889776494</v>
      </c>
      <c r="T8" s="2">
        <v>28375363.796469789</v>
      </c>
      <c r="U8" s="2">
        <v>29226624.710363884</v>
      </c>
      <c r="V8" s="2">
        <v>30103423.4516748</v>
      </c>
    </row>
    <row r="9" spans="1:22" s="1" customFormat="1" x14ac:dyDescent="0.25">
      <c r="B9" s="1" t="s">
        <v>28</v>
      </c>
      <c r="C9" s="2">
        <v>30000</v>
      </c>
      <c r="D9" s="2">
        <v>30000</v>
      </c>
      <c r="E9" s="2">
        <v>30000</v>
      </c>
      <c r="F9" s="2">
        <v>30000</v>
      </c>
      <c r="G9" s="2">
        <v>30600</v>
      </c>
      <c r="H9" s="2">
        <v>31518</v>
      </c>
      <c r="I9" s="2">
        <v>32463.54</v>
      </c>
      <c r="J9" s="2">
        <v>33437.446199999998</v>
      </c>
      <c r="K9" s="2">
        <v>34440.569585999998</v>
      </c>
      <c r="L9" s="2">
        <v>35473.786673579998</v>
      </c>
      <c r="M9" s="2">
        <v>36538.000273787402</v>
      </c>
      <c r="N9" s="2">
        <v>37634.140282001026</v>
      </c>
      <c r="O9" s="2">
        <v>38763.164490461058</v>
      </c>
      <c r="P9" s="2">
        <v>39926.059425174892</v>
      </c>
      <c r="Q9" s="2">
        <v>41123.841207930142</v>
      </c>
      <c r="R9" s="2">
        <v>42357.556444168047</v>
      </c>
      <c r="S9" s="2">
        <v>43628.28313749309</v>
      </c>
      <c r="T9" s="2">
        <v>44937.131631617885</v>
      </c>
      <c r="U9" s="2">
        <v>46285.245580566421</v>
      </c>
      <c r="V9" s="2">
        <v>47673.802947983415</v>
      </c>
    </row>
    <row r="10" spans="1:22" s="1" customFormat="1" x14ac:dyDescent="0.25">
      <c r="B10" s="1" t="s">
        <v>29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s="1" customFormat="1" x14ac:dyDescent="0.25">
      <c r="B11" s="1" t="s">
        <v>30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s="1" customFormat="1" x14ac:dyDescent="0.25">
      <c r="B12" s="1" t="s">
        <v>31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s="1" customFormat="1" x14ac:dyDescent="0.25">
      <c r="A13" s="1" t="s">
        <v>230</v>
      </c>
      <c r="B13" s="1" t="s">
        <v>32</v>
      </c>
      <c r="C13" s="2">
        <v>4800000</v>
      </c>
      <c r="D13" s="2">
        <v>4800000</v>
      </c>
      <c r="E13" s="2">
        <v>3360000</v>
      </c>
      <c r="F13" s="2">
        <v>3360000</v>
      </c>
      <c r="G13" s="2">
        <v>3427200</v>
      </c>
      <c r="H13" s="2">
        <v>579637.03714999987</v>
      </c>
      <c r="I13" s="2">
        <v>597026.14826449985</v>
      </c>
      <c r="J13" s="2">
        <v>614936.93271243491</v>
      </c>
      <c r="K13" s="2">
        <v>633385.040693808</v>
      </c>
      <c r="L13" s="2">
        <v>652386.59191462223</v>
      </c>
      <c r="M13" s="2">
        <v>671958.18967206089</v>
      </c>
      <c r="N13" s="2">
        <v>692116.93536222272</v>
      </c>
      <c r="O13" s="2">
        <v>712880.44342308945</v>
      </c>
      <c r="P13" s="2">
        <v>734266.85672578216</v>
      </c>
      <c r="Q13" s="2">
        <v>756294.86242755561</v>
      </c>
      <c r="R13" s="2">
        <v>778983.70830038225</v>
      </c>
      <c r="S13" s="2">
        <v>802353.21954939375</v>
      </c>
      <c r="T13" s="2">
        <v>826423.81613587553</v>
      </c>
      <c r="U13" s="2">
        <v>851216.53061995178</v>
      </c>
      <c r="V13" s="2">
        <v>876753.02653855039</v>
      </c>
    </row>
    <row r="14" spans="1:22" s="1" customFormat="1" x14ac:dyDescent="0.25">
      <c r="A14" s="1" t="s">
        <v>230</v>
      </c>
      <c r="B14" s="1" t="s">
        <v>33</v>
      </c>
      <c r="C14" s="2">
        <v>169689</v>
      </c>
      <c r="D14" s="2">
        <v>169374</v>
      </c>
      <c r="E14" s="2">
        <v>168945</v>
      </c>
      <c r="F14" s="2">
        <v>168517.0865953452</v>
      </c>
      <c r="G14" s="2">
        <v>171887</v>
      </c>
      <c r="H14" s="2">
        <v>177160</v>
      </c>
      <c r="I14" s="2">
        <v>182474.80000000002</v>
      </c>
      <c r="J14" s="2">
        <v>93974.522000000012</v>
      </c>
      <c r="K14" s="2">
        <v>48396.878830000009</v>
      </c>
      <c r="L14" s="2">
        <v>24924.392597450005</v>
      </c>
      <c r="M14" s="2">
        <v>12836.062187686754</v>
      </c>
      <c r="N14" s="2">
        <v>6610.5720266586786</v>
      </c>
      <c r="O14" s="2">
        <v>3404.4445937292194</v>
      </c>
      <c r="P14" s="2">
        <v>1753.288965770548</v>
      </c>
      <c r="Q14" s="2">
        <v>902.94381737183221</v>
      </c>
      <c r="R14" s="2">
        <v>465.0160659464936</v>
      </c>
      <c r="S14" s="2">
        <v>239.4832739624442</v>
      </c>
      <c r="T14" s="2">
        <v>123.33388609065877</v>
      </c>
      <c r="U14" s="2">
        <v>63.516951336689267</v>
      </c>
      <c r="V14" s="2">
        <v>32.711229938394972</v>
      </c>
    </row>
    <row r="15" spans="1:22" s="1" customFormat="1" x14ac:dyDescent="0.25">
      <c r="A15" s="1" t="s">
        <v>230</v>
      </c>
      <c r="B15" s="1" t="s">
        <v>34</v>
      </c>
      <c r="C15" s="2">
        <v>54829600</v>
      </c>
      <c r="D15" s="2">
        <v>54879300</v>
      </c>
      <c r="E15" s="2">
        <v>55658300</v>
      </c>
      <c r="F15" s="2">
        <v>56448357.7394391</v>
      </c>
      <c r="G15" s="2">
        <v>57577325</v>
      </c>
      <c r="H15" s="2">
        <v>38603826.674189992</v>
      </c>
      <c r="I15" s="2">
        <v>39761941.47441569</v>
      </c>
      <c r="J15" s="2">
        <v>40954799.718648158</v>
      </c>
      <c r="K15" s="2">
        <v>42183443.710207604</v>
      </c>
      <c r="L15" s="2">
        <v>43448947.021513835</v>
      </c>
      <c r="M15" s="2">
        <v>44752415.432159252</v>
      </c>
      <c r="N15" s="2">
        <v>46094987.895124033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s="1" customFormat="1" x14ac:dyDescent="0.25">
      <c r="A16" s="1" t="s">
        <v>230</v>
      </c>
      <c r="B16" s="1" t="s">
        <v>35</v>
      </c>
      <c r="C16" s="2">
        <v>2061248</v>
      </c>
      <c r="D16" s="2">
        <v>2011863</v>
      </c>
      <c r="E16" s="2">
        <v>2673292</v>
      </c>
      <c r="F16" s="2">
        <v>1883662</v>
      </c>
      <c r="G16" s="2">
        <v>1921335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2:22" s="1" customFormat="1" x14ac:dyDescent="0.25">
      <c r="B17" s="1" t="s">
        <v>36</v>
      </c>
      <c r="C17" s="2">
        <v>188000</v>
      </c>
      <c r="D17" s="2">
        <v>806000</v>
      </c>
      <c r="E17" s="2">
        <v>44000000</v>
      </c>
      <c r="F17" s="2">
        <v>39500000</v>
      </c>
      <c r="G17" s="2">
        <v>31000000</v>
      </c>
      <c r="H17" s="2">
        <v>28981851.857499994</v>
      </c>
      <c r="I17" s="2">
        <v>29851307.413224995</v>
      </c>
      <c r="J17" s="2">
        <v>30746846.635621745</v>
      </c>
      <c r="K17" s="2">
        <v>31669252.034690399</v>
      </c>
      <c r="L17" s="2">
        <v>32619329.595731113</v>
      </c>
      <c r="M17" s="2">
        <v>33597909.483603045</v>
      </c>
      <c r="N17" s="2">
        <v>34605846.76811114</v>
      </c>
      <c r="O17" s="2">
        <v>35644022.171154477</v>
      </c>
      <c r="P17" s="2">
        <v>29370674.269031279</v>
      </c>
      <c r="Q17" s="2">
        <v>30251794.49710222</v>
      </c>
      <c r="R17" s="2">
        <v>31159348.332015287</v>
      </c>
      <c r="S17" s="2">
        <v>32094128.781975746</v>
      </c>
      <c r="T17" s="2">
        <v>33056952.64543502</v>
      </c>
      <c r="U17" s="2">
        <v>34048661.224798068</v>
      </c>
      <c r="V17" s="2">
        <v>35070121.061542012</v>
      </c>
    </row>
    <row r="18" spans="2:22" s="1" customFormat="1" x14ac:dyDescent="0.25">
      <c r="B18" s="1" t="s">
        <v>37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2:22" s="1" customFormat="1" x14ac:dyDescent="0.25">
      <c r="B19" s="1" t="s">
        <v>38</v>
      </c>
      <c r="C19" s="2">
        <v>4096400</v>
      </c>
      <c r="D19" s="2">
        <v>4148797</v>
      </c>
      <c r="E19" s="2">
        <v>4231773</v>
      </c>
      <c r="F19" s="2">
        <v>4316408</v>
      </c>
      <c r="G19" s="2">
        <v>4402737</v>
      </c>
      <c r="H19" s="2">
        <v>5564819.1100000003</v>
      </c>
      <c r="I19" s="2">
        <v>5731763.6833000006</v>
      </c>
      <c r="J19" s="2">
        <v>5903716.5937990006</v>
      </c>
      <c r="K19" s="2">
        <v>6080828.0916129705</v>
      </c>
      <c r="L19" s="2">
        <v>6263252.93436136</v>
      </c>
      <c r="M19" s="2">
        <v>6451150.5223922012</v>
      </c>
      <c r="N19" s="2">
        <v>6644685.0380639676</v>
      </c>
      <c r="O19" s="2">
        <v>6844025.5892058872</v>
      </c>
      <c r="P19" s="2">
        <v>7049346.3568820637</v>
      </c>
      <c r="Q19" s="2">
        <v>7260826.7475885255</v>
      </c>
      <c r="R19" s="2">
        <v>7478651.5500161815</v>
      </c>
      <c r="S19" s="2">
        <v>7703011.0965166669</v>
      </c>
      <c r="T19" s="2">
        <v>7934101.4294121675</v>
      </c>
      <c r="U19" s="2">
        <v>8172124.4722945327</v>
      </c>
      <c r="V19" s="2">
        <v>8417288.2064633686</v>
      </c>
    </row>
    <row r="20" spans="2:22" s="1" customFormat="1" x14ac:dyDescent="0.25">
      <c r="B20" s="1" t="s">
        <v>39</v>
      </c>
      <c r="C20" s="2">
        <v>4500000</v>
      </c>
      <c r="D20" s="2">
        <v>6840000</v>
      </c>
      <c r="E20" s="2">
        <v>9363600</v>
      </c>
      <c r="F20" s="2">
        <v>9560000</v>
      </c>
      <c r="G20" s="2">
        <v>9741889</v>
      </c>
      <c r="H20" s="2">
        <v>15960959.935209997</v>
      </c>
      <c r="I20" s="2">
        <v>16653505.986798758</v>
      </c>
      <c r="J20" s="2">
        <v>17376101.611565955</v>
      </c>
      <c r="K20" s="2">
        <v>18130050.660491802</v>
      </c>
      <c r="L20" s="2">
        <v>18916713.558650538</v>
      </c>
      <c r="M20" s="2">
        <v>19737509.759960383</v>
      </c>
      <c r="N20" s="2">
        <v>20593920.308445062</v>
      </c>
      <c r="O20" s="2">
        <v>21487490.510628492</v>
      </c>
      <c r="P20" s="2">
        <v>22419832.723884657</v>
      </c>
      <c r="Q20" s="2">
        <v>23392629.265774012</v>
      </c>
      <c r="R20" s="2">
        <v>24407635.449615944</v>
      </c>
      <c r="S20" s="2">
        <v>25466682.75177478</v>
      </c>
      <c r="T20" s="2">
        <v>26571682.116374284</v>
      </c>
      <c r="U20" s="2">
        <v>27724627.403403763</v>
      </c>
      <c r="V20" s="2">
        <v>28927598.986437447</v>
      </c>
    </row>
    <row r="21" spans="2:22" s="1" customFormat="1" x14ac:dyDescent="0.25">
      <c r="B21" s="1" t="s">
        <v>40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2:22" s="1" customFormat="1" x14ac:dyDescent="0.25">
      <c r="B22" s="1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2:22" s="1" customFormat="1" x14ac:dyDescent="0.25">
      <c r="B23" s="1" t="s">
        <v>42</v>
      </c>
      <c r="C23" s="2">
        <v>5848376</v>
      </c>
      <c r="D23" s="2">
        <v>1000000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2:22" s="1" customFormat="1" x14ac:dyDescent="0.25">
      <c r="B24" s="1" t="s">
        <v>43</v>
      </c>
      <c r="C24" s="2">
        <v>4764888</v>
      </c>
      <c r="D24" s="2">
        <v>1000000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2:22" s="1" customFormat="1" x14ac:dyDescent="0.25">
      <c r="B25" s="1" t="s">
        <v>44</v>
      </c>
      <c r="C25" s="2">
        <v>10000000</v>
      </c>
      <c r="D25" s="2">
        <v>25000000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2:22" s="1" customFormat="1" x14ac:dyDescent="0.25">
      <c r="B26" s="1" t="s">
        <v>45</v>
      </c>
      <c r="C26" s="2">
        <v>35962407</v>
      </c>
      <c r="D26" s="2">
        <v>37400904</v>
      </c>
      <c r="E26" s="2">
        <v>38896940</v>
      </c>
      <c r="F26" s="2">
        <v>40452818</v>
      </c>
      <c r="G26" s="2">
        <v>42070930</v>
      </c>
      <c r="H26" s="2">
        <v>43333057.899999999</v>
      </c>
      <c r="I26" s="2">
        <v>44633049.637000002</v>
      </c>
      <c r="J26" s="2">
        <v>45972041.126110002</v>
      </c>
      <c r="K26" s="2">
        <v>47351202.359893307</v>
      </c>
      <c r="L26" s="2">
        <v>48771738.43069011</v>
      </c>
      <c r="M26" s="2">
        <v>50234890.583610818</v>
      </c>
      <c r="N26" s="2">
        <v>51741937.301119141</v>
      </c>
      <c r="O26" s="2">
        <v>53294195.420152716</v>
      </c>
      <c r="P26" s="2">
        <v>54893021.282757297</v>
      </c>
      <c r="Q26" s="2">
        <v>56539811.921240017</v>
      </c>
      <c r="R26" s="2">
        <v>58236006.278877221</v>
      </c>
      <c r="S26" s="2">
        <v>59983086.467243537</v>
      </c>
      <c r="T26" s="2">
        <v>61782579.061260842</v>
      </c>
      <c r="U26" s="2">
        <v>63636056.433098666</v>
      </c>
      <c r="V26" s="2">
        <v>65545138.126091629</v>
      </c>
    </row>
    <row r="27" spans="2:22" s="1" customFormat="1" x14ac:dyDescent="0.25">
      <c r="B27" s="1" t="s">
        <v>46</v>
      </c>
      <c r="C27" s="2">
        <v>0</v>
      </c>
      <c r="D27" s="2">
        <v>2000000</v>
      </c>
      <c r="E27" s="2">
        <v>12906100</v>
      </c>
      <c r="F27" s="2">
        <v>17914609.148348864</v>
      </c>
      <c r="G27" s="2">
        <v>15000000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2:22" s="1" customFormat="1" x14ac:dyDescent="0.25">
      <c r="B28" s="1" t="s">
        <v>47</v>
      </c>
      <c r="D28" s="2"/>
      <c r="E28" s="2"/>
      <c r="F28" s="2"/>
      <c r="G28" s="2"/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  <c r="V28" s="2">
        <v>26666666.666666668</v>
      </c>
    </row>
    <row r="29" spans="2:22" x14ac:dyDescent="0.25">
      <c r="B29" s="1" t="s">
        <v>49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A28" sqref="A28"/>
    </sheetView>
  </sheetViews>
  <sheetFormatPr defaultRowHeight="15" x14ac:dyDescent="0.25"/>
  <cols>
    <col min="1" max="1" width="56.7109375" bestFit="1" customWidth="1"/>
    <col min="2" max="7" width="15.28515625" bestFit="1" customWidth="1"/>
    <col min="8" max="21" width="16.28515625" bestFit="1" customWidth="1"/>
  </cols>
  <sheetData>
    <row r="1" spans="1:2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1" customForma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1" customFormat="1" x14ac:dyDescent="0.25">
      <c r="A3" s="1" t="s">
        <v>22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</row>
    <row r="4" spans="1:21" s="1" customFormat="1" x14ac:dyDescent="0.25">
      <c r="A4" s="1" t="s">
        <v>23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1" s="1" customFormat="1" x14ac:dyDescent="0.25">
      <c r="A5" s="1" t="s">
        <v>24</v>
      </c>
      <c r="B5" s="2">
        <v>1197800</v>
      </c>
      <c r="C5" s="2">
        <v>1233734</v>
      </c>
      <c r="D5" s="2">
        <v>1270746</v>
      </c>
      <c r="E5" s="2">
        <v>1308868</v>
      </c>
      <c r="F5" s="2">
        <v>1348134</v>
      </c>
      <c r="G5" s="2">
        <v>4068553.8180149999</v>
      </c>
      <c r="H5" s="2">
        <v>3468268</v>
      </c>
      <c r="I5" s="2">
        <v>3404620.4656919739</v>
      </c>
      <c r="J5" s="2">
        <v>3506759.0796627328</v>
      </c>
      <c r="K5" s="2">
        <v>5895314.9237537924</v>
      </c>
      <c r="L5" s="2">
        <v>3720320.7076141932</v>
      </c>
      <c r="M5" s="2">
        <v>3831930.328842619</v>
      </c>
      <c r="N5" s="2">
        <v>3946888.2387078977</v>
      </c>
      <c r="O5" s="2">
        <v>4065294.8858691347</v>
      </c>
      <c r="P5" s="2">
        <v>4187253.7324452088</v>
      </c>
      <c r="Q5" s="2">
        <v>4312871.3444185648</v>
      </c>
      <c r="R5" s="2">
        <v>4442257.4847511221</v>
      </c>
      <c r="S5" s="2">
        <v>4575525.2092936561</v>
      </c>
      <c r="T5" s="2">
        <v>4712790.9655724661</v>
      </c>
      <c r="U5" s="2">
        <v>4854174.6945396401</v>
      </c>
    </row>
    <row r="6" spans="1:21" s="1" customFormat="1" x14ac:dyDescent="0.25">
      <c r="A6" s="1" t="s">
        <v>25</v>
      </c>
      <c r="B6" s="2">
        <v>82827977</v>
      </c>
      <c r="C6" s="2">
        <v>88535698</v>
      </c>
      <c r="D6" s="2">
        <v>89576957</v>
      </c>
      <c r="E6" s="2">
        <v>90465997</v>
      </c>
      <c r="F6" s="2">
        <v>91960330</v>
      </c>
      <c r="G6" s="2">
        <v>95950488.718699992</v>
      </c>
      <c r="H6" s="2">
        <v>100113780.42420436</v>
      </c>
      <c r="I6" s="2">
        <v>104457717.35681058</v>
      </c>
      <c r="J6" s="2">
        <v>108990137.71292259</v>
      </c>
      <c r="K6" s="2">
        <v>113719219.7882863</v>
      </c>
      <c r="L6" s="2">
        <v>118653496.73490003</v>
      </c>
      <c r="M6" s="2">
        <v>123801871.95822732</v>
      </c>
      <c r="N6" s="2">
        <v>129173635.18249479</v>
      </c>
      <c r="O6" s="2">
        <v>134778479.21306324</v>
      </c>
      <c r="P6" s="2">
        <v>140626517.42611802</v>
      </c>
      <c r="Q6" s="2">
        <v>146728302.01723728</v>
      </c>
      <c r="R6" s="2">
        <v>153094843.04176521</v>
      </c>
      <c r="S6" s="2">
        <v>159737628.28134739</v>
      </c>
      <c r="T6" s="2">
        <v>166668643.97247505</v>
      </c>
      <c r="U6" s="2">
        <v>173900396.43444073</v>
      </c>
    </row>
    <row r="7" spans="1:21" s="1" customFormat="1" x14ac:dyDescent="0.25">
      <c r="A7" s="1" t="s">
        <v>26</v>
      </c>
      <c r="B7" s="2">
        <v>-1506100</v>
      </c>
      <c r="C7" s="2">
        <v>-1548400</v>
      </c>
      <c r="D7" s="2">
        <v>-3005100</v>
      </c>
      <c r="E7" s="2">
        <v>-3005100</v>
      </c>
      <c r="F7" s="2">
        <v>-3090366.1146333334</v>
      </c>
      <c r="G7" s="2">
        <v>-6848282.9612699989</v>
      </c>
      <c r="H7" s="2">
        <v>-7145429.9589595031</v>
      </c>
      <c r="I7" s="2">
        <v>-7455470.1648787558</v>
      </c>
      <c r="J7" s="2">
        <v>-7778963.015332845</v>
      </c>
      <c r="K7" s="2">
        <v>-8116492.2205681372</v>
      </c>
      <c r="L7" s="2">
        <v>-8468666.8180185873</v>
      </c>
      <c r="M7" s="2">
        <v>-8836122.2712524142</v>
      </c>
      <c r="N7" s="2">
        <v>-9219521.6166020557</v>
      </c>
      <c r="O7" s="2">
        <v>-9619556.6595464181</v>
      </c>
      <c r="P7" s="2">
        <v>-10036949.223004136</v>
      </c>
      <c r="Q7" s="2">
        <v>-10472452.449790284</v>
      </c>
      <c r="R7" s="2">
        <v>-10926852.161586685</v>
      </c>
      <c r="S7" s="2">
        <v>-11400968.27687793</v>
      </c>
      <c r="T7" s="2">
        <v>-11895656.290411662</v>
      </c>
      <c r="U7" s="2">
        <v>-12411808.816852624</v>
      </c>
    </row>
    <row r="8" spans="1:21" s="1" customFormat="1" x14ac:dyDescent="0.25">
      <c r="A8" s="1" t="s">
        <v>27</v>
      </c>
      <c r="B8" s="2">
        <v>18437063</v>
      </c>
      <c r="C8" s="2">
        <v>16848794</v>
      </c>
      <c r="D8" s="2">
        <v>23269899</v>
      </c>
      <c r="E8" s="2">
        <v>18943375</v>
      </c>
      <c r="F8" s="2">
        <v>19322242</v>
      </c>
      <c r="G8" s="2">
        <v>19901909.260000002</v>
      </c>
      <c r="H8" s="2">
        <v>20498966.537800003</v>
      </c>
      <c r="I8" s="2">
        <v>21113935.533934005</v>
      </c>
      <c r="J8" s="2">
        <v>21747353.599952023</v>
      </c>
      <c r="K8" s="2">
        <v>22399774.207950585</v>
      </c>
      <c r="L8" s="2">
        <v>23071767.434189104</v>
      </c>
      <c r="M8" s="2">
        <v>23763920.457214776</v>
      </c>
      <c r="N8" s="2">
        <v>24476838.070931219</v>
      </c>
      <c r="O8" s="2">
        <v>25211143.213059157</v>
      </c>
      <c r="P8" s="2">
        <v>25967477.509450931</v>
      </c>
      <c r="Q8" s="2">
        <v>26746501.834734458</v>
      </c>
      <c r="R8" s="2">
        <v>27548896.889776494</v>
      </c>
      <c r="S8" s="2">
        <v>28375363.796469789</v>
      </c>
      <c r="T8" s="2">
        <v>29226624.710363884</v>
      </c>
      <c r="U8" s="2">
        <v>30103423.4516748</v>
      </c>
    </row>
    <row r="9" spans="1:21" s="1" customFormat="1" x14ac:dyDescent="0.25">
      <c r="A9" s="1" t="s">
        <v>28</v>
      </c>
      <c r="B9" s="2">
        <v>30000</v>
      </c>
      <c r="C9" s="2">
        <v>30000</v>
      </c>
      <c r="D9" s="2">
        <v>30000</v>
      </c>
      <c r="E9" s="2">
        <v>30000</v>
      </c>
      <c r="F9" s="2">
        <v>30600</v>
      </c>
      <c r="G9" s="2">
        <v>31518</v>
      </c>
      <c r="H9" s="2">
        <v>32463.54</v>
      </c>
      <c r="I9" s="2">
        <v>33437.446199999998</v>
      </c>
      <c r="J9" s="2">
        <v>34440.569585999998</v>
      </c>
      <c r="K9" s="2">
        <v>35473.786673579998</v>
      </c>
      <c r="L9" s="2">
        <v>36538.000273787402</v>
      </c>
      <c r="M9" s="2">
        <v>37634.140282001026</v>
      </c>
      <c r="N9" s="2">
        <v>38763.164490461058</v>
      </c>
      <c r="O9" s="2">
        <v>39926.059425174892</v>
      </c>
      <c r="P9" s="2">
        <v>41123.841207930142</v>
      </c>
      <c r="Q9" s="2">
        <v>42357.556444168047</v>
      </c>
      <c r="R9" s="2">
        <v>43628.28313749309</v>
      </c>
      <c r="S9" s="2">
        <v>44937.131631617885</v>
      </c>
      <c r="T9" s="2">
        <v>46285.245580566421</v>
      </c>
      <c r="U9" s="2">
        <v>47673.802947983415</v>
      </c>
    </row>
    <row r="10" spans="1:21" s="1" customFormat="1" x14ac:dyDescent="0.25">
      <c r="A10" s="1" t="s">
        <v>29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1" s="1" customFormat="1" x14ac:dyDescent="0.25">
      <c r="A11" s="1" t="s">
        <v>30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1" s="1" customFormat="1" x14ac:dyDescent="0.25">
      <c r="A12" s="1" t="s">
        <v>31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s="1" customFormat="1" x14ac:dyDescent="0.25">
      <c r="A13" s="1" t="s">
        <v>32</v>
      </c>
      <c r="B13" s="2">
        <v>4800000</v>
      </c>
      <c r="C13" s="2">
        <v>4800000</v>
      </c>
      <c r="D13" s="2">
        <v>3360000</v>
      </c>
      <c r="E13" s="2">
        <v>3360000</v>
      </c>
      <c r="F13" s="2">
        <v>3427200</v>
      </c>
      <c r="G13" s="2">
        <v>579637.03714999987</v>
      </c>
      <c r="H13" s="2">
        <v>597026.14826449985</v>
      </c>
      <c r="I13" s="2">
        <v>614936.93271243491</v>
      </c>
      <c r="J13" s="2">
        <v>633385.040693808</v>
      </c>
      <c r="K13" s="2">
        <v>652386.59191462223</v>
      </c>
      <c r="L13" s="2">
        <v>671958.18967206089</v>
      </c>
      <c r="M13" s="2">
        <v>692116.93536222272</v>
      </c>
      <c r="N13" s="2">
        <v>712880.44342308945</v>
      </c>
      <c r="O13" s="2">
        <v>734266.85672578216</v>
      </c>
      <c r="P13" s="2">
        <v>756294.86242755561</v>
      </c>
      <c r="Q13" s="2">
        <v>778983.70830038225</v>
      </c>
      <c r="R13" s="2">
        <v>802353.21954939375</v>
      </c>
      <c r="S13" s="2">
        <v>826423.81613587553</v>
      </c>
      <c r="T13" s="2">
        <v>851216.53061995178</v>
      </c>
      <c r="U13" s="2">
        <v>876753.02653855039</v>
      </c>
    </row>
    <row r="14" spans="1:21" s="1" customFormat="1" x14ac:dyDescent="0.25">
      <c r="A14" s="1" t="s">
        <v>33</v>
      </c>
      <c r="B14" s="2">
        <v>169689</v>
      </c>
      <c r="C14" s="2">
        <v>169374</v>
      </c>
      <c r="D14" s="2">
        <v>168945</v>
      </c>
      <c r="E14" s="2">
        <v>168517.0865953452</v>
      </c>
      <c r="F14" s="2">
        <v>171887</v>
      </c>
      <c r="G14" s="2">
        <v>177160</v>
      </c>
      <c r="H14" s="2">
        <v>182474.80000000002</v>
      </c>
      <c r="I14" s="2">
        <v>93974.522000000012</v>
      </c>
      <c r="J14" s="2">
        <v>48396.878830000009</v>
      </c>
      <c r="K14" s="2">
        <v>24924.392597450005</v>
      </c>
      <c r="L14" s="2">
        <v>12836.062187686754</v>
      </c>
      <c r="M14" s="2">
        <v>6610.5720266586786</v>
      </c>
      <c r="N14" s="2">
        <v>3404.4445937292194</v>
      </c>
      <c r="O14" s="2">
        <v>1753.288965770548</v>
      </c>
      <c r="P14" s="2">
        <v>902.94381737183221</v>
      </c>
      <c r="Q14" s="2">
        <v>465.0160659464936</v>
      </c>
      <c r="R14" s="2">
        <v>239.4832739624442</v>
      </c>
      <c r="S14" s="2">
        <v>123.33388609065877</v>
      </c>
      <c r="T14" s="2">
        <v>63.516951336689267</v>
      </c>
      <c r="U14" s="2">
        <v>32.711229938394972</v>
      </c>
    </row>
    <row r="15" spans="1:21" s="1" customFormat="1" x14ac:dyDescent="0.25">
      <c r="A15" s="1" t="s">
        <v>34</v>
      </c>
      <c r="B15" s="2">
        <v>54829600</v>
      </c>
      <c r="C15" s="2">
        <v>54879300</v>
      </c>
      <c r="D15" s="2">
        <v>55658300</v>
      </c>
      <c r="E15" s="2">
        <v>56448357.7394391</v>
      </c>
      <c r="F15" s="2">
        <v>57577325</v>
      </c>
      <c r="G15" s="2">
        <v>38603826.674189992</v>
      </c>
      <c r="H15" s="2">
        <v>39761941.47441569</v>
      </c>
      <c r="I15" s="2">
        <v>40954799.718648158</v>
      </c>
      <c r="J15" s="2">
        <v>42183443.710207604</v>
      </c>
      <c r="K15" s="2">
        <v>43448947.021513835</v>
      </c>
      <c r="L15" s="2">
        <v>44752415.432159252</v>
      </c>
      <c r="M15" s="2">
        <v>46094987.895124033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1" s="1" customFormat="1" x14ac:dyDescent="0.25">
      <c r="A16" s="1" t="s">
        <v>35</v>
      </c>
      <c r="B16" s="2">
        <v>2061248</v>
      </c>
      <c r="C16" s="2">
        <v>2011863</v>
      </c>
      <c r="D16" s="2">
        <v>2673292</v>
      </c>
      <c r="E16" s="2">
        <v>1883662</v>
      </c>
      <c r="F16" s="2">
        <v>1921335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s="1" customFormat="1" x14ac:dyDescent="0.25">
      <c r="A17" s="1" t="s">
        <v>36</v>
      </c>
      <c r="B17" s="2">
        <v>188000</v>
      </c>
      <c r="C17" s="2">
        <v>806000</v>
      </c>
      <c r="D17" s="2">
        <v>44000000</v>
      </c>
      <c r="E17" s="2">
        <v>39500000</v>
      </c>
      <c r="F17" s="2">
        <v>31000000</v>
      </c>
      <c r="G17" s="2">
        <v>28981851.857499994</v>
      </c>
      <c r="H17" s="2">
        <v>29851307.413224995</v>
      </c>
      <c r="I17" s="2">
        <v>30746846.635621745</v>
      </c>
      <c r="J17" s="2">
        <v>31669252.034690399</v>
      </c>
      <c r="K17" s="2">
        <v>32619329.595731113</v>
      </c>
      <c r="L17" s="2">
        <v>33597909.483603045</v>
      </c>
      <c r="M17" s="2">
        <v>34605846.76811114</v>
      </c>
      <c r="N17" s="2">
        <v>35644022.171154477</v>
      </c>
      <c r="O17" s="2">
        <v>29370674.269031279</v>
      </c>
      <c r="P17" s="2">
        <v>30251794.49710222</v>
      </c>
      <c r="Q17" s="2">
        <v>31159348.332015287</v>
      </c>
      <c r="R17" s="2">
        <v>32094128.781975746</v>
      </c>
      <c r="S17" s="2">
        <v>33056952.64543502</v>
      </c>
      <c r="T17" s="2">
        <v>34048661.224798068</v>
      </c>
      <c r="U17" s="2">
        <v>35070121.061542012</v>
      </c>
    </row>
    <row r="18" spans="1:21" s="1" customFormat="1" x14ac:dyDescent="0.25">
      <c r="A18" s="1" t="s">
        <v>37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s="1" customFormat="1" x14ac:dyDescent="0.25">
      <c r="A19" s="1" t="s">
        <v>38</v>
      </c>
      <c r="B19" s="2">
        <v>4096400</v>
      </c>
      <c r="C19" s="2">
        <v>4148797</v>
      </c>
      <c r="D19" s="2">
        <v>4231773</v>
      </c>
      <c r="E19" s="2">
        <v>4316408</v>
      </c>
      <c r="F19" s="2">
        <v>4402737</v>
      </c>
      <c r="G19" s="2">
        <v>5564819.1100000003</v>
      </c>
      <c r="H19" s="2">
        <v>5731763.6833000006</v>
      </c>
      <c r="I19" s="2">
        <v>5903716.5937990006</v>
      </c>
      <c r="J19" s="2">
        <v>6080828.0916129705</v>
      </c>
      <c r="K19" s="2">
        <v>6263252.93436136</v>
      </c>
      <c r="L19" s="2">
        <v>6451150.5223922012</v>
      </c>
      <c r="M19" s="2">
        <v>6644685.0380639676</v>
      </c>
      <c r="N19" s="2">
        <v>6844025.5892058872</v>
      </c>
      <c r="O19" s="2">
        <v>7049346.3568820637</v>
      </c>
      <c r="P19" s="2">
        <v>7260826.7475885255</v>
      </c>
      <c r="Q19" s="2">
        <v>7478651.5500161815</v>
      </c>
      <c r="R19" s="2">
        <v>7703011.0965166669</v>
      </c>
      <c r="S19" s="2">
        <v>7934101.4294121675</v>
      </c>
      <c r="T19" s="2">
        <v>8172124.4722945327</v>
      </c>
      <c r="U19" s="2">
        <v>8417288.2064633686</v>
      </c>
    </row>
    <row r="20" spans="1:21" s="1" customFormat="1" x14ac:dyDescent="0.25">
      <c r="A20" s="1" t="s">
        <v>39</v>
      </c>
      <c r="B20" s="2">
        <v>4500000</v>
      </c>
      <c r="C20" s="2">
        <v>6840000</v>
      </c>
      <c r="D20" s="2">
        <v>9363600</v>
      </c>
      <c r="E20" s="2">
        <v>9560000</v>
      </c>
      <c r="F20" s="2">
        <v>9741889</v>
      </c>
      <c r="G20" s="2">
        <v>15960959.935209997</v>
      </c>
      <c r="H20" s="2">
        <v>16653505.986798758</v>
      </c>
      <c r="I20" s="2">
        <v>17376101.611565955</v>
      </c>
      <c r="J20" s="2">
        <v>18130050.660491802</v>
      </c>
      <c r="K20" s="2">
        <v>18916713.558650538</v>
      </c>
      <c r="L20" s="2">
        <v>19737509.759960383</v>
      </c>
      <c r="M20" s="2">
        <v>20593920.308445062</v>
      </c>
      <c r="N20" s="2">
        <v>21487490.510628492</v>
      </c>
      <c r="O20" s="2">
        <v>22419832.723884657</v>
      </c>
      <c r="P20" s="2">
        <v>23392629.265774012</v>
      </c>
      <c r="Q20" s="2">
        <v>24407635.449615944</v>
      </c>
      <c r="R20" s="2">
        <v>25466682.75177478</v>
      </c>
      <c r="S20" s="2">
        <v>26571682.116374284</v>
      </c>
      <c r="T20" s="2">
        <v>27724627.403403763</v>
      </c>
      <c r="U20" s="2">
        <v>28927598.986437447</v>
      </c>
    </row>
    <row r="21" spans="1:21" s="1" customFormat="1" x14ac:dyDescent="0.25">
      <c r="A21" s="1" t="s">
        <v>40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s="1" customFormat="1" x14ac:dyDescent="0.25">
      <c r="A22" s="1" t="s">
        <v>41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s="1" customFormat="1" x14ac:dyDescent="0.25">
      <c r="A23" s="1" t="s">
        <v>42</v>
      </c>
      <c r="B23" s="2">
        <v>5848376</v>
      </c>
      <c r="C23" s="2">
        <v>1000000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s="1" customFormat="1" x14ac:dyDescent="0.25">
      <c r="A24" s="1" t="s">
        <v>43</v>
      </c>
      <c r="B24" s="2">
        <v>4764888</v>
      </c>
      <c r="C24" s="2">
        <v>1000000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s="1" customFormat="1" x14ac:dyDescent="0.25">
      <c r="A25" s="1" t="s">
        <v>44</v>
      </c>
      <c r="B25" s="2">
        <v>10000000</v>
      </c>
      <c r="C25" s="2">
        <v>25000000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s="1" customFormat="1" x14ac:dyDescent="0.25">
      <c r="A26" s="1" t="s">
        <v>45</v>
      </c>
      <c r="B26" s="2">
        <v>35962407</v>
      </c>
      <c r="C26" s="2">
        <v>37400904</v>
      </c>
      <c r="D26" s="2">
        <v>38896940</v>
      </c>
      <c r="E26" s="2">
        <v>40452818</v>
      </c>
      <c r="F26" s="2">
        <v>42070930</v>
      </c>
      <c r="G26" s="2">
        <v>43333057.899999999</v>
      </c>
      <c r="H26" s="2">
        <v>44633049.637000002</v>
      </c>
      <c r="I26" s="2">
        <v>45972041.126110002</v>
      </c>
      <c r="J26" s="2">
        <v>47351202.359893307</v>
      </c>
      <c r="K26" s="2">
        <v>48771738.43069011</v>
      </c>
      <c r="L26" s="2">
        <v>50234890.583610818</v>
      </c>
      <c r="M26" s="2">
        <v>51741937.301119141</v>
      </c>
      <c r="N26" s="2">
        <v>53294195.420152716</v>
      </c>
      <c r="O26" s="2">
        <v>54893021.282757297</v>
      </c>
      <c r="P26" s="2">
        <v>56539811.921240017</v>
      </c>
      <c r="Q26" s="2">
        <v>58236006.278877221</v>
      </c>
      <c r="R26" s="2">
        <v>59983086.467243537</v>
      </c>
      <c r="S26" s="2">
        <v>61782579.061260842</v>
      </c>
      <c r="T26" s="2">
        <v>63636056.433098666</v>
      </c>
      <c r="U26" s="2">
        <v>65545138.126091629</v>
      </c>
    </row>
    <row r="27" spans="1:21" s="1" customFormat="1" x14ac:dyDescent="0.25">
      <c r="A27" s="1" t="s">
        <v>46</v>
      </c>
      <c r="B27" s="2">
        <v>0</v>
      </c>
      <c r="C27" s="2">
        <v>2000000</v>
      </c>
      <c r="D27" s="2">
        <v>12906100</v>
      </c>
      <c r="E27" s="2">
        <v>17914609.148348864</v>
      </c>
      <c r="F27" s="2">
        <v>15000000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s="1" customFormat="1" x14ac:dyDescent="0.25">
      <c r="A28" s="1" t="s">
        <v>47</v>
      </c>
      <c r="C28" s="2"/>
      <c r="D28" s="2"/>
      <c r="E28" s="2"/>
      <c r="F28" s="2"/>
      <c r="G28" s="2">
        <v>26666666.666666668</v>
      </c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E16" sqref="E16"/>
    </sheetView>
  </sheetViews>
  <sheetFormatPr defaultRowHeight="15" x14ac:dyDescent="0.25"/>
  <cols>
    <col min="1" max="1" width="18.28515625" customWidth="1"/>
    <col min="2" max="2" width="16.28515625" customWidth="1"/>
    <col min="3" max="6" width="13.7109375" customWidth="1"/>
    <col min="7" max="7" width="13.42578125" customWidth="1"/>
    <col min="8" max="11" width="12.5703125" customWidth="1"/>
    <col min="12" max="16" width="13.7109375" customWidth="1"/>
  </cols>
  <sheetData>
    <row r="3" spans="1:16" x14ac:dyDescent="0.25">
      <c r="B3" s="14" t="s">
        <v>222</v>
      </c>
    </row>
    <row r="4" spans="1:16" x14ac:dyDescent="0.25">
      <c r="B4" t="s">
        <v>220</v>
      </c>
      <c r="G4" t="s">
        <v>221</v>
      </c>
      <c r="L4" t="s">
        <v>236</v>
      </c>
      <c r="M4" t="s">
        <v>238</v>
      </c>
      <c r="N4" t="s">
        <v>242</v>
      </c>
      <c r="O4" t="s">
        <v>240</v>
      </c>
      <c r="P4" t="s">
        <v>244</v>
      </c>
    </row>
    <row r="5" spans="1:16" x14ac:dyDescent="0.25">
      <c r="A5" s="14" t="s">
        <v>224</v>
      </c>
      <c r="B5" t="s">
        <v>237</v>
      </c>
      <c r="C5" t="s">
        <v>239</v>
      </c>
      <c r="D5" t="s">
        <v>243</v>
      </c>
      <c r="E5" t="s">
        <v>241</v>
      </c>
      <c r="F5" t="s">
        <v>245</v>
      </c>
      <c r="G5" t="s">
        <v>237</v>
      </c>
      <c r="H5" t="s">
        <v>239</v>
      </c>
      <c r="I5" t="s">
        <v>243</v>
      </c>
      <c r="J5" t="s">
        <v>241</v>
      </c>
      <c r="K5" t="s">
        <v>245</v>
      </c>
    </row>
    <row r="6" spans="1:16" x14ac:dyDescent="0.25">
      <c r="A6" s="15" t="s">
        <v>233</v>
      </c>
      <c r="B6" s="17">
        <v>6870000</v>
      </c>
      <c r="C6" s="17">
        <v>9393600</v>
      </c>
      <c r="D6" s="17">
        <v>9590000</v>
      </c>
      <c r="E6" s="17">
        <v>9771889</v>
      </c>
      <c r="F6" s="17">
        <v>9772489</v>
      </c>
      <c r="G6" s="17">
        <v>8308399.0385887995</v>
      </c>
      <c r="H6" s="17">
        <v>19000000</v>
      </c>
      <c r="I6" s="17">
        <v>22000000</v>
      </c>
      <c r="J6" s="17">
        <v>22000000</v>
      </c>
      <c r="K6" s="17">
        <v>22000000</v>
      </c>
      <c r="L6" s="17">
        <v>15178399.0385888</v>
      </c>
      <c r="M6" s="17">
        <v>28393600</v>
      </c>
      <c r="N6" s="17">
        <v>31590000</v>
      </c>
      <c r="O6" s="17">
        <v>31771889</v>
      </c>
      <c r="P6" s="17">
        <v>31772489</v>
      </c>
    </row>
    <row r="7" spans="1:16" x14ac:dyDescent="0.25">
      <c r="A7" s="15" t="s">
        <v>231</v>
      </c>
      <c r="B7" s="17">
        <v>6249924.0977411997</v>
      </c>
      <c r="C7" s="17">
        <v>6439287.0677271243</v>
      </c>
      <c r="D7" s="17">
        <v>6632465.679758938</v>
      </c>
      <c r="E7" s="17">
        <v>6831439.6501517063</v>
      </c>
      <c r="F7" s="17">
        <v>7036382.839656258</v>
      </c>
      <c r="G7" s="17">
        <v>7841175.7765739998</v>
      </c>
      <c r="H7" s="17">
        <v>8070471.1443893798</v>
      </c>
      <c r="I7" s="17">
        <v>8306646.9787210599</v>
      </c>
      <c r="J7" s="17">
        <v>8549904.6880826913</v>
      </c>
      <c r="K7" s="17">
        <v>8800461.6287251692</v>
      </c>
      <c r="L7" s="17">
        <v>14091099.874315199</v>
      </c>
      <c r="M7" s="17">
        <v>14509758.212116504</v>
      </c>
      <c r="N7" s="17">
        <v>14939112.658479998</v>
      </c>
      <c r="O7" s="17">
        <v>15381344.338234399</v>
      </c>
      <c r="P7" s="17">
        <v>15836844.468381427</v>
      </c>
    </row>
    <row r="8" spans="1:16" x14ac:dyDescent="0.25">
      <c r="A8" s="15" t="s">
        <v>230</v>
      </c>
      <c r="B8" s="17">
        <v>88359843.868892178</v>
      </c>
      <c r="C8" s="17">
        <v>96241412.448902041</v>
      </c>
      <c r="D8" s="17">
        <v>96630529.202399895</v>
      </c>
      <c r="E8" s="17">
        <v>96832292.05817388</v>
      </c>
      <c r="F8" s="17">
        <v>97346277.951093644</v>
      </c>
      <c r="G8" s="17">
        <v>12584322.500210799</v>
      </c>
      <c r="H8" s="17">
        <v>41322756</v>
      </c>
      <c r="I8" s="17">
        <v>22709737</v>
      </c>
      <c r="J8" s="17">
        <v>15758125.34</v>
      </c>
      <c r="K8" s="17">
        <v>15958991.3202</v>
      </c>
      <c r="L8" s="17">
        <v>100944166.36910298</v>
      </c>
      <c r="M8" s="17">
        <v>137564168.44890204</v>
      </c>
      <c r="N8" s="17">
        <v>119340266.20239989</v>
      </c>
      <c r="O8" s="17">
        <v>112590417.39817388</v>
      </c>
      <c r="P8" s="17">
        <v>113305269.27129364</v>
      </c>
    </row>
    <row r="9" spans="1:16" x14ac:dyDescent="0.25">
      <c r="A9" s="15" t="s">
        <v>232</v>
      </c>
      <c r="B9" s="17">
        <v>117633127.00027549</v>
      </c>
      <c r="C9" s="17">
        <v>82349778.841599494</v>
      </c>
      <c r="D9" s="17">
        <v>66621364.92288065</v>
      </c>
      <c r="E9" s="17">
        <v>68681439.288202852</v>
      </c>
      <c r="F9" s="17">
        <v>70805513.310174853</v>
      </c>
      <c r="G9" s="17"/>
      <c r="H9" s="17"/>
      <c r="I9" s="17"/>
      <c r="J9" s="17"/>
      <c r="K9" s="17"/>
      <c r="L9" s="17">
        <v>117633127.00027549</v>
      </c>
      <c r="M9" s="17">
        <v>82349778.841599494</v>
      </c>
      <c r="N9" s="17">
        <v>66621364.92288065</v>
      </c>
      <c r="O9" s="17">
        <v>68681439.288202852</v>
      </c>
      <c r="P9" s="17">
        <v>70805513.310174853</v>
      </c>
    </row>
    <row r="10" spans="1:16" x14ac:dyDescent="0.25">
      <c r="A10" s="15" t="s">
        <v>223</v>
      </c>
      <c r="B10" s="17">
        <v>219112894.96690887</v>
      </c>
      <c r="C10" s="17">
        <v>194424078.35822865</v>
      </c>
      <c r="D10" s="17">
        <v>179474359.80503947</v>
      </c>
      <c r="E10" s="17">
        <v>182117059.99652845</v>
      </c>
      <c r="F10" s="17">
        <v>184960663.10092476</v>
      </c>
      <c r="G10" s="17">
        <v>28733897.3153736</v>
      </c>
      <c r="H10" s="17">
        <v>68393227.144389376</v>
      </c>
      <c r="I10" s="17">
        <v>53016383.97872106</v>
      </c>
      <c r="J10" s="17">
        <v>46308030.028082691</v>
      </c>
      <c r="K10" s="17">
        <v>46759452.948925167</v>
      </c>
      <c r="L10" s="17">
        <v>247846792.28228247</v>
      </c>
      <c r="M10" s="17">
        <v>262817305.50261804</v>
      </c>
      <c r="N10" s="17">
        <v>232490743.78376055</v>
      </c>
      <c r="O10" s="17">
        <v>228425090.02461115</v>
      </c>
      <c r="P10" s="17">
        <v>231720116.04984993</v>
      </c>
    </row>
    <row r="13" spans="1:16" x14ac:dyDescent="0.25">
      <c r="B13" t="s">
        <v>249</v>
      </c>
      <c r="C13" t="s">
        <v>250</v>
      </c>
    </row>
    <row r="14" spans="1:16" x14ac:dyDescent="0.25">
      <c r="A14" t="s">
        <v>246</v>
      </c>
      <c r="B14" s="16">
        <f>SUM(B6:F6)/SUM(L6:P6)</f>
        <v>0.32729553585968191</v>
      </c>
      <c r="C14" s="16">
        <f>SUM(G6:K6)/SUM(L6:P6)</f>
        <v>0.67270446414031804</v>
      </c>
    </row>
    <row r="15" spans="1:16" x14ac:dyDescent="0.25">
      <c r="A15" t="s">
        <v>247</v>
      </c>
      <c r="B15" s="16">
        <f>SUM(B7:F7)/SUM(L7:P7)</f>
        <v>0.44395821852943235</v>
      </c>
      <c r="C15" s="16">
        <f>SUM(G7:K7)/SUM(L7:P7)</f>
        <v>0.55604178147056771</v>
      </c>
    </row>
    <row r="16" spans="1:16" x14ac:dyDescent="0.25">
      <c r="A16" t="s">
        <v>248</v>
      </c>
      <c r="B16" s="16">
        <f>SUM(B8:F8)/SUM(L8:P8)</f>
        <v>0.81441543078882206</v>
      </c>
      <c r="C16" s="16">
        <f>SUM(G8:K8)/SUM(L8:P8)</f>
        <v>0.18558456921117775</v>
      </c>
    </row>
  </sheetData>
  <pageMargins left="0.7" right="0.7" top="0.75" bottom="0.75" header="0.3" footer="0.3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1" sqref="D11"/>
    </sheetView>
  </sheetViews>
  <sheetFormatPr defaultRowHeight="15" x14ac:dyDescent="0.25"/>
  <cols>
    <col min="1" max="1" width="34.5703125" customWidth="1"/>
    <col min="2" max="2" width="18" bestFit="1" customWidth="1"/>
    <col min="4" max="4" width="12" bestFit="1" customWidth="1"/>
  </cols>
  <sheetData>
    <row r="1" spans="1:5" x14ac:dyDescent="0.25">
      <c r="A1" t="s">
        <v>322</v>
      </c>
      <c r="B1" t="s">
        <v>321</v>
      </c>
      <c r="C1" t="s">
        <v>255</v>
      </c>
      <c r="D1" t="s">
        <v>326</v>
      </c>
    </row>
    <row r="2" spans="1:5" x14ac:dyDescent="0.25">
      <c r="A2" s="29" t="s">
        <v>315</v>
      </c>
      <c r="B2" s="20">
        <f>SUM('Scenario Cost Data Summary'!B4:W4)</f>
        <v>4496236140.5592461</v>
      </c>
      <c r="D2" s="20">
        <f>'Scenario capex 2024-2050'!W4</f>
        <v>210335568.35638341</v>
      </c>
    </row>
    <row r="3" spans="1:5" x14ac:dyDescent="0.25">
      <c r="A3" s="19" t="s">
        <v>295</v>
      </c>
      <c r="B3" s="20">
        <f>SUM('Scenario Cost Data Summary'!B5:W5)</f>
        <v>3664914438.8594942</v>
      </c>
      <c r="C3" s="2">
        <f>B$2-B3</f>
        <v>831321701.69975185</v>
      </c>
      <c r="D3" s="20">
        <f>SUM('Scenario Cost Data Summary'!W5:W5)</f>
        <v>132097274.0378084</v>
      </c>
      <c r="E3" s="2">
        <f>D$2-D3</f>
        <v>78238294.31857501</v>
      </c>
    </row>
    <row r="4" spans="1:5" x14ac:dyDescent="0.25">
      <c r="A4" s="19" t="s">
        <v>296</v>
      </c>
      <c r="B4" s="20">
        <f>SUM('Scenario Cost Data Summary'!B6:W6)</f>
        <v>3664914438.8594942</v>
      </c>
      <c r="C4" s="2">
        <f t="shared" ref="C4:C6" si="0">B$2-B4</f>
        <v>831321701.69975185</v>
      </c>
      <c r="D4" s="20">
        <f>SUM('Scenario Cost Data Summary'!W6:W6)</f>
        <v>132097274.0378084</v>
      </c>
      <c r="E4" s="2">
        <f t="shared" ref="E4:E6" si="1">D$2-D4</f>
        <v>78238294.31857501</v>
      </c>
    </row>
    <row r="5" spans="1:5" x14ac:dyDescent="0.25">
      <c r="A5" s="19" t="s">
        <v>297</v>
      </c>
      <c r="B5" s="20">
        <f>SUM('Scenario Cost Data Summary'!B7:W7)</f>
        <v>4474191132.8751221</v>
      </c>
      <c r="C5" s="2">
        <f t="shared" si="0"/>
        <v>22045007.684123993</v>
      </c>
      <c r="D5" s="20">
        <f>SUM('Scenario Cost Data Summary'!W7:W7)</f>
        <v>207724913.64089462</v>
      </c>
      <c r="E5" s="2">
        <f t="shared" si="1"/>
        <v>2610654.7154887915</v>
      </c>
    </row>
    <row r="6" spans="1:5" x14ac:dyDescent="0.25">
      <c r="A6" s="19" t="s">
        <v>298</v>
      </c>
      <c r="B6" s="20">
        <f>SUM('Scenario Cost Data Summary'!B8:W8)</f>
        <v>4361395088.4260197</v>
      </c>
      <c r="C6" s="2">
        <f t="shared" si="0"/>
        <v>134841052.13322639</v>
      </c>
      <c r="D6" s="20">
        <f>SUM('Scenario Cost Data Summary'!W8:W8)</f>
        <v>195333604.19304895</v>
      </c>
      <c r="E6" s="2">
        <f t="shared" si="1"/>
        <v>15001964.163334459</v>
      </c>
    </row>
    <row r="11" spans="1:5" x14ac:dyDescent="0.25">
      <c r="A11" t="s">
        <v>323</v>
      </c>
      <c r="B11" t="s">
        <v>321</v>
      </c>
      <c r="C11" t="s">
        <v>255</v>
      </c>
      <c r="D11" t="s">
        <v>326</v>
      </c>
    </row>
    <row r="12" spans="1:5" x14ac:dyDescent="0.25">
      <c r="A12" s="29" t="s">
        <v>315</v>
      </c>
      <c r="B12" s="49">
        <f>SUM('Scenario Cost Data Summary'!B21:W21)</f>
        <v>6371.6358130221024</v>
      </c>
      <c r="D12" s="49">
        <f>SUM('Scenario Cost Data Summary'!W21:W21)</f>
        <v>402.86155053533463</v>
      </c>
    </row>
    <row r="13" spans="1:5" x14ac:dyDescent="0.25">
      <c r="A13" s="19" t="s">
        <v>295</v>
      </c>
      <c r="B13" s="49">
        <f>SUM('Scenario Cost Data Summary'!B22:W22)</f>
        <v>3970.9052015128113</v>
      </c>
      <c r="C13" s="49">
        <f>B$12-B13</f>
        <v>2400.7306115092911</v>
      </c>
      <c r="D13" s="49">
        <f>SUM('Scenario Cost Data Summary'!W22:W22)</f>
        <v>131.3433132718587</v>
      </c>
      <c r="E13" s="49">
        <f>D$12-D13</f>
        <v>271.51823726347595</v>
      </c>
    </row>
    <row r="14" spans="1:5" x14ac:dyDescent="0.25">
      <c r="A14" s="19" t="s">
        <v>296</v>
      </c>
      <c r="B14" s="49">
        <f>SUM('Scenario Cost Data Summary'!B23:W23)</f>
        <v>3710.1505048262338</v>
      </c>
      <c r="C14" s="49">
        <f>B$12-B14</f>
        <v>2661.4853081958686</v>
      </c>
      <c r="D14" s="49">
        <f>SUM('Scenario Cost Data Summary'!W23:W23)</f>
        <v>131.3433132718587</v>
      </c>
      <c r="E14" s="49">
        <f t="shared" ref="E14:E16" si="2">D$12-D14</f>
        <v>271.51823726347595</v>
      </c>
    </row>
    <row r="15" spans="1:5" x14ac:dyDescent="0.25">
      <c r="A15" s="19" t="s">
        <v>297</v>
      </c>
      <c r="B15" s="49">
        <f>SUM('Scenario Cost Data Summary'!B24:W24)</f>
        <v>6300.2709661588879</v>
      </c>
      <c r="C15" s="49">
        <f>B$12-B15</f>
        <v>71.364846863214552</v>
      </c>
      <c r="D15" s="49">
        <f>SUM('Scenario Cost Data Summary'!W24:W24)</f>
        <v>393.80139192613143</v>
      </c>
      <c r="E15" s="49">
        <f t="shared" si="2"/>
        <v>9.0601586092031994</v>
      </c>
    </row>
    <row r="16" spans="1:5" x14ac:dyDescent="0.25">
      <c r="A16" s="19" t="s">
        <v>298</v>
      </c>
      <c r="B16" s="49">
        <f>SUM('Scenario Cost Data Summary'!B25:W25)</f>
        <v>5937.2826147030792</v>
      </c>
      <c r="C16" s="49">
        <f>B$12-B16</f>
        <v>434.35319831902325</v>
      </c>
      <c r="D16" s="49">
        <f>SUM('Scenario Cost Data Summary'!W25:W25)</f>
        <v>350.79871294243327</v>
      </c>
      <c r="E16" s="49">
        <f t="shared" si="2"/>
        <v>52.06283759290136</v>
      </c>
    </row>
    <row r="19" spans="1:6" x14ac:dyDescent="0.25">
      <c r="A19" s="19" t="s">
        <v>324</v>
      </c>
      <c r="B19" s="19" t="s">
        <v>325</v>
      </c>
      <c r="D19">
        <v>2045</v>
      </c>
      <c r="E19" t="s">
        <v>327</v>
      </c>
      <c r="F19" t="s">
        <v>328</v>
      </c>
    </row>
    <row r="20" spans="1:6" x14ac:dyDescent="0.25">
      <c r="A20" s="29" t="s">
        <v>315</v>
      </c>
      <c r="B20" s="82">
        <f>'Customer summary'!D6</f>
        <v>882959.74890007917</v>
      </c>
      <c r="C20" s="82"/>
      <c r="D20" s="82">
        <f>'Customer summary'!Y39</f>
        <v>1084060.5</v>
      </c>
      <c r="E20" s="16">
        <f>(D20-B20)/B20</f>
        <v>0.22775755219922098</v>
      </c>
    </row>
    <row r="21" spans="1:6" x14ac:dyDescent="0.25">
      <c r="A21" s="19" t="s">
        <v>295</v>
      </c>
      <c r="B21" s="82">
        <f>B$20</f>
        <v>882959.74890007917</v>
      </c>
      <c r="C21" s="82"/>
      <c r="D21" s="82">
        <f>'Customer summary'!Y6</f>
        <v>353432.11491968954</v>
      </c>
      <c r="E21" s="16">
        <f t="shared" ref="E21:E24" si="3">(D21-B21)/B21</f>
        <v>-0.59971888258783368</v>
      </c>
      <c r="F21" s="16">
        <f>(D21-D$20)/D$20</f>
        <v>-0.67397380965389897</v>
      </c>
    </row>
    <row r="22" spans="1:6" x14ac:dyDescent="0.25">
      <c r="A22" s="19" t="s">
        <v>296</v>
      </c>
      <c r="B22" s="82">
        <f t="shared" ref="B22:B24" si="4">B$20</f>
        <v>882959.74890007917</v>
      </c>
      <c r="C22" s="82"/>
      <c r="D22" s="82">
        <f>'Customer summary'!Y14</f>
        <v>353432.11491968954</v>
      </c>
      <c r="E22" s="16">
        <f t="shared" si="3"/>
        <v>-0.59971888258783368</v>
      </c>
      <c r="F22" s="16">
        <f t="shared" ref="F22:F24" si="5">(D22-D$20)/D$20</f>
        <v>-0.67397380965389897</v>
      </c>
    </row>
    <row r="23" spans="1:6" x14ac:dyDescent="0.25">
      <c r="A23" s="19" t="s">
        <v>297</v>
      </c>
      <c r="B23" s="82">
        <f t="shared" si="4"/>
        <v>882959.74890007917</v>
      </c>
      <c r="C23" s="82"/>
      <c r="D23" s="82">
        <f>'Customer summary'!Y22</f>
        <v>1059680.8984839809</v>
      </c>
      <c r="E23" s="16">
        <f t="shared" si="3"/>
        <v>0.20014632581388547</v>
      </c>
      <c r="F23" s="16">
        <f t="shared" si="5"/>
        <v>-2.2489152142356528E-2</v>
      </c>
    </row>
    <row r="24" spans="1:6" x14ac:dyDescent="0.25">
      <c r="A24" s="19" t="s">
        <v>298</v>
      </c>
      <c r="B24" s="82">
        <f t="shared" si="4"/>
        <v>882959.74890007917</v>
      </c>
      <c r="C24" s="82"/>
      <c r="D24" s="82">
        <f>'Customer summary'!Y30</f>
        <v>943964.64355074381</v>
      </c>
      <c r="E24" s="16">
        <f t="shared" si="3"/>
        <v>6.9091365406701355E-2</v>
      </c>
      <c r="F24" s="16">
        <f t="shared" si="5"/>
        <v>-0.12923250727174007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6"/>
  <sheetViews>
    <sheetView tabSelected="1" workbookViewId="0">
      <selection activeCell="I26" sqref="I26"/>
    </sheetView>
  </sheetViews>
  <sheetFormatPr defaultRowHeight="15" x14ac:dyDescent="0.25"/>
  <sheetData>
    <row r="2" spans="1:28" s="1" customFormat="1" x14ac:dyDescent="0.25">
      <c r="A2" s="1" t="s">
        <v>299</v>
      </c>
      <c r="B2" s="54">
        <v>2024</v>
      </c>
      <c r="C2" s="54">
        <v>2025</v>
      </c>
      <c r="D2" s="54">
        <v>2026</v>
      </c>
      <c r="E2" s="54">
        <v>2027</v>
      </c>
      <c r="F2" s="54">
        <v>2028</v>
      </c>
      <c r="G2" s="54">
        <v>2029</v>
      </c>
      <c r="H2" s="54">
        <v>2030</v>
      </c>
      <c r="I2" s="54">
        <v>2031</v>
      </c>
      <c r="J2" s="54">
        <v>2032</v>
      </c>
      <c r="K2" s="54">
        <v>2033</v>
      </c>
      <c r="L2" s="54">
        <v>2034</v>
      </c>
      <c r="M2" s="54">
        <v>2035</v>
      </c>
      <c r="N2" s="54">
        <v>2036</v>
      </c>
      <c r="O2" s="54">
        <v>2037</v>
      </c>
      <c r="P2" s="54">
        <v>2038</v>
      </c>
      <c r="Q2" s="54">
        <v>2039</v>
      </c>
      <c r="R2" s="54">
        <v>2040</v>
      </c>
      <c r="S2" s="54">
        <v>2041</v>
      </c>
      <c r="T2" s="54">
        <v>2042</v>
      </c>
      <c r="U2" s="54">
        <v>2043</v>
      </c>
      <c r="V2" s="54">
        <v>2044</v>
      </c>
      <c r="W2" s="54">
        <v>2045</v>
      </c>
      <c r="X2" s="54">
        <v>2046</v>
      </c>
      <c r="Y2" s="54">
        <v>2047</v>
      </c>
      <c r="Z2" s="54">
        <v>2048</v>
      </c>
      <c r="AA2" s="54">
        <v>2049</v>
      </c>
      <c r="AB2" s="54">
        <v>2050</v>
      </c>
    </row>
    <row r="3" spans="1:28" x14ac:dyDescent="0.25">
      <c r="A3" s="29" t="s">
        <v>370</v>
      </c>
      <c r="B3" s="140">
        <f>'Scenario Cost Data Summary'!B4</f>
        <v>242548278.37899941</v>
      </c>
      <c r="C3" s="140">
        <f>'Scenario Cost Data Summary'!C4</f>
        <v>222476653.54510051</v>
      </c>
      <c r="D3" s="140">
        <f>'Scenario Cost Data Summary'!D4</f>
        <v>220263067.35395163</v>
      </c>
      <c r="E3" s="140">
        <f>'Scenario Cost Data Summary'!E4</f>
        <v>228734371.47345006</v>
      </c>
      <c r="F3" s="140">
        <f>'Scenario Cost Data Summary'!F4</f>
        <v>221129867.63482818</v>
      </c>
      <c r="G3" s="140">
        <f>'Scenario Cost Data Summary'!G4</f>
        <v>266307975.3564733</v>
      </c>
      <c r="H3" s="140">
        <f>'Scenario Cost Data Summary'!H4</f>
        <v>212549668.2554931</v>
      </c>
      <c r="I3" s="140">
        <f>'Scenario Cost Data Summary'!I4</f>
        <v>217863409.96188042</v>
      </c>
      <c r="J3" s="140">
        <f>'Scenario Cost Data Summary'!J4</f>
        <v>223309995.21092743</v>
      </c>
      <c r="K3" s="140">
        <f>'Scenario Cost Data Summary'!K4</f>
        <v>228892745.09120059</v>
      </c>
      <c r="L3" s="140">
        <f>'Scenario Cost Data Summary'!L4</f>
        <v>160626177.06393117</v>
      </c>
      <c r="M3" s="140">
        <f>'Scenario Cost Data Summary'!M4</f>
        <v>164641831.49052942</v>
      </c>
      <c r="N3" s="140">
        <f>'Scenario Cost Data Summary'!N4</f>
        <v>168421655.07173109</v>
      </c>
      <c r="O3" s="140">
        <f>'Scenario Cost Data Summary'!O4</f>
        <v>172632196.44852433</v>
      </c>
      <c r="P3" s="140">
        <f>'Scenario Cost Data Summary'!P4</f>
        <v>176948001.35973743</v>
      </c>
      <c r="Q3" s="140">
        <f>'Scenario Cost Data Summary'!Q4</f>
        <v>181371701.39373088</v>
      </c>
      <c r="R3" s="140">
        <f>'Scenario Cost Data Summary'!R4</f>
        <v>185905993.92857414</v>
      </c>
      <c r="S3" s="140">
        <f>'Scenario Cost Data Summary'!S4</f>
        <v>190553643.7767885</v>
      </c>
      <c r="T3" s="140">
        <f>'Scenario Cost Data Summary'!T4</f>
        <v>195317484.87120819</v>
      </c>
      <c r="U3" s="140">
        <f>'Scenario Cost Data Summary'!U4</f>
        <v>200200421.99298841</v>
      </c>
      <c r="V3" s="140">
        <f>'Scenario Cost Data Summary'!V4</f>
        <v>205205432.54281312</v>
      </c>
      <c r="W3" s="140">
        <f>'Scenario Cost Data Summary'!W4</f>
        <v>210335568.35638341</v>
      </c>
      <c r="X3" s="140">
        <f>'Scenario Cost Data Summary'!X4</f>
        <v>215593957.56529295</v>
      </c>
      <c r="Y3" s="140">
        <f>'Scenario Cost Data Summary'!Y4</f>
        <v>220983806.50442535</v>
      </c>
      <c r="Z3" s="140">
        <f>'Scenario Cost Data Summary'!Z4</f>
        <v>226508401.66703591</v>
      </c>
      <c r="AA3" s="140">
        <f>'Scenario Cost Data Summary'!AA4</f>
        <v>232171111.70871177</v>
      </c>
      <c r="AB3" s="140">
        <f>'Scenario Cost Data Summary'!AB4</f>
        <v>237975389.50142956</v>
      </c>
    </row>
    <row r="4" spans="1:28" x14ac:dyDescent="0.25">
      <c r="A4" s="19" t="s">
        <v>371</v>
      </c>
      <c r="B4" s="140">
        <f>'Scenario Cost Data Summary'!B5</f>
        <v>242548278.37899941</v>
      </c>
      <c r="C4" s="140">
        <f>'Scenario Cost Data Summary'!C5</f>
        <v>222476653.54510051</v>
      </c>
      <c r="D4" s="140">
        <f>'Scenario Cost Data Summary'!D5</f>
        <v>220263067.35395163</v>
      </c>
      <c r="E4" s="140">
        <f>'Scenario Cost Data Summary'!E5</f>
        <v>228734371.47345006</v>
      </c>
      <c r="F4" s="140">
        <f>'Scenario Cost Data Summary'!F5</f>
        <v>221129867.63482818</v>
      </c>
      <c r="G4" s="140">
        <f>'Scenario Cost Data Summary'!G5</f>
        <v>248065676.99171698</v>
      </c>
      <c r="H4" s="140">
        <f>'Scenario Cost Data Summary'!H5</f>
        <v>193154927.53108388</v>
      </c>
      <c r="I4" s="140">
        <f>'Scenario Cost Data Summary'!I5</f>
        <v>192753934.93777356</v>
      </c>
      <c r="J4" s="140">
        <f>'Scenario Cost Data Summary'!J5</f>
        <v>191845776.91676712</v>
      </c>
      <c r="K4" s="140">
        <f>'Scenario Cost Data Summary'!K5</f>
        <v>190555981.06079495</v>
      </c>
      <c r="L4" s="140">
        <f>'Scenario Cost Data Summary'!L5</f>
        <v>128441527.02432166</v>
      </c>
      <c r="M4" s="140">
        <f>'Scenario Cost Data Summary'!M5</f>
        <v>127096712.87056208</v>
      </c>
      <c r="N4" s="140">
        <f>'Scenario Cost Data Summary'!N5</f>
        <v>125428975.63354556</v>
      </c>
      <c r="O4" s="140">
        <f>'Scenario Cost Data Summary'!O5</f>
        <v>123955794.11194412</v>
      </c>
      <c r="P4" s="140">
        <f>'Scenario Cost Data Summary'!P5</f>
        <v>123431286.56598863</v>
      </c>
      <c r="Q4" s="140">
        <f>'Scenario Cost Data Summary'!Q5</f>
        <v>123243908.62576383</v>
      </c>
      <c r="R4" s="140">
        <f>'Scenario Cost Data Summary'!R5</f>
        <v>123475464.47823589</v>
      </c>
      <c r="S4" s="140">
        <f>'Scenario Cost Data Summary'!S5</f>
        <v>124189522.48606226</v>
      </c>
      <c r="T4" s="140">
        <f>'Scenario Cost Data Summary'!T5</f>
        <v>125421082.52261478</v>
      </c>
      <c r="U4" s="140">
        <f>'Scenario Cost Data Summary'!U5</f>
        <v>127164705.43357275</v>
      </c>
      <c r="V4" s="140">
        <f>'Scenario Cost Data Summary'!V5</f>
        <v>129439649.24460843</v>
      </c>
      <c r="W4" s="140">
        <f>'Scenario Cost Data Summary'!W5</f>
        <v>132097274.0378084</v>
      </c>
      <c r="X4" s="140">
        <f>'Scenario Cost Data Summary'!X5</f>
        <v>135594213.45511994</v>
      </c>
      <c r="Y4" s="140">
        <f>'Scenario Cost Data Summary'!Y5</f>
        <v>138795030.034769</v>
      </c>
      <c r="Z4" s="140">
        <f>'Scenario Cost Data Summary'!Z5</f>
        <v>142068141.99023449</v>
      </c>
      <c r="AA4" s="140">
        <f>'Scenario Cost Data Summary'!AA5</f>
        <v>145384933.82552969</v>
      </c>
      <c r="AB4" s="140">
        <f>'Scenario Cost Data Summary'!AB5</f>
        <v>148581912.35653311</v>
      </c>
    </row>
    <row r="5" spans="1:28" x14ac:dyDescent="0.25">
      <c r="A5" s="19" t="s">
        <v>372</v>
      </c>
      <c r="B5" s="140">
        <f>'Scenario Cost Data Summary'!B7</f>
        <v>242548278.37899941</v>
      </c>
      <c r="C5" s="140">
        <f>'Scenario Cost Data Summary'!C7</f>
        <v>222476653.54510051</v>
      </c>
      <c r="D5" s="140">
        <f>'Scenario Cost Data Summary'!D7</f>
        <v>220263067.35395163</v>
      </c>
      <c r="E5" s="140">
        <f>'Scenario Cost Data Summary'!E7</f>
        <v>228734371.47345006</v>
      </c>
      <c r="F5" s="140">
        <f>'Scenario Cost Data Summary'!F7</f>
        <v>221129867.63482818</v>
      </c>
      <c r="G5" s="140">
        <f>'Scenario Cost Data Summary'!G7</f>
        <v>265989154.45940334</v>
      </c>
      <c r="H5" s="140">
        <f>'Scenario Cost Data Summary'!H7</f>
        <v>212192649.93684235</v>
      </c>
      <c r="I5" s="140">
        <f>'Scenario Cost Data Summary'!I7</f>
        <v>217377505.31550658</v>
      </c>
      <c r="J5" s="140">
        <f>'Scenario Cost Data Summary'!J7</f>
        <v>222671954.83083317</v>
      </c>
      <c r="K5" s="140">
        <f>'Scenario Cost Data Summary'!K7</f>
        <v>228079993.72158578</v>
      </c>
      <c r="L5" s="140">
        <f>'Scenario Cost Data Summary'!L7</f>
        <v>159916137.72283822</v>
      </c>
      <c r="M5" s="140">
        <f>'Scenario Cost Data Summary'!M7</f>
        <v>163784883.55098027</v>
      </c>
      <c r="N5" s="140">
        <f>'Scenario Cost Data Summary'!N7</f>
        <v>167411622.5766485</v>
      </c>
      <c r="O5" s="140">
        <f>'Scenario Cost Data Summary'!O7</f>
        <v>171461339.14451596</v>
      </c>
      <c r="P5" s="140">
        <f>'Scenario Cost Data Summary'!P7</f>
        <v>175611402.62824151</v>
      </c>
      <c r="Q5" s="140">
        <f>'Scenario Cost Data Summary'!Q7</f>
        <v>179864261.93972307</v>
      </c>
      <c r="R5" s="140">
        <f>'Scenario Cost Data Summary'!R7</f>
        <v>184224299.44969141</v>
      </c>
      <c r="S5" s="140">
        <f>'Scenario Cost Data Summary'!S7</f>
        <v>188693567.08563548</v>
      </c>
      <c r="T5" s="140">
        <f>'Scenario Cost Data Summary'!T7</f>
        <v>193275309.90141487</v>
      </c>
      <c r="U5" s="140">
        <f>'Scenario Cost Data Summary'!U7</f>
        <v>197972827.51853961</v>
      </c>
      <c r="V5" s="140">
        <f>'Scenario Cost Data Summary'!V7</f>
        <v>202787071.06549695</v>
      </c>
      <c r="W5" s="140">
        <f>'Scenario Cost Data Summary'!W7</f>
        <v>207724913.64089462</v>
      </c>
      <c r="X5" s="140">
        <f>'Scenario Cost Data Summary'!X7</f>
        <v>212787894.92422682</v>
      </c>
      <c r="Y5" s="140">
        <f>'Scenario Cost Data Summary'!Y7</f>
        <v>217986969.31684232</v>
      </c>
      <c r="Z5" s="140">
        <f>'Scenario Cost Data Summary'!Z7</f>
        <v>223322123.54951704</v>
      </c>
      <c r="AA5" s="140">
        <f>'Scenario Cost Data Summary'!AA7</f>
        <v>228796886.11828595</v>
      </c>
      <c r="AB5" s="140">
        <f>'Scenario Cost Data Summary'!AB7</f>
        <v>234417012.48200494</v>
      </c>
    </row>
    <row r="6" spans="1:28" x14ac:dyDescent="0.25">
      <c r="A6" s="19" t="s">
        <v>373</v>
      </c>
      <c r="B6" s="140">
        <f>'Scenario Cost Data Summary'!B8</f>
        <v>242548278.37899941</v>
      </c>
      <c r="C6" s="140">
        <f>'Scenario Cost Data Summary'!C8</f>
        <v>222476653.54510051</v>
      </c>
      <c r="D6" s="140">
        <f>'Scenario Cost Data Summary'!D8</f>
        <v>220263067.35395163</v>
      </c>
      <c r="E6" s="140">
        <f>'Scenario Cost Data Summary'!E8</f>
        <v>228734371.47345006</v>
      </c>
      <c r="F6" s="140">
        <f>'Scenario Cost Data Summary'!F8</f>
        <v>221129867.63482818</v>
      </c>
      <c r="G6" s="140">
        <f>'Scenario Cost Data Summary'!G8</f>
        <v>263689137.17420566</v>
      </c>
      <c r="H6" s="140">
        <f>'Scenario Cost Data Summary'!H8</f>
        <v>209748252.39798585</v>
      </c>
      <c r="I6" s="140">
        <f>'Scenario Cost Data Summary'!I8</f>
        <v>214214398.81931114</v>
      </c>
      <c r="J6" s="140">
        <f>'Scenario Cost Data Summary'!J8</f>
        <v>218710752.77302727</v>
      </c>
      <c r="K6" s="140">
        <f>'Scenario Cost Data Summary'!K8</f>
        <v>223261578.85400975</v>
      </c>
      <c r="L6" s="140">
        <f>'Scenario Cost Data Summary'!L8</f>
        <v>155878461.2511493</v>
      </c>
      <c r="M6" s="140">
        <f>'Scenario Cost Data Summary'!M8</f>
        <v>159085460.95142013</v>
      </c>
      <c r="N6" s="140">
        <f>'Scenario Cost Data Summary'!N8</f>
        <v>162044038.54662287</v>
      </c>
      <c r="O6" s="140">
        <f>'Scenario Cost Data Summary'!O8</f>
        <v>165401142.73068738</v>
      </c>
      <c r="P6" s="140">
        <f>'Scenario Cost Data Summary'!P8</f>
        <v>168840516.38909781</v>
      </c>
      <c r="Q6" s="140">
        <f>'Scenario Cost Data Summary'!Q8</f>
        <v>172364338.11659905</v>
      </c>
      <c r="R6" s="140">
        <f>'Scenario Cost Data Summary'!R8</f>
        <v>175972907.74416289</v>
      </c>
      <c r="S6" s="140">
        <f>'Scenario Cost Data Summary'!S8</f>
        <v>179664113.79934442</v>
      </c>
      <c r="T6" s="140">
        <f>'Scenario Cost Data Summary'!T8</f>
        <v>183444442.27112705</v>
      </c>
      <c r="U6" s="140">
        <f>'Scenario Cost Data Summary'!U8</f>
        <v>187314700.78810418</v>
      </c>
      <c r="V6" s="140">
        <f>'Scenario Cost Data Summary'!V8</f>
        <v>191275003.23978502</v>
      </c>
      <c r="W6" s="140">
        <f>'Scenario Cost Data Summary'!W8</f>
        <v>195333604.19304895</v>
      </c>
      <c r="X6" s="140">
        <f>'Scenario Cost Data Summary'!X8</f>
        <v>199493593.07250297</v>
      </c>
      <c r="Y6" s="140">
        <f>'Scenario Cost Data Summary'!Y8</f>
        <v>203768383.77087307</v>
      </c>
      <c r="Z6" s="140">
        <f>'Scenario Cost Data Summary'!Z8</f>
        <v>208145818.01091182</v>
      </c>
      <c r="AA6" s="140">
        <f>'Scenario Cost Data Summary'!AA8</f>
        <v>212599919.10715407</v>
      </c>
      <c r="AB6" s="140">
        <f>'Scenario Cost Data Summary'!AB8</f>
        <v>217182553.63353804</v>
      </c>
    </row>
    <row r="26" spans="1:5" x14ac:dyDescent="0.25">
      <c r="B26" t="s">
        <v>299</v>
      </c>
      <c r="C26" t="s">
        <v>299</v>
      </c>
      <c r="D26" t="s">
        <v>374</v>
      </c>
      <c r="E26" t="s">
        <v>374</v>
      </c>
    </row>
    <row r="27" spans="1:5" x14ac:dyDescent="0.25">
      <c r="B27" s="54">
        <v>2030</v>
      </c>
      <c r="C27">
        <v>2045</v>
      </c>
      <c r="D27" s="54">
        <v>2030</v>
      </c>
      <c r="E27">
        <v>2045</v>
      </c>
    </row>
    <row r="28" spans="1:5" x14ac:dyDescent="0.25">
      <c r="A28" s="29" t="str">
        <f>A3</f>
        <v>IRP Base Case</v>
      </c>
      <c r="B28" s="20">
        <v>212549668.2554931</v>
      </c>
      <c r="C28" s="20">
        <v>210335568.35638341</v>
      </c>
      <c r="D28" s="2">
        <f>SUM(B3:H3)</f>
        <v>1614009881.9982963</v>
      </c>
      <c r="E28" s="2">
        <f>SUM(B3:W3)</f>
        <v>4496236140.5592461</v>
      </c>
    </row>
    <row r="29" spans="1:5" x14ac:dyDescent="0.25">
      <c r="A29" s="29" t="str">
        <f t="shared" ref="A29:A31" si="0">A4</f>
        <v>Electric Heat Pump</v>
      </c>
      <c r="B29" s="20">
        <v>184778850.71150085</v>
      </c>
      <c r="C29" s="20">
        <v>103832201.39924981</v>
      </c>
      <c r="D29" s="2">
        <f>SUM(B4:H4)</f>
        <v>1576372842.9091308</v>
      </c>
      <c r="E29" s="2">
        <f t="shared" ref="E29:E31" si="1">SUM(B4:W4)</f>
        <v>3664914438.8594942</v>
      </c>
    </row>
    <row r="30" spans="1:5" x14ac:dyDescent="0.25">
      <c r="A30" s="29" t="str">
        <f t="shared" si="0"/>
        <v>Hybrid Heat Pump</v>
      </c>
      <c r="B30" s="20">
        <v>212006814.02141228</v>
      </c>
      <c r="C30" s="20">
        <v>206453145.31155846</v>
      </c>
      <c r="D30" s="2">
        <f>SUM(B5:H5)</f>
        <v>1613334042.7825756</v>
      </c>
      <c r="E30" s="2">
        <f t="shared" si="1"/>
        <v>4474191132.8751221</v>
      </c>
    </row>
    <row r="31" spans="1:5" x14ac:dyDescent="0.25">
      <c r="A31" s="29" t="str">
        <f t="shared" si="0"/>
        <v>HHP+CHP</v>
      </c>
      <c r="B31" s="20">
        <v>208538394.80001616</v>
      </c>
      <c r="C31" s="20">
        <v>189913859.16293484</v>
      </c>
      <c r="D31" s="2">
        <f>SUM(B6:H6)</f>
        <v>1608589627.9585214</v>
      </c>
      <c r="E31" s="2">
        <f t="shared" si="1"/>
        <v>4361395088.4260197</v>
      </c>
    </row>
    <row r="34" spans="1:5" x14ac:dyDescent="0.25">
      <c r="B34" s="29" t="str">
        <f>A28</f>
        <v>IRP Base Case</v>
      </c>
      <c r="C34" s="19" t="str">
        <f>A29</f>
        <v>Electric Heat Pump</v>
      </c>
      <c r="D34" s="19" t="str">
        <f>A30</f>
        <v>Hybrid Heat Pump</v>
      </c>
      <c r="E34" s="19" t="str">
        <f>A31</f>
        <v>HHP+CHP</v>
      </c>
    </row>
    <row r="35" spans="1:5" x14ac:dyDescent="0.25">
      <c r="A35" s="54">
        <v>2030</v>
      </c>
      <c r="B35" s="20">
        <v>212549668.2554931</v>
      </c>
      <c r="C35" s="20">
        <v>184778850.71150085</v>
      </c>
      <c r="D35" s="20">
        <v>212006814.02141228</v>
      </c>
      <c r="E35" s="20">
        <v>208538394.80001616</v>
      </c>
    </row>
    <row r="36" spans="1:5" x14ac:dyDescent="0.25">
      <c r="A36">
        <v>2045</v>
      </c>
      <c r="B36" s="20">
        <v>210335568.35638341</v>
      </c>
      <c r="C36" s="20">
        <v>103832201.39924981</v>
      </c>
      <c r="D36" s="20">
        <v>206453145.31155846</v>
      </c>
      <c r="E36" s="20">
        <v>189913859.16293484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2" workbookViewId="0">
      <selection activeCell="D25" sqref="D25"/>
    </sheetView>
  </sheetViews>
  <sheetFormatPr defaultRowHeight="15" x14ac:dyDescent="0.25"/>
  <cols>
    <col min="1" max="1" width="9.140625" style="122"/>
    <col min="2" max="2" width="20.85546875" style="122" customWidth="1"/>
    <col min="3" max="3" width="14.140625" style="122" bestFit="1" customWidth="1"/>
    <col min="4" max="4" width="22.140625" style="122" bestFit="1" customWidth="1"/>
    <col min="5" max="5" width="18.85546875" style="122" customWidth="1"/>
    <col min="6" max="6" width="21.140625" style="122" customWidth="1"/>
    <col min="7" max="7" width="22.85546875" style="122" customWidth="1"/>
    <col min="8" max="8" width="16.140625" style="122" customWidth="1"/>
    <col min="9" max="9" width="24" style="122" customWidth="1"/>
    <col min="10" max="10" width="18.28515625" style="122" customWidth="1"/>
    <col min="11" max="11" width="19.85546875" style="122" customWidth="1"/>
    <col min="12" max="12" width="19" style="122" customWidth="1"/>
    <col min="13" max="13" width="19.85546875" style="122" customWidth="1"/>
    <col min="14" max="14" width="15.85546875" style="122" customWidth="1"/>
    <col min="15" max="15" width="19.28515625" style="122" customWidth="1"/>
    <col min="16" max="16384" width="9.140625" style="122"/>
  </cols>
  <sheetData>
    <row r="1" spans="1:19" hidden="1" x14ac:dyDescent="0.25"/>
    <row r="2" spans="1:19" x14ac:dyDescent="0.25">
      <c r="I2" s="125" t="s">
        <v>353</v>
      </c>
      <c r="J2" s="125"/>
      <c r="K2" s="125"/>
      <c r="L2" s="125"/>
      <c r="M2" s="125"/>
      <c r="N2" s="125"/>
      <c r="O2" s="125"/>
    </row>
    <row r="3" spans="1:19" ht="90" x14ac:dyDescent="0.25">
      <c r="A3" s="128" t="s">
        <v>354</v>
      </c>
      <c r="B3" s="128" t="s">
        <v>337</v>
      </c>
      <c r="C3" s="129" t="s">
        <v>338</v>
      </c>
      <c r="D3" s="129" t="s">
        <v>339</v>
      </c>
      <c r="E3" s="129" t="s">
        <v>340</v>
      </c>
      <c r="F3" s="129" t="s">
        <v>341</v>
      </c>
      <c r="G3" s="129" t="s">
        <v>342</v>
      </c>
      <c r="H3" s="129" t="s">
        <v>343</v>
      </c>
      <c r="I3" s="128" t="s">
        <v>361</v>
      </c>
      <c r="J3" s="128" t="s">
        <v>362</v>
      </c>
      <c r="K3" s="128" t="s">
        <v>363</v>
      </c>
      <c r="L3" s="128" t="s">
        <v>364</v>
      </c>
      <c r="M3" s="128" t="s">
        <v>365</v>
      </c>
      <c r="N3" s="128" t="s">
        <v>366</v>
      </c>
      <c r="O3" s="128" t="s">
        <v>367</v>
      </c>
      <c r="P3" s="16"/>
      <c r="Q3" s="16"/>
      <c r="R3" s="16"/>
      <c r="S3" s="16"/>
    </row>
    <row r="4" spans="1:19" ht="15" customHeight="1" x14ac:dyDescent="0.25">
      <c r="A4" s="138" t="s">
        <v>369</v>
      </c>
      <c r="B4" s="138"/>
      <c r="C4" s="138"/>
      <c r="D4" s="138"/>
      <c r="E4" s="138"/>
      <c r="F4" s="138"/>
      <c r="G4" s="138"/>
      <c r="H4" s="138"/>
      <c r="I4" s="130">
        <v>-0.19358470953567886</v>
      </c>
      <c r="J4" s="130">
        <v>-0.24785392106617282</v>
      </c>
      <c r="K4" s="130">
        <v>-0.29630401207675561</v>
      </c>
      <c r="L4" s="130">
        <v>-0.34565332221583911</v>
      </c>
      <c r="M4" s="130">
        <v>-0.39508366255535649</v>
      </c>
      <c r="N4" s="130">
        <v>-0.44457184722660426</v>
      </c>
      <c r="O4" s="130">
        <v>-0.48215259906726199</v>
      </c>
    </row>
    <row r="5" spans="1:19" x14ac:dyDescent="0.25">
      <c r="A5" s="131">
        <v>2024</v>
      </c>
      <c r="B5" s="131" t="s">
        <v>347</v>
      </c>
      <c r="C5" s="131">
        <v>113887</v>
      </c>
      <c r="D5" s="131" t="s">
        <v>344</v>
      </c>
      <c r="E5" s="131">
        <v>2848</v>
      </c>
      <c r="F5" s="131" t="s">
        <v>345</v>
      </c>
      <c r="G5" s="131">
        <v>8000</v>
      </c>
      <c r="H5" s="131">
        <v>8</v>
      </c>
      <c r="I5" s="132">
        <f t="shared" ref="I5:O8" si="0">-1*INT($G5*I$4)</f>
        <v>1549</v>
      </c>
      <c r="J5" s="132">
        <f t="shared" si="0"/>
        <v>1983</v>
      </c>
      <c r="K5" s="132">
        <f t="shared" si="0"/>
        <v>2371</v>
      </c>
      <c r="L5" s="132">
        <f t="shared" si="0"/>
        <v>2766</v>
      </c>
      <c r="M5" s="132">
        <f t="shared" si="0"/>
        <v>3161</v>
      </c>
      <c r="N5" s="132">
        <f t="shared" si="0"/>
        <v>3557</v>
      </c>
      <c r="O5" s="132">
        <f t="shared" si="0"/>
        <v>3858</v>
      </c>
    </row>
    <row r="6" spans="1:19" x14ac:dyDescent="0.25">
      <c r="A6" s="131">
        <v>2024</v>
      </c>
      <c r="B6" s="131" t="s">
        <v>348</v>
      </c>
      <c r="C6" s="131">
        <v>179254</v>
      </c>
      <c r="D6" s="131" t="s">
        <v>344</v>
      </c>
      <c r="E6" s="131">
        <v>4481</v>
      </c>
      <c r="F6" s="131">
        <v>67.2</v>
      </c>
      <c r="G6" s="131">
        <v>17500</v>
      </c>
      <c r="H6" s="131">
        <v>15</v>
      </c>
      <c r="I6" s="132">
        <f t="shared" si="0"/>
        <v>3388</v>
      </c>
      <c r="J6" s="132">
        <f t="shared" si="0"/>
        <v>4338</v>
      </c>
      <c r="K6" s="132">
        <f t="shared" si="0"/>
        <v>5186</v>
      </c>
      <c r="L6" s="132">
        <f t="shared" si="0"/>
        <v>6049</v>
      </c>
      <c r="M6" s="132">
        <f t="shared" si="0"/>
        <v>6914</v>
      </c>
      <c r="N6" s="132">
        <f t="shared" si="0"/>
        <v>7781</v>
      </c>
      <c r="O6" s="132">
        <f t="shared" si="0"/>
        <v>8438</v>
      </c>
    </row>
    <row r="7" spans="1:19" x14ac:dyDescent="0.25">
      <c r="A7" s="131">
        <v>2024</v>
      </c>
      <c r="B7" s="131" t="s">
        <v>349</v>
      </c>
      <c r="C7" s="131">
        <v>43798</v>
      </c>
      <c r="D7" s="131" t="s">
        <v>344</v>
      </c>
      <c r="E7" s="131">
        <v>1095</v>
      </c>
      <c r="F7" s="131">
        <v>16.399999999999999</v>
      </c>
      <c r="G7" s="131">
        <v>3040</v>
      </c>
      <c r="H7" s="131">
        <v>12</v>
      </c>
      <c r="I7" s="132">
        <f t="shared" si="0"/>
        <v>589</v>
      </c>
      <c r="J7" s="132">
        <f t="shared" si="0"/>
        <v>754</v>
      </c>
      <c r="K7" s="132">
        <f t="shared" si="0"/>
        <v>901</v>
      </c>
      <c r="L7" s="132">
        <f t="shared" si="0"/>
        <v>1051</v>
      </c>
      <c r="M7" s="132">
        <f t="shared" si="0"/>
        <v>1202</v>
      </c>
      <c r="N7" s="132">
        <f t="shared" si="0"/>
        <v>1352</v>
      </c>
      <c r="O7" s="132">
        <f t="shared" si="0"/>
        <v>1466</v>
      </c>
    </row>
    <row r="8" spans="1:19" x14ac:dyDescent="0.25">
      <c r="A8" s="131">
        <v>2024</v>
      </c>
      <c r="B8" s="131" t="s">
        <v>350</v>
      </c>
      <c r="C8" s="131">
        <v>135000</v>
      </c>
      <c r="D8" s="131" t="s">
        <v>344</v>
      </c>
      <c r="E8" s="131">
        <f>C8/40</f>
        <v>3375</v>
      </c>
      <c r="F8" s="133">
        <f t="shared" ref="F8:F14" si="1">E8*15000/10^6</f>
        <v>50.625</v>
      </c>
      <c r="G8" s="131">
        <v>13000</v>
      </c>
      <c r="H8" s="131" t="s">
        <v>352</v>
      </c>
      <c r="I8" s="132">
        <f t="shared" si="0"/>
        <v>2517</v>
      </c>
      <c r="J8" s="132">
        <f t="shared" si="0"/>
        <v>3223</v>
      </c>
      <c r="K8" s="132">
        <f t="shared" si="0"/>
        <v>3852</v>
      </c>
      <c r="L8" s="132">
        <f t="shared" si="0"/>
        <v>4494</v>
      </c>
      <c r="M8" s="132">
        <f t="shared" si="0"/>
        <v>5137</v>
      </c>
      <c r="N8" s="132">
        <f t="shared" si="0"/>
        <v>5780</v>
      </c>
      <c r="O8" s="132">
        <f t="shared" si="0"/>
        <v>6268</v>
      </c>
    </row>
    <row r="9" spans="1:19" s="89" customFormat="1" x14ac:dyDescent="0.25">
      <c r="A9" s="139" t="s">
        <v>355</v>
      </c>
      <c r="B9" s="139"/>
      <c r="C9" s="139"/>
      <c r="D9" s="139"/>
      <c r="E9" s="139"/>
      <c r="F9" s="139"/>
      <c r="G9" s="139"/>
      <c r="H9" s="139"/>
      <c r="I9" s="134"/>
      <c r="J9" s="134"/>
      <c r="K9" s="134"/>
      <c r="L9" s="134"/>
      <c r="M9" s="134"/>
      <c r="N9" s="134"/>
      <c r="O9" s="134"/>
    </row>
    <row r="10" spans="1:19" ht="15" customHeight="1" x14ac:dyDescent="0.25">
      <c r="A10" s="131">
        <v>2032</v>
      </c>
      <c r="B10" s="131" t="s">
        <v>347</v>
      </c>
      <c r="C10" s="131">
        <v>150991</v>
      </c>
      <c r="D10" s="131" t="s">
        <v>356</v>
      </c>
      <c r="E10" s="131">
        <v>3774</v>
      </c>
      <c r="F10" s="131">
        <f t="shared" si="1"/>
        <v>56.61</v>
      </c>
      <c r="G10" s="131">
        <v>8000</v>
      </c>
      <c r="H10" s="131">
        <v>8</v>
      </c>
      <c r="I10" s="132">
        <f t="shared" ref="I10:O14" si="2">-1*INT($G10*I$4)</f>
        <v>1549</v>
      </c>
      <c r="J10" s="132">
        <f t="shared" si="2"/>
        <v>1983</v>
      </c>
      <c r="K10" s="132">
        <f t="shared" si="2"/>
        <v>2371</v>
      </c>
      <c r="L10" s="132">
        <f t="shared" si="2"/>
        <v>2766</v>
      </c>
      <c r="M10" s="132">
        <f t="shared" si="2"/>
        <v>3161</v>
      </c>
      <c r="N10" s="132">
        <f t="shared" si="2"/>
        <v>3557</v>
      </c>
      <c r="O10" s="132">
        <f t="shared" si="2"/>
        <v>3858</v>
      </c>
    </row>
    <row r="11" spans="1:19" x14ac:dyDescent="0.25">
      <c r="A11" s="131">
        <v>2032</v>
      </c>
      <c r="B11" s="131" t="s">
        <v>348</v>
      </c>
      <c r="C11" s="131">
        <v>207510</v>
      </c>
      <c r="D11" s="131" t="s">
        <v>346</v>
      </c>
      <c r="E11" s="131">
        <v>5188</v>
      </c>
      <c r="F11" s="131">
        <f t="shared" si="1"/>
        <v>77.819999999999993</v>
      </c>
      <c r="G11" s="131">
        <v>17500</v>
      </c>
      <c r="H11" s="131">
        <v>15</v>
      </c>
      <c r="I11" s="132">
        <f t="shared" si="2"/>
        <v>3388</v>
      </c>
      <c r="J11" s="132">
        <f t="shared" si="2"/>
        <v>4338</v>
      </c>
      <c r="K11" s="132">
        <f t="shared" si="2"/>
        <v>5186</v>
      </c>
      <c r="L11" s="132">
        <f t="shared" si="2"/>
        <v>6049</v>
      </c>
      <c r="M11" s="132">
        <f t="shared" si="2"/>
        <v>6914</v>
      </c>
      <c r="N11" s="132">
        <f t="shared" si="2"/>
        <v>7781</v>
      </c>
      <c r="O11" s="132">
        <f t="shared" si="2"/>
        <v>8438</v>
      </c>
    </row>
    <row r="12" spans="1:19" x14ac:dyDescent="0.25">
      <c r="A12" s="131">
        <v>2032</v>
      </c>
      <c r="B12" s="131" t="s">
        <v>349</v>
      </c>
      <c r="C12" s="131">
        <v>51046</v>
      </c>
      <c r="D12" s="131" t="s">
        <v>346</v>
      </c>
      <c r="E12" s="131">
        <v>1276</v>
      </c>
      <c r="F12" s="131">
        <f t="shared" si="1"/>
        <v>19.14</v>
      </c>
      <c r="G12" s="131">
        <v>3040</v>
      </c>
      <c r="H12" s="131">
        <v>12</v>
      </c>
      <c r="I12" s="132">
        <f t="shared" si="2"/>
        <v>589</v>
      </c>
      <c r="J12" s="132">
        <f t="shared" si="2"/>
        <v>754</v>
      </c>
      <c r="K12" s="132">
        <f t="shared" si="2"/>
        <v>901</v>
      </c>
      <c r="L12" s="132">
        <f t="shared" si="2"/>
        <v>1051</v>
      </c>
      <c r="M12" s="132">
        <f t="shared" si="2"/>
        <v>1202</v>
      </c>
      <c r="N12" s="132">
        <f t="shared" si="2"/>
        <v>1352</v>
      </c>
      <c r="O12" s="132">
        <f t="shared" si="2"/>
        <v>1466</v>
      </c>
    </row>
    <row r="13" spans="1:19" x14ac:dyDescent="0.25">
      <c r="A13" s="131">
        <v>2032</v>
      </c>
      <c r="B13" s="131" t="s">
        <v>350</v>
      </c>
      <c r="C13" s="132">
        <f>135000*(C10/C5)</f>
        <v>178982.54410073141</v>
      </c>
      <c r="D13" s="131" t="s">
        <v>346</v>
      </c>
      <c r="E13" s="132">
        <f>C13/40</f>
        <v>4474.5636025182848</v>
      </c>
      <c r="F13" s="132">
        <f>E13*15000/10^6</f>
        <v>67.118454037774285</v>
      </c>
      <c r="G13" s="131">
        <v>13000</v>
      </c>
      <c r="H13" s="131" t="s">
        <v>352</v>
      </c>
      <c r="I13" s="132">
        <f t="shared" si="2"/>
        <v>2517</v>
      </c>
      <c r="J13" s="132">
        <f t="shared" si="2"/>
        <v>3223</v>
      </c>
      <c r="K13" s="132">
        <f t="shared" si="2"/>
        <v>3852</v>
      </c>
      <c r="L13" s="132">
        <f t="shared" si="2"/>
        <v>4494</v>
      </c>
      <c r="M13" s="132">
        <f t="shared" si="2"/>
        <v>5137</v>
      </c>
      <c r="N13" s="132">
        <f t="shared" si="2"/>
        <v>5780</v>
      </c>
      <c r="O13" s="132">
        <f t="shared" si="2"/>
        <v>6268</v>
      </c>
    </row>
    <row r="14" spans="1:19" x14ac:dyDescent="0.25">
      <c r="A14" s="131">
        <v>2032</v>
      </c>
      <c r="B14" s="131" t="s">
        <v>351</v>
      </c>
      <c r="C14" s="131">
        <v>53194</v>
      </c>
      <c r="D14" s="131" t="s">
        <v>346</v>
      </c>
      <c r="E14" s="131">
        <v>1330</v>
      </c>
      <c r="F14" s="131">
        <f t="shared" si="1"/>
        <v>19.95</v>
      </c>
      <c r="G14" s="131">
        <v>16300</v>
      </c>
      <c r="H14" s="131">
        <v>1</v>
      </c>
      <c r="I14" s="132">
        <f t="shared" si="2"/>
        <v>3156</v>
      </c>
      <c r="J14" s="132">
        <f t="shared" si="2"/>
        <v>4041</v>
      </c>
      <c r="K14" s="132">
        <f t="shared" si="2"/>
        <v>4830</v>
      </c>
      <c r="L14" s="132">
        <f t="shared" si="2"/>
        <v>5635</v>
      </c>
      <c r="M14" s="132">
        <f t="shared" si="2"/>
        <v>6440</v>
      </c>
      <c r="N14" s="132">
        <f t="shared" si="2"/>
        <v>7247</v>
      </c>
      <c r="O14" s="132">
        <f t="shared" si="2"/>
        <v>7860</v>
      </c>
    </row>
    <row r="15" spans="1:19" x14ac:dyDescent="0.25">
      <c r="N15" s="10"/>
    </row>
    <row r="16" spans="1:19" x14ac:dyDescent="0.25">
      <c r="K16" s="123"/>
      <c r="L16" s="124"/>
    </row>
    <row r="17" spans="1:8" x14ac:dyDescent="0.25">
      <c r="A17" s="126" t="s">
        <v>357</v>
      </c>
      <c r="B17" s="126"/>
      <c r="C17" s="126"/>
      <c r="D17" s="126"/>
      <c r="E17" s="126"/>
      <c r="F17" s="126"/>
      <c r="G17" s="126"/>
      <c r="H17" s="126"/>
    </row>
    <row r="18" spans="1:8" ht="30.75" customHeight="1" x14ac:dyDescent="0.25">
      <c r="A18" s="127" t="s">
        <v>358</v>
      </c>
      <c r="B18" s="126"/>
      <c r="C18" s="126"/>
      <c r="D18" s="126"/>
      <c r="E18" s="126"/>
      <c r="F18" s="126"/>
      <c r="G18" s="126"/>
      <c r="H18" s="126"/>
    </row>
    <row r="19" spans="1:8" x14ac:dyDescent="0.25">
      <c r="A19" s="126" t="s">
        <v>359</v>
      </c>
      <c r="B19" s="126"/>
      <c r="C19" s="126"/>
      <c r="D19" s="126"/>
      <c r="E19" s="126"/>
      <c r="F19" s="126"/>
      <c r="G19" s="126"/>
      <c r="H19" s="126"/>
    </row>
    <row r="20" spans="1:8" x14ac:dyDescent="0.25">
      <c r="A20" s="135"/>
      <c r="B20" s="136" t="s">
        <v>360</v>
      </c>
      <c r="C20" s="136"/>
      <c r="D20" s="136"/>
      <c r="E20" s="136"/>
      <c r="F20" s="136"/>
      <c r="G20" s="136"/>
      <c r="H20" s="137"/>
    </row>
    <row r="21" spans="1:8" x14ac:dyDescent="0.25">
      <c r="A21" s="126" t="s">
        <v>368</v>
      </c>
      <c r="B21" s="126"/>
      <c r="C21" s="126"/>
      <c r="D21" s="126"/>
      <c r="E21" s="126"/>
      <c r="F21" s="126"/>
      <c r="G21" s="126"/>
      <c r="H21" s="126"/>
    </row>
  </sheetData>
  <mergeCells count="8">
    <mergeCell ref="A19:H19"/>
    <mergeCell ref="A21:H21"/>
    <mergeCell ref="B20:H20"/>
    <mergeCell ref="I2:O2"/>
    <mergeCell ref="A4:H4"/>
    <mergeCell ref="A9:H9"/>
    <mergeCell ref="A17:H17"/>
    <mergeCell ref="A18:H18"/>
  </mergeCells>
  <conditionalFormatting sqref="I5:I12 I13:O14">
    <cfRule type="expression" dxfId="4" priority="5">
      <formula>I5-$E5&gt;0</formula>
    </cfRule>
  </conditionalFormatting>
  <conditionalFormatting sqref="J5:J12">
    <cfRule type="expression" dxfId="3" priority="4">
      <formula>J5-$E5&gt;0</formula>
    </cfRule>
  </conditionalFormatting>
  <conditionalFormatting sqref="K5:K12">
    <cfRule type="expression" dxfId="2" priority="3">
      <formula>K5-$E5&gt;0</formula>
    </cfRule>
  </conditionalFormatting>
  <conditionalFormatting sqref="L5:L12">
    <cfRule type="expression" dxfId="1" priority="2">
      <formula>L5-$E5&gt;0</formula>
    </cfRule>
  </conditionalFormatting>
  <conditionalFormatting sqref="M5:O12">
    <cfRule type="expression" dxfId="0" priority="1">
      <formula>M5-$E5&gt;0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3"/>
  <sheetViews>
    <sheetView workbookViewId="0">
      <selection activeCell="A33" sqref="A33"/>
    </sheetView>
  </sheetViews>
  <sheetFormatPr defaultRowHeight="15" x14ac:dyDescent="0.25"/>
  <cols>
    <col min="1" max="1" width="32.42578125" bestFit="1" customWidth="1"/>
    <col min="2" max="13" width="11.5703125" bestFit="1" customWidth="1"/>
    <col min="14" max="28" width="13.28515625" bestFit="1" customWidth="1"/>
  </cols>
  <sheetData>
    <row r="1" spans="1:28" x14ac:dyDescent="0.25">
      <c r="A1" s="42" t="s">
        <v>300</v>
      </c>
      <c r="B1" s="85" t="s">
        <v>320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A2" s="42" t="s">
        <v>270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</row>
    <row r="3" spans="1:28" s="1" customFormat="1" x14ac:dyDescent="0.25">
      <c r="A3" s="1" t="s">
        <v>299</v>
      </c>
      <c r="B3" s="54">
        <v>2024</v>
      </c>
      <c r="C3" s="54">
        <v>2025</v>
      </c>
      <c r="D3" s="54">
        <v>2026</v>
      </c>
      <c r="E3" s="54">
        <v>2027</v>
      </c>
      <c r="F3" s="54">
        <v>2028</v>
      </c>
      <c r="G3" s="54">
        <v>2029</v>
      </c>
      <c r="H3" s="54">
        <v>2030</v>
      </c>
      <c r="I3" s="54">
        <v>2031</v>
      </c>
      <c r="J3" s="54">
        <v>2032</v>
      </c>
      <c r="K3" s="54">
        <v>2033</v>
      </c>
      <c r="L3" s="54">
        <v>2034</v>
      </c>
      <c r="M3" s="54">
        <v>2035</v>
      </c>
      <c r="N3" s="54">
        <v>2036</v>
      </c>
      <c r="O3" s="54">
        <v>2037</v>
      </c>
      <c r="P3" s="54">
        <v>2038</v>
      </c>
      <c r="Q3" s="54">
        <v>2039</v>
      </c>
      <c r="R3" s="54">
        <v>2040</v>
      </c>
      <c r="S3" s="54">
        <v>2041</v>
      </c>
      <c r="T3" s="54">
        <v>2042</v>
      </c>
      <c r="U3" s="54">
        <v>2043</v>
      </c>
      <c r="V3" s="54">
        <v>2044</v>
      </c>
      <c r="W3" s="54">
        <v>2045</v>
      </c>
      <c r="X3" s="54">
        <v>2046</v>
      </c>
      <c r="Y3" s="54">
        <v>2047</v>
      </c>
      <c r="Z3" s="54">
        <v>2048</v>
      </c>
      <c r="AA3" s="54">
        <v>2049</v>
      </c>
      <c r="AB3" s="54">
        <v>2050</v>
      </c>
    </row>
    <row r="4" spans="1:28" x14ac:dyDescent="0.25">
      <c r="A4" s="29" t="s">
        <v>315</v>
      </c>
      <c r="B4" s="20">
        <f>VLOOKUP($A4,'Scenario capex 2024-2050'!$A:$AB,B$2,0)</f>
        <v>242548278.37899941</v>
      </c>
      <c r="C4" s="20">
        <f>VLOOKUP($A4,'Scenario capex 2024-2050'!$A:$AB,C$2,0)</f>
        <v>222476653.54510051</v>
      </c>
      <c r="D4" s="20">
        <f>VLOOKUP($A4,'Scenario capex 2024-2050'!$A:$AB,D$2,0)</f>
        <v>220263067.35395163</v>
      </c>
      <c r="E4" s="20">
        <f>VLOOKUP($A4,'Scenario capex 2024-2050'!$A:$AB,E$2,0)</f>
        <v>228734371.47345006</v>
      </c>
      <c r="F4" s="20">
        <f>VLOOKUP($A4,'Scenario capex 2024-2050'!$A:$AB,F$2,0)</f>
        <v>221129867.63482818</v>
      </c>
      <c r="G4" s="20">
        <f>VLOOKUP($A4,'Scenario capex 2024-2050'!$A:$AB,G$2,0)</f>
        <v>266307975.3564733</v>
      </c>
      <c r="H4" s="20">
        <f>VLOOKUP($A4,'Scenario capex 2024-2050'!$A:$AB,H$2,0)</f>
        <v>212549668.2554931</v>
      </c>
      <c r="I4" s="20">
        <f>VLOOKUP($A4,'Scenario capex 2024-2050'!$A:$AB,I$2,0)</f>
        <v>217863409.96188042</v>
      </c>
      <c r="J4" s="20">
        <f>VLOOKUP($A4,'Scenario capex 2024-2050'!$A:$AB,J$2,0)</f>
        <v>223309995.21092743</v>
      </c>
      <c r="K4" s="20">
        <f>VLOOKUP($A4,'Scenario capex 2024-2050'!$A:$AB,K$2,0)</f>
        <v>228892745.09120059</v>
      </c>
      <c r="L4" s="20">
        <f>VLOOKUP($A4,'Scenario capex 2024-2050'!$A:$AB,L$2,0)</f>
        <v>160626177.06393117</v>
      </c>
      <c r="M4" s="20">
        <f>VLOOKUP($A4,'Scenario capex 2024-2050'!$A:$AB,M$2,0)</f>
        <v>164641831.49052942</v>
      </c>
      <c r="N4" s="20">
        <f>VLOOKUP($A4,'Scenario capex 2024-2050'!$A:$AB,N$2,0)</f>
        <v>168421655.07173109</v>
      </c>
      <c r="O4" s="20">
        <f>VLOOKUP($A4,'Scenario capex 2024-2050'!$A:$AB,O$2,0)</f>
        <v>172632196.44852433</v>
      </c>
      <c r="P4" s="20">
        <f>VLOOKUP($A4,'Scenario capex 2024-2050'!$A:$AB,P$2,0)</f>
        <v>176948001.35973743</v>
      </c>
      <c r="Q4" s="20">
        <f>VLOOKUP($A4,'Scenario capex 2024-2050'!$A:$AB,Q$2,0)</f>
        <v>181371701.39373088</v>
      </c>
      <c r="R4" s="20">
        <f>VLOOKUP($A4,'Scenario capex 2024-2050'!$A:$AB,R$2,0)</f>
        <v>185905993.92857414</v>
      </c>
      <c r="S4" s="20">
        <f>VLOOKUP($A4,'Scenario capex 2024-2050'!$A:$AB,S$2,0)</f>
        <v>190553643.7767885</v>
      </c>
      <c r="T4" s="20">
        <f>VLOOKUP($A4,'Scenario capex 2024-2050'!$A:$AB,T$2,0)</f>
        <v>195317484.87120819</v>
      </c>
      <c r="U4" s="20">
        <f>VLOOKUP($A4,'Scenario capex 2024-2050'!$A:$AB,U$2,0)</f>
        <v>200200421.99298841</v>
      </c>
      <c r="V4" s="20">
        <f>VLOOKUP($A4,'Scenario capex 2024-2050'!$A:$AB,V$2,0)</f>
        <v>205205432.54281312</v>
      </c>
      <c r="W4" s="20">
        <f>VLOOKUP($A4,'Scenario capex 2024-2050'!$A:$AB,W$2,0)</f>
        <v>210335568.35638341</v>
      </c>
      <c r="X4" s="20">
        <f>VLOOKUP($A4,'Scenario capex 2024-2050'!$A:$AB,X$2,0)</f>
        <v>215593957.56529295</v>
      </c>
      <c r="Y4" s="20">
        <f>VLOOKUP($A4,'Scenario capex 2024-2050'!$A:$AB,Y$2,0)</f>
        <v>220983806.50442535</v>
      </c>
      <c r="Z4" s="20">
        <f>VLOOKUP($A4,'Scenario capex 2024-2050'!$A:$AB,Z$2,0)</f>
        <v>226508401.66703591</v>
      </c>
      <c r="AA4" s="20">
        <f>VLOOKUP($A4,'Scenario capex 2024-2050'!$A:$AB,AA$2,0)</f>
        <v>232171111.70871177</v>
      </c>
      <c r="AB4" s="20">
        <f>VLOOKUP($A4,'Scenario capex 2024-2050'!$A:$AB,AB$2,0)</f>
        <v>237975389.50142956</v>
      </c>
    </row>
    <row r="5" spans="1:28" x14ac:dyDescent="0.25">
      <c r="A5" s="19" t="s">
        <v>295</v>
      </c>
      <c r="B5" s="20">
        <f>VLOOKUP($A5,'Scenario capex 2024-2050'!$A:$AB,B$2,0)</f>
        <v>242548278.37899941</v>
      </c>
      <c r="C5" s="20">
        <f>VLOOKUP($A5,'Scenario capex 2024-2050'!$A:$AB,C$2,0)</f>
        <v>222476653.54510051</v>
      </c>
      <c r="D5" s="20">
        <f>VLOOKUP($A5,'Scenario capex 2024-2050'!$A:$AB,D$2,0)</f>
        <v>220263067.35395163</v>
      </c>
      <c r="E5" s="20">
        <f>VLOOKUP($A5,'Scenario capex 2024-2050'!$A:$AB,E$2,0)</f>
        <v>228734371.47345006</v>
      </c>
      <c r="F5" s="20">
        <f>VLOOKUP($A5,'Scenario capex 2024-2050'!$A:$AB,F$2,0)</f>
        <v>221129867.63482818</v>
      </c>
      <c r="G5" s="20">
        <f>VLOOKUP($A5,'Scenario capex 2024-2050'!$A:$AB,G$2,0)</f>
        <v>248065676.99171698</v>
      </c>
      <c r="H5" s="20">
        <f>VLOOKUP($A5,'Scenario capex 2024-2050'!$A:$AB,H$2,0)</f>
        <v>193154927.53108388</v>
      </c>
      <c r="I5" s="20">
        <f>VLOOKUP($A5,'Scenario capex 2024-2050'!$A:$AB,I$2,0)</f>
        <v>192753934.93777356</v>
      </c>
      <c r="J5" s="20">
        <f>VLOOKUP($A5,'Scenario capex 2024-2050'!$A:$AB,J$2,0)</f>
        <v>191845776.91676712</v>
      </c>
      <c r="K5" s="20">
        <f>VLOOKUP($A5,'Scenario capex 2024-2050'!$A:$AB,K$2,0)</f>
        <v>190555981.06079495</v>
      </c>
      <c r="L5" s="20">
        <f>VLOOKUP($A5,'Scenario capex 2024-2050'!$A:$AB,L$2,0)</f>
        <v>128441527.02432166</v>
      </c>
      <c r="M5" s="20">
        <f>VLOOKUP($A5,'Scenario capex 2024-2050'!$A:$AB,M$2,0)</f>
        <v>127096712.87056208</v>
      </c>
      <c r="N5" s="20">
        <f>VLOOKUP($A5,'Scenario capex 2024-2050'!$A:$AB,N$2,0)</f>
        <v>125428975.63354556</v>
      </c>
      <c r="O5" s="20">
        <f>VLOOKUP($A5,'Scenario capex 2024-2050'!$A:$AB,O$2,0)</f>
        <v>123955794.11194412</v>
      </c>
      <c r="P5" s="20">
        <f>VLOOKUP($A5,'Scenario capex 2024-2050'!$A:$AB,P$2,0)</f>
        <v>123431286.56598863</v>
      </c>
      <c r="Q5" s="20">
        <f>VLOOKUP($A5,'Scenario capex 2024-2050'!$A:$AB,Q$2,0)</f>
        <v>123243908.62576383</v>
      </c>
      <c r="R5" s="20">
        <f>VLOOKUP($A5,'Scenario capex 2024-2050'!$A:$AB,R$2,0)</f>
        <v>123475464.47823589</v>
      </c>
      <c r="S5" s="20">
        <f>VLOOKUP($A5,'Scenario capex 2024-2050'!$A:$AB,S$2,0)</f>
        <v>124189522.48606226</v>
      </c>
      <c r="T5" s="20">
        <f>VLOOKUP($A5,'Scenario capex 2024-2050'!$A:$AB,T$2,0)</f>
        <v>125421082.52261478</v>
      </c>
      <c r="U5" s="20">
        <f>VLOOKUP($A5,'Scenario capex 2024-2050'!$A:$AB,U$2,0)</f>
        <v>127164705.43357275</v>
      </c>
      <c r="V5" s="20">
        <f>VLOOKUP($A5,'Scenario capex 2024-2050'!$A:$AB,V$2,0)</f>
        <v>129439649.24460843</v>
      </c>
      <c r="W5" s="20">
        <f>VLOOKUP($A5,'Scenario capex 2024-2050'!$A:$AB,W$2,0)</f>
        <v>132097274.0378084</v>
      </c>
      <c r="X5" s="20">
        <f>VLOOKUP($A5,'Scenario capex 2024-2050'!$A:$AB,X$2,0)</f>
        <v>135594213.45511994</v>
      </c>
      <c r="Y5" s="20">
        <f>VLOOKUP($A5,'Scenario capex 2024-2050'!$A:$AB,Y$2,0)</f>
        <v>138795030.034769</v>
      </c>
      <c r="Z5" s="20">
        <f>VLOOKUP($A5,'Scenario capex 2024-2050'!$A:$AB,Z$2,0)</f>
        <v>142068141.99023449</v>
      </c>
      <c r="AA5" s="20">
        <f>VLOOKUP($A5,'Scenario capex 2024-2050'!$A:$AB,AA$2,0)</f>
        <v>145384933.82552969</v>
      </c>
      <c r="AB5" s="20">
        <f>VLOOKUP($A5,'Scenario capex 2024-2050'!$A:$AB,AB$2,0)</f>
        <v>148581912.35653311</v>
      </c>
    </row>
    <row r="6" spans="1:28" x14ac:dyDescent="0.25">
      <c r="A6" s="19" t="s">
        <v>296</v>
      </c>
      <c r="B6" s="20">
        <f>VLOOKUP($A6,'Scenario capex 2024-2050'!$A:$AB,B$2,0)</f>
        <v>242548278.37899941</v>
      </c>
      <c r="C6" s="20">
        <f>VLOOKUP($A6,'Scenario capex 2024-2050'!$A:$AB,C$2,0)</f>
        <v>222476653.54510051</v>
      </c>
      <c r="D6" s="20">
        <f>VLOOKUP($A6,'Scenario capex 2024-2050'!$A:$AB,D$2,0)</f>
        <v>220263067.35395163</v>
      </c>
      <c r="E6" s="20">
        <f>VLOOKUP($A6,'Scenario capex 2024-2050'!$A:$AB,E$2,0)</f>
        <v>228734371.47345006</v>
      </c>
      <c r="F6" s="20">
        <f>VLOOKUP($A6,'Scenario capex 2024-2050'!$A:$AB,F$2,0)</f>
        <v>221129867.63482818</v>
      </c>
      <c r="G6" s="20">
        <f>VLOOKUP($A6,'Scenario capex 2024-2050'!$A:$AB,G$2,0)</f>
        <v>248065676.99171698</v>
      </c>
      <c r="H6" s="20">
        <f>VLOOKUP($A6,'Scenario capex 2024-2050'!$A:$AB,H$2,0)</f>
        <v>193154927.53108388</v>
      </c>
      <c r="I6" s="20">
        <f>VLOOKUP($A6,'Scenario capex 2024-2050'!$A:$AB,I$2,0)</f>
        <v>192753934.93777356</v>
      </c>
      <c r="J6" s="20">
        <f>VLOOKUP($A6,'Scenario capex 2024-2050'!$A:$AB,J$2,0)</f>
        <v>191845776.91676712</v>
      </c>
      <c r="K6" s="20">
        <f>VLOOKUP($A6,'Scenario capex 2024-2050'!$A:$AB,K$2,0)</f>
        <v>190555981.06079495</v>
      </c>
      <c r="L6" s="20">
        <f>VLOOKUP($A6,'Scenario capex 2024-2050'!$A:$AB,L$2,0)</f>
        <v>128441527.02432166</v>
      </c>
      <c r="M6" s="20">
        <f>VLOOKUP($A6,'Scenario capex 2024-2050'!$A:$AB,M$2,0)</f>
        <v>127096712.87056208</v>
      </c>
      <c r="N6" s="20">
        <f>VLOOKUP($A6,'Scenario capex 2024-2050'!$A:$AB,N$2,0)</f>
        <v>125428975.63354556</v>
      </c>
      <c r="O6" s="20">
        <f>VLOOKUP($A6,'Scenario capex 2024-2050'!$A:$AB,O$2,0)</f>
        <v>123955794.11194412</v>
      </c>
      <c r="P6" s="20">
        <f>VLOOKUP($A6,'Scenario capex 2024-2050'!$A:$AB,P$2,0)</f>
        <v>123431286.56598863</v>
      </c>
      <c r="Q6" s="20">
        <f>VLOOKUP($A6,'Scenario capex 2024-2050'!$A:$AB,Q$2,0)</f>
        <v>123243908.62576383</v>
      </c>
      <c r="R6" s="20">
        <f>VLOOKUP($A6,'Scenario capex 2024-2050'!$A:$AB,R$2,0)</f>
        <v>123475464.47823589</v>
      </c>
      <c r="S6" s="20">
        <f>VLOOKUP($A6,'Scenario capex 2024-2050'!$A:$AB,S$2,0)</f>
        <v>124189522.48606226</v>
      </c>
      <c r="T6" s="20">
        <f>VLOOKUP($A6,'Scenario capex 2024-2050'!$A:$AB,T$2,0)</f>
        <v>125421082.52261478</v>
      </c>
      <c r="U6" s="20">
        <f>VLOOKUP($A6,'Scenario capex 2024-2050'!$A:$AB,U$2,0)</f>
        <v>127164705.43357275</v>
      </c>
      <c r="V6" s="20">
        <f>VLOOKUP($A6,'Scenario capex 2024-2050'!$A:$AB,V$2,0)</f>
        <v>129439649.24460843</v>
      </c>
      <c r="W6" s="20">
        <f>VLOOKUP($A6,'Scenario capex 2024-2050'!$A:$AB,W$2,0)</f>
        <v>132097274.0378084</v>
      </c>
      <c r="X6" s="20">
        <f>VLOOKUP($A6,'Scenario capex 2024-2050'!$A:$AB,X$2,0)</f>
        <v>135594213.45511994</v>
      </c>
      <c r="Y6" s="20">
        <f>VLOOKUP($A6,'Scenario capex 2024-2050'!$A:$AB,Y$2,0)</f>
        <v>138795030.034769</v>
      </c>
      <c r="Z6" s="20">
        <f>VLOOKUP($A6,'Scenario capex 2024-2050'!$A:$AB,Z$2,0)</f>
        <v>142068141.99023449</v>
      </c>
      <c r="AA6" s="20">
        <f>VLOOKUP($A6,'Scenario capex 2024-2050'!$A:$AB,AA$2,0)</f>
        <v>145384933.82552969</v>
      </c>
      <c r="AB6" s="20">
        <f>VLOOKUP($A6,'Scenario capex 2024-2050'!$A:$AB,AB$2,0)</f>
        <v>148581912.35653311</v>
      </c>
    </row>
    <row r="7" spans="1:28" x14ac:dyDescent="0.25">
      <c r="A7" s="19" t="s">
        <v>297</v>
      </c>
      <c r="B7" s="20">
        <f>VLOOKUP($A7,'Scenario capex 2024-2050'!$A:$AB,B$2,0)</f>
        <v>242548278.37899941</v>
      </c>
      <c r="C7" s="20">
        <f>VLOOKUP($A7,'Scenario capex 2024-2050'!$A:$AB,C$2,0)</f>
        <v>222476653.54510051</v>
      </c>
      <c r="D7" s="20">
        <f>VLOOKUP($A7,'Scenario capex 2024-2050'!$A:$AB,D$2,0)</f>
        <v>220263067.35395163</v>
      </c>
      <c r="E7" s="20">
        <f>VLOOKUP($A7,'Scenario capex 2024-2050'!$A:$AB,E$2,0)</f>
        <v>228734371.47345006</v>
      </c>
      <c r="F7" s="20">
        <f>VLOOKUP($A7,'Scenario capex 2024-2050'!$A:$AB,F$2,0)</f>
        <v>221129867.63482818</v>
      </c>
      <c r="G7" s="20">
        <f>VLOOKUP($A7,'Scenario capex 2024-2050'!$A:$AB,G$2,0)</f>
        <v>265989154.45940334</v>
      </c>
      <c r="H7" s="20">
        <f>VLOOKUP($A7,'Scenario capex 2024-2050'!$A:$AB,H$2,0)</f>
        <v>212192649.93684235</v>
      </c>
      <c r="I7" s="20">
        <f>VLOOKUP($A7,'Scenario capex 2024-2050'!$A:$AB,I$2,0)</f>
        <v>217377505.31550658</v>
      </c>
      <c r="J7" s="20">
        <f>VLOOKUP($A7,'Scenario capex 2024-2050'!$A:$AB,J$2,0)</f>
        <v>222671954.83083317</v>
      </c>
      <c r="K7" s="20">
        <f>VLOOKUP($A7,'Scenario capex 2024-2050'!$A:$AB,K$2,0)</f>
        <v>228079993.72158578</v>
      </c>
      <c r="L7" s="20">
        <f>VLOOKUP($A7,'Scenario capex 2024-2050'!$A:$AB,L$2,0)</f>
        <v>159916137.72283822</v>
      </c>
      <c r="M7" s="20">
        <f>VLOOKUP($A7,'Scenario capex 2024-2050'!$A:$AB,M$2,0)</f>
        <v>163784883.55098027</v>
      </c>
      <c r="N7" s="20">
        <f>VLOOKUP($A7,'Scenario capex 2024-2050'!$A:$AB,N$2,0)</f>
        <v>167411622.5766485</v>
      </c>
      <c r="O7" s="20">
        <f>VLOOKUP($A7,'Scenario capex 2024-2050'!$A:$AB,O$2,0)</f>
        <v>171461339.14451596</v>
      </c>
      <c r="P7" s="20">
        <f>VLOOKUP($A7,'Scenario capex 2024-2050'!$A:$AB,P$2,0)</f>
        <v>175611402.62824151</v>
      </c>
      <c r="Q7" s="20">
        <f>VLOOKUP($A7,'Scenario capex 2024-2050'!$A:$AB,Q$2,0)</f>
        <v>179864261.93972307</v>
      </c>
      <c r="R7" s="20">
        <f>VLOOKUP($A7,'Scenario capex 2024-2050'!$A:$AB,R$2,0)</f>
        <v>184224299.44969141</v>
      </c>
      <c r="S7" s="20">
        <f>VLOOKUP($A7,'Scenario capex 2024-2050'!$A:$AB,S$2,0)</f>
        <v>188693567.08563548</v>
      </c>
      <c r="T7" s="20">
        <f>VLOOKUP($A7,'Scenario capex 2024-2050'!$A:$AB,T$2,0)</f>
        <v>193275309.90141487</v>
      </c>
      <c r="U7" s="20">
        <f>VLOOKUP($A7,'Scenario capex 2024-2050'!$A:$AB,U$2,0)</f>
        <v>197972827.51853961</v>
      </c>
      <c r="V7" s="20">
        <f>VLOOKUP($A7,'Scenario capex 2024-2050'!$A:$AB,V$2,0)</f>
        <v>202787071.06549695</v>
      </c>
      <c r="W7" s="20">
        <f>VLOOKUP($A7,'Scenario capex 2024-2050'!$A:$AB,W$2,0)</f>
        <v>207724913.64089462</v>
      </c>
      <c r="X7" s="20">
        <f>VLOOKUP($A7,'Scenario capex 2024-2050'!$A:$AB,X$2,0)</f>
        <v>212787894.92422682</v>
      </c>
      <c r="Y7" s="20">
        <f>VLOOKUP($A7,'Scenario capex 2024-2050'!$A:$AB,Y$2,0)</f>
        <v>217986969.31684232</v>
      </c>
      <c r="Z7" s="20">
        <f>VLOOKUP($A7,'Scenario capex 2024-2050'!$A:$AB,Z$2,0)</f>
        <v>223322123.54951704</v>
      </c>
      <c r="AA7" s="20">
        <f>VLOOKUP($A7,'Scenario capex 2024-2050'!$A:$AB,AA$2,0)</f>
        <v>228796886.11828595</v>
      </c>
      <c r="AB7" s="20">
        <f>VLOOKUP($A7,'Scenario capex 2024-2050'!$A:$AB,AB$2,0)</f>
        <v>234417012.48200494</v>
      </c>
    </row>
    <row r="8" spans="1:28" x14ac:dyDescent="0.25">
      <c r="A8" s="19" t="s">
        <v>298</v>
      </c>
      <c r="B8" s="20">
        <f>VLOOKUP($A8,'Scenario capex 2024-2050'!$A:$AB,B$2,0)</f>
        <v>242548278.37899941</v>
      </c>
      <c r="C8" s="20">
        <f>VLOOKUP($A8,'Scenario capex 2024-2050'!$A:$AB,C$2,0)</f>
        <v>222476653.54510051</v>
      </c>
      <c r="D8" s="20">
        <f>VLOOKUP($A8,'Scenario capex 2024-2050'!$A:$AB,D$2,0)</f>
        <v>220263067.35395163</v>
      </c>
      <c r="E8" s="20">
        <f>VLOOKUP($A8,'Scenario capex 2024-2050'!$A:$AB,E$2,0)</f>
        <v>228734371.47345006</v>
      </c>
      <c r="F8" s="20">
        <f>VLOOKUP($A8,'Scenario capex 2024-2050'!$A:$AB,F$2,0)</f>
        <v>221129867.63482818</v>
      </c>
      <c r="G8" s="20">
        <f>VLOOKUP($A8,'Scenario capex 2024-2050'!$A:$AB,G$2,0)</f>
        <v>263689137.17420566</v>
      </c>
      <c r="H8" s="20">
        <f>VLOOKUP($A8,'Scenario capex 2024-2050'!$A:$AB,H$2,0)</f>
        <v>209748252.39798585</v>
      </c>
      <c r="I8" s="20">
        <f>VLOOKUP($A8,'Scenario capex 2024-2050'!$A:$AB,I$2,0)</f>
        <v>214214398.81931114</v>
      </c>
      <c r="J8" s="20">
        <f>VLOOKUP($A8,'Scenario capex 2024-2050'!$A:$AB,J$2,0)</f>
        <v>218710752.77302727</v>
      </c>
      <c r="K8" s="20">
        <f>VLOOKUP($A8,'Scenario capex 2024-2050'!$A:$AB,K$2,0)</f>
        <v>223261578.85400975</v>
      </c>
      <c r="L8" s="20">
        <f>VLOOKUP($A8,'Scenario capex 2024-2050'!$A:$AB,L$2,0)</f>
        <v>155878461.2511493</v>
      </c>
      <c r="M8" s="20">
        <f>VLOOKUP($A8,'Scenario capex 2024-2050'!$A:$AB,M$2,0)</f>
        <v>159085460.95142013</v>
      </c>
      <c r="N8" s="20">
        <f>VLOOKUP($A8,'Scenario capex 2024-2050'!$A:$AB,N$2,0)</f>
        <v>162044038.54662287</v>
      </c>
      <c r="O8" s="20">
        <f>VLOOKUP($A8,'Scenario capex 2024-2050'!$A:$AB,O$2,0)</f>
        <v>165401142.73068738</v>
      </c>
      <c r="P8" s="20">
        <f>VLOOKUP($A8,'Scenario capex 2024-2050'!$A:$AB,P$2,0)</f>
        <v>168840516.38909781</v>
      </c>
      <c r="Q8" s="20">
        <f>VLOOKUP($A8,'Scenario capex 2024-2050'!$A:$AB,Q$2,0)</f>
        <v>172364338.11659905</v>
      </c>
      <c r="R8" s="20">
        <f>VLOOKUP($A8,'Scenario capex 2024-2050'!$A:$AB,R$2,0)</f>
        <v>175972907.74416289</v>
      </c>
      <c r="S8" s="20">
        <f>VLOOKUP($A8,'Scenario capex 2024-2050'!$A:$AB,S$2,0)</f>
        <v>179664113.79934442</v>
      </c>
      <c r="T8" s="20">
        <f>VLOOKUP($A8,'Scenario capex 2024-2050'!$A:$AB,T$2,0)</f>
        <v>183444442.27112705</v>
      </c>
      <c r="U8" s="20">
        <f>VLOOKUP($A8,'Scenario capex 2024-2050'!$A:$AB,U$2,0)</f>
        <v>187314700.78810418</v>
      </c>
      <c r="V8" s="20">
        <f>VLOOKUP($A8,'Scenario capex 2024-2050'!$A:$AB,V$2,0)</f>
        <v>191275003.23978502</v>
      </c>
      <c r="W8" s="20">
        <f>VLOOKUP($A8,'Scenario capex 2024-2050'!$A:$AB,W$2,0)</f>
        <v>195333604.19304895</v>
      </c>
      <c r="X8" s="20">
        <f>VLOOKUP($A8,'Scenario capex 2024-2050'!$A:$AB,X$2,0)</f>
        <v>199493593.07250297</v>
      </c>
      <c r="Y8" s="20">
        <f>VLOOKUP($A8,'Scenario capex 2024-2050'!$A:$AB,Y$2,0)</f>
        <v>203768383.77087307</v>
      </c>
      <c r="Z8" s="20">
        <f>VLOOKUP($A8,'Scenario capex 2024-2050'!$A:$AB,Z$2,0)</f>
        <v>208145818.01091182</v>
      </c>
      <c r="AA8" s="20">
        <f>VLOOKUP($A8,'Scenario capex 2024-2050'!$A:$AB,AA$2,0)</f>
        <v>212599919.10715407</v>
      </c>
      <c r="AB8" s="20">
        <f>VLOOKUP($A8,'Scenario capex 2024-2050'!$A:$AB,AB$2,0)</f>
        <v>217182553.63353804</v>
      </c>
    </row>
    <row r="9" spans="1:28" x14ac:dyDescent="0.25">
      <c r="A9" s="2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8" x14ac:dyDescent="0.25">
      <c r="A10" s="2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8" s="1" customFormat="1" x14ac:dyDescent="0.25">
      <c r="A11" s="19" t="s">
        <v>318</v>
      </c>
      <c r="B11" s="54">
        <v>2024</v>
      </c>
      <c r="C11" s="54">
        <v>2025</v>
      </c>
      <c r="D11" s="54">
        <v>2026</v>
      </c>
      <c r="E11" s="54">
        <v>2027</v>
      </c>
      <c r="F11" s="54">
        <v>2028</v>
      </c>
      <c r="G11" s="54">
        <v>2029</v>
      </c>
      <c r="H11" s="54">
        <v>2030</v>
      </c>
      <c r="I11" s="54">
        <v>2031</v>
      </c>
      <c r="J11" s="54">
        <v>2032</v>
      </c>
      <c r="K11" s="54">
        <v>2033</v>
      </c>
      <c r="L11" s="54">
        <v>2034</v>
      </c>
      <c r="M11" s="54">
        <v>2035</v>
      </c>
      <c r="N11" s="54">
        <v>2036</v>
      </c>
      <c r="O11" s="54">
        <v>2037</v>
      </c>
      <c r="P11" s="54">
        <v>2038</v>
      </c>
      <c r="Q11" s="54">
        <v>2039</v>
      </c>
      <c r="R11" s="54">
        <v>2040</v>
      </c>
      <c r="S11" s="54">
        <v>2041</v>
      </c>
      <c r="T11" s="54">
        <v>2042</v>
      </c>
      <c r="U11" s="54">
        <v>2043</v>
      </c>
      <c r="V11" s="54">
        <v>2044</v>
      </c>
      <c r="W11" s="54">
        <v>2045</v>
      </c>
      <c r="X11" s="54">
        <v>2046</v>
      </c>
      <c r="Y11" s="54">
        <v>2047</v>
      </c>
      <c r="Z11" s="54">
        <v>2048</v>
      </c>
      <c r="AA11" s="54">
        <v>2049</v>
      </c>
      <c r="AB11" s="54">
        <v>2050</v>
      </c>
    </row>
    <row r="12" spans="1:28" x14ac:dyDescent="0.25">
      <c r="A12" s="19" t="s">
        <v>295</v>
      </c>
      <c r="B12" s="20">
        <f>B$4-B5</f>
        <v>0</v>
      </c>
      <c r="C12" s="20">
        <f t="shared" ref="C12:AB15" si="0">C$4-C5</f>
        <v>0</v>
      </c>
      <c r="D12" s="20">
        <f t="shared" si="0"/>
        <v>0</v>
      </c>
      <c r="E12" s="20">
        <f t="shared" si="0"/>
        <v>0</v>
      </c>
      <c r="F12" s="20">
        <f t="shared" si="0"/>
        <v>0</v>
      </c>
      <c r="G12" s="20">
        <f t="shared" si="0"/>
        <v>18242298.364756316</v>
      </c>
      <c r="H12" s="20">
        <f t="shared" si="0"/>
        <v>19394740.724409223</v>
      </c>
      <c r="I12" s="20">
        <f t="shared" si="0"/>
        <v>25109475.02410686</v>
      </c>
      <c r="J12" s="20">
        <f t="shared" si="0"/>
        <v>31464218.294160306</v>
      </c>
      <c r="K12" s="20">
        <f t="shared" si="0"/>
        <v>38336764.030405641</v>
      </c>
      <c r="L12" s="20">
        <f t="shared" si="0"/>
        <v>32184650.039609507</v>
      </c>
      <c r="M12" s="20">
        <f t="shared" si="0"/>
        <v>37545118.619967341</v>
      </c>
      <c r="N12" s="20">
        <f t="shared" si="0"/>
        <v>42992679.438185528</v>
      </c>
      <c r="O12" s="20">
        <f t="shared" si="0"/>
        <v>48676402.336580202</v>
      </c>
      <c r="P12" s="20">
        <f t="shared" si="0"/>
        <v>53516714.793748796</v>
      </c>
      <c r="Q12" s="20">
        <f t="shared" si="0"/>
        <v>58127792.767967045</v>
      </c>
      <c r="R12" s="20">
        <f t="shared" si="0"/>
        <v>62430529.450338259</v>
      </c>
      <c r="S12" s="20">
        <f t="shared" si="0"/>
        <v>66364121.290726244</v>
      </c>
      <c r="T12" s="20">
        <f t="shared" si="0"/>
        <v>69896402.348593414</v>
      </c>
      <c r="U12" s="20">
        <f t="shared" si="0"/>
        <v>73035716.559415653</v>
      </c>
      <c r="V12" s="20">
        <f t="shared" si="0"/>
        <v>75765783.29820469</v>
      </c>
      <c r="W12" s="20">
        <f t="shared" si="0"/>
        <v>78238294.31857501</v>
      </c>
      <c r="X12" s="20">
        <f t="shared" si="0"/>
        <v>79999744.110173017</v>
      </c>
      <c r="Y12" s="20">
        <f t="shared" si="0"/>
        <v>82188776.469656348</v>
      </c>
      <c r="Z12" s="20">
        <f t="shared" si="0"/>
        <v>84440259.676801413</v>
      </c>
      <c r="AA12" s="20">
        <f t="shared" si="0"/>
        <v>86786177.883182079</v>
      </c>
      <c r="AB12" s="20">
        <f t="shared" si="0"/>
        <v>89393477.144896448</v>
      </c>
    </row>
    <row r="13" spans="1:28" x14ac:dyDescent="0.25">
      <c r="A13" s="19" t="s">
        <v>296</v>
      </c>
      <c r="B13" s="20">
        <f t="shared" ref="B13:Q15" si="1">B$4-B6</f>
        <v>0</v>
      </c>
      <c r="C13" s="20">
        <f t="shared" si="1"/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18242298.364756316</v>
      </c>
      <c r="H13" s="20">
        <f t="shared" si="1"/>
        <v>19394740.724409223</v>
      </c>
      <c r="I13" s="20">
        <f t="shared" si="1"/>
        <v>25109475.02410686</v>
      </c>
      <c r="J13" s="20">
        <f t="shared" si="1"/>
        <v>31464218.294160306</v>
      </c>
      <c r="K13" s="20">
        <f t="shared" si="1"/>
        <v>38336764.030405641</v>
      </c>
      <c r="L13" s="20">
        <f t="shared" si="1"/>
        <v>32184650.039609507</v>
      </c>
      <c r="M13" s="20">
        <f t="shared" si="1"/>
        <v>37545118.619967341</v>
      </c>
      <c r="N13" s="20">
        <f t="shared" si="1"/>
        <v>42992679.438185528</v>
      </c>
      <c r="O13" s="20">
        <f t="shared" si="1"/>
        <v>48676402.336580202</v>
      </c>
      <c r="P13" s="20">
        <f t="shared" si="1"/>
        <v>53516714.793748796</v>
      </c>
      <c r="Q13" s="20">
        <f t="shared" si="1"/>
        <v>58127792.767967045</v>
      </c>
      <c r="R13" s="20">
        <f t="shared" si="0"/>
        <v>62430529.450338259</v>
      </c>
      <c r="S13" s="20">
        <f t="shared" si="0"/>
        <v>66364121.290726244</v>
      </c>
      <c r="T13" s="20">
        <f t="shared" si="0"/>
        <v>69896402.348593414</v>
      </c>
      <c r="U13" s="20">
        <f t="shared" si="0"/>
        <v>73035716.559415653</v>
      </c>
      <c r="V13" s="20">
        <f t="shared" si="0"/>
        <v>75765783.29820469</v>
      </c>
      <c r="W13" s="20">
        <f t="shared" si="0"/>
        <v>78238294.31857501</v>
      </c>
      <c r="X13" s="20">
        <f t="shared" si="0"/>
        <v>79999744.110173017</v>
      </c>
      <c r="Y13" s="20">
        <f t="shared" si="0"/>
        <v>82188776.469656348</v>
      </c>
      <c r="Z13" s="20">
        <f t="shared" si="0"/>
        <v>84440259.676801413</v>
      </c>
      <c r="AA13" s="20">
        <f t="shared" si="0"/>
        <v>86786177.883182079</v>
      </c>
      <c r="AB13" s="20">
        <f t="shared" si="0"/>
        <v>89393477.144896448</v>
      </c>
    </row>
    <row r="14" spans="1:28" x14ac:dyDescent="0.25">
      <c r="A14" s="19" t="s">
        <v>297</v>
      </c>
      <c r="B14" s="20">
        <f t="shared" si="1"/>
        <v>0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20">
        <f t="shared" si="0"/>
        <v>318820.89706996083</v>
      </c>
      <c r="H14" s="20">
        <f t="shared" si="0"/>
        <v>357018.31865075231</v>
      </c>
      <c r="I14" s="20">
        <f t="shared" si="0"/>
        <v>485904.64637383819</v>
      </c>
      <c r="J14" s="20">
        <f t="shared" si="0"/>
        <v>638040.38009425998</v>
      </c>
      <c r="K14" s="20">
        <f t="shared" si="0"/>
        <v>812751.36961480975</v>
      </c>
      <c r="L14" s="20">
        <f t="shared" si="0"/>
        <v>710039.34109294415</v>
      </c>
      <c r="M14" s="20">
        <f t="shared" si="0"/>
        <v>856947.93954914808</v>
      </c>
      <c r="N14" s="20">
        <f t="shared" si="0"/>
        <v>1010032.495082587</v>
      </c>
      <c r="O14" s="20">
        <f t="shared" si="0"/>
        <v>1170857.3040083647</v>
      </c>
      <c r="P14" s="20">
        <f t="shared" si="0"/>
        <v>1336598.7314959168</v>
      </c>
      <c r="Q14" s="20">
        <f t="shared" si="0"/>
        <v>1507439.4540078044</v>
      </c>
      <c r="R14" s="20">
        <f t="shared" si="0"/>
        <v>1681694.47888273</v>
      </c>
      <c r="S14" s="20">
        <f t="shared" si="0"/>
        <v>1860076.6911530197</v>
      </c>
      <c r="T14" s="20">
        <f t="shared" si="0"/>
        <v>2042174.9697933197</v>
      </c>
      <c r="U14" s="20">
        <f t="shared" si="0"/>
        <v>2227594.4744488001</v>
      </c>
      <c r="V14" s="20">
        <f t="shared" si="0"/>
        <v>2418361.4773161709</v>
      </c>
      <c r="W14" s="20">
        <f t="shared" si="0"/>
        <v>2610654.7154887915</v>
      </c>
      <c r="X14" s="20">
        <f t="shared" si="0"/>
        <v>2806062.641066134</v>
      </c>
      <c r="Y14" s="20">
        <f t="shared" si="0"/>
        <v>2996837.1875830293</v>
      </c>
      <c r="Z14" s="20">
        <f t="shared" si="0"/>
        <v>3186278.117518872</v>
      </c>
      <c r="AA14" s="20">
        <f t="shared" si="0"/>
        <v>3374225.5904258192</v>
      </c>
      <c r="AB14" s="20">
        <f t="shared" si="0"/>
        <v>3558377.0194246173</v>
      </c>
    </row>
    <row r="15" spans="1:28" x14ac:dyDescent="0.25">
      <c r="A15" s="19" t="s">
        <v>298</v>
      </c>
      <c r="B15" s="20">
        <f t="shared" si="1"/>
        <v>0</v>
      </c>
      <c r="C15" s="20">
        <f t="shared" si="0"/>
        <v>0</v>
      </c>
      <c r="D15" s="20">
        <f t="shared" si="0"/>
        <v>0</v>
      </c>
      <c r="E15" s="20">
        <f t="shared" si="0"/>
        <v>0</v>
      </c>
      <c r="F15" s="20">
        <f t="shared" si="0"/>
        <v>0</v>
      </c>
      <c r="G15" s="20">
        <f t="shared" si="0"/>
        <v>2618838.1822676361</v>
      </c>
      <c r="H15" s="20">
        <f t="shared" si="0"/>
        <v>2801415.8575072587</v>
      </c>
      <c r="I15" s="20">
        <f t="shared" si="0"/>
        <v>3649011.1425692737</v>
      </c>
      <c r="J15" s="20">
        <f t="shared" si="0"/>
        <v>4599242.4379001558</v>
      </c>
      <c r="K15" s="20">
        <f t="shared" si="0"/>
        <v>5631166.2371908426</v>
      </c>
      <c r="L15" s="20">
        <f t="shared" si="0"/>
        <v>4747715.8127818704</v>
      </c>
      <c r="M15" s="20">
        <f t="shared" si="0"/>
        <v>5556370.5391092896</v>
      </c>
      <c r="N15" s="20">
        <f t="shared" si="0"/>
        <v>6377616.5251082182</v>
      </c>
      <c r="O15" s="20">
        <f t="shared" si="0"/>
        <v>7231053.7178369462</v>
      </c>
      <c r="P15" s="20">
        <f t="shared" si="0"/>
        <v>8107484.9706396163</v>
      </c>
      <c r="Q15" s="20">
        <f t="shared" si="0"/>
        <v>9007363.2771318257</v>
      </c>
      <c r="R15" s="20">
        <f t="shared" si="0"/>
        <v>9933086.1844112575</v>
      </c>
      <c r="S15" s="20">
        <f t="shared" si="0"/>
        <v>10889529.977444082</v>
      </c>
      <c r="T15" s="20">
        <f t="shared" si="0"/>
        <v>11873042.600081146</v>
      </c>
      <c r="U15" s="20">
        <f t="shared" si="0"/>
        <v>12885721.204884231</v>
      </c>
      <c r="V15" s="20">
        <f t="shared" si="0"/>
        <v>13930429.303028107</v>
      </c>
      <c r="W15" s="20">
        <f t="shared" si="0"/>
        <v>15001964.163334459</v>
      </c>
      <c r="X15" s="20">
        <f t="shared" si="0"/>
        <v>16100364.492789984</v>
      </c>
      <c r="Y15" s="20">
        <f t="shared" si="0"/>
        <v>17215422.733552277</v>
      </c>
      <c r="Z15" s="20">
        <f t="shared" si="0"/>
        <v>18362583.656124085</v>
      </c>
      <c r="AA15" s="20">
        <f t="shared" si="0"/>
        <v>19571192.601557702</v>
      </c>
      <c r="AB15" s="20">
        <f t="shared" si="0"/>
        <v>20792835.86789152</v>
      </c>
    </row>
    <row r="18" spans="1:28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</row>
    <row r="20" spans="1:28" x14ac:dyDescent="0.25">
      <c r="A20" s="42" t="s">
        <v>332</v>
      </c>
    </row>
    <row r="21" spans="1:28" x14ac:dyDescent="0.25">
      <c r="A21" t="s">
        <v>281</v>
      </c>
      <c r="B21" s="49">
        <f>'Scenario O&amp;M 2024-2050'!B4</f>
        <v>197.22871509722478</v>
      </c>
      <c r="C21" s="49">
        <f>'Scenario O&amp;M 2024-2050'!C4</f>
        <v>204.313035230369</v>
      </c>
      <c r="D21" s="49">
        <f>'Scenario O&amp;M 2024-2050'!D4</f>
        <v>211.5790218551885</v>
      </c>
      <c r="E21" s="49">
        <f>'Scenario O&amp;M 2024-2050'!E4</f>
        <v>219.05988252351997</v>
      </c>
      <c r="F21" s="49">
        <f>'Scenario O&amp;M 2024-2050'!F4</f>
        <v>226.81625287314219</v>
      </c>
      <c r="G21" s="49">
        <f>'Scenario O&amp;M 2024-2050'!G4</f>
        <v>234.84706073211049</v>
      </c>
      <c r="H21" s="49">
        <f>'Scenario O&amp;M 2024-2050'!H4</f>
        <v>243.12995104814004</v>
      </c>
      <c r="I21" s="49">
        <f>'Scenario O&amp;M 2024-2050'!I4</f>
        <v>251.67862842255602</v>
      </c>
      <c r="J21" s="49">
        <f>'Scenario O&amp;M 2024-2050'!J4</f>
        <v>260.49739179439126</v>
      </c>
      <c r="K21" s="49">
        <f>'Scenario O&amp;M 2024-2050'!K4</f>
        <v>269.58597808406944</v>
      </c>
      <c r="L21" s="49">
        <f>'Scenario O&amp;M 2024-2050'!L4</f>
        <v>278.95626976088113</v>
      </c>
      <c r="M21" s="49">
        <f>'Scenario O&amp;M 2024-2050'!M4</f>
        <v>288.60248897480153</v>
      </c>
      <c r="N21" s="49">
        <f>'Scenario O&amp;M 2024-2050'!N4</f>
        <v>298.53227084387066</v>
      </c>
      <c r="O21" s="49">
        <f>'Scenario O&amp;M 2024-2050'!O4</f>
        <v>308.75040952625704</v>
      </c>
      <c r="P21" s="49">
        <f>'Scenario O&amp;M 2024-2050'!P4</f>
        <v>319.27661554911953</v>
      </c>
      <c r="Q21" s="49">
        <f>'Scenario O&amp;M 2024-2050'!Q4</f>
        <v>330.11821772373673</v>
      </c>
      <c r="R21" s="49">
        <f>'Scenario O&amp;M 2024-2050'!R4</f>
        <v>341.30333750301054</v>
      </c>
      <c r="S21" s="49">
        <f>'Scenario O&amp;M 2024-2050'!S4</f>
        <v>352.86259970353166</v>
      </c>
      <c r="T21" s="49">
        <f>'Scenario O&amp;M 2024-2050'!T4</f>
        <v>364.7823693659833</v>
      </c>
      <c r="U21" s="49">
        <f>'Scenario O&amp;M 2024-2050'!U4</f>
        <v>377.08077182827549</v>
      </c>
      <c r="V21" s="49">
        <f>'Scenario O&amp;M 2024-2050'!V4</f>
        <v>389.77299404658913</v>
      </c>
      <c r="W21" s="49">
        <f>'Scenario O&amp;M 2024-2050'!W4</f>
        <v>402.86155053533463</v>
      </c>
      <c r="X21" s="49">
        <f>'Scenario O&amp;M 2024-2050'!X4</f>
        <v>416.3395955908901</v>
      </c>
      <c r="Y21" s="49">
        <f>'Scenario O&amp;M 2024-2050'!Y4</f>
        <v>430.18626470118011</v>
      </c>
      <c r="Z21" s="49">
        <f>'Scenario O&amp;M 2024-2050'!Z4</f>
        <v>444.41102844131194</v>
      </c>
      <c r="AA21" s="49">
        <f>'Scenario O&amp;M 2024-2050'!AA4</f>
        <v>459.00925005075032</v>
      </c>
      <c r="AB21" s="49">
        <f>'Scenario O&amp;M 2024-2050'!AB4</f>
        <v>473.97090945376777</v>
      </c>
    </row>
    <row r="22" spans="1:28" x14ac:dyDescent="0.25">
      <c r="A22" s="19" t="s">
        <v>295</v>
      </c>
      <c r="B22" s="49">
        <f>'Scenario O&amp;M 2024-2050'!B5</f>
        <v>195.36283803243415</v>
      </c>
      <c r="C22" s="49">
        <f>'Scenario O&amp;M 2024-2050'!C5</f>
        <v>199.59103095844259</v>
      </c>
      <c r="D22" s="49">
        <f>'Scenario O&amp;M 2024-2050'!D5</f>
        <v>202.81457393044653</v>
      </c>
      <c r="E22" s="49">
        <f>'Scenario O&amp;M 2024-2050'!E5</f>
        <v>204.80051070410008</v>
      </c>
      <c r="F22" s="49">
        <f>'Scenario O&amp;M 2024-2050'!F5</f>
        <v>205.35882307042925</v>
      </c>
      <c r="G22" s="49">
        <f>'Scenario O&amp;M 2024-2050'!G5</f>
        <v>204.34458474357848</v>
      </c>
      <c r="H22" s="49">
        <f>'Scenario O&amp;M 2024-2050'!H5</f>
        <v>201.6984579646896</v>
      </c>
      <c r="I22" s="49">
        <f>'Scenario O&amp;M 2024-2050'!I5</f>
        <v>197.50725527816928</v>
      </c>
      <c r="J22" s="49">
        <f>'Scenario O&amp;M 2024-2050'!J5</f>
        <v>191.95143415665748</v>
      </c>
      <c r="K22" s="49">
        <f>'Scenario O&amp;M 2024-2050'!K5</f>
        <v>185.26212622133465</v>
      </c>
      <c r="L22" s="49">
        <f>'Scenario O&amp;M 2024-2050'!L5</f>
        <v>177.66153290822322</v>
      </c>
      <c r="M22" s="49">
        <f>'Scenario O&amp;M 2024-2050'!M5</f>
        <v>169.33258201437684</v>
      </c>
      <c r="N22" s="49">
        <f>'Scenario O&amp;M 2024-2050'!N5</f>
        <v>160.45442259951301</v>
      </c>
      <c r="O22" s="49">
        <f>'Scenario O&amp;M 2024-2050'!O5</f>
        <v>151.01096694409347</v>
      </c>
      <c r="P22" s="49">
        <f>'Scenario O&amp;M 2024-2050'!P5</f>
        <v>144.31303022820202</v>
      </c>
      <c r="Q22" s="49">
        <f>'Scenario O&amp;M 2024-2050'!Q5</f>
        <v>138.41922298431041</v>
      </c>
      <c r="R22" s="49">
        <f>'Scenario O&amp;M 2024-2050'!R5</f>
        <v>133.63009680776921</v>
      </c>
      <c r="S22" s="49">
        <f>'Scenario O&amp;M 2024-2050'!S5</f>
        <v>130.19432084747672</v>
      </c>
      <c r="T22" s="49">
        <f>'Scenario O&amp;M 2024-2050'!T5</f>
        <v>128.25352621668515</v>
      </c>
      <c r="U22" s="49">
        <f>'Scenario O&amp;M 2024-2050'!U5</f>
        <v>127.82755758343026</v>
      </c>
      <c r="V22" s="49">
        <f>'Scenario O&amp;M 2024-2050'!V5</f>
        <v>389.77299404658913</v>
      </c>
      <c r="W22" s="49">
        <f>'Scenario O&amp;M 2024-2050'!W5</f>
        <v>131.3433132718587</v>
      </c>
      <c r="X22" s="49">
        <f>'Scenario O&amp;M 2024-2050'!X5</f>
        <v>136.41794973060286</v>
      </c>
      <c r="Y22" s="49">
        <f>'Scenario O&amp;M 2024-2050'!Y5</f>
        <v>140.2883320557178</v>
      </c>
      <c r="Z22" s="49">
        <f>'Scenario O&amp;M 2024-2050'!Z5</f>
        <v>144.22775298453672</v>
      </c>
      <c r="AA22" s="49">
        <f>'Scenario O&amp;M 2024-2050'!AA5</f>
        <v>148.12386968296772</v>
      </c>
      <c r="AB22" s="49">
        <f>'Scenario O&amp;M 2024-2050'!AB5</f>
        <v>151.37287303335248</v>
      </c>
    </row>
    <row r="23" spans="1:28" x14ac:dyDescent="0.25">
      <c r="A23" s="19" t="s">
        <v>296</v>
      </c>
      <c r="B23" s="49">
        <f>'Scenario O&amp;M 2024-2050'!B6</f>
        <v>195.36283803243415</v>
      </c>
      <c r="C23" s="49">
        <f>'Scenario O&amp;M 2024-2050'!C6</f>
        <v>199.59103095844259</v>
      </c>
      <c r="D23" s="49">
        <f>'Scenario O&amp;M 2024-2050'!D6</f>
        <v>202.81457393044653</v>
      </c>
      <c r="E23" s="49">
        <f>'Scenario O&amp;M 2024-2050'!E6</f>
        <v>204.80051070410008</v>
      </c>
      <c r="F23" s="49">
        <f>'Scenario O&amp;M 2024-2050'!F6</f>
        <v>205.35882307042925</v>
      </c>
      <c r="G23" s="49">
        <f>'Scenario O&amp;M 2024-2050'!G6</f>
        <v>204.34458474357848</v>
      </c>
      <c r="H23" s="49">
        <f>'Scenario O&amp;M 2024-2050'!H6</f>
        <v>201.6984579646896</v>
      </c>
      <c r="I23" s="49">
        <f>'Scenario O&amp;M 2024-2050'!I6</f>
        <v>197.50725527816928</v>
      </c>
      <c r="J23" s="49">
        <f>'Scenario O&amp;M 2024-2050'!J6</f>
        <v>191.95143415665748</v>
      </c>
      <c r="K23" s="49">
        <f>'Scenario O&amp;M 2024-2050'!K6</f>
        <v>185.26212622133465</v>
      </c>
      <c r="L23" s="49">
        <f>'Scenario O&amp;M 2024-2050'!L6</f>
        <v>177.66153290822322</v>
      </c>
      <c r="M23" s="49">
        <f>'Scenario O&amp;M 2024-2050'!M6</f>
        <v>169.33258201437684</v>
      </c>
      <c r="N23" s="49">
        <f>'Scenario O&amp;M 2024-2050'!N6</f>
        <v>160.45442259951301</v>
      </c>
      <c r="O23" s="49">
        <f>'Scenario O&amp;M 2024-2050'!O6</f>
        <v>151.01096694409347</v>
      </c>
      <c r="P23" s="49">
        <f>'Scenario O&amp;M 2024-2050'!P6</f>
        <v>144.31303022820202</v>
      </c>
      <c r="Q23" s="49">
        <f>'Scenario O&amp;M 2024-2050'!Q6</f>
        <v>138.41922298431041</v>
      </c>
      <c r="R23" s="49">
        <f>'Scenario O&amp;M 2024-2050'!R6</f>
        <v>133.63009680776921</v>
      </c>
      <c r="S23" s="49">
        <f>'Scenario O&amp;M 2024-2050'!S6</f>
        <v>130.19432084747672</v>
      </c>
      <c r="T23" s="49">
        <f>'Scenario O&amp;M 2024-2050'!T6</f>
        <v>128.25352621668515</v>
      </c>
      <c r="U23" s="49">
        <f>'Scenario O&amp;M 2024-2050'!U6</f>
        <v>127.82755758343026</v>
      </c>
      <c r="V23" s="49">
        <f>'Scenario O&amp;M 2024-2050'!V6</f>
        <v>129.01829736001179</v>
      </c>
      <c r="W23" s="49">
        <f>'Scenario O&amp;M 2024-2050'!W6</f>
        <v>131.3433132718587</v>
      </c>
      <c r="X23" s="49">
        <f>'Scenario O&amp;M 2024-2050'!X6</f>
        <v>136.41794973060286</v>
      </c>
      <c r="Y23" s="49">
        <f>'Scenario O&amp;M 2024-2050'!Y6</f>
        <v>140.2883320557178</v>
      </c>
      <c r="Z23" s="49">
        <f>'Scenario O&amp;M 2024-2050'!Z6</f>
        <v>144.22775298453672</v>
      </c>
      <c r="AA23" s="49">
        <f>'Scenario O&amp;M 2024-2050'!AA6</f>
        <v>148.12386968296772</v>
      </c>
      <c r="AB23" s="49">
        <f>'Scenario O&amp;M 2024-2050'!AB6</f>
        <v>151.37287303335248</v>
      </c>
    </row>
    <row r="24" spans="1:28" x14ac:dyDescent="0.25">
      <c r="A24" s="19" t="s">
        <v>297</v>
      </c>
      <c r="B24" s="49">
        <f>'Scenario O&amp;M 2024-2050'!B7</f>
        <v>197.20835927012163</v>
      </c>
      <c r="C24" s="49">
        <f>'Scenario O&amp;M 2024-2050'!C7</f>
        <v>204.25384291900198</v>
      </c>
      <c r="D24" s="49">
        <f>'Scenario O&amp;M 2024-2050'!D7</f>
        <v>211.45605039529968</v>
      </c>
      <c r="E24" s="49">
        <f>'Scenario O&amp;M 2024-2050'!E7</f>
        <v>218.84210216019889</v>
      </c>
      <c r="F24" s="49">
        <f>'Scenario O&amp;M 2024-2050'!F7</f>
        <v>226.46114459691071</v>
      </c>
      <c r="G24" s="49">
        <f>'Scenario O&amp;M 2024-2050'!G7</f>
        <v>234.31384880358067</v>
      </c>
      <c r="H24" s="49">
        <f>'Scenario O&amp;M 2024-2050'!H7</f>
        <v>242.3671012640522</v>
      </c>
      <c r="I24" s="49">
        <f>'Scenario O&amp;M 2024-2050'!I7</f>
        <v>250.63028088795846</v>
      </c>
      <c r="J24" s="49">
        <f>'Scenario O&amp;M 2024-2050'!J7</f>
        <v>259.10742393548639</v>
      </c>
      <c r="K24" s="49">
        <f>'Scenario O&amp;M 2024-2050'!K7</f>
        <v>267.79845003301494</v>
      </c>
      <c r="L24" s="49">
        <f>'Scenario O&amp;M 2024-2050'!L7</f>
        <v>276.72158337490333</v>
      </c>
      <c r="M24" s="49">
        <f>'Scenario O&amp;M 2024-2050'!M7</f>
        <v>285.88024301823043</v>
      </c>
      <c r="N24" s="49">
        <f>'Scenario O&amp;M 2024-2050'!N7</f>
        <v>295.28847397366735</v>
      </c>
      <c r="O24" s="49">
        <f>'Scenario O&amp;M 2024-2050'!O7</f>
        <v>304.95611048103524</v>
      </c>
      <c r="P24" s="49">
        <f>'Scenario O&amp;M 2024-2050'!P7</f>
        <v>314.90662922633311</v>
      </c>
      <c r="Q24" s="49">
        <f>'Scenario O&amp;M 2024-2050'!Q7</f>
        <v>325.1467720943906</v>
      </c>
      <c r="R24" s="49">
        <f>'Scenario O&amp;M 2024-2050'!R7</f>
        <v>335.70900312709205</v>
      </c>
      <c r="S24" s="49">
        <f>'Scenario O&amp;M 2024-2050'!S7</f>
        <v>346.6217160295908</v>
      </c>
      <c r="T24" s="49">
        <f>'Scenario O&amp;M 2024-2050'!T7</f>
        <v>357.87162680431214</v>
      </c>
      <c r="U24" s="49">
        <f>'Scenario O&amp;M 2024-2050'!U7</f>
        <v>369.47871344847806</v>
      </c>
      <c r="V24" s="49">
        <f>'Scenario O&amp;M 2024-2050'!V7</f>
        <v>381.45009838909829</v>
      </c>
      <c r="W24" s="49">
        <f>'Scenario O&amp;M 2024-2050'!W7</f>
        <v>393.80139192613143</v>
      </c>
      <c r="X24" s="49">
        <f>'Scenario O&amp;M 2024-2050'!X7</f>
        <v>406.5207973471999</v>
      </c>
      <c r="Y24" s="49">
        <f>'Scenario O&amp;M 2024-2050'!Y7</f>
        <v>419.61599147416723</v>
      </c>
      <c r="Z24" s="49">
        <f>'Scenario O&amp;M 2024-2050'!Z7</f>
        <v>433.08385602773359</v>
      </c>
      <c r="AA24" s="49">
        <f>'Scenario O&amp;M 2024-2050'!AA7</f>
        <v>446.9218336343892</v>
      </c>
      <c r="AB24" s="49">
        <f>'Scenario O&amp;M 2024-2050'!AB7</f>
        <v>461.12931651952891</v>
      </c>
    </row>
    <row r="25" spans="1:28" x14ac:dyDescent="0.25">
      <c r="A25" s="19" t="s">
        <v>298</v>
      </c>
      <c r="B25" s="49">
        <f>'Scenario O&amp;M 2024-2050'!B8</f>
        <v>196.96519563983529</v>
      </c>
      <c r="C25" s="49">
        <f>'Scenario O&amp;M 2024-2050'!C8</f>
        <v>203.64400335859614</v>
      </c>
      <c r="D25" s="49">
        <f>'Scenario O&amp;M 2024-2050'!D8</f>
        <v>210.33768424496859</v>
      </c>
      <c r="E25" s="49">
        <f>'Scenario O&amp;M 2024-2050'!E8</f>
        <v>217.04052959228795</v>
      </c>
      <c r="F25" s="49">
        <f>'Scenario O&amp;M 2024-2050'!F8</f>
        <v>223.75704636139847</v>
      </c>
      <c r="G25" s="49">
        <f>'Scenario O&amp;M 2024-2050'!G8</f>
        <v>230.46796389371983</v>
      </c>
      <c r="H25" s="49">
        <f>'Scenario O&amp;M 2024-2050'!H8</f>
        <v>237.14544196160082</v>
      </c>
      <c r="I25" s="49">
        <f>'Scenario O&amp;M 2024-2050'!I8</f>
        <v>243.80602763151015</v>
      </c>
      <c r="J25" s="49">
        <f>'Scenario O&amp;M 2024-2050'!J8</f>
        <v>250.47781549262319</v>
      </c>
      <c r="K25" s="49">
        <f>'Scenario O&amp;M 2024-2050'!K8</f>
        <v>257.19983727582769</v>
      </c>
      <c r="L25" s="49">
        <f>'Scenario O&amp;M 2024-2050'!L8</f>
        <v>264.01389337748077</v>
      </c>
      <c r="M25" s="49">
        <f>'Scenario O&amp;M 2024-2050'!M8</f>
        <v>270.95158205792779</v>
      </c>
      <c r="N25" s="49">
        <f>'Scenario O&amp;M 2024-2050'!N8</f>
        <v>278.04972153952201</v>
      </c>
      <c r="O25" s="49">
        <f>'Scenario O&amp;M 2024-2050'!O8</f>
        <v>285.3175628423943</v>
      </c>
      <c r="P25" s="49">
        <f>'Scenario O&amp;M 2024-2050'!P8</f>
        <v>292.7706382701956</v>
      </c>
      <c r="Q25" s="49">
        <f>'Scenario O&amp;M 2024-2050'!Q8</f>
        <v>300.4129168087722</v>
      </c>
      <c r="R25" s="49">
        <f>'Scenario O&amp;M 2024-2050'!R8</f>
        <v>308.26122528986633</v>
      </c>
      <c r="S25" s="49">
        <f>'Scenario O&amp;M 2024-2050'!S8</f>
        <v>316.32563796049021</v>
      </c>
      <c r="T25" s="49">
        <f>'Scenario O&amp;M 2024-2050'!T8</f>
        <v>324.60405888396934</v>
      </c>
      <c r="U25" s="49">
        <f>'Scenario O&amp;M 2024-2050'!U8</f>
        <v>333.10506421296225</v>
      </c>
      <c r="V25" s="49">
        <f>'Scenario O&amp;M 2024-2050'!V8</f>
        <v>341.83005506469721</v>
      </c>
      <c r="W25" s="49">
        <f>'Scenario O&amp;M 2024-2050'!W8</f>
        <v>350.79871294243327</v>
      </c>
      <c r="X25" s="49">
        <f>'Scenario O&amp;M 2024-2050'!X8</f>
        <v>360.00368358223699</v>
      </c>
      <c r="Y25" s="49">
        <f>'Scenario O&amp;M 2024-2050'!Y8</f>
        <v>369.46370925364283</v>
      </c>
      <c r="Z25" s="49">
        <f>'Scenario O&amp;M 2024-2050'!Z8</f>
        <v>379.13251461240986</v>
      </c>
      <c r="AA25" s="49">
        <f>'Scenario O&amp;M 2024-2050'!AA8</f>
        <v>388.90125035153767</v>
      </c>
      <c r="AB25" s="49">
        <f>'Scenario O&amp;M 2024-2050'!AB8</f>
        <v>398.93491967500216</v>
      </c>
    </row>
    <row r="28" spans="1:28" x14ac:dyDescent="0.25">
      <c r="A28" s="42" t="s">
        <v>301</v>
      </c>
    </row>
    <row r="29" spans="1:28" x14ac:dyDescent="0.25">
      <c r="A29" t="s">
        <v>281</v>
      </c>
      <c r="B29" s="10">
        <f>ROUND('Customer summary'!D39,0)</f>
        <v>891393</v>
      </c>
      <c r="C29" s="10">
        <f>ROUND('Customer summary'!E39,0)</f>
        <v>900889</v>
      </c>
      <c r="D29" s="10">
        <f>ROUND('Customer summary'!F39,0)</f>
        <v>910173</v>
      </c>
      <c r="E29" s="10">
        <f>ROUND('Customer summary'!G39,0)</f>
        <v>919370</v>
      </c>
      <c r="F29" s="10">
        <f>ROUND('Customer summary'!H39,0)</f>
        <v>928705</v>
      </c>
      <c r="G29" s="10">
        <f>ROUND('Customer summary'!I39,0)</f>
        <v>938134</v>
      </c>
      <c r="H29" s="10">
        <f>ROUND('Customer summary'!J39,0)</f>
        <v>947533</v>
      </c>
      <c r="I29" s="10">
        <f>ROUND('Customer summary'!K39,0)</f>
        <v>956926</v>
      </c>
      <c r="J29" s="10">
        <f>ROUND('Customer summary'!L39,0)</f>
        <v>966299</v>
      </c>
      <c r="K29" s="10">
        <f>ROUND('Customer summary'!M39,0)</f>
        <v>975622</v>
      </c>
      <c r="L29" s="10">
        <f>ROUND('Customer summary'!N39,0)</f>
        <v>984910</v>
      </c>
      <c r="M29" s="10">
        <f>ROUND('Customer summary'!O39,0)</f>
        <v>994115</v>
      </c>
      <c r="N29" s="10">
        <f>ROUND('Customer summary'!P39,0)</f>
        <v>1003238</v>
      </c>
      <c r="O29" s="10">
        <f>ROUND('Customer summary'!Q39,0)</f>
        <v>1012270</v>
      </c>
      <c r="P29" s="10">
        <f>ROUND('Customer summary'!R39,0)</f>
        <v>1021250</v>
      </c>
      <c r="Q29" s="10">
        <f>ROUND('Customer summary'!S39,0)</f>
        <v>1030174</v>
      </c>
      <c r="R29" s="10">
        <f>ROUND('Customer summary'!T39,0)</f>
        <v>1039101</v>
      </c>
      <c r="S29" s="10">
        <f>ROUND('Customer summary'!U39,0)</f>
        <v>1048091</v>
      </c>
      <c r="T29" s="10">
        <f>ROUND('Customer summary'!V39,0)</f>
        <v>1057069</v>
      </c>
      <c r="U29" s="10">
        <f>ROUND('Customer summary'!W39,0)</f>
        <v>1066056</v>
      </c>
      <c r="V29" s="10">
        <f>ROUND('Customer summary'!X39,0)</f>
        <v>1075062</v>
      </c>
      <c r="W29" s="10">
        <f>ROUND('Customer summary'!Y39,0)</f>
        <v>1084061</v>
      </c>
      <c r="X29" s="10">
        <f>ROUND('Customer summary'!Z39,0)</f>
        <v>1093004</v>
      </c>
      <c r="Y29" s="10">
        <f>ROUND('Customer summary'!AA39,0)</f>
        <v>1101810</v>
      </c>
      <c r="Z29" s="10">
        <f>ROUND('Customer summary'!AB39,0)</f>
        <v>1110481</v>
      </c>
      <c r="AA29" s="10">
        <f>ROUND('Customer summary'!AC39,0)</f>
        <v>1118984</v>
      </c>
      <c r="AB29" s="10">
        <f>ROUND('Customer summary'!AD39,0)</f>
        <v>1127276</v>
      </c>
    </row>
    <row r="30" spans="1:28" x14ac:dyDescent="0.25">
      <c r="A30" s="19" t="s">
        <v>295</v>
      </c>
      <c r="B30" s="10">
        <f>ROUND('Customer summary'!D6,0)</f>
        <v>882960</v>
      </c>
      <c r="C30" s="10">
        <f>ROUND('Customer summary'!E6,0)</f>
        <v>880068</v>
      </c>
      <c r="D30" s="10">
        <f>ROUND('Customer summary'!F6,0)</f>
        <v>872470</v>
      </c>
      <c r="E30" s="10">
        <f>ROUND('Customer summary'!G6,0)</f>
        <v>859525</v>
      </c>
      <c r="F30" s="10">
        <f>ROUND('Customer summary'!H6,0)</f>
        <v>840847</v>
      </c>
      <c r="G30" s="10">
        <f>ROUND('Customer summary'!I6,0)</f>
        <v>816287</v>
      </c>
      <c r="H30" s="10">
        <f>ROUND('Customer summary'!J6,0)</f>
        <v>786065</v>
      </c>
      <c r="I30" s="10">
        <f>ROUND('Customer summary'!K6,0)</f>
        <v>750957</v>
      </c>
      <c r="J30" s="10">
        <f>ROUND('Customer summary'!L6,0)</f>
        <v>712032</v>
      </c>
      <c r="K30" s="10">
        <f>ROUND('Customer summary'!M6,0)</f>
        <v>670457</v>
      </c>
      <c r="L30" s="10">
        <f>ROUND('Customer summary'!N6,0)</f>
        <v>627269</v>
      </c>
      <c r="M30" s="10">
        <f>ROUND('Customer summary'!O6,0)</f>
        <v>583280</v>
      </c>
      <c r="N30" s="10">
        <f>ROUND('Customer summary'!P6,0)</f>
        <v>539218</v>
      </c>
      <c r="O30" s="10">
        <f>ROUND('Customer summary'!Q6,0)</f>
        <v>495105</v>
      </c>
      <c r="P30" s="10">
        <f>ROUND('Customer summary'!R6,0)</f>
        <v>461605</v>
      </c>
      <c r="Q30" s="10">
        <f>ROUND('Customer summary'!S6,0)</f>
        <v>431954</v>
      </c>
      <c r="R30" s="10">
        <f>ROUND('Customer summary'!T6,0)</f>
        <v>406838</v>
      </c>
      <c r="S30" s="10">
        <f>ROUND('Customer summary'!U6,0)</f>
        <v>386710</v>
      </c>
      <c r="T30" s="10">
        <f>ROUND('Customer summary'!V6,0)</f>
        <v>371654</v>
      </c>
      <c r="U30" s="10">
        <f>ROUND('Customer summary'!W6,0)</f>
        <v>361385</v>
      </c>
      <c r="V30" s="10">
        <f>SUM(V29)</f>
        <v>1075062</v>
      </c>
      <c r="W30" s="10">
        <f>ROUND('Customer summary'!Y6,0)</f>
        <v>353432</v>
      </c>
      <c r="X30" s="10">
        <f>ROUND('Customer summary'!Z6,0)</f>
        <v>358134</v>
      </c>
      <c r="Y30" s="10">
        <f>ROUND('Customer summary'!AA6,0)</f>
        <v>359312</v>
      </c>
      <c r="Z30" s="10">
        <f>ROUND('Customer summary'!AB6,0)</f>
        <v>360392</v>
      </c>
      <c r="AA30" s="10">
        <f>ROUND('Customer summary'!AC6,0)</f>
        <v>361100</v>
      </c>
      <c r="AB30" s="10">
        <f>ROUND('Customer summary'!AD6,0)</f>
        <v>360020</v>
      </c>
    </row>
    <row r="31" spans="1:28" x14ac:dyDescent="0.25">
      <c r="A31" s="19" t="s">
        <v>296</v>
      </c>
      <c r="B31" s="10">
        <f>ROUND('Customer summary'!D14,0)</f>
        <v>882960</v>
      </c>
      <c r="C31" s="10">
        <f>ROUND('Customer summary'!E14,0)</f>
        <v>880068</v>
      </c>
      <c r="D31" s="10">
        <f>ROUND('Customer summary'!F14,0)</f>
        <v>872470</v>
      </c>
      <c r="E31" s="10">
        <f>ROUND('Customer summary'!G14,0)</f>
        <v>859525</v>
      </c>
      <c r="F31" s="10">
        <f>ROUND('Customer summary'!H14,0)</f>
        <v>840847</v>
      </c>
      <c r="G31" s="10">
        <f>ROUND('Customer summary'!I14,0)</f>
        <v>816287</v>
      </c>
      <c r="H31" s="10">
        <f>ROUND('Customer summary'!J14,0)</f>
        <v>786065</v>
      </c>
      <c r="I31" s="10">
        <f>ROUND('Customer summary'!K14,0)</f>
        <v>750957</v>
      </c>
      <c r="J31" s="10">
        <f>ROUND('Customer summary'!L14,0)</f>
        <v>712032</v>
      </c>
      <c r="K31" s="10">
        <f>ROUND('Customer summary'!M14,0)</f>
        <v>670457</v>
      </c>
      <c r="L31" s="10">
        <f>ROUND('Customer summary'!N14,0)</f>
        <v>627269</v>
      </c>
      <c r="M31" s="10">
        <f>ROUND('Customer summary'!O14,0)</f>
        <v>583280</v>
      </c>
      <c r="N31" s="10">
        <f>ROUND('Customer summary'!P14,0)</f>
        <v>539218</v>
      </c>
      <c r="O31" s="10">
        <f>ROUND('Customer summary'!Q14,0)</f>
        <v>495105</v>
      </c>
      <c r="P31" s="10">
        <f>ROUND('Customer summary'!R14,0)</f>
        <v>461605</v>
      </c>
      <c r="Q31" s="10">
        <f>ROUND('Customer summary'!S14,0)</f>
        <v>431954</v>
      </c>
      <c r="R31" s="10">
        <f>ROUND('Customer summary'!T14,0)</f>
        <v>406838</v>
      </c>
      <c r="S31" s="10">
        <f>ROUND('Customer summary'!U14,0)</f>
        <v>386710</v>
      </c>
      <c r="T31" s="10">
        <f>ROUND('Customer summary'!V14,0)</f>
        <v>371654</v>
      </c>
      <c r="U31" s="10">
        <f>ROUND('Customer summary'!W14,0)</f>
        <v>361385</v>
      </c>
      <c r="V31" s="10">
        <f>ROUND('Customer summary'!X14,0)</f>
        <v>355855</v>
      </c>
      <c r="W31" s="10">
        <f>ROUND('Customer summary'!Y14,0)</f>
        <v>353432</v>
      </c>
      <c r="X31" s="10">
        <f>ROUND('Customer summary'!Z14,0)</f>
        <v>358134</v>
      </c>
      <c r="Y31" s="10">
        <f>ROUND('Customer summary'!AA14,0)</f>
        <v>359312</v>
      </c>
      <c r="Z31" s="10">
        <f>ROUND('Customer summary'!AB14,0)</f>
        <v>360392</v>
      </c>
      <c r="AA31" s="10">
        <f>ROUND('Customer summary'!AC14,0)</f>
        <v>361100</v>
      </c>
      <c r="AB31" s="10">
        <f>ROUND('Customer summary'!AD14,0)</f>
        <v>360020</v>
      </c>
    </row>
    <row r="32" spans="1:28" x14ac:dyDescent="0.25">
      <c r="A32" s="19" t="s">
        <v>297</v>
      </c>
      <c r="B32" s="10">
        <f>ROUND('Customer summary'!D22,0)</f>
        <v>891301</v>
      </c>
      <c r="C32" s="10">
        <f>ROUND('Customer summary'!E22,0)</f>
        <v>900628</v>
      </c>
      <c r="D32" s="10">
        <f>ROUND('Customer summary'!F22,0)</f>
        <v>909644</v>
      </c>
      <c r="E32" s="10">
        <f>ROUND('Customer summary'!G22,0)</f>
        <v>918456</v>
      </c>
      <c r="F32" s="10">
        <f>ROUND('Customer summary'!H22,0)</f>
        <v>927251</v>
      </c>
      <c r="G32" s="10">
        <f>ROUND('Customer summary'!I22,0)</f>
        <v>936004</v>
      </c>
      <c r="H32" s="10">
        <f>ROUND('Customer summary'!J22,0)</f>
        <v>944560</v>
      </c>
      <c r="I32" s="10">
        <f>ROUND('Customer summary'!K22,0)</f>
        <v>952940</v>
      </c>
      <c r="J32" s="10">
        <f>ROUND('Customer summary'!L22,0)</f>
        <v>961143</v>
      </c>
      <c r="K32" s="10">
        <f>ROUND('Customer summary'!M22,0)</f>
        <v>969153</v>
      </c>
      <c r="L32" s="10">
        <f>ROUND('Customer summary'!N22,0)</f>
        <v>977020</v>
      </c>
      <c r="M32" s="10">
        <f>ROUND('Customer summary'!O22,0)</f>
        <v>984738</v>
      </c>
      <c r="N32" s="10">
        <f>ROUND('Customer summary'!P22,0)</f>
        <v>992337</v>
      </c>
      <c r="O32" s="10">
        <f>ROUND('Customer summary'!Q22,0)</f>
        <v>999830</v>
      </c>
      <c r="P32" s="10">
        <f>ROUND('Customer summary'!R22,0)</f>
        <v>1007272</v>
      </c>
      <c r="Q32" s="10">
        <f>ROUND('Customer summary'!S22,0)</f>
        <v>1014660</v>
      </c>
      <c r="R32" s="10">
        <f>ROUND('Customer summary'!T22,0)</f>
        <v>1022069</v>
      </c>
      <c r="S32" s="10">
        <f>ROUND('Customer summary'!U22,0)</f>
        <v>1029554</v>
      </c>
      <c r="T32" s="10">
        <f>ROUND('Customer summary'!V22,0)</f>
        <v>1037043</v>
      </c>
      <c r="U32" s="10">
        <f>ROUND('Customer summary'!W22,0)</f>
        <v>1044564</v>
      </c>
      <c r="V32" s="10">
        <f>ROUND('Customer summary'!X22,0)</f>
        <v>1052106</v>
      </c>
      <c r="W32" s="10">
        <f>ROUND('Customer summary'!Y22,0)</f>
        <v>1059681</v>
      </c>
      <c r="X32" s="10">
        <f>ROUND('Customer summary'!Z22,0)</f>
        <v>1067227</v>
      </c>
      <c r="Y32" s="10">
        <f>ROUND('Customer summary'!AA22,0)</f>
        <v>1074737</v>
      </c>
      <c r="Z32" s="10">
        <f>ROUND('Customer summary'!AB22,0)</f>
        <v>1082177</v>
      </c>
      <c r="AA32" s="10">
        <f>ROUND('Customer summary'!AC22,0)</f>
        <v>1089517</v>
      </c>
      <c r="AB32" s="10">
        <f>ROUND('Customer summary'!AD22,0)</f>
        <v>1096734</v>
      </c>
    </row>
    <row r="33" spans="1:28" x14ac:dyDescent="0.25">
      <c r="A33" s="19" t="s">
        <v>298</v>
      </c>
      <c r="B33" s="10">
        <f>ROUND('Customer summary'!D30,0)</f>
        <v>890202</v>
      </c>
      <c r="C33" s="10">
        <f>ROUND('Customer summary'!E30,0)</f>
        <v>897939</v>
      </c>
      <c r="D33" s="10">
        <f>ROUND('Customer summary'!F30,0)</f>
        <v>904833</v>
      </c>
      <c r="E33" s="10">
        <f>ROUND('Customer summary'!G30,0)</f>
        <v>910895</v>
      </c>
      <c r="F33" s="10">
        <f>ROUND('Customer summary'!H30,0)</f>
        <v>916179</v>
      </c>
      <c r="G33" s="10">
        <f>ROUND('Customer summary'!I30,0)</f>
        <v>920641</v>
      </c>
      <c r="H33" s="10">
        <f>ROUND('Customer summary'!J30,0)</f>
        <v>924210</v>
      </c>
      <c r="I33" s="10">
        <f>ROUND('Customer summary'!K30,0)</f>
        <v>926993</v>
      </c>
      <c r="J33" s="10">
        <f>ROUND('Customer summary'!L30,0)</f>
        <v>929132</v>
      </c>
      <c r="K33" s="10">
        <f>ROUND('Customer summary'!M30,0)</f>
        <v>930797</v>
      </c>
      <c r="L33" s="10">
        <f>ROUND('Customer summary'!N30,0)</f>
        <v>932153</v>
      </c>
      <c r="M33" s="10">
        <f>ROUND('Customer summary'!O30,0)</f>
        <v>933315</v>
      </c>
      <c r="N33" s="10">
        <f>ROUND('Customer summary'!P30,0)</f>
        <v>934405</v>
      </c>
      <c r="O33" s="10">
        <f>ROUND('Customer summary'!Q30,0)</f>
        <v>935443</v>
      </c>
      <c r="P33" s="10">
        <f>ROUND('Customer summary'!R30,0)</f>
        <v>936467</v>
      </c>
      <c r="Q33" s="10">
        <f>ROUND('Customer summary'!S30,0)</f>
        <v>937475</v>
      </c>
      <c r="R33" s="10">
        <f>ROUND('Customer summary'!T30,0)</f>
        <v>938504</v>
      </c>
      <c r="S33" s="10">
        <f>ROUND('Customer summary'!U30,0)</f>
        <v>939567</v>
      </c>
      <c r="T33" s="10">
        <f>ROUND('Customer summary'!V30,0)</f>
        <v>940640</v>
      </c>
      <c r="U33" s="10">
        <f>ROUND('Customer summary'!W30,0)</f>
        <v>941731</v>
      </c>
      <c r="V33" s="10">
        <f>ROUND('Customer summary'!X30,0)</f>
        <v>942827</v>
      </c>
      <c r="W33" s="10">
        <f>ROUND('Customer summary'!Y30,0)</f>
        <v>943965</v>
      </c>
      <c r="X33" s="10">
        <f>ROUND('Customer summary'!Z30,0)</f>
        <v>945107</v>
      </c>
      <c r="Y33" s="10">
        <f>ROUND('Customer summary'!AA30,0)</f>
        <v>946285</v>
      </c>
      <c r="Z33" s="10">
        <f>ROUND('Customer summary'!AB30,0)</f>
        <v>947365</v>
      </c>
      <c r="AA33" s="10">
        <f>ROUND('Customer summary'!AC30,0)</f>
        <v>948073</v>
      </c>
      <c r="AB33" s="10">
        <f>ROUND('Customer summary'!AD30,0)</f>
        <v>948813</v>
      </c>
    </row>
  </sheetData>
  <mergeCells count="1">
    <mergeCell ref="B1:N1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3"/>
  <sheetViews>
    <sheetView workbookViewId="0">
      <selection activeCell="B1" sqref="B1"/>
    </sheetView>
  </sheetViews>
  <sheetFormatPr defaultRowHeight="15" x14ac:dyDescent="0.25"/>
  <cols>
    <col min="1" max="1" width="36.140625" customWidth="1"/>
    <col min="2" max="2" width="16.28515625" bestFit="1" customWidth="1"/>
    <col min="3" max="3" width="13.7109375" bestFit="1" customWidth="1"/>
    <col min="4" max="4" width="15.28515625" bestFit="1" customWidth="1"/>
  </cols>
  <sheetData>
    <row r="1" spans="1:30" x14ac:dyDescent="0.25">
      <c r="A1" t="s">
        <v>316</v>
      </c>
      <c r="B1">
        <v>72.290000000000006</v>
      </c>
      <c r="C1" s="76" t="s">
        <v>313</v>
      </c>
      <c r="D1" s="75">
        <v>27.268311033404967</v>
      </c>
      <c r="E1" s="76" t="s">
        <v>314</v>
      </c>
      <c r="F1" s="75">
        <v>121.70067921806073</v>
      </c>
      <c r="G1" t="s">
        <v>317</v>
      </c>
      <c r="H1" s="21">
        <v>2.5000000000000001E-2</v>
      </c>
      <c r="J1" t="s">
        <v>319</v>
      </c>
      <c r="K1" s="81">
        <f>F1+D1+B1</f>
        <v>221.25899025146572</v>
      </c>
    </row>
    <row r="2" spans="1:30" x14ac:dyDescent="0.25"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</row>
    <row r="3" spans="1:30" x14ac:dyDescent="0.25">
      <c r="A3" t="s">
        <v>280</v>
      </c>
      <c r="B3" s="50">
        <v>2024</v>
      </c>
      <c r="C3" s="50">
        <v>2025</v>
      </c>
      <c r="D3" s="50">
        <v>2026</v>
      </c>
      <c r="E3" s="50">
        <v>2027</v>
      </c>
      <c r="F3" s="50">
        <v>2028</v>
      </c>
      <c r="G3" s="50">
        <v>2029</v>
      </c>
      <c r="H3" s="50">
        <v>2030</v>
      </c>
      <c r="I3" s="50">
        <v>2031</v>
      </c>
      <c r="J3" s="50">
        <v>2032</v>
      </c>
      <c r="K3" s="50">
        <v>2033</v>
      </c>
      <c r="L3" s="50">
        <v>2034</v>
      </c>
      <c r="M3" s="50">
        <v>2035</v>
      </c>
      <c r="N3" s="50">
        <v>2036</v>
      </c>
      <c r="O3" s="50">
        <v>2037</v>
      </c>
      <c r="P3" s="50">
        <v>2038</v>
      </c>
      <c r="Q3" s="50">
        <v>2039</v>
      </c>
      <c r="R3" s="50">
        <v>2040</v>
      </c>
      <c r="S3" s="50">
        <v>2041</v>
      </c>
      <c r="T3" s="50">
        <v>2042</v>
      </c>
      <c r="U3" s="50">
        <v>2043</v>
      </c>
      <c r="V3" s="50">
        <v>2044</v>
      </c>
      <c r="W3" s="50">
        <v>2045</v>
      </c>
      <c r="X3" s="50">
        <v>2046</v>
      </c>
      <c r="Y3" s="50">
        <v>2047</v>
      </c>
      <c r="Z3" s="50">
        <v>2048</v>
      </c>
      <c r="AA3" s="50">
        <v>2049</v>
      </c>
      <c r="AB3" s="50">
        <v>2050</v>
      </c>
    </row>
    <row r="4" spans="1:30" x14ac:dyDescent="0.25">
      <c r="A4" t="s">
        <v>281</v>
      </c>
      <c r="B4" s="43">
        <f>(($B$1+$D$1+$F$1)*'Scenario Cost Data Summary'!B29)/10^6*($H$1+1)^B$2</f>
        <v>197.22871509722478</v>
      </c>
      <c r="C4" s="43">
        <f>(($B$1+$D$1+$F$1)*'Scenario Cost Data Summary'!C29)/10^6*($H$1+1)^C$2</f>
        <v>204.313035230369</v>
      </c>
      <c r="D4" s="43">
        <f>(($B$1+$D$1+$F$1)*'Scenario Cost Data Summary'!D29)/10^6*($H$1+1)^D$2</f>
        <v>211.5790218551885</v>
      </c>
      <c r="E4" s="43">
        <f>(($B$1+$D$1+$F$1)*'Scenario Cost Data Summary'!E29)/10^6*($H$1+1)^E$2</f>
        <v>219.05988252351997</v>
      </c>
      <c r="F4" s="43">
        <f>(($B$1+$D$1+$F$1)*'Scenario Cost Data Summary'!F29)/10^6*($H$1+1)^F$2</f>
        <v>226.81625287314219</v>
      </c>
      <c r="G4" s="43">
        <f>(($B$1+$D$1+$F$1)*'Scenario Cost Data Summary'!G29)/10^6*($H$1+1)^G$2</f>
        <v>234.84706073211049</v>
      </c>
      <c r="H4" s="43">
        <f>(($B$1+$D$1+$F$1)*'Scenario Cost Data Summary'!H29)/10^6*($H$1+1)^H$2</f>
        <v>243.12995104814004</v>
      </c>
      <c r="I4" s="43">
        <f>(($B$1+$D$1+$F$1)*'Scenario Cost Data Summary'!I29)/10^6*($H$1+1)^I$2</f>
        <v>251.67862842255602</v>
      </c>
      <c r="J4" s="43">
        <f>(($B$1+$D$1+$F$1)*'Scenario Cost Data Summary'!J29)/10^6*($H$1+1)^J$2</f>
        <v>260.49739179439126</v>
      </c>
      <c r="K4" s="43">
        <f>(($B$1+$D$1+$F$1)*'Scenario Cost Data Summary'!K29)/10^6*($H$1+1)^K$2</f>
        <v>269.58597808406944</v>
      </c>
      <c r="L4" s="43">
        <f>(($B$1+$D$1+$F$1)*'Scenario Cost Data Summary'!L29)/10^6*($H$1+1)^L$2</f>
        <v>278.95626976088113</v>
      </c>
      <c r="M4" s="43">
        <f>(($B$1+$D$1+$F$1)*'Scenario Cost Data Summary'!M29)/10^6*($H$1+1)^M$2</f>
        <v>288.60248897480153</v>
      </c>
      <c r="N4" s="43">
        <f>(($B$1+$D$1+$F$1)*'Scenario Cost Data Summary'!N29)/10^6*($H$1+1)^N$2</f>
        <v>298.53227084387066</v>
      </c>
      <c r="O4" s="43">
        <f>(($B$1+$D$1+$F$1)*'Scenario Cost Data Summary'!O29)/10^6*($H$1+1)^O$2</f>
        <v>308.75040952625704</v>
      </c>
      <c r="P4" s="43">
        <f>(($B$1+$D$1+$F$1)*'Scenario Cost Data Summary'!P29)/10^6*($H$1+1)^P$2</f>
        <v>319.27661554911953</v>
      </c>
      <c r="Q4" s="43">
        <f>(($B$1+$D$1+$F$1)*'Scenario Cost Data Summary'!Q29)/10^6*($H$1+1)^Q$2</f>
        <v>330.11821772373673</v>
      </c>
      <c r="R4" s="43">
        <f>(($B$1+$D$1+$F$1)*'Scenario Cost Data Summary'!R29)/10^6*($H$1+1)^R$2</f>
        <v>341.30333750301054</v>
      </c>
      <c r="S4" s="43">
        <f>(($B$1+$D$1+$F$1)*'Scenario Cost Data Summary'!S29)/10^6*($H$1+1)^S$2</f>
        <v>352.86259970353166</v>
      </c>
      <c r="T4" s="43">
        <f>(($B$1+$D$1+$F$1)*'Scenario Cost Data Summary'!T29)/10^6*($H$1+1)^T$2</f>
        <v>364.7823693659833</v>
      </c>
      <c r="U4" s="43">
        <f>(($B$1+$D$1+$F$1)*'Scenario Cost Data Summary'!U29)/10^6*($H$1+1)^U$2</f>
        <v>377.08077182827549</v>
      </c>
      <c r="V4" s="43">
        <f>(($B$1+$D$1+$F$1)*'Scenario Cost Data Summary'!V29)/10^6*($H$1+1)^V$2</f>
        <v>389.77299404658913</v>
      </c>
      <c r="W4" s="43">
        <f>(($B$1+$D$1+$F$1)*'Scenario Cost Data Summary'!W29)/10^6*($H$1+1)^W$2</f>
        <v>402.86155053533463</v>
      </c>
      <c r="X4" s="43">
        <f>(($B$1+$D$1+$F$1)*'Scenario Cost Data Summary'!X29)/10^6*($H$1+1)^X$2</f>
        <v>416.3395955908901</v>
      </c>
      <c r="Y4" s="43">
        <f>(($B$1+$D$1+$F$1)*'Scenario Cost Data Summary'!Y29)/10^6*($H$1+1)^Y$2</f>
        <v>430.18626470118011</v>
      </c>
      <c r="Z4" s="43">
        <f>(($B$1+$D$1+$F$1)*'Scenario Cost Data Summary'!Z29)/10^6*($H$1+1)^Z$2</f>
        <v>444.41102844131194</v>
      </c>
      <c r="AA4" s="43">
        <f>(($B$1+$D$1+$F$1)*'Scenario Cost Data Summary'!AA29)/10^6*($H$1+1)^AA$2</f>
        <v>459.00925005075032</v>
      </c>
      <c r="AB4" s="43">
        <f>(($B$1+$D$1+$F$1)*'Scenario Cost Data Summary'!AB29)/10^6*($H$1+1)^AB$2</f>
        <v>473.97090945376777</v>
      </c>
      <c r="AC4" s="17">
        <f>SUM(B4:AB4)</f>
        <v>8595.5528612600028</v>
      </c>
    </row>
    <row r="5" spans="1:30" x14ac:dyDescent="0.25">
      <c r="A5" s="19" t="s">
        <v>295</v>
      </c>
      <c r="B5" s="43">
        <f>(($B$1+$D$1+$F$1)*'Scenario Cost Data Summary'!B30)/10^6*($H$1+1)^B$2</f>
        <v>195.36283803243415</v>
      </c>
      <c r="C5" s="43">
        <f>(($B$1+$D$1+$F$1)*'Scenario Cost Data Summary'!C30)/10^6*($H$1+1)^C$2</f>
        <v>199.59103095844259</v>
      </c>
      <c r="D5" s="43">
        <f>(($B$1+$D$1+$F$1)*'Scenario Cost Data Summary'!D30)/10^6*($H$1+1)^D$2</f>
        <v>202.81457393044653</v>
      </c>
      <c r="E5" s="43">
        <f>(($B$1+$D$1+$F$1)*'Scenario Cost Data Summary'!E30)/10^6*($H$1+1)^E$2</f>
        <v>204.80051070410008</v>
      </c>
      <c r="F5" s="43">
        <f>(($B$1+$D$1+$F$1)*'Scenario Cost Data Summary'!F30)/10^6*($H$1+1)^F$2</f>
        <v>205.35882307042925</v>
      </c>
      <c r="G5" s="43">
        <f>(($B$1+$D$1+$F$1)*'Scenario Cost Data Summary'!G30)/10^6*($H$1+1)^G$2</f>
        <v>204.34458474357848</v>
      </c>
      <c r="H5" s="43">
        <f>(($B$1+$D$1+$F$1)*'Scenario Cost Data Summary'!H30)/10^6*($H$1+1)^H$2</f>
        <v>201.6984579646896</v>
      </c>
      <c r="I5" s="43">
        <f>(($B$1+$D$1+$F$1)*'Scenario Cost Data Summary'!I30)/10^6*($H$1+1)^I$2</f>
        <v>197.50725527816928</v>
      </c>
      <c r="J5" s="43">
        <f>(($B$1+$D$1+$F$1)*'Scenario Cost Data Summary'!J30)/10^6*($H$1+1)^J$2</f>
        <v>191.95143415665748</v>
      </c>
      <c r="K5" s="43">
        <f>(($B$1+$D$1+$F$1)*'Scenario Cost Data Summary'!K30)/10^6*($H$1+1)^K$2</f>
        <v>185.26212622133465</v>
      </c>
      <c r="L5" s="43">
        <f>(($B$1+$D$1+$F$1)*'Scenario Cost Data Summary'!L30)/10^6*($H$1+1)^L$2</f>
        <v>177.66153290822322</v>
      </c>
      <c r="M5" s="43">
        <f>(($B$1+$D$1+$F$1)*'Scenario Cost Data Summary'!M30)/10^6*($H$1+1)^M$2</f>
        <v>169.33258201437684</v>
      </c>
      <c r="N5" s="43">
        <f>(($B$1+$D$1+$F$1)*'Scenario Cost Data Summary'!N30)/10^6*($H$1+1)^N$2</f>
        <v>160.45442259951301</v>
      </c>
      <c r="O5" s="43">
        <f>(($B$1+$D$1+$F$1)*'Scenario Cost Data Summary'!O30)/10^6*($H$1+1)^O$2</f>
        <v>151.01096694409347</v>
      </c>
      <c r="P5" s="43">
        <f>(($B$1+$D$1+$F$1)*'Scenario Cost Data Summary'!P30)/10^6*($H$1+1)^P$2</f>
        <v>144.31303022820202</v>
      </c>
      <c r="Q5" s="43">
        <f>(($B$1+$D$1+$F$1)*'Scenario Cost Data Summary'!Q30)/10^6*($H$1+1)^Q$2</f>
        <v>138.41922298431041</v>
      </c>
      <c r="R5" s="43">
        <f>(($B$1+$D$1+$F$1)*'Scenario Cost Data Summary'!R30)/10^6*($H$1+1)^R$2</f>
        <v>133.63009680776921</v>
      </c>
      <c r="S5" s="43">
        <f>(($B$1+$D$1+$F$1)*'Scenario Cost Data Summary'!S30)/10^6*($H$1+1)^S$2</f>
        <v>130.19432084747672</v>
      </c>
      <c r="T5" s="43">
        <f>(($B$1+$D$1+$F$1)*'Scenario Cost Data Summary'!T30)/10^6*($H$1+1)^T$2</f>
        <v>128.25352621668515</v>
      </c>
      <c r="U5" s="43">
        <f>(($B$1+$D$1+$F$1)*'Scenario Cost Data Summary'!U30)/10^6*($H$1+1)^U$2</f>
        <v>127.82755758343026</v>
      </c>
      <c r="V5" s="43">
        <f>(($B$1+$D$1+$F$1)*'Scenario Cost Data Summary'!V30)/10^6*($H$1+1)^V$2</f>
        <v>389.77299404658913</v>
      </c>
      <c r="W5" s="43">
        <f>(($B$1+$D$1+$F$1)*'Scenario Cost Data Summary'!W30)/10^6*($H$1+1)^W$2</f>
        <v>131.3433132718587</v>
      </c>
      <c r="X5" s="43">
        <f>(($B$1+$D$1+$F$1)*'Scenario Cost Data Summary'!X30)/10^6*($H$1+1)^X$2</f>
        <v>136.41794973060286</v>
      </c>
      <c r="Y5" s="43">
        <f>(($B$1+$D$1+$F$1)*'Scenario Cost Data Summary'!Y30)/10^6*($H$1+1)^Y$2</f>
        <v>140.2883320557178</v>
      </c>
      <c r="Z5" s="43">
        <f>(($B$1+$D$1+$F$1)*'Scenario Cost Data Summary'!Z30)/10^6*($H$1+1)^Z$2</f>
        <v>144.22775298453672</v>
      </c>
      <c r="AA5" s="43">
        <f>(($B$1+$D$1+$F$1)*'Scenario Cost Data Summary'!AA30)/10^6*($H$1+1)^AA$2</f>
        <v>148.12386968296772</v>
      </c>
      <c r="AB5" s="43">
        <f>(($B$1+$D$1+$F$1)*'Scenario Cost Data Summary'!AB30)/10^6*($H$1+1)^AB$2</f>
        <v>151.37287303335248</v>
      </c>
      <c r="AC5" s="17">
        <f t="shared" ref="AC5:AC8" si="0">SUM(B5:AB5)</f>
        <v>4691.3359789999886</v>
      </c>
      <c r="AD5" s="17">
        <f>AC$4-AC5</f>
        <v>3904.2168822600142</v>
      </c>
    </row>
    <row r="6" spans="1:30" x14ac:dyDescent="0.25">
      <c r="A6" s="19" t="s">
        <v>296</v>
      </c>
      <c r="B6" s="43">
        <f>(($B$1+$D$1+$F$1)*'Scenario Cost Data Summary'!B31)/10^6*($H$1+1)^B$2</f>
        <v>195.36283803243415</v>
      </c>
      <c r="C6" s="43">
        <f>(($B$1+$D$1+$F$1)*'Scenario Cost Data Summary'!C31)/10^6*($H$1+1)^C$2</f>
        <v>199.59103095844259</v>
      </c>
      <c r="D6" s="43">
        <f>(($B$1+$D$1+$F$1)*'Scenario Cost Data Summary'!D31)/10^6*($H$1+1)^D$2</f>
        <v>202.81457393044653</v>
      </c>
      <c r="E6" s="43">
        <f>(($B$1+$D$1+$F$1)*'Scenario Cost Data Summary'!E31)/10^6*($H$1+1)^E$2</f>
        <v>204.80051070410008</v>
      </c>
      <c r="F6" s="43">
        <f>(($B$1+$D$1+$F$1)*'Scenario Cost Data Summary'!F31)/10^6*($H$1+1)^F$2</f>
        <v>205.35882307042925</v>
      </c>
      <c r="G6" s="43">
        <f>(($B$1+$D$1+$F$1)*'Scenario Cost Data Summary'!G31)/10^6*($H$1+1)^G$2</f>
        <v>204.34458474357848</v>
      </c>
      <c r="H6" s="43">
        <f>(($B$1+$D$1+$F$1)*'Scenario Cost Data Summary'!H31)/10^6*($H$1+1)^H$2</f>
        <v>201.6984579646896</v>
      </c>
      <c r="I6" s="43">
        <f>(($B$1+$D$1+$F$1)*'Scenario Cost Data Summary'!I31)/10^6*($H$1+1)^I$2</f>
        <v>197.50725527816928</v>
      </c>
      <c r="J6" s="43">
        <f>(($B$1+$D$1+$F$1)*'Scenario Cost Data Summary'!J31)/10^6*($H$1+1)^J$2</f>
        <v>191.95143415665748</v>
      </c>
      <c r="K6" s="43">
        <f>(($B$1+$D$1+$F$1)*'Scenario Cost Data Summary'!K31)/10^6*($H$1+1)^K$2</f>
        <v>185.26212622133465</v>
      </c>
      <c r="L6" s="43">
        <f>(($B$1+$D$1+$F$1)*'Scenario Cost Data Summary'!L31)/10^6*($H$1+1)^L$2</f>
        <v>177.66153290822322</v>
      </c>
      <c r="M6" s="43">
        <f>(($B$1+$D$1+$F$1)*'Scenario Cost Data Summary'!M31)/10^6*($H$1+1)^M$2</f>
        <v>169.33258201437684</v>
      </c>
      <c r="N6" s="43">
        <f>(($B$1+$D$1+$F$1)*'Scenario Cost Data Summary'!N31)/10^6*($H$1+1)^N$2</f>
        <v>160.45442259951301</v>
      </c>
      <c r="O6" s="43">
        <f>(($B$1+$D$1+$F$1)*'Scenario Cost Data Summary'!O31)/10^6*($H$1+1)^O$2</f>
        <v>151.01096694409347</v>
      </c>
      <c r="P6" s="43">
        <f>(($B$1+$D$1+$F$1)*'Scenario Cost Data Summary'!P31)/10^6*($H$1+1)^P$2</f>
        <v>144.31303022820202</v>
      </c>
      <c r="Q6" s="43">
        <f>(($B$1+$D$1+$F$1)*'Scenario Cost Data Summary'!Q31)/10^6*($H$1+1)^Q$2</f>
        <v>138.41922298431041</v>
      </c>
      <c r="R6" s="43">
        <f>(($B$1+$D$1+$F$1)*'Scenario Cost Data Summary'!R31)/10^6*($H$1+1)^R$2</f>
        <v>133.63009680776921</v>
      </c>
      <c r="S6" s="43">
        <f>(($B$1+$D$1+$F$1)*'Scenario Cost Data Summary'!S31)/10^6*($H$1+1)^S$2</f>
        <v>130.19432084747672</v>
      </c>
      <c r="T6" s="43">
        <f>(($B$1+$D$1+$F$1)*'Scenario Cost Data Summary'!T31)/10^6*($H$1+1)^T$2</f>
        <v>128.25352621668515</v>
      </c>
      <c r="U6" s="43">
        <f>(($B$1+$D$1+$F$1)*'Scenario Cost Data Summary'!U31)/10^6*($H$1+1)^U$2</f>
        <v>127.82755758343026</v>
      </c>
      <c r="V6" s="43">
        <f>(($B$1+$D$1+$F$1)*'Scenario Cost Data Summary'!V31)/10^6*($H$1+1)^V$2</f>
        <v>129.01829736001179</v>
      </c>
      <c r="W6" s="43">
        <f>(($B$1+$D$1+$F$1)*'Scenario Cost Data Summary'!W31)/10^6*($H$1+1)^W$2</f>
        <v>131.3433132718587</v>
      </c>
      <c r="X6" s="43">
        <f>(($B$1+$D$1+$F$1)*'Scenario Cost Data Summary'!X31)/10^6*($H$1+1)^X$2</f>
        <v>136.41794973060286</v>
      </c>
      <c r="Y6" s="43">
        <f>(($B$1+$D$1+$F$1)*'Scenario Cost Data Summary'!Y31)/10^6*($H$1+1)^Y$2</f>
        <v>140.2883320557178</v>
      </c>
      <c r="Z6" s="43">
        <f>(($B$1+$D$1+$F$1)*'Scenario Cost Data Summary'!Z31)/10^6*($H$1+1)^Z$2</f>
        <v>144.22775298453672</v>
      </c>
      <c r="AA6" s="43">
        <f>(($B$1+$D$1+$F$1)*'Scenario Cost Data Summary'!AA31)/10^6*($H$1+1)^AA$2</f>
        <v>148.12386968296772</v>
      </c>
      <c r="AB6" s="43">
        <f>(($B$1+$D$1+$F$1)*'Scenario Cost Data Summary'!AB31)/10^6*($H$1+1)^AB$2</f>
        <v>151.37287303335248</v>
      </c>
      <c r="AC6" s="17">
        <f t="shared" si="0"/>
        <v>4430.5812823134111</v>
      </c>
      <c r="AD6" s="17">
        <f>AC$4-AC6</f>
        <v>4164.9715789465918</v>
      </c>
    </row>
    <row r="7" spans="1:30" x14ac:dyDescent="0.25">
      <c r="A7" s="19" t="s">
        <v>297</v>
      </c>
      <c r="B7" s="43">
        <f>(($B$1+$D$1+$F$1)*'Scenario Cost Data Summary'!B32)/10^6*($H$1+1)^B$2</f>
        <v>197.20835927012163</v>
      </c>
      <c r="C7" s="43">
        <f>(($B$1+$D$1+$F$1)*'Scenario Cost Data Summary'!C32)/10^6*($H$1+1)^C$2</f>
        <v>204.25384291900198</v>
      </c>
      <c r="D7" s="43">
        <f>(($B$1+$D$1+$F$1)*'Scenario Cost Data Summary'!D32)/10^6*($H$1+1)^D$2</f>
        <v>211.45605039529968</v>
      </c>
      <c r="E7" s="43">
        <f>(($B$1+$D$1+$F$1)*'Scenario Cost Data Summary'!E32)/10^6*($H$1+1)^E$2</f>
        <v>218.84210216019889</v>
      </c>
      <c r="F7" s="43">
        <f>(($B$1+$D$1+$F$1)*'Scenario Cost Data Summary'!F32)/10^6*($H$1+1)^F$2</f>
        <v>226.46114459691071</v>
      </c>
      <c r="G7" s="43">
        <f>(($B$1+$D$1+$F$1)*'Scenario Cost Data Summary'!G32)/10^6*($H$1+1)^G$2</f>
        <v>234.31384880358067</v>
      </c>
      <c r="H7" s="43">
        <f>(($B$1+$D$1+$F$1)*'Scenario Cost Data Summary'!H32)/10^6*($H$1+1)^H$2</f>
        <v>242.3671012640522</v>
      </c>
      <c r="I7" s="43">
        <f>(($B$1+$D$1+$F$1)*'Scenario Cost Data Summary'!I32)/10^6*($H$1+1)^I$2</f>
        <v>250.63028088795846</v>
      </c>
      <c r="J7" s="43">
        <f>(($B$1+$D$1+$F$1)*'Scenario Cost Data Summary'!J32)/10^6*($H$1+1)^J$2</f>
        <v>259.10742393548639</v>
      </c>
      <c r="K7" s="43">
        <f>(($B$1+$D$1+$F$1)*'Scenario Cost Data Summary'!K32)/10^6*($H$1+1)^K$2</f>
        <v>267.79845003301494</v>
      </c>
      <c r="L7" s="43">
        <f>(($B$1+$D$1+$F$1)*'Scenario Cost Data Summary'!L32)/10^6*($H$1+1)^L$2</f>
        <v>276.72158337490333</v>
      </c>
      <c r="M7" s="43">
        <f>(($B$1+$D$1+$F$1)*'Scenario Cost Data Summary'!M32)/10^6*($H$1+1)^M$2</f>
        <v>285.88024301823043</v>
      </c>
      <c r="N7" s="43">
        <f>(($B$1+$D$1+$F$1)*'Scenario Cost Data Summary'!N32)/10^6*($H$1+1)^N$2</f>
        <v>295.28847397366735</v>
      </c>
      <c r="O7" s="43">
        <f>(($B$1+$D$1+$F$1)*'Scenario Cost Data Summary'!O32)/10^6*($H$1+1)^O$2</f>
        <v>304.95611048103524</v>
      </c>
      <c r="P7" s="43">
        <f>(($B$1+$D$1+$F$1)*'Scenario Cost Data Summary'!P32)/10^6*($H$1+1)^P$2</f>
        <v>314.90662922633311</v>
      </c>
      <c r="Q7" s="43">
        <f>(($B$1+$D$1+$F$1)*'Scenario Cost Data Summary'!Q32)/10^6*($H$1+1)^Q$2</f>
        <v>325.1467720943906</v>
      </c>
      <c r="R7" s="43">
        <f>(($B$1+$D$1+$F$1)*'Scenario Cost Data Summary'!R32)/10^6*($H$1+1)^R$2</f>
        <v>335.70900312709205</v>
      </c>
      <c r="S7" s="43">
        <f>(($B$1+$D$1+$F$1)*'Scenario Cost Data Summary'!S32)/10^6*($H$1+1)^S$2</f>
        <v>346.6217160295908</v>
      </c>
      <c r="T7" s="43">
        <f>(($B$1+$D$1+$F$1)*'Scenario Cost Data Summary'!T32)/10^6*($H$1+1)^T$2</f>
        <v>357.87162680431214</v>
      </c>
      <c r="U7" s="43">
        <f>(($B$1+$D$1+$F$1)*'Scenario Cost Data Summary'!U32)/10^6*($H$1+1)^U$2</f>
        <v>369.47871344847806</v>
      </c>
      <c r="V7" s="43">
        <f>(($B$1+$D$1+$F$1)*'Scenario Cost Data Summary'!V32)/10^6*($H$1+1)^V$2</f>
        <v>381.45009838909829</v>
      </c>
      <c r="W7" s="43">
        <f>(($B$1+$D$1+$F$1)*'Scenario Cost Data Summary'!W32)/10^6*($H$1+1)^W$2</f>
        <v>393.80139192613143</v>
      </c>
      <c r="X7" s="43">
        <f>(($B$1+$D$1+$F$1)*'Scenario Cost Data Summary'!X32)/10^6*($H$1+1)^X$2</f>
        <v>406.5207973471999</v>
      </c>
      <c r="Y7" s="43">
        <f>(($B$1+$D$1+$F$1)*'Scenario Cost Data Summary'!Y32)/10^6*($H$1+1)^Y$2</f>
        <v>419.61599147416723</v>
      </c>
      <c r="Z7" s="43">
        <f>(($B$1+$D$1+$F$1)*'Scenario Cost Data Summary'!Z32)/10^6*($H$1+1)^Z$2</f>
        <v>433.08385602773359</v>
      </c>
      <c r="AA7" s="43">
        <f>(($B$1+$D$1+$F$1)*'Scenario Cost Data Summary'!AA32)/10^6*($H$1+1)^AA$2</f>
        <v>446.9218336343892</v>
      </c>
      <c r="AB7" s="43">
        <f>(($B$1+$D$1+$F$1)*'Scenario Cost Data Summary'!AB32)/10^6*($H$1+1)^AB$2</f>
        <v>461.12931651952891</v>
      </c>
      <c r="AC7" s="17">
        <f t="shared" si="0"/>
        <v>8467.542761161907</v>
      </c>
      <c r="AD7" s="17">
        <f>AC$4-AC7</f>
        <v>128.01010009809579</v>
      </c>
    </row>
    <row r="8" spans="1:30" x14ac:dyDescent="0.25">
      <c r="A8" s="19" t="s">
        <v>298</v>
      </c>
      <c r="B8" s="43">
        <f>(($B$1+$D$1+$F$1)*'Scenario Cost Data Summary'!B33)/10^6*($H$1+1)^B$2</f>
        <v>196.96519563983529</v>
      </c>
      <c r="C8" s="43">
        <f>(($B$1+$D$1+$F$1)*'Scenario Cost Data Summary'!C33)/10^6*($H$1+1)^C$2</f>
        <v>203.64400335859614</v>
      </c>
      <c r="D8" s="43">
        <f>(($B$1+$D$1+$F$1)*'Scenario Cost Data Summary'!D33)/10^6*($H$1+1)^D$2</f>
        <v>210.33768424496859</v>
      </c>
      <c r="E8" s="43">
        <f>(($B$1+$D$1+$F$1)*'Scenario Cost Data Summary'!E33)/10^6*($H$1+1)^E$2</f>
        <v>217.04052959228795</v>
      </c>
      <c r="F8" s="43">
        <f>(($B$1+$D$1+$F$1)*'Scenario Cost Data Summary'!F33)/10^6*($H$1+1)^F$2</f>
        <v>223.75704636139847</v>
      </c>
      <c r="G8" s="43">
        <f>(($B$1+$D$1+$F$1)*'Scenario Cost Data Summary'!G33)/10^6*($H$1+1)^G$2</f>
        <v>230.46796389371983</v>
      </c>
      <c r="H8" s="43">
        <f>(($B$1+$D$1+$F$1)*'Scenario Cost Data Summary'!H33)/10^6*($H$1+1)^H$2</f>
        <v>237.14544196160082</v>
      </c>
      <c r="I8" s="43">
        <f>(($B$1+$D$1+$F$1)*'Scenario Cost Data Summary'!I33)/10^6*($H$1+1)^I$2</f>
        <v>243.80602763151015</v>
      </c>
      <c r="J8" s="43">
        <f>(($B$1+$D$1+$F$1)*'Scenario Cost Data Summary'!J33)/10^6*($H$1+1)^J$2</f>
        <v>250.47781549262319</v>
      </c>
      <c r="K8" s="43">
        <f>(($B$1+$D$1+$F$1)*'Scenario Cost Data Summary'!K33)/10^6*($H$1+1)^K$2</f>
        <v>257.19983727582769</v>
      </c>
      <c r="L8" s="43">
        <f>(($B$1+$D$1+$F$1)*'Scenario Cost Data Summary'!L33)/10^6*($H$1+1)^L$2</f>
        <v>264.01389337748077</v>
      </c>
      <c r="M8" s="43">
        <f>(($B$1+$D$1+$F$1)*'Scenario Cost Data Summary'!M33)/10^6*($H$1+1)^M$2</f>
        <v>270.95158205792779</v>
      </c>
      <c r="N8" s="43">
        <f>(($B$1+$D$1+$F$1)*'Scenario Cost Data Summary'!N33)/10^6*($H$1+1)^N$2</f>
        <v>278.04972153952201</v>
      </c>
      <c r="O8" s="43">
        <f>(($B$1+$D$1+$F$1)*'Scenario Cost Data Summary'!O33)/10^6*($H$1+1)^O$2</f>
        <v>285.3175628423943</v>
      </c>
      <c r="P8" s="43">
        <f>(($B$1+$D$1+$F$1)*'Scenario Cost Data Summary'!P33)/10^6*($H$1+1)^P$2</f>
        <v>292.7706382701956</v>
      </c>
      <c r="Q8" s="43">
        <f>(($B$1+$D$1+$F$1)*'Scenario Cost Data Summary'!Q33)/10^6*($H$1+1)^Q$2</f>
        <v>300.4129168087722</v>
      </c>
      <c r="R8" s="43">
        <f>(($B$1+$D$1+$F$1)*'Scenario Cost Data Summary'!R33)/10^6*($H$1+1)^R$2</f>
        <v>308.26122528986633</v>
      </c>
      <c r="S8" s="43">
        <f>(($B$1+$D$1+$F$1)*'Scenario Cost Data Summary'!S33)/10^6*($H$1+1)^S$2</f>
        <v>316.32563796049021</v>
      </c>
      <c r="T8" s="43">
        <f>(($B$1+$D$1+$F$1)*'Scenario Cost Data Summary'!T33)/10^6*($H$1+1)^T$2</f>
        <v>324.60405888396934</v>
      </c>
      <c r="U8" s="43">
        <f>(($B$1+$D$1+$F$1)*'Scenario Cost Data Summary'!U33)/10^6*($H$1+1)^U$2</f>
        <v>333.10506421296225</v>
      </c>
      <c r="V8" s="43">
        <f>(($B$1+$D$1+$F$1)*'Scenario Cost Data Summary'!V33)/10^6*($H$1+1)^V$2</f>
        <v>341.83005506469721</v>
      </c>
      <c r="W8" s="43">
        <f>(($B$1+$D$1+$F$1)*'Scenario Cost Data Summary'!W33)/10^6*($H$1+1)^W$2</f>
        <v>350.79871294243327</v>
      </c>
      <c r="X8" s="43">
        <f>(($B$1+$D$1+$F$1)*'Scenario Cost Data Summary'!X33)/10^6*($H$1+1)^X$2</f>
        <v>360.00368358223699</v>
      </c>
      <c r="Y8" s="43">
        <f>(($B$1+$D$1+$F$1)*'Scenario Cost Data Summary'!Y33)/10^6*($H$1+1)^Y$2</f>
        <v>369.46370925364283</v>
      </c>
      <c r="Z8" s="43">
        <f>(($B$1+$D$1+$F$1)*'Scenario Cost Data Summary'!Z33)/10^6*($H$1+1)^Z$2</f>
        <v>379.13251461240986</v>
      </c>
      <c r="AA8" s="43">
        <f>(($B$1+$D$1+$F$1)*'Scenario Cost Data Summary'!AA33)/10^6*($H$1+1)^AA$2</f>
        <v>388.90125035153767</v>
      </c>
      <c r="AB8" s="43">
        <f>(($B$1+$D$1+$F$1)*'Scenario Cost Data Summary'!AB33)/10^6*($H$1+1)^AB$2</f>
        <v>398.93491967500216</v>
      </c>
      <c r="AC8" s="17">
        <f t="shared" si="0"/>
        <v>7833.7186921779085</v>
      </c>
      <c r="AD8" s="17">
        <f>AC$4-AC8</f>
        <v>761.83416908209438</v>
      </c>
    </row>
    <row r="12" spans="1:30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30" x14ac:dyDescent="0.25">
      <c r="C13" s="1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C55"/>
  <sheetViews>
    <sheetView topLeftCell="A13" workbookViewId="0">
      <selection activeCell="D45" sqref="D45"/>
    </sheetView>
  </sheetViews>
  <sheetFormatPr defaultRowHeight="15" x14ac:dyDescent="0.25"/>
  <cols>
    <col min="1" max="1" width="27.5703125" bestFit="1" customWidth="1"/>
    <col min="2" max="2" width="11.5703125" bestFit="1" customWidth="1"/>
    <col min="5" max="5" width="6.85546875" bestFit="1" customWidth="1"/>
    <col min="7" max="7" width="8.5703125" bestFit="1" customWidth="1"/>
    <col min="9" max="9" width="10.28515625" bestFit="1" customWidth="1"/>
    <col min="19" max="19" width="10.5703125" bestFit="1" customWidth="1"/>
  </cols>
  <sheetData>
    <row r="2" spans="1:29" ht="15.75" thickBot="1" x14ac:dyDescent="0.3"/>
    <row r="3" spans="1:29" s="1" customFormat="1" ht="15.75" thickBot="1" x14ac:dyDescent="0.3">
      <c r="A3" s="77" t="s">
        <v>48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8" t="s">
        <v>12</v>
      </c>
      <c r="K3" s="78" t="s">
        <v>13</v>
      </c>
      <c r="L3" s="78" t="s">
        <v>14</v>
      </c>
      <c r="M3" s="78" t="s">
        <v>15</v>
      </c>
      <c r="N3" s="78" t="s">
        <v>16</v>
      </c>
      <c r="O3" s="78" t="s">
        <v>17</v>
      </c>
      <c r="P3" s="78" t="s">
        <v>18</v>
      </c>
      <c r="Q3" s="78" t="s">
        <v>19</v>
      </c>
      <c r="R3" s="78" t="s">
        <v>20</v>
      </c>
      <c r="S3" s="79">
        <v>2041</v>
      </c>
      <c r="T3" s="79">
        <v>2042</v>
      </c>
      <c r="U3" s="79">
        <v>2043</v>
      </c>
      <c r="V3" s="79">
        <v>2044</v>
      </c>
      <c r="W3" s="79">
        <v>2045</v>
      </c>
      <c r="X3" s="79">
        <v>2046</v>
      </c>
      <c r="Y3" s="79">
        <v>2047</v>
      </c>
      <c r="Z3" s="79">
        <v>2048</v>
      </c>
      <c r="AA3" s="79">
        <v>2049</v>
      </c>
      <c r="AB3" s="80">
        <v>2050</v>
      </c>
      <c r="AC3" s="53"/>
    </row>
    <row r="4" spans="1:29" x14ac:dyDescent="0.25">
      <c r="A4" s="29" t="s">
        <v>315</v>
      </c>
      <c r="B4" s="25">
        <f t="shared" ref="B4:AB4" si="0">SUM(B5:B8)</f>
        <v>242548278.37899941</v>
      </c>
      <c r="C4" s="25">
        <f t="shared" si="0"/>
        <v>222476653.54510051</v>
      </c>
      <c r="D4" s="25">
        <f t="shared" si="0"/>
        <v>220263067.35395163</v>
      </c>
      <c r="E4" s="25">
        <f t="shared" si="0"/>
        <v>228734371.47345006</v>
      </c>
      <c r="F4" s="25">
        <f t="shared" si="0"/>
        <v>221129867.63482818</v>
      </c>
      <c r="G4" s="25">
        <f t="shared" si="0"/>
        <v>266307975.3564733</v>
      </c>
      <c r="H4" s="25">
        <f t="shared" si="0"/>
        <v>212549668.2554931</v>
      </c>
      <c r="I4" s="25">
        <f t="shared" si="0"/>
        <v>217863409.96188042</v>
      </c>
      <c r="J4" s="25">
        <f t="shared" si="0"/>
        <v>223309995.21092743</v>
      </c>
      <c r="K4" s="25">
        <f t="shared" si="0"/>
        <v>228892745.09120059</v>
      </c>
      <c r="L4" s="25">
        <f t="shared" si="0"/>
        <v>160626177.06393117</v>
      </c>
      <c r="M4" s="25">
        <f t="shared" si="0"/>
        <v>164641831.49052942</v>
      </c>
      <c r="N4" s="25">
        <f t="shared" si="0"/>
        <v>168421655.07173109</v>
      </c>
      <c r="O4" s="25">
        <f t="shared" si="0"/>
        <v>172632196.44852433</v>
      </c>
      <c r="P4" s="25">
        <f t="shared" si="0"/>
        <v>176948001.35973743</v>
      </c>
      <c r="Q4" s="25">
        <f t="shared" si="0"/>
        <v>181371701.39373088</v>
      </c>
      <c r="R4" s="25">
        <f t="shared" si="0"/>
        <v>185905993.92857414</v>
      </c>
      <c r="S4" s="25">
        <f t="shared" si="0"/>
        <v>190553643.7767885</v>
      </c>
      <c r="T4" s="25">
        <f t="shared" si="0"/>
        <v>195317484.87120819</v>
      </c>
      <c r="U4" s="25">
        <f t="shared" si="0"/>
        <v>200200421.99298841</v>
      </c>
      <c r="V4" s="25">
        <f t="shared" si="0"/>
        <v>205205432.54281312</v>
      </c>
      <c r="W4" s="25">
        <f t="shared" si="0"/>
        <v>210335568.35638341</v>
      </c>
      <c r="X4" s="25">
        <f t="shared" si="0"/>
        <v>215593957.56529295</v>
      </c>
      <c r="Y4" s="25">
        <f t="shared" si="0"/>
        <v>220983806.50442535</v>
      </c>
      <c r="Z4" s="25">
        <f t="shared" si="0"/>
        <v>226508401.66703591</v>
      </c>
      <c r="AA4" s="25">
        <f t="shared" si="0"/>
        <v>232171111.70871177</v>
      </c>
      <c r="AB4" s="71">
        <f t="shared" si="0"/>
        <v>237975389.50142956</v>
      </c>
    </row>
    <row r="5" spans="1:29" x14ac:dyDescent="0.25">
      <c r="A5" s="22" t="s">
        <v>230</v>
      </c>
      <c r="B5" s="26">
        <v>131934200.45826855</v>
      </c>
      <c r="C5" s="26">
        <v>141635569.0676024</v>
      </c>
      <c r="D5" s="26">
        <v>148470087.78488797</v>
      </c>
      <c r="E5" s="26">
        <v>169110270.89939421</v>
      </c>
      <c r="F5" s="26">
        <v>175257873.04092175</v>
      </c>
      <c r="G5" s="26">
        <v>218679612.13426542</v>
      </c>
      <c r="H5" s="26">
        <v>163842544.69055173</v>
      </c>
      <c r="I5" s="26">
        <v>167938608.30781549</v>
      </c>
      <c r="J5" s="26">
        <v>172137073.51551089</v>
      </c>
      <c r="K5" s="26">
        <v>176440500.35339862</v>
      </c>
      <c r="L5" s="26">
        <v>106862626.20768417</v>
      </c>
      <c r="M5" s="26">
        <v>109534191.86287625</v>
      </c>
      <c r="N5" s="26">
        <v>111936324.45338657</v>
      </c>
      <c r="O5" s="26">
        <v>114734732.56472123</v>
      </c>
      <c r="P5" s="26">
        <v>117603100.87883925</v>
      </c>
      <c r="Q5" s="26">
        <v>120543178.40081024</v>
      </c>
      <c r="R5" s="26">
        <v>123556757.8608305</v>
      </c>
      <c r="S5" s="26">
        <v>126645676.80735126</v>
      </c>
      <c r="T5" s="26">
        <v>129811818.72753502</v>
      </c>
      <c r="U5" s="26">
        <v>133057114.19572341</v>
      </c>
      <c r="V5" s="26">
        <v>136383542.0506165</v>
      </c>
      <c r="W5" s="26">
        <v>139793130.60188189</v>
      </c>
      <c r="X5" s="26">
        <v>143287958.86692891</v>
      </c>
      <c r="Y5" s="26">
        <v>146870157.83860219</v>
      </c>
      <c r="Z5" s="26">
        <v>150541911.78456718</v>
      </c>
      <c r="AA5" s="26">
        <v>154305459.57918134</v>
      </c>
      <c r="AB5" s="72">
        <v>158163096.06866089</v>
      </c>
    </row>
    <row r="6" spans="1:29" x14ac:dyDescent="0.25">
      <c r="A6" s="22" t="s">
        <v>232</v>
      </c>
      <c r="B6" s="26">
        <v>70427659.920730844</v>
      </c>
      <c r="C6" s="26">
        <v>36491907.227498114</v>
      </c>
      <c r="D6" s="26">
        <v>21028008.800313663</v>
      </c>
      <c r="E6" s="26">
        <v>14015475.496368678</v>
      </c>
      <c r="F6" s="26">
        <v>2223921.4599220818</v>
      </c>
      <c r="G6" s="26">
        <v>109218.28080160927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72">
        <v>0</v>
      </c>
    </row>
    <row r="7" spans="1:29" x14ac:dyDescent="0.25">
      <c r="A7" s="22" t="s">
        <v>283</v>
      </c>
      <c r="B7" s="26">
        <v>12230000</v>
      </c>
      <c r="C7" s="26">
        <v>15508249.999999998</v>
      </c>
      <c r="D7" s="26">
        <v>20624399.125</v>
      </c>
      <c r="E7" s="26">
        <v>14947888.009374999</v>
      </c>
      <c r="F7" s="26">
        <v>11810797.929687498</v>
      </c>
      <c r="G7" s="26">
        <v>14708306.767578121</v>
      </c>
      <c r="H7" s="26">
        <v>15076014.436767573</v>
      </c>
      <c r="I7" s="26">
        <v>15452914.797686763</v>
      </c>
      <c r="J7" s="26">
        <v>15839237.667628931</v>
      </c>
      <c r="K7" s="26">
        <v>16235218.609319651</v>
      </c>
      <c r="L7" s="26">
        <v>16641099.074552642</v>
      </c>
      <c r="M7" s="26">
        <v>17057126.551416457</v>
      </c>
      <c r="N7" s="26">
        <v>17483554.71520187</v>
      </c>
      <c r="O7" s="26">
        <v>17920643.583081912</v>
      </c>
      <c r="P7" s="26">
        <v>18368659.672658961</v>
      </c>
      <c r="Q7" s="26">
        <v>18827876.164475437</v>
      </c>
      <c r="R7" s="26">
        <v>19298573.068587322</v>
      </c>
      <c r="S7" s="26">
        <v>19781037.395302001</v>
      </c>
      <c r="T7" s="26">
        <v>20275563.330184553</v>
      </c>
      <c r="U7" s="26">
        <v>20782452.413439166</v>
      </c>
      <c r="V7" s="26">
        <v>21302013.723775141</v>
      </c>
      <c r="W7" s="26">
        <v>21834564.06686952</v>
      </c>
      <c r="X7" s="26">
        <v>22380428.168541256</v>
      </c>
      <c r="Y7" s="26">
        <v>22939938.872754786</v>
      </c>
      <c r="Z7" s="26">
        <v>23513437.344573654</v>
      </c>
      <c r="AA7" s="26">
        <v>24101273.278187994</v>
      </c>
      <c r="AB7" s="72">
        <v>24703805.110142693</v>
      </c>
    </row>
    <row r="8" spans="1:29" ht="15.75" thickBot="1" x14ac:dyDescent="0.3">
      <c r="A8" s="30" t="s">
        <v>329</v>
      </c>
      <c r="B8" s="31">
        <v>27956418</v>
      </c>
      <c r="C8" s="31">
        <v>28840927.249999996</v>
      </c>
      <c r="D8" s="31">
        <v>30140571.643749997</v>
      </c>
      <c r="E8" s="31">
        <v>30660737.068312183</v>
      </c>
      <c r="F8" s="31">
        <v>31837275.204296868</v>
      </c>
      <c r="G8" s="31">
        <v>32810838.173828114</v>
      </c>
      <c r="H8" s="31">
        <v>33631109.128173813</v>
      </c>
      <c r="I8" s="31">
        <v>34471886.85637816</v>
      </c>
      <c r="J8" s="31">
        <v>35333684.027787611</v>
      </c>
      <c r="K8" s="31">
        <v>36217026.128482297</v>
      </c>
      <c r="L8" s="31">
        <v>37122451.781694353</v>
      </c>
      <c r="M8" s="31">
        <v>38050513.07623671</v>
      </c>
      <c r="N8" s="31">
        <v>39001775.903142631</v>
      </c>
      <c r="O8" s="31">
        <v>39976820.300721191</v>
      </c>
      <c r="P8" s="31">
        <v>40976240.808239214</v>
      </c>
      <c r="Q8" s="31">
        <v>42000646.828445204</v>
      </c>
      <c r="R8" s="31">
        <v>43050662.999156334</v>
      </c>
      <c r="S8" s="31">
        <v>44126929.574135236</v>
      </c>
      <c r="T8" s="31">
        <v>45230102.813488618</v>
      </c>
      <c r="U8" s="31">
        <v>46360855.383825831</v>
      </c>
      <c r="V8" s="31">
        <v>47519876.768421471</v>
      </c>
      <c r="W8" s="31">
        <v>48707873.687632002</v>
      </c>
      <c r="X8" s="31">
        <v>49925570.529822804</v>
      </c>
      <c r="Y8" s="31">
        <v>51173709.793068372</v>
      </c>
      <c r="Z8" s="31">
        <v>52453052.537895076</v>
      </c>
      <c r="AA8" s="31">
        <v>53764378.851342447</v>
      </c>
      <c r="AB8" s="74">
        <v>55108488.322626002</v>
      </c>
    </row>
    <row r="9" spans="1:29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9" ht="15.75" thickBot="1" x14ac:dyDescent="0.3">
      <c r="A10" s="78" t="s">
        <v>309</v>
      </c>
      <c r="B10" s="78" t="s">
        <v>4</v>
      </c>
      <c r="C10" s="78" t="s">
        <v>5</v>
      </c>
      <c r="D10" s="78" t="s">
        <v>6</v>
      </c>
      <c r="E10" s="78" t="s">
        <v>7</v>
      </c>
      <c r="F10" s="78" t="s">
        <v>8</v>
      </c>
      <c r="G10" s="78" t="s">
        <v>9</v>
      </c>
      <c r="H10" s="78" t="s">
        <v>10</v>
      </c>
      <c r="I10" s="78" t="s">
        <v>11</v>
      </c>
      <c r="J10" s="78" t="s">
        <v>12</v>
      </c>
      <c r="K10" s="78" t="s">
        <v>13</v>
      </c>
      <c r="L10" s="78" t="s">
        <v>14</v>
      </c>
      <c r="M10" s="78" t="s">
        <v>15</v>
      </c>
      <c r="N10" s="78" t="s">
        <v>16</v>
      </c>
      <c r="O10" s="78" t="s">
        <v>17</v>
      </c>
      <c r="P10" s="78" t="s">
        <v>18</v>
      </c>
      <c r="Q10" s="78" t="s">
        <v>19</v>
      </c>
      <c r="R10" s="78" t="s">
        <v>20</v>
      </c>
      <c r="S10" s="79">
        <v>2041</v>
      </c>
      <c r="T10" s="79">
        <v>2042</v>
      </c>
      <c r="U10" s="79">
        <v>2043</v>
      </c>
      <c r="V10" s="79">
        <v>2044</v>
      </c>
      <c r="W10" s="79">
        <v>2045</v>
      </c>
      <c r="X10" s="79">
        <v>2046</v>
      </c>
      <c r="Y10" s="79">
        <v>2047</v>
      </c>
      <c r="Z10" s="79">
        <v>2048</v>
      </c>
      <c r="AA10" s="79">
        <v>2049</v>
      </c>
      <c r="AB10" s="80">
        <v>2050</v>
      </c>
    </row>
    <row r="11" spans="1:29" x14ac:dyDescent="0.25">
      <c r="A11" s="63" t="s">
        <v>307</v>
      </c>
      <c r="B11" s="23">
        <f>'Customer summary'!D7</f>
        <v>-9.4603849481084377E-3</v>
      </c>
      <c r="C11" s="23">
        <f>'Customer summary'!E7</f>
        <v>-2.3111744972794147E-2</v>
      </c>
      <c r="D11" s="23">
        <f>'Customer summary'!F7</f>
        <v>-4.1423657117468114E-2</v>
      </c>
      <c r="E11" s="23">
        <f>'Customer summary'!G7</f>
        <v>-6.5093549191516872E-2</v>
      </c>
      <c r="F11" s="23">
        <f>'Customer summary'!H7</f>
        <v>-9.4602882444529093E-2</v>
      </c>
      <c r="G11" s="23">
        <f>'Customer summary'!I7</f>
        <v>-0.12988137866789823</v>
      </c>
      <c r="H11" s="23">
        <f>'Customer summary'!J7</f>
        <v>-0.17040907242993331</v>
      </c>
      <c r="I11" s="23">
        <f>'Customer summary'!K7</f>
        <v>-0.21523976129816211</v>
      </c>
      <c r="J11" s="23">
        <f>'Customer summary'!L7</f>
        <v>-0.26313459521016597</v>
      </c>
      <c r="K11" s="23">
        <f>'Customer summary'!M7</f>
        <v>-0.31278980538705675</v>
      </c>
      <c r="L11" s="23">
        <f>'Customer summary'!N7</f>
        <v>-0.36312003817857941</v>
      </c>
      <c r="M11" s="23">
        <f>'Customer summary'!O7</f>
        <v>-0.41326729690216396</v>
      </c>
      <c r="N11" s="23">
        <f>'Customer summary'!P7</f>
        <v>-0.46252258866182039</v>
      </c>
      <c r="O11" s="23">
        <f>'Customer summary'!Q7</f>
        <v>-0.51089663453461465</v>
      </c>
      <c r="P11" s="23">
        <f>'Customer summary'!R7</f>
        <v>-0.54799948464071069</v>
      </c>
      <c r="Q11" s="23">
        <f>'Customer summary'!S7</f>
        <v>-0.58069845578037638</v>
      </c>
      <c r="R11" s="23">
        <f>'Customer summary'!T7</f>
        <v>-0.60847115016891262</v>
      </c>
      <c r="S11" s="23">
        <f>'Customer summary'!U7</f>
        <v>-0.63103355966702235</v>
      </c>
      <c r="T11" s="23">
        <f>'Customer summary'!V7</f>
        <v>-0.64841053950219052</v>
      </c>
      <c r="U11" s="23">
        <f>'Customer summary'!W7</f>
        <v>-0.66100793335767483</v>
      </c>
      <c r="V11" s="23">
        <f>'Customer summary'!X7</f>
        <v>-0.66899154572633368</v>
      </c>
      <c r="W11" s="23">
        <f>'Customer summary'!Y7</f>
        <v>-0.67397380965389897</v>
      </c>
      <c r="X11" s="23">
        <f>'Customer summary'!Z7</f>
        <v>-0.67233911635893351</v>
      </c>
      <c r="Y11" s="23">
        <f>'Customer summary'!AA7</f>
        <v>-0.67388909876377601</v>
      </c>
      <c r="Z11" s="23">
        <f>'Customer summary'!AB7</f>
        <v>-0.67546307163095864</v>
      </c>
      <c r="AA11" s="23">
        <f>'Customer summary'!AC7</f>
        <v>-0.67729636876496424</v>
      </c>
      <c r="AB11" s="70">
        <f>'Customer summary'!AD7</f>
        <v>-0.68062853076037444</v>
      </c>
    </row>
    <row r="12" spans="1:29" x14ac:dyDescent="0.25">
      <c r="A12" s="25" t="s">
        <v>295</v>
      </c>
      <c r="B12" s="25">
        <f>SUM(B13:B16)</f>
        <v>242548278.37899941</v>
      </c>
      <c r="C12" s="25">
        <f t="shared" ref="C12:F12" si="1">SUM(C13:C16)</f>
        <v>222476653.54510051</v>
      </c>
      <c r="D12" s="25">
        <f t="shared" si="1"/>
        <v>220263067.35395163</v>
      </c>
      <c r="E12" s="25">
        <f t="shared" si="1"/>
        <v>228734371.47345006</v>
      </c>
      <c r="F12" s="25">
        <f t="shared" si="1"/>
        <v>221129867.63482818</v>
      </c>
      <c r="G12" s="25">
        <f t="shared" ref="G12:S12" si="2">SUM(G13:G16)</f>
        <v>248065676.99171698</v>
      </c>
      <c r="H12" s="25">
        <f t="shared" si="2"/>
        <v>193154927.53108388</v>
      </c>
      <c r="I12" s="25">
        <f t="shared" si="2"/>
        <v>192753934.93777356</v>
      </c>
      <c r="J12" s="25">
        <f t="shared" si="2"/>
        <v>191845776.91676712</v>
      </c>
      <c r="K12" s="25">
        <f t="shared" si="2"/>
        <v>190555981.06079495</v>
      </c>
      <c r="L12" s="25">
        <f t="shared" si="2"/>
        <v>128441527.02432166</v>
      </c>
      <c r="M12" s="25">
        <f t="shared" si="2"/>
        <v>127096712.87056208</v>
      </c>
      <c r="N12" s="25">
        <f t="shared" si="2"/>
        <v>125428975.63354556</v>
      </c>
      <c r="O12" s="25">
        <f t="shared" si="2"/>
        <v>123955794.11194412</v>
      </c>
      <c r="P12" s="25">
        <f t="shared" si="2"/>
        <v>123431286.56598863</v>
      </c>
      <c r="Q12" s="25">
        <f t="shared" si="2"/>
        <v>123243908.62576383</v>
      </c>
      <c r="R12" s="25">
        <f t="shared" si="2"/>
        <v>123475464.47823589</v>
      </c>
      <c r="S12" s="25">
        <f t="shared" si="2"/>
        <v>124189522.48606226</v>
      </c>
      <c r="T12" s="25">
        <f t="shared" ref="T12:AB12" si="3">SUM(T13:T16)</f>
        <v>125421082.52261478</v>
      </c>
      <c r="U12" s="25">
        <f t="shared" si="3"/>
        <v>127164705.43357275</v>
      </c>
      <c r="V12" s="25">
        <f t="shared" si="3"/>
        <v>129439649.24460843</v>
      </c>
      <c r="W12" s="25">
        <f t="shared" si="3"/>
        <v>132097274.0378084</v>
      </c>
      <c r="X12" s="25">
        <f t="shared" si="3"/>
        <v>135594213.45511994</v>
      </c>
      <c r="Y12" s="25">
        <f t="shared" si="3"/>
        <v>138795030.034769</v>
      </c>
      <c r="Z12" s="25">
        <f t="shared" si="3"/>
        <v>142068141.99023449</v>
      </c>
      <c r="AA12" s="25">
        <f t="shared" si="3"/>
        <v>145384933.82552969</v>
      </c>
      <c r="AB12" s="71">
        <f t="shared" si="3"/>
        <v>148581912.35653311</v>
      </c>
    </row>
    <row r="13" spans="1:29" x14ac:dyDescent="0.25">
      <c r="A13" s="22" t="s">
        <v>230</v>
      </c>
      <c r="B13" s="26">
        <f>B5</f>
        <v>131934200.45826855</v>
      </c>
      <c r="C13" s="26">
        <f t="shared" ref="C13:F13" si="4">C5</f>
        <v>141635569.0676024</v>
      </c>
      <c r="D13" s="26">
        <f t="shared" si="4"/>
        <v>148470087.78488797</v>
      </c>
      <c r="E13" s="26">
        <f t="shared" si="4"/>
        <v>169110270.89939421</v>
      </c>
      <c r="F13" s="26">
        <f t="shared" si="4"/>
        <v>175257873.04092175</v>
      </c>
      <c r="G13" s="26">
        <f>IF(G11&lt;0,G$5*$B$51+$B$52*(1+G11)*G$5,G$5)</f>
        <v>204478407.37898558</v>
      </c>
      <c r="H13" s="26">
        <f t="shared" ref="H13:AB13" si="5">IF(H11&lt;0,H5*$B$51+$B$52*(1+H11)*H5,H5)</f>
        <v>149882416.65791333</v>
      </c>
      <c r="I13" s="26">
        <f t="shared" si="5"/>
        <v>149865075.32535562</v>
      </c>
      <c r="J13" s="26">
        <f t="shared" si="5"/>
        <v>149489463.93542761</v>
      </c>
      <c r="K13" s="26">
        <f t="shared" si="5"/>
        <v>148846105.46943137</v>
      </c>
      <c r="L13" s="26">
        <f t="shared" si="5"/>
        <v>87460645.753485411</v>
      </c>
      <c r="M13" s="26">
        <f t="shared" si="5"/>
        <v>86900742.168109313</v>
      </c>
      <c r="N13" s="26">
        <f t="shared" si="5"/>
        <v>86049785.177651674</v>
      </c>
      <c r="O13" s="26">
        <f t="shared" si="5"/>
        <v>85425938.198948666</v>
      </c>
      <c r="P13" s="26">
        <f t="shared" si="5"/>
        <v>85379881.541962549</v>
      </c>
      <c r="Q13" s="26">
        <f t="shared" si="5"/>
        <v>85543559.624705777</v>
      </c>
      <c r="R13" s="26">
        <f t="shared" si="5"/>
        <v>85966396.577469811</v>
      </c>
      <c r="S13" s="26">
        <f t="shared" si="5"/>
        <v>86686840.681260198</v>
      </c>
      <c r="T13" s="26">
        <f t="shared" si="5"/>
        <v>87726143.020094246</v>
      </c>
      <c r="U13" s="26">
        <f t="shared" si="5"/>
        <v>89081210.159197778</v>
      </c>
      <c r="V13" s="26">
        <f t="shared" si="5"/>
        <v>90763823.746579319</v>
      </c>
      <c r="W13" s="26">
        <f t="shared" si="5"/>
        <v>92684676.204284191</v>
      </c>
      <c r="X13" s="26">
        <f t="shared" si="5"/>
        <v>95118909.042195812</v>
      </c>
      <c r="Y13" s="26">
        <f t="shared" si="5"/>
        <v>97383058.688027605</v>
      </c>
      <c r="Z13" s="26">
        <f t="shared" si="5"/>
        <v>99699160.712966904</v>
      </c>
      <c r="AA13" s="26">
        <f t="shared" si="5"/>
        <v>102050195.8523871</v>
      </c>
      <c r="AB13" s="72">
        <f t="shared" si="5"/>
        <v>104337938.21979858</v>
      </c>
    </row>
    <row r="14" spans="1:29" x14ac:dyDescent="0.25">
      <c r="A14" s="22" t="s">
        <v>232</v>
      </c>
      <c r="B14" s="26">
        <f t="shared" ref="B14:F16" si="6">B6</f>
        <v>70427659.920730844</v>
      </c>
      <c r="C14" s="26">
        <f t="shared" si="6"/>
        <v>36491907.227498114</v>
      </c>
      <c r="D14" s="26">
        <f t="shared" si="6"/>
        <v>21028008.800313663</v>
      </c>
      <c r="E14" s="26">
        <f t="shared" si="6"/>
        <v>14015475.496368678</v>
      </c>
      <c r="F14" s="26">
        <f t="shared" si="6"/>
        <v>2223921.4599220818</v>
      </c>
      <c r="G14" s="26">
        <f>G$6</f>
        <v>109218.28080160927</v>
      </c>
      <c r="H14" s="26">
        <f t="shared" ref="H14:AB14" si="7">H6</f>
        <v>0</v>
      </c>
      <c r="I14" s="26">
        <f t="shared" si="7"/>
        <v>0</v>
      </c>
      <c r="J14" s="26">
        <f t="shared" si="7"/>
        <v>0</v>
      </c>
      <c r="K14" s="26">
        <f t="shared" si="7"/>
        <v>0</v>
      </c>
      <c r="L14" s="26">
        <f t="shared" si="7"/>
        <v>0</v>
      </c>
      <c r="M14" s="26">
        <f t="shared" si="7"/>
        <v>0</v>
      </c>
      <c r="N14" s="26">
        <f t="shared" si="7"/>
        <v>0</v>
      </c>
      <c r="O14" s="26">
        <f t="shared" si="7"/>
        <v>0</v>
      </c>
      <c r="P14" s="26">
        <f t="shared" si="7"/>
        <v>0</v>
      </c>
      <c r="Q14" s="26">
        <f t="shared" si="7"/>
        <v>0</v>
      </c>
      <c r="R14" s="26">
        <f t="shared" si="7"/>
        <v>0</v>
      </c>
      <c r="S14" s="26">
        <f t="shared" si="7"/>
        <v>0</v>
      </c>
      <c r="T14" s="26">
        <f t="shared" si="7"/>
        <v>0</v>
      </c>
      <c r="U14" s="26">
        <f t="shared" si="7"/>
        <v>0</v>
      </c>
      <c r="V14" s="26">
        <f t="shared" si="7"/>
        <v>0</v>
      </c>
      <c r="W14" s="26">
        <f t="shared" si="7"/>
        <v>0</v>
      </c>
      <c r="X14" s="26">
        <f t="shared" si="7"/>
        <v>0</v>
      </c>
      <c r="Y14" s="26">
        <f t="shared" si="7"/>
        <v>0</v>
      </c>
      <c r="Z14" s="26">
        <f t="shared" si="7"/>
        <v>0</v>
      </c>
      <c r="AA14" s="26">
        <f t="shared" si="7"/>
        <v>0</v>
      </c>
      <c r="AB14" s="72">
        <f t="shared" si="7"/>
        <v>0</v>
      </c>
    </row>
    <row r="15" spans="1:29" x14ac:dyDescent="0.25">
      <c r="A15" s="22" t="s">
        <v>283</v>
      </c>
      <c r="B15" s="26">
        <f t="shared" si="6"/>
        <v>12230000</v>
      </c>
      <c r="C15" s="26">
        <f t="shared" si="6"/>
        <v>15508249.999999998</v>
      </c>
      <c r="D15" s="26">
        <f t="shared" si="6"/>
        <v>20624399.125</v>
      </c>
      <c r="E15" s="26">
        <f t="shared" si="6"/>
        <v>14947888.009374999</v>
      </c>
      <c r="F15" s="26">
        <f t="shared" si="6"/>
        <v>11810797.929687498</v>
      </c>
      <c r="G15" s="26">
        <f>G$7*$B$53*(1+G11)</f>
        <v>12797971.606734697</v>
      </c>
      <c r="H15" s="26">
        <f t="shared" ref="H15:AB15" si="8">H$7*$B$53*(1+H11)</f>
        <v>12506924.800657727</v>
      </c>
      <c r="I15" s="26">
        <f t="shared" si="8"/>
        <v>12126833.105271827</v>
      </c>
      <c r="J15" s="26">
        <f t="shared" si="8"/>
        <v>11671386.275519777</v>
      </c>
      <c r="K15" s="26">
        <f t="shared" si="8"/>
        <v>11157007.740094235</v>
      </c>
      <c r="L15" s="26">
        <f t="shared" si="8"/>
        <v>10598382.543267565</v>
      </c>
      <c r="M15" s="26">
        <f t="shared" si="8"/>
        <v>10007973.968594447</v>
      </c>
      <c r="N15" s="26">
        <f t="shared" si="8"/>
        <v>9397015.7293161247</v>
      </c>
      <c r="O15" s="26">
        <f t="shared" si="8"/>
        <v>8765047.0877910256</v>
      </c>
      <c r="P15" s="26">
        <f t="shared" si="8"/>
        <v>8302643.6385012446</v>
      </c>
      <c r="Q15" s="26">
        <f t="shared" si="8"/>
        <v>7894557.5501403948</v>
      </c>
      <c r="R15" s="26">
        <f t="shared" si="8"/>
        <v>7555948.116925193</v>
      </c>
      <c r="S15" s="26">
        <f t="shared" si="8"/>
        <v>7298538.953838096</v>
      </c>
      <c r="T15" s="26">
        <f t="shared" si="8"/>
        <v>7128674.3725487562</v>
      </c>
      <c r="U15" s="26">
        <f t="shared" si="8"/>
        <v>7045086.4935275214</v>
      </c>
      <c r="V15" s="26">
        <f t="shared" si="8"/>
        <v>7051146.6356232362</v>
      </c>
      <c r="W15" s="26">
        <f t="shared" si="8"/>
        <v>7118639.7405893402</v>
      </c>
      <c r="X15" s="26">
        <f t="shared" si="8"/>
        <v>7333190.8699696437</v>
      </c>
      <c r="Y15" s="26">
        <f t="shared" si="8"/>
        <v>7480964.1400979515</v>
      </c>
      <c r="Z15" s="26">
        <f t="shared" si="8"/>
        <v>7630978.7312058425</v>
      </c>
      <c r="AA15" s="26">
        <f t="shared" si="8"/>
        <v>7777568.4042592002</v>
      </c>
      <c r="AB15" s="26">
        <f t="shared" si="8"/>
        <v>7889690.533835642</v>
      </c>
    </row>
    <row r="16" spans="1:29" x14ac:dyDescent="0.25">
      <c r="A16" s="22" t="s">
        <v>329</v>
      </c>
      <c r="B16" s="26">
        <f t="shared" si="6"/>
        <v>27956418</v>
      </c>
      <c r="C16" s="26">
        <f t="shared" si="6"/>
        <v>28840927.249999996</v>
      </c>
      <c r="D16" s="26">
        <f t="shared" si="6"/>
        <v>30140571.643749997</v>
      </c>
      <c r="E16" s="26">
        <f t="shared" si="6"/>
        <v>30660737.068312183</v>
      </c>
      <c r="F16" s="26">
        <f t="shared" si="6"/>
        <v>31837275.204296868</v>
      </c>
      <c r="G16" s="26">
        <f>IF(G11&lt;0,G$8*$B$54+$B$55*(1+G11)*G$8,G$8)</f>
        <v>30680079.725195065</v>
      </c>
      <c r="H16" s="26">
        <f t="shared" ref="H16:AB16" si="9">IF(H11&lt;0,H8*$B$54+$B$55*(1+H11)*H8,H8)</f>
        <v>30765586.072512832</v>
      </c>
      <c r="I16" s="26">
        <f t="shared" si="9"/>
        <v>30762026.507146116</v>
      </c>
      <c r="J16" s="26">
        <f t="shared" si="9"/>
        <v>30684926.705819711</v>
      </c>
      <c r="K16" s="26">
        <f t="shared" si="9"/>
        <v>30552867.851269335</v>
      </c>
      <c r="L16" s="26">
        <f t="shared" si="9"/>
        <v>30382498.72756869</v>
      </c>
      <c r="M16" s="26">
        <f t="shared" si="9"/>
        <v>30187996.733858317</v>
      </c>
      <c r="N16" s="26">
        <f t="shared" si="9"/>
        <v>29982174.726577763</v>
      </c>
      <c r="O16" s="26">
        <f t="shared" si="9"/>
        <v>29764808.825204432</v>
      </c>
      <c r="P16" s="26">
        <f t="shared" si="9"/>
        <v>29748761.385524839</v>
      </c>
      <c r="Q16" s="26">
        <f t="shared" si="9"/>
        <v>29805791.450917657</v>
      </c>
      <c r="R16" s="26">
        <f t="shared" si="9"/>
        <v>29953119.78384088</v>
      </c>
      <c r="S16" s="26">
        <f t="shared" si="9"/>
        <v>30204142.850963958</v>
      </c>
      <c r="T16" s="26">
        <f t="shared" si="9"/>
        <v>30566265.129971769</v>
      </c>
      <c r="U16" s="26">
        <f t="shared" si="9"/>
        <v>31038408.78084746</v>
      </c>
      <c r="V16" s="26">
        <f t="shared" si="9"/>
        <v>31624678.862405885</v>
      </c>
      <c r="W16" s="26">
        <f t="shared" si="9"/>
        <v>32293958.09293488</v>
      </c>
      <c r="X16" s="26">
        <f t="shared" si="9"/>
        <v>33142113.542954467</v>
      </c>
      <c r="Y16" s="26">
        <f t="shared" si="9"/>
        <v>33931007.20664344</v>
      </c>
      <c r="Z16" s="26">
        <f t="shared" si="9"/>
        <v>34738002.546061747</v>
      </c>
      <c r="AA16" s="26">
        <f t="shared" si="9"/>
        <v>35557169.568883404</v>
      </c>
      <c r="AB16" s="72">
        <f t="shared" si="9"/>
        <v>36354283.602898911</v>
      </c>
    </row>
    <row r="17" spans="1:29" ht="15.75" thickBot="1" x14ac:dyDescent="0.3">
      <c r="A17" s="27" t="s">
        <v>255</v>
      </c>
      <c r="B17" s="28">
        <f t="shared" ref="B17:AB17" si="10">B4-B12</f>
        <v>0</v>
      </c>
      <c r="C17" s="28">
        <f t="shared" si="10"/>
        <v>0</v>
      </c>
      <c r="D17" s="28">
        <f t="shared" si="10"/>
        <v>0</v>
      </c>
      <c r="E17" s="28">
        <f t="shared" si="10"/>
        <v>0</v>
      </c>
      <c r="F17" s="28">
        <f t="shared" si="10"/>
        <v>0</v>
      </c>
      <c r="G17" s="28">
        <f t="shared" si="10"/>
        <v>18242298.364756316</v>
      </c>
      <c r="H17" s="28">
        <f t="shared" si="10"/>
        <v>19394740.724409223</v>
      </c>
      <c r="I17" s="28">
        <f t="shared" si="10"/>
        <v>25109475.02410686</v>
      </c>
      <c r="J17" s="28">
        <f t="shared" si="10"/>
        <v>31464218.294160306</v>
      </c>
      <c r="K17" s="28">
        <f t="shared" si="10"/>
        <v>38336764.030405641</v>
      </c>
      <c r="L17" s="28">
        <f t="shared" si="10"/>
        <v>32184650.039609507</v>
      </c>
      <c r="M17" s="28">
        <f t="shared" si="10"/>
        <v>37545118.619967341</v>
      </c>
      <c r="N17" s="28">
        <f t="shared" si="10"/>
        <v>42992679.438185528</v>
      </c>
      <c r="O17" s="28">
        <f t="shared" si="10"/>
        <v>48676402.336580202</v>
      </c>
      <c r="P17" s="28">
        <f t="shared" si="10"/>
        <v>53516714.793748796</v>
      </c>
      <c r="Q17" s="28">
        <f t="shared" si="10"/>
        <v>58127792.767967045</v>
      </c>
      <c r="R17" s="28">
        <f t="shared" si="10"/>
        <v>62430529.450338259</v>
      </c>
      <c r="S17" s="28">
        <f t="shared" si="10"/>
        <v>66364121.290726244</v>
      </c>
      <c r="T17" s="28">
        <f t="shared" si="10"/>
        <v>69896402.348593414</v>
      </c>
      <c r="U17" s="28">
        <f t="shared" si="10"/>
        <v>73035716.559415653</v>
      </c>
      <c r="V17" s="28">
        <f t="shared" si="10"/>
        <v>75765783.29820469</v>
      </c>
      <c r="W17" s="28">
        <f t="shared" si="10"/>
        <v>78238294.31857501</v>
      </c>
      <c r="X17" s="28">
        <f t="shared" si="10"/>
        <v>79999744.110173017</v>
      </c>
      <c r="Y17" s="28">
        <f t="shared" si="10"/>
        <v>82188776.469656348</v>
      </c>
      <c r="Z17" s="28">
        <f t="shared" si="10"/>
        <v>84440259.676801413</v>
      </c>
      <c r="AA17" s="28">
        <f t="shared" si="10"/>
        <v>86786177.883182079</v>
      </c>
      <c r="AB17" s="73">
        <f t="shared" si="10"/>
        <v>89393477.144896448</v>
      </c>
      <c r="AC17" s="2">
        <f>SUM(G17:AB17)</f>
        <v>1254130136.9844594</v>
      </c>
    </row>
    <row r="18" spans="1:29" ht="15.75" thickBot="1" x14ac:dyDescent="0.3">
      <c r="I18" s="33"/>
    </row>
    <row r="19" spans="1:29" ht="15.75" thickBot="1" x14ac:dyDescent="0.3">
      <c r="A19" s="78" t="s">
        <v>310</v>
      </c>
      <c r="B19" s="78" t="s">
        <v>4</v>
      </c>
      <c r="C19" s="78" t="s">
        <v>5</v>
      </c>
      <c r="D19" s="78" t="s">
        <v>6</v>
      </c>
      <c r="E19" s="78" t="s">
        <v>7</v>
      </c>
      <c r="F19" s="78" t="s">
        <v>8</v>
      </c>
      <c r="G19" s="78" t="s">
        <v>9</v>
      </c>
      <c r="H19" s="78" t="s">
        <v>10</v>
      </c>
      <c r="I19" s="78" t="s">
        <v>11</v>
      </c>
      <c r="J19" s="78" t="s">
        <v>12</v>
      </c>
      <c r="K19" s="78" t="s">
        <v>13</v>
      </c>
      <c r="L19" s="78" t="s">
        <v>14</v>
      </c>
      <c r="M19" s="78" t="s">
        <v>15</v>
      </c>
      <c r="N19" s="78" t="s">
        <v>16</v>
      </c>
      <c r="O19" s="78" t="s">
        <v>17</v>
      </c>
      <c r="P19" s="78" t="s">
        <v>18</v>
      </c>
      <c r="Q19" s="78" t="s">
        <v>19</v>
      </c>
      <c r="R19" s="78" t="s">
        <v>20</v>
      </c>
      <c r="S19" s="79">
        <v>2041</v>
      </c>
      <c r="T19" s="79">
        <v>2042</v>
      </c>
      <c r="U19" s="79">
        <v>2043</v>
      </c>
      <c r="V19" s="79">
        <v>2044</v>
      </c>
      <c r="W19" s="79">
        <v>2045</v>
      </c>
      <c r="X19" s="79">
        <v>2046</v>
      </c>
      <c r="Y19" s="79">
        <v>2047</v>
      </c>
      <c r="Z19" s="79">
        <v>2048</v>
      </c>
      <c r="AA19" s="79">
        <v>2049</v>
      </c>
      <c r="AB19" s="80">
        <v>2050</v>
      </c>
    </row>
    <row r="20" spans="1:29" x14ac:dyDescent="0.25">
      <c r="A20" s="63" t="s">
        <v>307</v>
      </c>
      <c r="B20" s="23">
        <f>'Customer summary'!D15</f>
        <v>-9.4603849481084377E-3</v>
      </c>
      <c r="C20" s="23">
        <f>'Customer summary'!E15</f>
        <v>-2.3111744972794147E-2</v>
      </c>
      <c r="D20" s="23">
        <f>'Customer summary'!F15</f>
        <v>-4.1423657117468114E-2</v>
      </c>
      <c r="E20" s="23">
        <f>'Customer summary'!G15</f>
        <v>-6.5093549191516872E-2</v>
      </c>
      <c r="F20" s="23">
        <f>'Customer summary'!H15</f>
        <v>-9.4602882444529093E-2</v>
      </c>
      <c r="G20" s="23">
        <f>'Customer summary'!I15</f>
        <v>-0.12988137866789823</v>
      </c>
      <c r="H20" s="23">
        <f>'Customer summary'!J15</f>
        <v>-0.17040907242993331</v>
      </c>
      <c r="I20" s="23">
        <f>'Customer summary'!K15</f>
        <v>-0.21523976129816211</v>
      </c>
      <c r="J20" s="23">
        <f>'Customer summary'!L15</f>
        <v>-0.26313459521016597</v>
      </c>
      <c r="K20" s="23">
        <f>'Customer summary'!M15</f>
        <v>-0.31278980538705675</v>
      </c>
      <c r="L20" s="23">
        <f>'Customer summary'!N15</f>
        <v>-0.36312003817857941</v>
      </c>
      <c r="M20" s="23">
        <f>'Customer summary'!O15</f>
        <v>-0.41326729690216396</v>
      </c>
      <c r="N20" s="23">
        <f>'Customer summary'!P15</f>
        <v>-0.46252258866182039</v>
      </c>
      <c r="O20" s="23">
        <f>'Customer summary'!Q15</f>
        <v>-0.51089663453461465</v>
      </c>
      <c r="P20" s="23">
        <f>'Customer summary'!R15</f>
        <v>-0.54799948464071069</v>
      </c>
      <c r="Q20" s="23">
        <f>'Customer summary'!S15</f>
        <v>-0.58069845578037638</v>
      </c>
      <c r="R20" s="23">
        <f>'Customer summary'!T15</f>
        <v>-0.60847115016891262</v>
      </c>
      <c r="S20" s="23">
        <f>'Customer summary'!U15</f>
        <v>-0.63103355966702235</v>
      </c>
      <c r="T20" s="23">
        <f>'Customer summary'!V15</f>
        <v>-0.64841053950219052</v>
      </c>
      <c r="U20" s="23">
        <f>'Customer summary'!W15</f>
        <v>-0.66100793335767483</v>
      </c>
      <c r="V20" s="23">
        <f>'Customer summary'!X15</f>
        <v>-0.66899154572633368</v>
      </c>
      <c r="W20" s="23">
        <f>'Customer summary'!Y15</f>
        <v>-0.67397380965389897</v>
      </c>
      <c r="X20" s="23">
        <f>'Customer summary'!Z15</f>
        <v>-0.67233911635893351</v>
      </c>
      <c r="Y20" s="23">
        <f>'Customer summary'!AA15</f>
        <v>-0.67388909876377601</v>
      </c>
      <c r="Z20" s="23">
        <f>'Customer summary'!AB15</f>
        <v>-0.67546307163095864</v>
      </c>
      <c r="AA20" s="23">
        <f>'Customer summary'!AC15</f>
        <v>-0.67729636876496424</v>
      </c>
      <c r="AB20" s="70">
        <f>'Customer summary'!AD15</f>
        <v>-0.68062853076037444</v>
      </c>
    </row>
    <row r="21" spans="1:29" x14ac:dyDescent="0.25">
      <c r="A21" s="25" t="s">
        <v>296</v>
      </c>
      <c r="B21" s="25">
        <f t="shared" ref="B21:S21" si="11">SUM(B22:B25)</f>
        <v>242548278.37899941</v>
      </c>
      <c r="C21" s="25">
        <f t="shared" si="11"/>
        <v>222476653.54510051</v>
      </c>
      <c r="D21" s="25">
        <f t="shared" si="11"/>
        <v>220263067.35395163</v>
      </c>
      <c r="E21" s="25">
        <f t="shared" si="11"/>
        <v>228734371.47345006</v>
      </c>
      <c r="F21" s="25">
        <f t="shared" si="11"/>
        <v>221129867.63482818</v>
      </c>
      <c r="G21" s="25">
        <f t="shared" si="11"/>
        <v>248065676.99171698</v>
      </c>
      <c r="H21" s="25">
        <f t="shared" si="11"/>
        <v>193154927.53108388</v>
      </c>
      <c r="I21" s="25">
        <f t="shared" si="11"/>
        <v>192753934.93777356</v>
      </c>
      <c r="J21" s="25">
        <f t="shared" si="11"/>
        <v>191845776.91676712</v>
      </c>
      <c r="K21" s="25">
        <f t="shared" si="11"/>
        <v>190555981.06079495</v>
      </c>
      <c r="L21" s="25">
        <f t="shared" si="11"/>
        <v>128441527.02432166</v>
      </c>
      <c r="M21" s="25">
        <f t="shared" si="11"/>
        <v>127096712.87056208</v>
      </c>
      <c r="N21" s="25">
        <f t="shared" si="11"/>
        <v>125428975.63354556</v>
      </c>
      <c r="O21" s="25">
        <f t="shared" si="11"/>
        <v>123955794.11194412</v>
      </c>
      <c r="P21" s="25">
        <f t="shared" si="11"/>
        <v>123431286.56598863</v>
      </c>
      <c r="Q21" s="25">
        <f t="shared" si="11"/>
        <v>123243908.62576383</v>
      </c>
      <c r="R21" s="25">
        <f t="shared" si="11"/>
        <v>123475464.47823589</v>
      </c>
      <c r="S21" s="25">
        <f t="shared" si="11"/>
        <v>124189522.48606226</v>
      </c>
      <c r="T21" s="25">
        <f t="shared" ref="T21:AB21" si="12">SUM(T22:T25)</f>
        <v>125421082.52261478</v>
      </c>
      <c r="U21" s="25">
        <f t="shared" si="12"/>
        <v>127164705.43357275</v>
      </c>
      <c r="V21" s="25">
        <f t="shared" si="12"/>
        <v>129439649.24460843</v>
      </c>
      <c r="W21" s="25">
        <f t="shared" si="12"/>
        <v>132097274.0378084</v>
      </c>
      <c r="X21" s="25">
        <f t="shared" si="12"/>
        <v>135594213.45511994</v>
      </c>
      <c r="Y21" s="25">
        <f t="shared" si="12"/>
        <v>138795030.034769</v>
      </c>
      <c r="Z21" s="25">
        <f t="shared" si="12"/>
        <v>142068141.99023449</v>
      </c>
      <c r="AA21" s="25">
        <f t="shared" si="12"/>
        <v>145384933.82552969</v>
      </c>
      <c r="AB21" s="71">
        <f t="shared" si="12"/>
        <v>148581912.35653311</v>
      </c>
    </row>
    <row r="22" spans="1:29" x14ac:dyDescent="0.25">
      <c r="A22" s="22" t="s">
        <v>230</v>
      </c>
      <c r="B22" s="26">
        <f t="shared" ref="B22:F24" si="13">B5</f>
        <v>131934200.45826855</v>
      </c>
      <c r="C22" s="26">
        <f t="shared" si="13"/>
        <v>141635569.0676024</v>
      </c>
      <c r="D22" s="26">
        <f t="shared" si="13"/>
        <v>148470087.78488797</v>
      </c>
      <c r="E22" s="26">
        <f t="shared" si="13"/>
        <v>169110270.89939421</v>
      </c>
      <c r="F22" s="26">
        <f t="shared" si="13"/>
        <v>175257873.04092175</v>
      </c>
      <c r="G22" s="26">
        <f>IF(G20&lt;0,G$5*$B$51+$B$52*(1+G20)*G$5,G$5)</f>
        <v>204478407.37898558</v>
      </c>
      <c r="H22" s="26">
        <f t="shared" ref="H22:AB22" si="14">IF(H20&lt;0,H$5*$B$51+$B$52*(1+H20)*H$5,H$5)</f>
        <v>149882416.65791333</v>
      </c>
      <c r="I22" s="26">
        <f t="shared" si="14"/>
        <v>149865075.32535562</v>
      </c>
      <c r="J22" s="26">
        <f t="shared" si="14"/>
        <v>149489463.93542761</v>
      </c>
      <c r="K22" s="26">
        <f t="shared" si="14"/>
        <v>148846105.46943137</v>
      </c>
      <c r="L22" s="26">
        <f t="shared" si="14"/>
        <v>87460645.753485411</v>
      </c>
      <c r="M22" s="26">
        <f t="shared" si="14"/>
        <v>86900742.168109313</v>
      </c>
      <c r="N22" s="26">
        <f t="shared" si="14"/>
        <v>86049785.177651674</v>
      </c>
      <c r="O22" s="26">
        <f t="shared" si="14"/>
        <v>85425938.198948666</v>
      </c>
      <c r="P22" s="26">
        <f t="shared" si="14"/>
        <v>85379881.541962549</v>
      </c>
      <c r="Q22" s="26">
        <f t="shared" si="14"/>
        <v>85543559.624705777</v>
      </c>
      <c r="R22" s="26">
        <f t="shared" si="14"/>
        <v>85966396.577469811</v>
      </c>
      <c r="S22" s="26">
        <f t="shared" si="14"/>
        <v>86686840.681260198</v>
      </c>
      <c r="T22" s="26">
        <f t="shared" si="14"/>
        <v>87726143.020094246</v>
      </c>
      <c r="U22" s="26">
        <f t="shared" si="14"/>
        <v>89081210.159197778</v>
      </c>
      <c r="V22" s="26">
        <f t="shared" si="14"/>
        <v>90763823.746579319</v>
      </c>
      <c r="W22" s="26">
        <f t="shared" si="14"/>
        <v>92684676.204284191</v>
      </c>
      <c r="X22" s="26">
        <f t="shared" si="14"/>
        <v>95118909.042195812</v>
      </c>
      <c r="Y22" s="26">
        <f t="shared" si="14"/>
        <v>97383058.688027605</v>
      </c>
      <c r="Z22" s="26">
        <f t="shared" si="14"/>
        <v>99699160.712966904</v>
      </c>
      <c r="AA22" s="26">
        <f t="shared" si="14"/>
        <v>102050195.8523871</v>
      </c>
      <c r="AB22" s="72">
        <f t="shared" si="14"/>
        <v>104337938.21979858</v>
      </c>
    </row>
    <row r="23" spans="1:29" x14ac:dyDescent="0.25">
      <c r="A23" s="22" t="s">
        <v>232</v>
      </c>
      <c r="B23" s="26">
        <f t="shared" si="13"/>
        <v>70427659.920730844</v>
      </c>
      <c r="C23" s="26">
        <f t="shared" si="13"/>
        <v>36491907.227498114</v>
      </c>
      <c r="D23" s="26">
        <f t="shared" si="13"/>
        <v>21028008.800313663</v>
      </c>
      <c r="E23" s="26">
        <f t="shared" si="13"/>
        <v>14015475.496368678</v>
      </c>
      <c r="F23" s="26">
        <f t="shared" si="13"/>
        <v>2223921.4599220818</v>
      </c>
      <c r="G23" s="26">
        <f>G$6</f>
        <v>109218.28080160927</v>
      </c>
      <c r="H23" s="26">
        <f t="shared" ref="H23:AB23" si="15">H$6</f>
        <v>0</v>
      </c>
      <c r="I23" s="26">
        <f t="shared" si="15"/>
        <v>0</v>
      </c>
      <c r="J23" s="26">
        <f t="shared" si="15"/>
        <v>0</v>
      </c>
      <c r="K23" s="26">
        <f t="shared" si="15"/>
        <v>0</v>
      </c>
      <c r="L23" s="26">
        <f t="shared" si="15"/>
        <v>0</v>
      </c>
      <c r="M23" s="26">
        <f t="shared" si="15"/>
        <v>0</v>
      </c>
      <c r="N23" s="26">
        <f t="shared" si="15"/>
        <v>0</v>
      </c>
      <c r="O23" s="26">
        <f t="shared" si="15"/>
        <v>0</v>
      </c>
      <c r="P23" s="26">
        <f t="shared" si="15"/>
        <v>0</v>
      </c>
      <c r="Q23" s="26">
        <f t="shared" si="15"/>
        <v>0</v>
      </c>
      <c r="R23" s="26">
        <f t="shared" si="15"/>
        <v>0</v>
      </c>
      <c r="S23" s="26">
        <f t="shared" si="15"/>
        <v>0</v>
      </c>
      <c r="T23" s="26">
        <f t="shared" si="15"/>
        <v>0</v>
      </c>
      <c r="U23" s="26">
        <f t="shared" si="15"/>
        <v>0</v>
      </c>
      <c r="V23" s="26">
        <f t="shared" si="15"/>
        <v>0</v>
      </c>
      <c r="W23" s="26">
        <f t="shared" si="15"/>
        <v>0</v>
      </c>
      <c r="X23" s="26">
        <f t="shared" si="15"/>
        <v>0</v>
      </c>
      <c r="Y23" s="26">
        <f t="shared" si="15"/>
        <v>0</v>
      </c>
      <c r="Z23" s="26">
        <f t="shared" si="15"/>
        <v>0</v>
      </c>
      <c r="AA23" s="26">
        <f t="shared" si="15"/>
        <v>0</v>
      </c>
      <c r="AB23" s="72">
        <f t="shared" si="15"/>
        <v>0</v>
      </c>
    </row>
    <row r="24" spans="1:29" x14ac:dyDescent="0.25">
      <c r="A24" s="22" t="s">
        <v>283</v>
      </c>
      <c r="B24" s="26">
        <f t="shared" si="13"/>
        <v>12230000</v>
      </c>
      <c r="C24" s="26">
        <f t="shared" si="13"/>
        <v>15508249.999999998</v>
      </c>
      <c r="D24" s="26">
        <f t="shared" si="13"/>
        <v>20624399.125</v>
      </c>
      <c r="E24" s="26">
        <f t="shared" si="13"/>
        <v>14947888.009374999</v>
      </c>
      <c r="F24" s="26">
        <f t="shared" si="13"/>
        <v>11810797.929687498</v>
      </c>
      <c r="G24" s="26">
        <f>G$7*$B$53*(1+G20)</f>
        <v>12797971.606734697</v>
      </c>
      <c r="H24" s="26">
        <f t="shared" ref="H24:AB24" si="16">H$7*$B$53*(1+H20)</f>
        <v>12506924.800657727</v>
      </c>
      <c r="I24" s="26">
        <f t="shared" si="16"/>
        <v>12126833.105271827</v>
      </c>
      <c r="J24" s="26">
        <f t="shared" si="16"/>
        <v>11671386.275519777</v>
      </c>
      <c r="K24" s="26">
        <f t="shared" si="16"/>
        <v>11157007.740094235</v>
      </c>
      <c r="L24" s="26">
        <f t="shared" si="16"/>
        <v>10598382.543267565</v>
      </c>
      <c r="M24" s="26">
        <f t="shared" si="16"/>
        <v>10007973.968594447</v>
      </c>
      <c r="N24" s="26">
        <f t="shared" si="16"/>
        <v>9397015.7293161247</v>
      </c>
      <c r="O24" s="26">
        <f t="shared" si="16"/>
        <v>8765047.0877910256</v>
      </c>
      <c r="P24" s="26">
        <f t="shared" si="16"/>
        <v>8302643.6385012446</v>
      </c>
      <c r="Q24" s="26">
        <f t="shared" si="16"/>
        <v>7894557.5501403948</v>
      </c>
      <c r="R24" s="26">
        <f t="shared" si="16"/>
        <v>7555948.116925193</v>
      </c>
      <c r="S24" s="26">
        <f t="shared" si="16"/>
        <v>7298538.953838096</v>
      </c>
      <c r="T24" s="26">
        <f t="shared" si="16"/>
        <v>7128674.3725487562</v>
      </c>
      <c r="U24" s="26">
        <f t="shared" si="16"/>
        <v>7045086.4935275214</v>
      </c>
      <c r="V24" s="26">
        <f t="shared" si="16"/>
        <v>7051146.6356232362</v>
      </c>
      <c r="W24" s="26">
        <f t="shared" si="16"/>
        <v>7118639.7405893402</v>
      </c>
      <c r="X24" s="26">
        <f t="shared" si="16"/>
        <v>7333190.8699696437</v>
      </c>
      <c r="Y24" s="26">
        <f t="shared" si="16"/>
        <v>7480964.1400979515</v>
      </c>
      <c r="Z24" s="26">
        <f t="shared" si="16"/>
        <v>7630978.7312058425</v>
      </c>
      <c r="AA24" s="26">
        <f t="shared" si="16"/>
        <v>7777568.4042592002</v>
      </c>
      <c r="AB24" s="26">
        <f t="shared" si="16"/>
        <v>7889690.533835642</v>
      </c>
    </row>
    <row r="25" spans="1:29" x14ac:dyDescent="0.25">
      <c r="A25" s="22" t="s">
        <v>329</v>
      </c>
      <c r="B25" s="26">
        <f>B8</f>
        <v>27956418</v>
      </c>
      <c r="C25" s="26">
        <f t="shared" ref="C25:F25" si="17">C8</f>
        <v>28840927.249999996</v>
      </c>
      <c r="D25" s="26">
        <f t="shared" si="17"/>
        <v>30140571.643749997</v>
      </c>
      <c r="E25" s="26">
        <f t="shared" si="17"/>
        <v>30660737.068312183</v>
      </c>
      <c r="F25" s="26">
        <f t="shared" si="17"/>
        <v>31837275.204296868</v>
      </c>
      <c r="G25" s="26">
        <f>IF(G20&lt;0,G$8*$B$54+$B$55*(1+G20)*G$8,G$8)</f>
        <v>30680079.725195065</v>
      </c>
      <c r="H25" s="26">
        <f t="shared" ref="H25:AB25" si="18">IF(H20&lt;0,H$8*$B$54+$B$55*(1+H20)*H$8,H$8)</f>
        <v>30765586.072512832</v>
      </c>
      <c r="I25" s="26">
        <f t="shared" si="18"/>
        <v>30762026.507146116</v>
      </c>
      <c r="J25" s="26">
        <f t="shared" si="18"/>
        <v>30684926.705819711</v>
      </c>
      <c r="K25" s="26">
        <f t="shared" si="18"/>
        <v>30552867.851269335</v>
      </c>
      <c r="L25" s="26">
        <f t="shared" si="18"/>
        <v>30382498.72756869</v>
      </c>
      <c r="M25" s="26">
        <f t="shared" si="18"/>
        <v>30187996.733858317</v>
      </c>
      <c r="N25" s="26">
        <f t="shared" si="18"/>
        <v>29982174.726577763</v>
      </c>
      <c r="O25" s="26">
        <f t="shared" si="18"/>
        <v>29764808.825204432</v>
      </c>
      <c r="P25" s="26">
        <f t="shared" si="18"/>
        <v>29748761.385524839</v>
      </c>
      <c r="Q25" s="26">
        <f t="shared" si="18"/>
        <v>29805791.450917657</v>
      </c>
      <c r="R25" s="26">
        <f t="shared" si="18"/>
        <v>29953119.78384088</v>
      </c>
      <c r="S25" s="26">
        <f t="shared" si="18"/>
        <v>30204142.850963958</v>
      </c>
      <c r="T25" s="26">
        <f t="shared" si="18"/>
        <v>30566265.129971769</v>
      </c>
      <c r="U25" s="26">
        <f t="shared" si="18"/>
        <v>31038408.78084746</v>
      </c>
      <c r="V25" s="26">
        <f t="shared" si="18"/>
        <v>31624678.862405885</v>
      </c>
      <c r="W25" s="26">
        <f t="shared" si="18"/>
        <v>32293958.09293488</v>
      </c>
      <c r="X25" s="26">
        <f t="shared" si="18"/>
        <v>33142113.542954467</v>
      </c>
      <c r="Y25" s="26">
        <f t="shared" si="18"/>
        <v>33931007.20664344</v>
      </c>
      <c r="Z25" s="26">
        <f t="shared" si="18"/>
        <v>34738002.546061747</v>
      </c>
      <c r="AA25" s="26">
        <f t="shared" si="18"/>
        <v>35557169.568883404</v>
      </c>
      <c r="AB25" s="72">
        <f t="shared" si="18"/>
        <v>36354283.602898911</v>
      </c>
    </row>
    <row r="26" spans="1:29" ht="15" customHeight="1" thickBot="1" x14ac:dyDescent="0.3">
      <c r="A26" s="27" t="s">
        <v>255</v>
      </c>
      <c r="B26" s="28">
        <f t="shared" ref="B26:S26" si="19">B$4-B21</f>
        <v>0</v>
      </c>
      <c r="C26" s="28">
        <f t="shared" si="19"/>
        <v>0</v>
      </c>
      <c r="D26" s="28">
        <f t="shared" si="19"/>
        <v>0</v>
      </c>
      <c r="E26" s="28">
        <f t="shared" si="19"/>
        <v>0</v>
      </c>
      <c r="F26" s="28">
        <f t="shared" si="19"/>
        <v>0</v>
      </c>
      <c r="G26" s="28">
        <f t="shared" si="19"/>
        <v>18242298.364756316</v>
      </c>
      <c r="H26" s="28">
        <f t="shared" si="19"/>
        <v>19394740.724409223</v>
      </c>
      <c r="I26" s="28">
        <f t="shared" si="19"/>
        <v>25109475.02410686</v>
      </c>
      <c r="J26" s="28">
        <f t="shared" si="19"/>
        <v>31464218.294160306</v>
      </c>
      <c r="K26" s="28">
        <f t="shared" si="19"/>
        <v>38336764.030405641</v>
      </c>
      <c r="L26" s="28">
        <f t="shared" si="19"/>
        <v>32184650.039609507</v>
      </c>
      <c r="M26" s="28">
        <f t="shared" si="19"/>
        <v>37545118.619967341</v>
      </c>
      <c r="N26" s="28">
        <f t="shared" si="19"/>
        <v>42992679.438185528</v>
      </c>
      <c r="O26" s="28">
        <f t="shared" si="19"/>
        <v>48676402.336580202</v>
      </c>
      <c r="P26" s="28">
        <f t="shared" si="19"/>
        <v>53516714.793748796</v>
      </c>
      <c r="Q26" s="28">
        <f t="shared" si="19"/>
        <v>58127792.767967045</v>
      </c>
      <c r="R26" s="28">
        <f t="shared" si="19"/>
        <v>62430529.450338259</v>
      </c>
      <c r="S26" s="28">
        <f t="shared" si="19"/>
        <v>66364121.290726244</v>
      </c>
      <c r="T26" s="28">
        <f t="shared" ref="T26:AB26" si="20">T$4-T21</f>
        <v>69896402.348593414</v>
      </c>
      <c r="U26" s="28">
        <f t="shared" si="20"/>
        <v>73035716.559415653</v>
      </c>
      <c r="V26" s="28">
        <f t="shared" si="20"/>
        <v>75765783.29820469</v>
      </c>
      <c r="W26" s="28">
        <f t="shared" si="20"/>
        <v>78238294.31857501</v>
      </c>
      <c r="X26" s="28">
        <f t="shared" si="20"/>
        <v>79999744.110173017</v>
      </c>
      <c r="Y26" s="28">
        <f t="shared" si="20"/>
        <v>82188776.469656348</v>
      </c>
      <c r="Z26" s="28">
        <f t="shared" si="20"/>
        <v>84440259.676801413</v>
      </c>
      <c r="AA26" s="28">
        <f t="shared" si="20"/>
        <v>86786177.883182079</v>
      </c>
      <c r="AB26" s="73">
        <f t="shared" si="20"/>
        <v>89393477.144896448</v>
      </c>
      <c r="AC26" s="2">
        <f>SUM(G26:AB26)</f>
        <v>1254130136.9844594</v>
      </c>
    </row>
    <row r="27" spans="1:29" ht="15.75" thickBot="1" x14ac:dyDescent="0.3">
      <c r="A27" s="3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9" ht="15.75" thickBot="1" x14ac:dyDescent="0.3">
      <c r="A28" s="78" t="s">
        <v>312</v>
      </c>
      <c r="B28" s="78" t="s">
        <v>4</v>
      </c>
      <c r="C28" s="78" t="s">
        <v>5</v>
      </c>
      <c r="D28" s="78" t="s">
        <v>6</v>
      </c>
      <c r="E28" s="78" t="s">
        <v>7</v>
      </c>
      <c r="F28" s="78" t="s">
        <v>8</v>
      </c>
      <c r="G28" s="78" t="s">
        <v>9</v>
      </c>
      <c r="H28" s="78" t="s">
        <v>10</v>
      </c>
      <c r="I28" s="78" t="s">
        <v>11</v>
      </c>
      <c r="J28" s="78" t="s">
        <v>12</v>
      </c>
      <c r="K28" s="78" t="s">
        <v>13</v>
      </c>
      <c r="L28" s="78" t="s">
        <v>14</v>
      </c>
      <c r="M28" s="78" t="s">
        <v>15</v>
      </c>
      <c r="N28" s="78" t="s">
        <v>16</v>
      </c>
      <c r="O28" s="78" t="s">
        <v>17</v>
      </c>
      <c r="P28" s="78" t="s">
        <v>18</v>
      </c>
      <c r="Q28" s="78" t="s">
        <v>19</v>
      </c>
      <c r="R28" s="78" t="s">
        <v>20</v>
      </c>
      <c r="S28" s="79">
        <v>2041</v>
      </c>
      <c r="T28" s="79">
        <v>2042</v>
      </c>
      <c r="U28" s="79">
        <v>2043</v>
      </c>
      <c r="V28" s="79">
        <v>2044</v>
      </c>
      <c r="W28" s="79">
        <v>2045</v>
      </c>
      <c r="X28" s="79">
        <v>2046</v>
      </c>
      <c r="Y28" s="79">
        <v>2047</v>
      </c>
      <c r="Z28" s="79">
        <v>2048</v>
      </c>
      <c r="AA28" s="79">
        <v>2049</v>
      </c>
      <c r="AB28" s="80">
        <v>2050</v>
      </c>
    </row>
    <row r="29" spans="1:29" x14ac:dyDescent="0.25">
      <c r="A29" s="63" t="s">
        <v>307</v>
      </c>
      <c r="B29" s="23">
        <f>'Customer summary'!D23</f>
        <v>-1.0309606873075136E-4</v>
      </c>
      <c r="C29" s="23">
        <f>'Customer summary'!E23</f>
        <v>-2.9024213432524767E-4</v>
      </c>
      <c r="D29" s="23">
        <f>'Customer summary'!F23</f>
        <v>-5.8137312799796264E-4</v>
      </c>
      <c r="E29" s="23">
        <f>'Customer summary'!G23</f>
        <v>-9.9354047437527626E-4</v>
      </c>
      <c r="F29" s="23">
        <f>'Customer summary'!H23</f>
        <v>-1.5655373847551723E-3</v>
      </c>
      <c r="G29" s="23">
        <f>'Customer summary'!I23</f>
        <v>-2.2699386245970459E-3</v>
      </c>
      <c r="H29" s="23">
        <f>'Customer summary'!J23</f>
        <v>-3.1368896025097035E-3</v>
      </c>
      <c r="I29" s="23">
        <f>'Customer summary'!K23</f>
        <v>-4.1652005865821006E-3</v>
      </c>
      <c r="J29" s="23">
        <f>'Customer summary'!L23</f>
        <v>-5.3359182667187186E-3</v>
      </c>
      <c r="K29" s="23">
        <f>'Customer summary'!M23</f>
        <v>-6.6312415551882812E-3</v>
      </c>
      <c r="L29" s="23">
        <f>'Customer summary'!N23</f>
        <v>-8.0109465949963488E-3</v>
      </c>
      <c r="M29" s="23">
        <f>'Customer summary'!O23</f>
        <v>-9.432612589350322E-3</v>
      </c>
      <c r="N29" s="23">
        <f>'Customer summary'!P23</f>
        <v>-1.086610209837769E-2</v>
      </c>
      <c r="O29" s="23">
        <f>'Customer summary'!Q23</f>
        <v>-1.2289056450842321E-2</v>
      </c>
      <c r="P29" s="23">
        <f>'Customer summary'!R23</f>
        <v>-1.3686479427110593E-2</v>
      </c>
      <c r="Q29" s="23">
        <f>'Customer summary'!S23</f>
        <v>-1.5059366981626502E-2</v>
      </c>
      <c r="R29" s="23">
        <f>'Customer summary'!T23</f>
        <v>-1.6390419604121131E-2</v>
      </c>
      <c r="S29" s="23">
        <f>'Customer summary'!U23</f>
        <v>-1.7686828256640839E-2</v>
      </c>
      <c r="T29" s="23">
        <f>'Customer summary'!V23</f>
        <v>-1.8944720034624413E-2</v>
      </c>
      <c r="U29" s="23">
        <f>'Customer summary'!W23</f>
        <v>-2.0160788300290007E-2</v>
      </c>
      <c r="V29" s="23">
        <f>'Customer summary'!X23</f>
        <v>-2.1353483226947707E-2</v>
      </c>
      <c r="W29" s="23">
        <f>'Customer summary'!Y23</f>
        <v>-2.2489152142356528E-2</v>
      </c>
      <c r="X29" s="23">
        <f>'Customer summary'!Z23</f>
        <v>-2.3582896389568925E-2</v>
      </c>
      <c r="Y29" s="23">
        <f>'Customer summary'!AA23</f>
        <v>-2.4571918432533087E-2</v>
      </c>
      <c r="Z29" s="23">
        <f>'Customer summary'!AB23</f>
        <v>-2.5487998409378217E-2</v>
      </c>
      <c r="AA29" s="23">
        <f>'Customer summary'!AC23</f>
        <v>-2.6333118885191839E-2</v>
      </c>
      <c r="AB29" s="70">
        <f>'Customer summary'!AD23</f>
        <v>-2.7092949060442146E-2</v>
      </c>
    </row>
    <row r="30" spans="1:29" x14ac:dyDescent="0.25">
      <c r="A30" s="25" t="s">
        <v>297</v>
      </c>
      <c r="B30" s="25">
        <f t="shared" ref="B30:S30" si="21">SUM(B31:B34)</f>
        <v>242548278.37899941</v>
      </c>
      <c r="C30" s="25">
        <f t="shared" si="21"/>
        <v>222476653.54510051</v>
      </c>
      <c r="D30" s="25">
        <f t="shared" si="21"/>
        <v>220263067.35395163</v>
      </c>
      <c r="E30" s="25">
        <f t="shared" si="21"/>
        <v>228734371.47345006</v>
      </c>
      <c r="F30" s="25">
        <f t="shared" si="21"/>
        <v>221129867.63482818</v>
      </c>
      <c r="G30" s="25">
        <f t="shared" si="21"/>
        <v>265989154.45940334</v>
      </c>
      <c r="H30" s="25">
        <f t="shared" si="21"/>
        <v>212192649.93684235</v>
      </c>
      <c r="I30" s="25">
        <f t="shared" si="21"/>
        <v>217377505.31550658</v>
      </c>
      <c r="J30" s="25">
        <f t="shared" si="21"/>
        <v>222671954.83083317</v>
      </c>
      <c r="K30" s="25">
        <f t="shared" si="21"/>
        <v>228079993.72158578</v>
      </c>
      <c r="L30" s="25">
        <f t="shared" si="21"/>
        <v>159916137.72283822</v>
      </c>
      <c r="M30" s="25">
        <f t="shared" si="21"/>
        <v>163784883.55098027</v>
      </c>
      <c r="N30" s="25">
        <f t="shared" si="21"/>
        <v>167411622.5766485</v>
      </c>
      <c r="O30" s="25">
        <f t="shared" si="21"/>
        <v>171461339.14451596</v>
      </c>
      <c r="P30" s="25">
        <f t="shared" si="21"/>
        <v>175611402.62824151</v>
      </c>
      <c r="Q30" s="25">
        <f t="shared" si="21"/>
        <v>179864261.93972307</v>
      </c>
      <c r="R30" s="25">
        <f t="shared" si="21"/>
        <v>184224299.44969141</v>
      </c>
      <c r="S30" s="25">
        <f t="shared" si="21"/>
        <v>188693567.08563548</v>
      </c>
      <c r="T30" s="25">
        <f t="shared" ref="T30:AB30" si="22">SUM(T31:T34)</f>
        <v>193275309.90141487</v>
      </c>
      <c r="U30" s="25">
        <f t="shared" si="22"/>
        <v>197972827.51853961</v>
      </c>
      <c r="V30" s="25">
        <f t="shared" si="22"/>
        <v>202787071.06549695</v>
      </c>
      <c r="W30" s="25">
        <f t="shared" si="22"/>
        <v>207724913.64089462</v>
      </c>
      <c r="X30" s="25">
        <f t="shared" si="22"/>
        <v>212787894.92422682</v>
      </c>
      <c r="Y30" s="25">
        <f t="shared" si="22"/>
        <v>217986969.31684232</v>
      </c>
      <c r="Z30" s="25">
        <f t="shared" si="22"/>
        <v>223322123.54951704</v>
      </c>
      <c r="AA30" s="25">
        <f t="shared" si="22"/>
        <v>228796886.11828595</v>
      </c>
      <c r="AB30" s="71">
        <f t="shared" si="22"/>
        <v>234417012.48200494</v>
      </c>
    </row>
    <row r="31" spans="1:29" x14ac:dyDescent="0.25">
      <c r="A31" s="22" t="s">
        <v>230</v>
      </c>
      <c r="B31" s="26">
        <f>B5</f>
        <v>131934200.45826855</v>
      </c>
      <c r="C31" s="26">
        <f t="shared" ref="C31:F31" si="23">C5</f>
        <v>141635569.0676024</v>
      </c>
      <c r="D31" s="26">
        <f t="shared" si="23"/>
        <v>148470087.78488797</v>
      </c>
      <c r="E31" s="26">
        <f t="shared" si="23"/>
        <v>169110270.89939421</v>
      </c>
      <c r="F31" s="26">
        <f t="shared" si="23"/>
        <v>175257873.04092175</v>
      </c>
      <c r="G31" s="26">
        <f>G$5*$B$51+$B$52*(1+G29)*G$5</f>
        <v>218431417.4852677</v>
      </c>
      <c r="H31" s="26">
        <f t="shared" ref="H31:AB31" si="24">H$5*$B$51+$B$52*(1+H29)*H$5</f>
        <v>163585566.70310748</v>
      </c>
      <c r="I31" s="26">
        <f t="shared" si="24"/>
        <v>167588859.31289876</v>
      </c>
      <c r="J31" s="26">
        <f t="shared" si="24"/>
        <v>171677818.8380354</v>
      </c>
      <c r="K31" s="26">
        <f t="shared" si="24"/>
        <v>175855490.56441778</v>
      </c>
      <c r="L31" s="26">
        <f t="shared" si="24"/>
        <v>106434590.81190877</v>
      </c>
      <c r="M31" s="26">
        <f t="shared" si="24"/>
        <v>109017595.06431121</v>
      </c>
      <c r="N31" s="26">
        <f t="shared" si="24"/>
        <v>111328168.68837276</v>
      </c>
      <c r="O31" s="26">
        <f t="shared" si="24"/>
        <v>114029741.76204115</v>
      </c>
      <c r="P31" s="26">
        <f t="shared" si="24"/>
        <v>116798314.66846794</v>
      </c>
      <c r="Q31" s="26">
        <f t="shared" si="24"/>
        <v>119635526.42047551</v>
      </c>
      <c r="R31" s="26">
        <f t="shared" si="24"/>
        <v>122544184.30769861</v>
      </c>
      <c r="S31" s="26">
        <f t="shared" si="24"/>
        <v>125525696.63978243</v>
      </c>
      <c r="T31" s="26">
        <f t="shared" si="24"/>
        <v>128582194.44604574</v>
      </c>
      <c r="U31" s="26">
        <f t="shared" si="24"/>
        <v>131715846.04014966</v>
      </c>
      <c r="V31" s="26">
        <f t="shared" si="24"/>
        <v>134927410.21181172</v>
      </c>
      <c r="W31" s="26">
        <f t="shared" si="24"/>
        <v>138221216.11060089</v>
      </c>
      <c r="X31" s="26">
        <f t="shared" si="24"/>
        <v>141598386.32301313</v>
      </c>
      <c r="Y31" s="26">
        <f t="shared" si="24"/>
        <v>145065717.06931049</v>
      </c>
      <c r="Z31" s="26">
        <f t="shared" si="24"/>
        <v>148623405.78051227</v>
      </c>
      <c r="AA31" s="26">
        <f t="shared" si="24"/>
        <v>152273787.57331496</v>
      </c>
      <c r="AB31" s="72">
        <f t="shared" si="24"/>
        <v>156020543.71614587</v>
      </c>
    </row>
    <row r="32" spans="1:29" x14ac:dyDescent="0.25">
      <c r="A32" s="22" t="s">
        <v>232</v>
      </c>
      <c r="B32" s="26">
        <f>B6</f>
        <v>70427659.920730844</v>
      </c>
      <c r="C32" s="26">
        <f t="shared" ref="C32:F32" si="25">C6</f>
        <v>36491907.227498114</v>
      </c>
      <c r="D32" s="26">
        <f t="shared" si="25"/>
        <v>21028008.800313663</v>
      </c>
      <c r="E32" s="26">
        <f t="shared" si="25"/>
        <v>14015475.496368678</v>
      </c>
      <c r="F32" s="26">
        <f t="shared" si="25"/>
        <v>2223921.4599220818</v>
      </c>
      <c r="G32" s="26">
        <f>G$6</f>
        <v>109218.28080160927</v>
      </c>
      <c r="H32" s="26">
        <f t="shared" ref="H32:AB32" si="26">H$6</f>
        <v>0</v>
      </c>
      <c r="I32" s="26">
        <f t="shared" si="26"/>
        <v>0</v>
      </c>
      <c r="J32" s="26">
        <f t="shared" si="26"/>
        <v>0</v>
      </c>
      <c r="K32" s="26">
        <f t="shared" si="26"/>
        <v>0</v>
      </c>
      <c r="L32" s="26">
        <f t="shared" si="26"/>
        <v>0</v>
      </c>
      <c r="M32" s="26">
        <f t="shared" si="26"/>
        <v>0</v>
      </c>
      <c r="N32" s="26">
        <f t="shared" si="26"/>
        <v>0</v>
      </c>
      <c r="O32" s="26">
        <f t="shared" si="26"/>
        <v>0</v>
      </c>
      <c r="P32" s="26">
        <f t="shared" si="26"/>
        <v>0</v>
      </c>
      <c r="Q32" s="26">
        <f t="shared" si="26"/>
        <v>0</v>
      </c>
      <c r="R32" s="26">
        <f t="shared" si="26"/>
        <v>0</v>
      </c>
      <c r="S32" s="26">
        <f t="shared" si="26"/>
        <v>0</v>
      </c>
      <c r="T32" s="26">
        <f t="shared" si="26"/>
        <v>0</v>
      </c>
      <c r="U32" s="26">
        <f t="shared" si="26"/>
        <v>0</v>
      </c>
      <c r="V32" s="26">
        <f t="shared" si="26"/>
        <v>0</v>
      </c>
      <c r="W32" s="26">
        <f t="shared" si="26"/>
        <v>0</v>
      </c>
      <c r="X32" s="26">
        <f t="shared" si="26"/>
        <v>0</v>
      </c>
      <c r="Y32" s="26">
        <f t="shared" si="26"/>
        <v>0</v>
      </c>
      <c r="Z32" s="26">
        <f t="shared" si="26"/>
        <v>0</v>
      </c>
      <c r="AA32" s="26">
        <f t="shared" si="26"/>
        <v>0</v>
      </c>
      <c r="AB32" s="72">
        <f t="shared" si="26"/>
        <v>0</v>
      </c>
    </row>
    <row r="33" spans="1:29" x14ac:dyDescent="0.25">
      <c r="A33" s="22" t="s">
        <v>283</v>
      </c>
      <c r="B33" s="26">
        <f>B7</f>
        <v>12230000</v>
      </c>
      <c r="C33" s="26">
        <f t="shared" ref="C33:F33" si="27">C7</f>
        <v>15508249.999999998</v>
      </c>
      <c r="D33" s="26">
        <f t="shared" si="27"/>
        <v>20624399.125</v>
      </c>
      <c r="E33" s="26">
        <f t="shared" si="27"/>
        <v>14947888.009374999</v>
      </c>
      <c r="F33" s="26">
        <f t="shared" si="27"/>
        <v>11810797.929687498</v>
      </c>
      <c r="G33" s="26">
        <f>G$7*$B$53*(1+G29)</f>
        <v>14674919.813943975</v>
      </c>
      <c r="H33" s="26">
        <f t="shared" ref="H33:AB33" si="28">H$7*$B$53*(1+H29)</f>
        <v>15028722.643833591</v>
      </c>
      <c r="I33" s="26">
        <f t="shared" si="28"/>
        <v>15388550.307907036</v>
      </c>
      <c r="J33" s="26">
        <f t="shared" si="28"/>
        <v>15754720.79002733</v>
      </c>
      <c r="K33" s="26">
        <f t="shared" si="28"/>
        <v>16127558.953019965</v>
      </c>
      <c r="L33" s="26">
        <f t="shared" si="28"/>
        <v>16507788.118584357</v>
      </c>
      <c r="M33" s="26">
        <f t="shared" si="28"/>
        <v>16896233.284769423</v>
      </c>
      <c r="N33" s="26">
        <f t="shared" si="28"/>
        <v>17293576.624623913</v>
      </c>
      <c r="O33" s="26">
        <f t="shared" si="28"/>
        <v>17700415.782453991</v>
      </c>
      <c r="P33" s="26">
        <f t="shared" si="28"/>
        <v>18117257.389945518</v>
      </c>
      <c r="Q33" s="26">
        <f t="shared" si="28"/>
        <v>18544340.267829984</v>
      </c>
      <c r="R33" s="26">
        <f t="shared" si="28"/>
        <v>18982261.358232383</v>
      </c>
      <c r="S33" s="26">
        <f t="shared" si="28"/>
        <v>19431173.584153105</v>
      </c>
      <c r="T33" s="26">
        <f t="shared" si="28"/>
        <v>19891448.459349908</v>
      </c>
      <c r="U33" s="26">
        <f t="shared" si="28"/>
        <v>20363461.789970968</v>
      </c>
      <c r="V33" s="26">
        <f t="shared" si="28"/>
        <v>20847141.5310243</v>
      </c>
      <c r="W33" s="26">
        <f t="shared" si="28"/>
        <v>21343523.233607661</v>
      </c>
      <c r="X33" s="26">
        <f t="shared" si="28"/>
        <v>21852632.849888358</v>
      </c>
      <c r="Y33" s="26">
        <f t="shared" si="28"/>
        <v>22376260.565926161</v>
      </c>
      <c r="Z33" s="26">
        <f t="shared" si="28"/>
        <v>22914126.890936147</v>
      </c>
      <c r="AA33" s="26">
        <f t="shared" si="28"/>
        <v>23466611.583668973</v>
      </c>
      <c r="AB33" s="26">
        <f t="shared" si="28"/>
        <v>24034506.176694509</v>
      </c>
    </row>
    <row r="34" spans="1:29" x14ac:dyDescent="0.25">
      <c r="A34" s="22" t="s">
        <v>329</v>
      </c>
      <c r="B34" s="26">
        <f>B8</f>
        <v>27956418</v>
      </c>
      <c r="C34" s="26">
        <f t="shared" ref="C34:F34" si="29">C8</f>
        <v>28840927.249999996</v>
      </c>
      <c r="D34" s="26">
        <f t="shared" si="29"/>
        <v>30140571.643749997</v>
      </c>
      <c r="E34" s="26">
        <f t="shared" si="29"/>
        <v>30660737.068312183</v>
      </c>
      <c r="F34" s="26">
        <f t="shared" si="29"/>
        <v>31837275.204296868</v>
      </c>
      <c r="G34" s="26">
        <f>G$8*$B$51+$B$52*(1+G29)*G$8</f>
        <v>32773598.879390027</v>
      </c>
      <c r="H34" s="26">
        <f t="shared" ref="H34:AB34" si="30">H$8*$B$51+$B$52*(1+H29)*H$8</f>
        <v>33578360.589901298</v>
      </c>
      <c r="I34" s="26">
        <f t="shared" si="30"/>
        <v>34400095.69470077</v>
      </c>
      <c r="J34" s="26">
        <f t="shared" si="30"/>
        <v>35239415.202770442</v>
      </c>
      <c r="K34" s="26">
        <f t="shared" si="30"/>
        <v>36096944.204148032</v>
      </c>
      <c r="L34" s="26">
        <f t="shared" si="30"/>
        <v>36973758.792345114</v>
      </c>
      <c r="M34" s="26">
        <f t="shared" si="30"/>
        <v>37871055.201899633</v>
      </c>
      <c r="N34" s="26">
        <f t="shared" si="30"/>
        <v>38789877.263651833</v>
      </c>
      <c r="O34" s="26">
        <f t="shared" si="30"/>
        <v>39731181.600020818</v>
      </c>
      <c r="P34" s="26">
        <f t="shared" si="30"/>
        <v>40695830.569828063</v>
      </c>
      <c r="Q34" s="26">
        <f t="shared" si="30"/>
        <v>41684395.251417577</v>
      </c>
      <c r="R34" s="26">
        <f t="shared" si="30"/>
        <v>42697853.783760443</v>
      </c>
      <c r="S34" s="26">
        <f t="shared" si="30"/>
        <v>43736696.861699924</v>
      </c>
      <c r="T34" s="26">
        <f t="shared" si="30"/>
        <v>44801666.996019207</v>
      </c>
      <c r="U34" s="26">
        <f t="shared" si="30"/>
        <v>45893519.688418999</v>
      </c>
      <c r="V34" s="26">
        <f t="shared" si="30"/>
        <v>47012519.322660916</v>
      </c>
      <c r="W34" s="26">
        <f t="shared" si="30"/>
        <v>48160174.296686083</v>
      </c>
      <c r="X34" s="26">
        <f t="shared" si="30"/>
        <v>49336875.751325339</v>
      </c>
      <c r="Y34" s="26">
        <f t="shared" si="30"/>
        <v>50544991.681605674</v>
      </c>
      <c r="Z34" s="26">
        <f t="shared" si="30"/>
        <v>51784590.878068626</v>
      </c>
      <c r="AA34" s="26">
        <f t="shared" si="30"/>
        <v>53056486.961301997</v>
      </c>
      <c r="AB34" s="72">
        <f t="shared" si="30"/>
        <v>54361962.589164563</v>
      </c>
    </row>
    <row r="35" spans="1:29" ht="15.75" thickBot="1" x14ac:dyDescent="0.3">
      <c r="A35" s="27" t="s">
        <v>255</v>
      </c>
      <c r="B35" s="28">
        <f t="shared" ref="B35:S35" si="31">B$4-B30</f>
        <v>0</v>
      </c>
      <c r="C35" s="28">
        <f t="shared" si="31"/>
        <v>0</v>
      </c>
      <c r="D35" s="28">
        <f t="shared" si="31"/>
        <v>0</v>
      </c>
      <c r="E35" s="28">
        <f t="shared" si="31"/>
        <v>0</v>
      </c>
      <c r="F35" s="28">
        <f t="shared" si="31"/>
        <v>0</v>
      </c>
      <c r="G35" s="28">
        <f t="shared" si="31"/>
        <v>318820.89706996083</v>
      </c>
      <c r="H35" s="28">
        <f t="shared" si="31"/>
        <v>357018.31865075231</v>
      </c>
      <c r="I35" s="28">
        <f t="shared" si="31"/>
        <v>485904.64637383819</v>
      </c>
      <c r="J35" s="28">
        <f t="shared" si="31"/>
        <v>638040.38009425998</v>
      </c>
      <c r="K35" s="28">
        <f t="shared" si="31"/>
        <v>812751.36961480975</v>
      </c>
      <c r="L35" s="28">
        <f t="shared" si="31"/>
        <v>710039.34109294415</v>
      </c>
      <c r="M35" s="28">
        <f t="shared" si="31"/>
        <v>856947.93954914808</v>
      </c>
      <c r="N35" s="28">
        <f t="shared" si="31"/>
        <v>1010032.495082587</v>
      </c>
      <c r="O35" s="28">
        <f t="shared" si="31"/>
        <v>1170857.3040083647</v>
      </c>
      <c r="P35" s="28">
        <f t="shared" si="31"/>
        <v>1336598.7314959168</v>
      </c>
      <c r="Q35" s="28">
        <f t="shared" si="31"/>
        <v>1507439.4540078044</v>
      </c>
      <c r="R35" s="28">
        <f t="shared" si="31"/>
        <v>1681694.47888273</v>
      </c>
      <c r="S35" s="28">
        <f t="shared" si="31"/>
        <v>1860076.6911530197</v>
      </c>
      <c r="T35" s="28">
        <f t="shared" ref="T35:AB35" si="32">T$4-T30</f>
        <v>2042174.9697933197</v>
      </c>
      <c r="U35" s="28">
        <f t="shared" si="32"/>
        <v>2227594.4744488001</v>
      </c>
      <c r="V35" s="28">
        <f t="shared" si="32"/>
        <v>2418361.4773161709</v>
      </c>
      <c r="W35" s="28">
        <f t="shared" si="32"/>
        <v>2610654.7154887915</v>
      </c>
      <c r="X35" s="28">
        <f t="shared" si="32"/>
        <v>2806062.641066134</v>
      </c>
      <c r="Y35" s="28">
        <f t="shared" si="32"/>
        <v>2996837.1875830293</v>
      </c>
      <c r="Z35" s="28">
        <f t="shared" si="32"/>
        <v>3186278.117518872</v>
      </c>
      <c r="AA35" s="28">
        <f t="shared" si="32"/>
        <v>3374225.5904258192</v>
      </c>
      <c r="AB35" s="73">
        <f t="shared" si="32"/>
        <v>3558377.0194246173</v>
      </c>
      <c r="AC35" s="2">
        <f>SUM(G35:AB35)</f>
        <v>37966788.24014169</v>
      </c>
    </row>
    <row r="36" spans="1:29" hidden="1" x14ac:dyDescent="0.25">
      <c r="A36" s="34" t="s">
        <v>259</v>
      </c>
      <c r="B36" s="16">
        <v>1</v>
      </c>
      <c r="C36" s="16">
        <v>1</v>
      </c>
      <c r="D36" s="16">
        <f>($G36-$C36)/($G3-$C3)*(D3-$C3)+1</f>
        <v>0.8125</v>
      </c>
      <c r="E36" s="16">
        <f>($G36-$C36)/($G3-$C3)*(E3-$C3)+1</f>
        <v>0.625</v>
      </c>
      <c r="F36" s="16">
        <f>($G36-$C36)/($G3-$C3)*(F3-$C3)+1</f>
        <v>0.4375</v>
      </c>
      <c r="G36" s="16">
        <v>0.25</v>
      </c>
      <c r="H36" s="16">
        <v>0.25</v>
      </c>
      <c r="I36" s="16">
        <v>0.25</v>
      </c>
      <c r="J36" s="16">
        <v>0.25</v>
      </c>
      <c r="K36" s="16">
        <v>0.25</v>
      </c>
      <c r="L36" s="16">
        <v>0.25</v>
      </c>
      <c r="M36" s="16">
        <v>0.25</v>
      </c>
      <c r="N36" s="16">
        <v>0.25</v>
      </c>
      <c r="O36" s="16">
        <v>0.25</v>
      </c>
      <c r="P36" s="16">
        <v>0.25</v>
      </c>
      <c r="Q36" s="16">
        <v>0.25</v>
      </c>
      <c r="R36" s="16">
        <v>0.25</v>
      </c>
    </row>
    <row r="37" spans="1:29" ht="15.75" thickBot="1" x14ac:dyDescent="0.3"/>
    <row r="38" spans="1:29" ht="15.75" thickBot="1" x14ac:dyDescent="0.3">
      <c r="A38" s="78" t="s">
        <v>311</v>
      </c>
      <c r="B38" s="78" t="s">
        <v>4</v>
      </c>
      <c r="C38" s="78" t="s">
        <v>5</v>
      </c>
      <c r="D38" s="78" t="s">
        <v>6</v>
      </c>
      <c r="E38" s="78" t="s">
        <v>7</v>
      </c>
      <c r="F38" s="78" t="s">
        <v>8</v>
      </c>
      <c r="G38" s="78" t="s">
        <v>9</v>
      </c>
      <c r="H38" s="78" t="s">
        <v>10</v>
      </c>
      <c r="I38" s="78" t="s">
        <v>11</v>
      </c>
      <c r="J38" s="78" t="s">
        <v>12</v>
      </c>
      <c r="K38" s="78" t="s">
        <v>13</v>
      </c>
      <c r="L38" s="78" t="s">
        <v>14</v>
      </c>
      <c r="M38" s="78" t="s">
        <v>15</v>
      </c>
      <c r="N38" s="78" t="s">
        <v>16</v>
      </c>
      <c r="O38" s="78" t="s">
        <v>17</v>
      </c>
      <c r="P38" s="78" t="s">
        <v>18</v>
      </c>
      <c r="Q38" s="78" t="s">
        <v>19</v>
      </c>
      <c r="R38" s="78" t="s">
        <v>20</v>
      </c>
      <c r="S38" s="79">
        <v>2041</v>
      </c>
      <c r="T38" s="79">
        <v>2042</v>
      </c>
      <c r="U38" s="79">
        <v>2043</v>
      </c>
      <c r="V38" s="79">
        <v>2044</v>
      </c>
      <c r="W38" s="79">
        <v>2045</v>
      </c>
      <c r="X38" s="79">
        <v>2046</v>
      </c>
      <c r="Y38" s="79">
        <v>2047</v>
      </c>
      <c r="Z38" s="79">
        <v>2048</v>
      </c>
      <c r="AA38" s="79">
        <v>2049</v>
      </c>
      <c r="AB38" s="80">
        <v>2050</v>
      </c>
    </row>
    <row r="39" spans="1:29" x14ac:dyDescent="0.25">
      <c r="A39" s="63" t="s">
        <v>307</v>
      </c>
      <c r="B39" s="23">
        <f>'Customer summary'!D31</f>
        <v>-1.3353631647140709E-3</v>
      </c>
      <c r="C39" s="23">
        <f>'Customer summary'!E31</f>
        <v>-3.2740610876310586E-3</v>
      </c>
      <c r="D39" s="23">
        <f>'Customer summary'!F31</f>
        <v>-5.8665449950957866E-3</v>
      </c>
      <c r="E39" s="23">
        <f>'Customer summary'!G31</f>
        <v>-9.2177466138534687E-3</v>
      </c>
      <c r="F39" s="23">
        <f>'Customer summary'!H31</f>
        <v>-1.3487908643705556E-2</v>
      </c>
      <c r="G39" s="23">
        <f>'Customer summary'!I31</f>
        <v>-1.864558438963974E-2</v>
      </c>
      <c r="H39" s="23">
        <f>'Customer summary'!J31</f>
        <v>-2.4614233546700674E-2</v>
      </c>
      <c r="I39" s="23">
        <f>'Customer summary'!K31</f>
        <v>-3.127951845058069E-2</v>
      </c>
      <c r="J39" s="23">
        <f>'Customer summary'!L31</f>
        <v>-3.8463367685027977E-2</v>
      </c>
      <c r="K39" s="23">
        <f>'Customer summary'!M31</f>
        <v>-4.5944707018988673E-2</v>
      </c>
      <c r="L39" s="23">
        <f>'Customer summary'!N31</f>
        <v>-5.3565620414597816E-2</v>
      </c>
      <c r="M39" s="23">
        <f>'Customer summary'!O31</f>
        <v>-6.1160180542439609E-2</v>
      </c>
      <c r="N39" s="23">
        <f>'Customer summary'!P31</f>
        <v>-6.8611487891249726E-2</v>
      </c>
      <c r="O39" s="23">
        <f>'Customer summary'!Q31</f>
        <v>-7.5895522907321197E-2</v>
      </c>
      <c r="P39" s="23">
        <f>'Customer summary'!R31</f>
        <v>-8.3018877424848925E-2</v>
      </c>
      <c r="Q39" s="23">
        <f>'Customer summary'!S31</f>
        <v>-8.9983838996992943E-2</v>
      </c>
      <c r="R39" s="23">
        <f>'Customer summary'!T31</f>
        <v>-9.6811550832089172E-2</v>
      </c>
      <c r="S39" s="23">
        <f>'Customer summary'!U31</f>
        <v>-0.10354478792334321</v>
      </c>
      <c r="T39" s="23">
        <f>'Customer summary'!V31</f>
        <v>-0.11014309319463897</v>
      </c>
      <c r="U39" s="23">
        <f>'Customer summary'!W31</f>
        <v>-0.11662189877379441</v>
      </c>
      <c r="V39" s="23">
        <f>'Customer summary'!X31</f>
        <v>-0.12300195452852927</v>
      </c>
      <c r="W39" s="23">
        <f>'Customer summary'!Y31</f>
        <v>-0.12923250727174007</v>
      </c>
      <c r="X39" s="23">
        <f>'Customer summary'!Z31</f>
        <v>-0.13531174326297174</v>
      </c>
      <c r="Y39" s="23">
        <f>'Customer summary'!AA31</f>
        <v>-0.1411541357478914</v>
      </c>
      <c r="Z39" s="23">
        <f>'Customer summary'!AB31</f>
        <v>-0.14688783770822084</v>
      </c>
      <c r="AA39" s="23">
        <f>'Customer summary'!AC31</f>
        <v>-0.15273742898641335</v>
      </c>
      <c r="AB39" s="70">
        <f>'Customer summary'!AD31</f>
        <v>-0.1583135344893852</v>
      </c>
    </row>
    <row r="40" spans="1:29" x14ac:dyDescent="0.25">
      <c r="A40" s="25" t="s">
        <v>298</v>
      </c>
      <c r="B40" s="25">
        <f t="shared" ref="B40:S40" si="33">SUM(B41:B44)</f>
        <v>242548278.37899941</v>
      </c>
      <c r="C40" s="25">
        <f t="shared" si="33"/>
        <v>222476653.54510051</v>
      </c>
      <c r="D40" s="25">
        <f t="shared" si="33"/>
        <v>220263067.35395163</v>
      </c>
      <c r="E40" s="25">
        <f t="shared" si="33"/>
        <v>228734371.47345006</v>
      </c>
      <c r="F40" s="25">
        <f t="shared" si="33"/>
        <v>221129867.63482818</v>
      </c>
      <c r="G40" s="25">
        <f t="shared" si="33"/>
        <v>263689137.17420566</v>
      </c>
      <c r="H40" s="25">
        <f t="shared" si="33"/>
        <v>209748252.39798585</v>
      </c>
      <c r="I40" s="25">
        <f t="shared" si="33"/>
        <v>214214398.81931114</v>
      </c>
      <c r="J40" s="25">
        <f t="shared" si="33"/>
        <v>218710752.77302727</v>
      </c>
      <c r="K40" s="25">
        <f t="shared" si="33"/>
        <v>223261578.85400975</v>
      </c>
      <c r="L40" s="25">
        <f t="shared" si="33"/>
        <v>155878461.2511493</v>
      </c>
      <c r="M40" s="25">
        <f t="shared" si="33"/>
        <v>159085460.95142013</v>
      </c>
      <c r="N40" s="25">
        <f t="shared" si="33"/>
        <v>162044038.54662287</v>
      </c>
      <c r="O40" s="25">
        <f t="shared" si="33"/>
        <v>165401142.73068738</v>
      </c>
      <c r="P40" s="25">
        <f t="shared" si="33"/>
        <v>168840516.38909781</v>
      </c>
      <c r="Q40" s="25">
        <f t="shared" si="33"/>
        <v>172364338.11659905</v>
      </c>
      <c r="R40" s="25">
        <f t="shared" si="33"/>
        <v>175972907.74416289</v>
      </c>
      <c r="S40" s="25">
        <f t="shared" si="33"/>
        <v>179664113.79934442</v>
      </c>
      <c r="T40" s="25">
        <f t="shared" ref="T40:AB40" si="34">SUM(T41:T44)</f>
        <v>183444442.27112705</v>
      </c>
      <c r="U40" s="25">
        <f t="shared" si="34"/>
        <v>187314700.78810418</v>
      </c>
      <c r="V40" s="25">
        <f t="shared" si="34"/>
        <v>191275003.23978502</v>
      </c>
      <c r="W40" s="25">
        <f t="shared" si="34"/>
        <v>195333604.19304895</v>
      </c>
      <c r="X40" s="25">
        <f t="shared" si="34"/>
        <v>199493593.07250297</v>
      </c>
      <c r="Y40" s="25">
        <f t="shared" si="34"/>
        <v>203768383.77087307</v>
      </c>
      <c r="Z40" s="25">
        <f t="shared" si="34"/>
        <v>208145818.01091182</v>
      </c>
      <c r="AA40" s="25">
        <f t="shared" si="34"/>
        <v>212599919.10715407</v>
      </c>
      <c r="AB40" s="71">
        <f t="shared" si="34"/>
        <v>217182553.63353804</v>
      </c>
    </row>
    <row r="41" spans="1:29" x14ac:dyDescent="0.25">
      <c r="A41" s="22" t="s">
        <v>230</v>
      </c>
      <c r="B41" s="26">
        <f>B5</f>
        <v>131934200.45826855</v>
      </c>
      <c r="C41" s="26">
        <f t="shared" ref="C41:F41" si="35">C5</f>
        <v>141635569.0676024</v>
      </c>
      <c r="D41" s="26">
        <f t="shared" si="35"/>
        <v>148470087.78488797</v>
      </c>
      <c r="E41" s="26">
        <f t="shared" si="35"/>
        <v>169110270.89939421</v>
      </c>
      <c r="F41" s="26">
        <f t="shared" si="35"/>
        <v>175257873.04092175</v>
      </c>
      <c r="G41" s="26">
        <f>IF(G39&lt;0,G$5*$B$51+$B$52*(1+G39)*G$5,G$5)</f>
        <v>216640907.55309385</v>
      </c>
      <c r="H41" s="26">
        <f t="shared" ref="H41:AB41" si="36">IF(H39&lt;0,H$5*$B$51+$B$52*(1+H39)*H$5,H$5)</f>
        <v>161826115.36060223</v>
      </c>
      <c r="I41" s="26">
        <f t="shared" si="36"/>
        <v>165312088.90925092</v>
      </c>
      <c r="J41" s="26">
        <f t="shared" si="36"/>
        <v>168826587.74008501</v>
      </c>
      <c r="K41" s="26">
        <f t="shared" si="36"/>
        <v>172387246.8058883</v>
      </c>
      <c r="L41" s="26">
        <f t="shared" si="36"/>
        <v>104000544.77171025</v>
      </c>
      <c r="M41" s="26">
        <f t="shared" si="36"/>
        <v>106184626.38792437</v>
      </c>
      <c r="N41" s="26">
        <f t="shared" si="36"/>
        <v>108096265.56847431</v>
      </c>
      <c r="O41" s="26">
        <f t="shared" si="36"/>
        <v>110380806.30290565</v>
      </c>
      <c r="P41" s="26">
        <f t="shared" si="36"/>
        <v>112721462.17051801</v>
      </c>
      <c r="Q41" s="26">
        <f t="shared" si="36"/>
        <v>115119709.42210808</v>
      </c>
      <c r="R41" s="26">
        <f t="shared" si="36"/>
        <v>117575897.18868454</v>
      </c>
      <c r="S41" s="26">
        <f t="shared" si="36"/>
        <v>120088926.93413854</v>
      </c>
      <c r="T41" s="26">
        <f t="shared" si="36"/>
        <v>122662881.10359879</v>
      </c>
      <c r="U41" s="26">
        <f t="shared" si="36"/>
        <v>125298427.54428999</v>
      </c>
      <c r="V41" s="26">
        <f t="shared" si="36"/>
        <v>127995820.93174165</v>
      </c>
      <c r="W41" s="26">
        <f t="shared" si="36"/>
        <v>130760222.21835838</v>
      </c>
      <c r="X41" s="26">
        <f t="shared" si="36"/>
        <v>133593687.11549033</v>
      </c>
      <c r="Y41" s="26">
        <f t="shared" si="36"/>
        <v>136504492.74017003</v>
      </c>
      <c r="Z41" s="26">
        <f t="shared" si="36"/>
        <v>139485523.8313188</v>
      </c>
      <c r="AA41" s="26">
        <f t="shared" si="36"/>
        <v>142521349.9918358</v>
      </c>
      <c r="AB41" s="72">
        <f t="shared" si="36"/>
        <v>145643416.68645394</v>
      </c>
    </row>
    <row r="42" spans="1:29" x14ac:dyDescent="0.25">
      <c r="A42" s="22" t="s">
        <v>232</v>
      </c>
      <c r="B42" s="26">
        <f t="shared" ref="B42:B44" si="37">B6</f>
        <v>70427659.920730844</v>
      </c>
      <c r="C42" s="26">
        <f t="shared" ref="C42:F42" si="38">C6</f>
        <v>36491907.227498114</v>
      </c>
      <c r="D42" s="26">
        <f t="shared" si="38"/>
        <v>21028008.800313663</v>
      </c>
      <c r="E42" s="26">
        <f t="shared" si="38"/>
        <v>14015475.496368678</v>
      </c>
      <c r="F42" s="26">
        <f t="shared" si="38"/>
        <v>2223921.4599220818</v>
      </c>
      <c r="G42" s="26">
        <f>G$6</f>
        <v>109218.28080160927</v>
      </c>
      <c r="H42" s="26">
        <f t="shared" ref="H42:AB42" si="39">H$6</f>
        <v>0</v>
      </c>
      <c r="I42" s="26">
        <f t="shared" si="39"/>
        <v>0</v>
      </c>
      <c r="J42" s="26">
        <f t="shared" si="39"/>
        <v>0</v>
      </c>
      <c r="K42" s="26">
        <f t="shared" si="39"/>
        <v>0</v>
      </c>
      <c r="L42" s="26">
        <f t="shared" si="39"/>
        <v>0</v>
      </c>
      <c r="M42" s="26">
        <f t="shared" si="39"/>
        <v>0</v>
      </c>
      <c r="N42" s="26">
        <f t="shared" si="39"/>
        <v>0</v>
      </c>
      <c r="O42" s="26">
        <f t="shared" si="39"/>
        <v>0</v>
      </c>
      <c r="P42" s="26">
        <f t="shared" si="39"/>
        <v>0</v>
      </c>
      <c r="Q42" s="26">
        <f t="shared" si="39"/>
        <v>0</v>
      </c>
      <c r="R42" s="26">
        <f t="shared" si="39"/>
        <v>0</v>
      </c>
      <c r="S42" s="26">
        <f t="shared" si="39"/>
        <v>0</v>
      </c>
      <c r="T42" s="26">
        <f t="shared" si="39"/>
        <v>0</v>
      </c>
      <c r="U42" s="26">
        <f t="shared" si="39"/>
        <v>0</v>
      </c>
      <c r="V42" s="26">
        <f t="shared" si="39"/>
        <v>0</v>
      </c>
      <c r="W42" s="26">
        <f t="shared" si="39"/>
        <v>0</v>
      </c>
      <c r="X42" s="26">
        <f t="shared" si="39"/>
        <v>0</v>
      </c>
      <c r="Y42" s="26">
        <f t="shared" si="39"/>
        <v>0</v>
      </c>
      <c r="Z42" s="26">
        <f t="shared" si="39"/>
        <v>0</v>
      </c>
      <c r="AA42" s="26">
        <f t="shared" si="39"/>
        <v>0</v>
      </c>
      <c r="AB42" s="72">
        <f t="shared" si="39"/>
        <v>0</v>
      </c>
    </row>
    <row r="43" spans="1:29" x14ac:dyDescent="0.25">
      <c r="A43" s="22" t="s">
        <v>283</v>
      </c>
      <c r="B43" s="26">
        <f t="shared" si="37"/>
        <v>12230000</v>
      </c>
      <c r="C43" s="26">
        <f t="shared" ref="C43:F43" si="40">C7</f>
        <v>15508249.999999998</v>
      </c>
      <c r="D43" s="26">
        <f t="shared" si="40"/>
        <v>20624399.125</v>
      </c>
      <c r="E43" s="26">
        <f t="shared" si="40"/>
        <v>14947888.009374999</v>
      </c>
      <c r="F43" s="26">
        <f t="shared" si="40"/>
        <v>11810797.929687498</v>
      </c>
      <c r="G43" s="26">
        <f>G$7*$B$53*(1+G39)</f>
        <v>14434061.792514535</v>
      </c>
      <c r="H43" s="26">
        <f t="shared" ref="H43:AB43" si="41">H$7*$B$53*(1+H39)</f>
        <v>14704929.896467544</v>
      </c>
      <c r="I43" s="26">
        <f t="shared" si="41"/>
        <v>14969555.064157268</v>
      </c>
      <c r="J43" s="26">
        <f t="shared" si="41"/>
        <v>15230007.245368375</v>
      </c>
      <c r="K43" s="26">
        <f t="shared" si="41"/>
        <v>15489296.246925227</v>
      </c>
      <c r="L43" s="26">
        <f t="shared" si="41"/>
        <v>15749708.278243441</v>
      </c>
      <c r="M43" s="26">
        <f t="shared" si="41"/>
        <v>16013909.611996586</v>
      </c>
      <c r="N43" s="26">
        <f t="shared" si="41"/>
        <v>16283982.012563795</v>
      </c>
      <c r="O43" s="26">
        <f t="shared" si="41"/>
        <v>16560546.967508182</v>
      </c>
      <c r="P43" s="26">
        <f t="shared" si="41"/>
        <v>16843714.166835722</v>
      </c>
      <c r="Q43" s="26">
        <f t="shared" si="41"/>
        <v>17133671.587035958</v>
      </c>
      <c r="R43" s="26">
        <f t="shared" si="41"/>
        <v>17430248.280970994</v>
      </c>
      <c r="S43" s="26">
        <f t="shared" si="41"/>
        <v>17732814.073301733</v>
      </c>
      <c r="T43" s="26">
        <f t="shared" si="41"/>
        <v>18042350.068734232</v>
      </c>
      <c r="U43" s="26">
        <f t="shared" si="41"/>
        <v>18358763.351807866</v>
      </c>
      <c r="V43" s="26">
        <f t="shared" si="41"/>
        <v>18681824.400357246</v>
      </c>
      <c r="W43" s="26">
        <f t="shared" si="41"/>
        <v>19012828.607322529</v>
      </c>
      <c r="X43" s="26">
        <f t="shared" si="41"/>
        <v>19352093.418084219</v>
      </c>
      <c r="Y43" s="26">
        <f t="shared" si="41"/>
        <v>19701871.627061628</v>
      </c>
      <c r="Z43" s="26">
        <f t="shared" si="41"/>
        <v>20059599.3759415</v>
      </c>
      <c r="AA43" s="26">
        <f t="shared" si="41"/>
        <v>20420106.762378611</v>
      </c>
      <c r="AB43" s="26">
        <f t="shared" si="41"/>
        <v>20792858.407819066</v>
      </c>
    </row>
    <row r="44" spans="1:29" x14ac:dyDescent="0.25">
      <c r="A44" s="22" t="s">
        <v>329</v>
      </c>
      <c r="B44" s="26">
        <f t="shared" si="37"/>
        <v>27956418</v>
      </c>
      <c r="C44" s="26">
        <f t="shared" ref="C44:F44" si="42">C8</f>
        <v>28840927.249999996</v>
      </c>
      <c r="D44" s="26">
        <f t="shared" si="42"/>
        <v>30140571.643749997</v>
      </c>
      <c r="E44" s="26">
        <f t="shared" si="42"/>
        <v>30660737.068312183</v>
      </c>
      <c r="F44" s="26">
        <f t="shared" si="42"/>
        <v>31837275.204296868</v>
      </c>
      <c r="G44" s="26">
        <f>IF(G39&lt;0,G$8*$B$54+$B$55*(1+G39)*G$8,G$8)</f>
        <v>32504949.547795653</v>
      </c>
      <c r="H44" s="26">
        <f t="shared" ref="H44:AB44" si="43">IF(H39&lt;0,H$8*$B$54+$B$55*(1+H39)*H$8,H$8)</f>
        <v>33217207.14091609</v>
      </c>
      <c r="I44" s="26">
        <f t="shared" si="43"/>
        <v>33932754.84590295</v>
      </c>
      <c r="J44" s="26">
        <f t="shared" si="43"/>
        <v>34654157.787573911</v>
      </c>
      <c r="K44" s="26">
        <f t="shared" si="43"/>
        <v>35385035.80119621</v>
      </c>
      <c r="L44" s="26">
        <f t="shared" si="43"/>
        <v>36128208.201195627</v>
      </c>
      <c r="M44" s="26">
        <f t="shared" si="43"/>
        <v>36886924.951499164</v>
      </c>
      <c r="N44" s="26">
        <f t="shared" si="43"/>
        <v>37663790.965584777</v>
      </c>
      <c r="O44" s="26">
        <f t="shared" si="43"/>
        <v>38459789.460273564</v>
      </c>
      <c r="P44" s="26">
        <f t="shared" si="43"/>
        <v>39275340.051744059</v>
      </c>
      <c r="Q44" s="26">
        <f t="shared" si="43"/>
        <v>40110957.107455015</v>
      </c>
      <c r="R44" s="26">
        <f t="shared" si="43"/>
        <v>40966762.274507351</v>
      </c>
      <c r="S44" s="26">
        <f t="shared" si="43"/>
        <v>41842372.791904166</v>
      </c>
      <c r="T44" s="26">
        <f t="shared" si="43"/>
        <v>42739211.098794028</v>
      </c>
      <c r="U44" s="26">
        <f t="shared" si="43"/>
        <v>43657509.892006308</v>
      </c>
      <c r="V44" s="26">
        <f t="shared" si="43"/>
        <v>44597357.907686129</v>
      </c>
      <c r="W44" s="26">
        <f t="shared" si="43"/>
        <v>45560553.367368057</v>
      </c>
      <c r="X44" s="26">
        <f t="shared" si="43"/>
        <v>46547812.538928419</v>
      </c>
      <c r="Y44" s="26">
        <f t="shared" si="43"/>
        <v>47562019.403641388</v>
      </c>
      <c r="Z44" s="26">
        <f t="shared" si="43"/>
        <v>48600694.803651519</v>
      </c>
      <c r="AA44" s="26">
        <f t="shared" si="43"/>
        <v>49658462.35293968</v>
      </c>
      <c r="AB44" s="72">
        <f t="shared" si="43"/>
        <v>50746278.539265037</v>
      </c>
    </row>
    <row r="45" spans="1:29" ht="15.75" thickBot="1" x14ac:dyDescent="0.3">
      <c r="A45" s="27" t="s">
        <v>255</v>
      </c>
      <c r="B45" s="28">
        <f t="shared" ref="B45:AB45" si="44">B$4-B40</f>
        <v>0</v>
      </c>
      <c r="C45" s="28">
        <f t="shared" si="44"/>
        <v>0</v>
      </c>
      <c r="D45" s="28">
        <f t="shared" si="44"/>
        <v>0</v>
      </c>
      <c r="E45" s="28">
        <f t="shared" si="44"/>
        <v>0</v>
      </c>
      <c r="F45" s="28">
        <f t="shared" si="44"/>
        <v>0</v>
      </c>
      <c r="G45" s="28">
        <f t="shared" si="44"/>
        <v>2618838.1822676361</v>
      </c>
      <c r="H45" s="28">
        <f t="shared" si="44"/>
        <v>2801415.8575072587</v>
      </c>
      <c r="I45" s="28">
        <f t="shared" si="44"/>
        <v>3649011.1425692737</v>
      </c>
      <c r="J45" s="28">
        <f t="shared" si="44"/>
        <v>4599242.4379001558</v>
      </c>
      <c r="K45" s="28">
        <f t="shared" si="44"/>
        <v>5631166.2371908426</v>
      </c>
      <c r="L45" s="28">
        <f t="shared" si="44"/>
        <v>4747715.8127818704</v>
      </c>
      <c r="M45" s="28">
        <f t="shared" si="44"/>
        <v>5556370.5391092896</v>
      </c>
      <c r="N45" s="28">
        <f t="shared" si="44"/>
        <v>6377616.5251082182</v>
      </c>
      <c r="O45" s="28">
        <f t="shared" si="44"/>
        <v>7231053.7178369462</v>
      </c>
      <c r="P45" s="28">
        <f t="shared" si="44"/>
        <v>8107484.9706396163</v>
      </c>
      <c r="Q45" s="28">
        <f t="shared" si="44"/>
        <v>9007363.2771318257</v>
      </c>
      <c r="R45" s="28">
        <f t="shared" si="44"/>
        <v>9933086.1844112575</v>
      </c>
      <c r="S45" s="28">
        <f t="shared" si="44"/>
        <v>10889529.977444082</v>
      </c>
      <c r="T45" s="28">
        <f t="shared" si="44"/>
        <v>11873042.600081146</v>
      </c>
      <c r="U45" s="28">
        <f t="shared" si="44"/>
        <v>12885721.204884231</v>
      </c>
      <c r="V45" s="28">
        <f t="shared" si="44"/>
        <v>13930429.303028107</v>
      </c>
      <c r="W45" s="28">
        <f t="shared" si="44"/>
        <v>15001964.163334459</v>
      </c>
      <c r="X45" s="28">
        <f t="shared" si="44"/>
        <v>16100364.492789984</v>
      </c>
      <c r="Y45" s="28">
        <f t="shared" si="44"/>
        <v>17215422.733552277</v>
      </c>
      <c r="Z45" s="28">
        <f t="shared" si="44"/>
        <v>18362583.656124085</v>
      </c>
      <c r="AA45" s="28">
        <f t="shared" si="44"/>
        <v>19571192.601557702</v>
      </c>
      <c r="AB45" s="73">
        <f t="shared" si="44"/>
        <v>20792835.86789152</v>
      </c>
      <c r="AC45" s="2">
        <f>SUM(G45:AB45)</f>
        <v>226883451.48514178</v>
      </c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9" x14ac:dyDescent="0.2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50" spans="1:2" x14ac:dyDescent="0.25">
      <c r="A50" t="s">
        <v>305</v>
      </c>
      <c r="B50" t="s">
        <v>335</v>
      </c>
    </row>
    <row r="51" spans="1:2" x14ac:dyDescent="0.25">
      <c r="A51" s="120" t="s">
        <v>306</v>
      </c>
      <c r="B51" s="13">
        <v>0.5</v>
      </c>
    </row>
    <row r="52" spans="1:2" x14ac:dyDescent="0.25">
      <c r="A52" s="121" t="s">
        <v>336</v>
      </c>
      <c r="B52" s="13">
        <f>1-B51</f>
        <v>0.5</v>
      </c>
    </row>
    <row r="53" spans="1:2" x14ac:dyDescent="0.25">
      <c r="A53" s="121" t="s">
        <v>283</v>
      </c>
      <c r="B53" s="13">
        <v>1</v>
      </c>
    </row>
    <row r="54" spans="1:2" x14ac:dyDescent="0.25">
      <c r="A54" s="121" t="s">
        <v>330</v>
      </c>
      <c r="B54" s="13">
        <v>0.5</v>
      </c>
    </row>
    <row r="55" spans="1:2" x14ac:dyDescent="0.25">
      <c r="A55" s="121" t="s">
        <v>331</v>
      </c>
      <c r="B55" s="13">
        <f>1-B54</f>
        <v>0.5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>
      <selection activeCell="T42" sqref="T41:W42"/>
    </sheetView>
  </sheetViews>
  <sheetFormatPr defaultRowHeight="15" x14ac:dyDescent="0.25"/>
  <cols>
    <col min="1" max="1" width="30.85546875" bestFit="1" customWidth="1"/>
    <col min="2" max="2" width="14.5703125" bestFit="1" customWidth="1"/>
    <col min="3" max="3" width="35.7109375" bestFit="1" customWidth="1"/>
    <col min="4" max="7" width="11.7109375" bestFit="1" customWidth="1"/>
    <col min="8" max="8" width="10.7109375" bestFit="1" customWidth="1"/>
    <col min="9" max="11" width="10.5703125" bestFit="1" customWidth="1"/>
    <col min="12" max="12" width="12.85546875" bestFit="1" customWidth="1"/>
    <col min="13" max="20" width="10.5703125" bestFit="1" customWidth="1"/>
    <col min="21" max="21" width="12.28515625" bestFit="1" customWidth="1"/>
    <col min="22" max="30" width="10.5703125" bestFit="1" customWidth="1"/>
  </cols>
  <sheetData>
    <row r="1" spans="1:30" ht="15.75" thickBot="1" x14ac:dyDescent="0.3"/>
    <row r="2" spans="1:30" x14ac:dyDescent="0.25">
      <c r="A2" s="99" t="s">
        <v>309</v>
      </c>
      <c r="B2" s="100" t="s">
        <v>256</v>
      </c>
      <c r="C2" s="100" t="s">
        <v>257</v>
      </c>
      <c r="D2" s="100">
        <v>2024</v>
      </c>
      <c r="E2" s="100">
        <v>2025</v>
      </c>
      <c r="F2" s="100">
        <v>2026</v>
      </c>
      <c r="G2" s="100">
        <v>2027</v>
      </c>
      <c r="H2" s="100">
        <v>2028</v>
      </c>
      <c r="I2" s="100">
        <v>2029</v>
      </c>
      <c r="J2" s="100">
        <v>2030</v>
      </c>
      <c r="K2" s="100">
        <v>2031</v>
      </c>
      <c r="L2" s="100">
        <v>2032</v>
      </c>
      <c r="M2" s="100">
        <v>2033</v>
      </c>
      <c r="N2" s="100">
        <v>2034</v>
      </c>
      <c r="O2" s="100">
        <v>2035</v>
      </c>
      <c r="P2" s="100">
        <v>2036</v>
      </c>
      <c r="Q2" s="100">
        <v>2037</v>
      </c>
      <c r="R2" s="100">
        <v>2038</v>
      </c>
      <c r="S2" s="100">
        <v>2039</v>
      </c>
      <c r="T2" s="100">
        <v>2040</v>
      </c>
      <c r="U2" s="100">
        <v>2041</v>
      </c>
      <c r="V2" s="100">
        <v>2042</v>
      </c>
      <c r="W2" s="100">
        <v>2043</v>
      </c>
      <c r="X2" s="100">
        <v>2044</v>
      </c>
      <c r="Y2" s="100">
        <v>2045</v>
      </c>
      <c r="Z2" s="100">
        <v>2046</v>
      </c>
      <c r="AA2" s="100">
        <v>2047</v>
      </c>
      <c r="AB2" s="100">
        <v>2048</v>
      </c>
      <c r="AC2" s="100">
        <v>2049</v>
      </c>
      <c r="AD2" s="101">
        <v>2050</v>
      </c>
    </row>
    <row r="3" spans="1:30" x14ac:dyDescent="0.25">
      <c r="A3" s="90" t="s">
        <v>288</v>
      </c>
      <c r="B3" s="65" t="s">
        <v>258</v>
      </c>
      <c r="C3" s="64" t="s">
        <v>284</v>
      </c>
      <c r="D3" s="66">
        <f>'Customer Count Cadmus'!C10</f>
        <v>822682.64797970792</v>
      </c>
      <c r="E3" s="66">
        <f>'Customer Count Cadmus'!D10</f>
        <v>819833.35912935459</v>
      </c>
      <c r="F3" s="66">
        <f>'Customer Count Cadmus'!E10</f>
        <v>812394.21606502298</v>
      </c>
      <c r="G3" s="66">
        <f>'Customer Count Cadmus'!F10</f>
        <v>799702.06301905762</v>
      </c>
      <c r="H3" s="66">
        <f>'Customer Count Cadmus'!G10</f>
        <v>781409.6012958202</v>
      </c>
      <c r="I3" s="66">
        <f>'Customer Count Cadmus'!H10</f>
        <v>757357.93311213772</v>
      </c>
      <c r="J3" s="66">
        <f>'Customer Count Cadmus'!I10</f>
        <v>727825.87860702863</v>
      </c>
      <c r="K3" s="66">
        <f>'Customer Count Cadmus'!J10</f>
        <v>693591.00194136414</v>
      </c>
      <c r="L3" s="66">
        <f>'Customer Count Cadmus'!K10</f>
        <v>655715.33441811358</v>
      </c>
      <c r="M3" s="66">
        <f>'Customer Count Cadmus'!L10</f>
        <v>615322.08527746424</v>
      </c>
      <c r="N3" s="66">
        <f>'Customer Count Cadmus'!M10</f>
        <v>573425.5046084132</v>
      </c>
      <c r="O3" s="66">
        <f>'Customer Count Cadmus'!N10</f>
        <v>530813.93248481036</v>
      </c>
      <c r="P3" s="66">
        <f>'Customer Count Cadmus'!O10</f>
        <v>488184.27820952871</v>
      </c>
      <c r="Q3" s="66">
        <f>'Customer Count Cadmus'!P10</f>
        <v>445533.4233677361</v>
      </c>
      <c r="R3" s="66">
        <f>'Customer Count Cadmus'!Q10</f>
        <v>413497.68819661264</v>
      </c>
      <c r="S3" s="66">
        <f>'Customer Count Cadmus'!R10</f>
        <v>385309.35353257938</v>
      </c>
      <c r="T3" s="66">
        <f>'Customer Count Cadmus'!S10</f>
        <v>361637.18481630483</v>
      </c>
      <c r="U3" s="66">
        <f>'Customer Count Cadmus'!T10</f>
        <v>342934.81092936196</v>
      </c>
      <c r="V3" s="66">
        <f>'Customer Count Cadmus'!U10</f>
        <v>329291.19568123936</v>
      </c>
      <c r="W3" s="66">
        <f>'Customer Count Cadmus'!V10</f>
        <v>320422.20557572739</v>
      </c>
      <c r="X3" s="66">
        <f>'Customer Count Cadmus'!W10</f>
        <v>316293.01734376955</v>
      </c>
      <c r="Y3" s="66">
        <f>'Customer Count Cadmus'!X8</f>
        <v>315227.71643570857</v>
      </c>
      <c r="Z3" s="66">
        <f>'Customer Count Cadmus'!Y10</f>
        <v>321268.68092671479</v>
      </c>
      <c r="AA3" s="66">
        <f>'Customer Count Cadmus'!Z10</f>
        <v>323721.89598637004</v>
      </c>
      <c r="AB3" s="66">
        <f>'Customer Count Cadmus'!AA10</f>
        <v>326022.05988257006</v>
      </c>
      <c r="AC3" s="66">
        <f>'Customer Count Cadmus'!AB10</f>
        <v>327890.36427815794</v>
      </c>
      <c r="AD3" s="91">
        <f>'Customer Count Cadmus'!AC10</f>
        <v>327894.90811548778</v>
      </c>
    </row>
    <row r="4" spans="1:30" x14ac:dyDescent="0.25">
      <c r="A4" s="90" t="s">
        <v>288</v>
      </c>
      <c r="B4" s="65" t="s">
        <v>258</v>
      </c>
      <c r="C4" s="64" t="s">
        <v>285</v>
      </c>
      <c r="D4" s="67">
        <f>'Customer Count Cadmus'!C$14</f>
        <v>58064.450920371244</v>
      </c>
      <c r="E4" s="67">
        <f>'Customer Count Cadmus'!D$14</f>
        <v>58060.884053849819</v>
      </c>
      <c r="F4" s="67">
        <f>'Customer Count Cadmus'!E$14</f>
        <v>57941.850021313949</v>
      </c>
      <c r="G4" s="67">
        <f>'Customer Count Cadmus'!F$14</f>
        <v>57726.889025253717</v>
      </c>
      <c r="H4" s="67">
        <f>'Customer Count Cadmus'!G$14</f>
        <v>57401.037864013852</v>
      </c>
      <c r="I4" s="67">
        <f>'Customer Count Cadmus'!H$14</f>
        <v>56930.924533321675</v>
      </c>
      <c r="J4" s="67">
        <f>'Customer Count Cadmus'!I$14</f>
        <v>56277.2543684876</v>
      </c>
      <c r="K4" s="67">
        <f>'Customer Count Cadmus'!J$14</f>
        <v>55442.472651884484</v>
      </c>
      <c r="L4" s="67">
        <f>'Customer Count Cadmus'!K$14</f>
        <v>54429.607959447792</v>
      </c>
      <c r="M4" s="67">
        <f>'Customer Count Cadmus'!L$14</f>
        <v>53284.213746237197</v>
      </c>
      <c r="N4" s="67">
        <f>'Customer Count Cadmus'!M$14</f>
        <v>52028.498589122151</v>
      </c>
      <c r="O4" s="67">
        <f>'Customer Count Cadmus'!N$14</f>
        <v>50685.877549686913</v>
      </c>
      <c r="P4" s="67">
        <f>'Customer Count Cadmus'!O$14</f>
        <v>49289.628935485307</v>
      </c>
      <c r="Q4" s="67">
        <f>'Customer Count Cadmus'!P$14</f>
        <v>47861.808874681934</v>
      </c>
      <c r="R4" s="67">
        <f>'Customer Count Cadmus'!Q$14</f>
        <v>46432.727447223187</v>
      </c>
      <c r="S4" s="67">
        <f>'Customer Count Cadmus'!R$14</f>
        <v>45003.320424122576</v>
      </c>
      <c r="T4" s="67">
        <f>'Customer Count Cadmus'!S$14</f>
        <v>43593.504062411404</v>
      </c>
      <c r="U4" s="67">
        <f>'Customer Count Cadmus'!T$14</f>
        <v>42202.574485668993</v>
      </c>
      <c r="V4" s="67">
        <f>'Customer Count Cadmus'!U$14</f>
        <v>40823.123737719638</v>
      </c>
      <c r="W4" s="67">
        <f>'Customer Count Cadmus'!V$14</f>
        <v>39455.142267417628</v>
      </c>
      <c r="X4" s="67">
        <f>'Customer Count Cadmus'!W$14</f>
        <v>38105.606276700215</v>
      </c>
      <c r="Y4" s="67">
        <f>'Customer Count Cadmus'!X$14</f>
        <v>36780.158483981002</v>
      </c>
      <c r="Z4" s="67">
        <f>'Customer Count Cadmus'!Y$14</f>
        <v>35473.81170606357</v>
      </c>
      <c r="AA4" s="67">
        <f>'Customer Count Cadmus'!Z$14</f>
        <v>34229.550456530822</v>
      </c>
      <c r="AB4" s="67">
        <f>'Customer Count Cadmus'!AA$14</f>
        <v>33039.999914355329</v>
      </c>
      <c r="AC4" s="67">
        <f>'Customer Count Cadmus'!AB$14</f>
        <v>31910.074463931782</v>
      </c>
      <c r="AD4" s="92">
        <f>'Customer Count Cadmus'!AC$14</f>
        <v>30855.297785924118</v>
      </c>
    </row>
    <row r="5" spans="1:30" x14ac:dyDescent="0.25">
      <c r="A5" s="90" t="s">
        <v>288</v>
      </c>
      <c r="B5" s="65" t="s">
        <v>258</v>
      </c>
      <c r="C5" s="64" t="s">
        <v>286</v>
      </c>
      <c r="D5" s="67">
        <f>'Customer Count Cadmus'!C$15</f>
        <v>2212.65</v>
      </c>
      <c r="E5" s="67">
        <f>'Customer Count Cadmus'!D$15</f>
        <v>2173.64</v>
      </c>
      <c r="F5" s="67">
        <f>'Customer Count Cadmus'!E$15</f>
        <v>2134</v>
      </c>
      <c r="G5" s="67">
        <f>'Customer Count Cadmus'!F$15</f>
        <v>2095.6800000000003</v>
      </c>
      <c r="H5" s="67">
        <f>'Customer Count Cadmus'!G$15</f>
        <v>2036.04</v>
      </c>
      <c r="I5" s="67">
        <f>'Customer Count Cadmus'!H$15</f>
        <v>1998.5700000000002</v>
      </c>
      <c r="J5" s="67">
        <f>'Customer Count Cadmus'!I$15</f>
        <v>1961.44</v>
      </c>
      <c r="K5" s="67">
        <f>'Customer Count Cadmus'!J$15</f>
        <v>1923.7400000000002</v>
      </c>
      <c r="L5" s="67">
        <f>'Customer Count Cadmus'!K$15</f>
        <v>1887.3</v>
      </c>
      <c r="M5" s="67">
        <f>'Customer Count Cadmus'!L$15</f>
        <v>1851.2</v>
      </c>
      <c r="N5" s="67">
        <f>'Customer Count Cadmus'!M$15</f>
        <v>1815.44</v>
      </c>
      <c r="O5" s="67">
        <f>'Customer Count Cadmus'!N$15</f>
        <v>1780.02</v>
      </c>
      <c r="P5" s="67">
        <f>'Customer Count Cadmus'!O$15</f>
        <v>1744.08</v>
      </c>
      <c r="Q5" s="67">
        <f>'Customer Count Cadmus'!P$15</f>
        <v>1709.35</v>
      </c>
      <c r="R5" s="67">
        <f>'Customer Count Cadmus'!Q$15</f>
        <v>1674.96</v>
      </c>
      <c r="S5" s="67">
        <f>'Customer Count Cadmus'!R$15</f>
        <v>1640.9099999999999</v>
      </c>
      <c r="T5" s="67">
        <f>'Customer Count Cadmus'!S$15</f>
        <v>1607.1999999999998</v>
      </c>
      <c r="U5" s="67">
        <f>'Customer Count Cadmus'!T$15</f>
        <v>1573.02</v>
      </c>
      <c r="V5" s="67">
        <f>'Customer Count Cadmus'!U$15</f>
        <v>1540</v>
      </c>
      <c r="W5" s="67">
        <f>'Customer Count Cadmus'!V$15</f>
        <v>1507.3200000000002</v>
      </c>
      <c r="X5" s="67">
        <f>'Customer Count Cadmus'!W$15</f>
        <v>1456.0700000000002</v>
      </c>
      <c r="Y5" s="67">
        <f>'Customer Count Cadmus'!X$15</f>
        <v>1424.24</v>
      </c>
      <c r="Z5" s="67">
        <f>'Customer Count Cadmus'!Y$15</f>
        <v>1392</v>
      </c>
      <c r="AA5" s="67">
        <f>'Customer Count Cadmus'!Z$15</f>
        <v>1360.86</v>
      </c>
      <c r="AB5" s="67">
        <f>'Customer Count Cadmus'!AA$15</f>
        <v>1330.06</v>
      </c>
      <c r="AC5" s="67">
        <f>'Customer Count Cadmus'!AB$15</f>
        <v>1299.5999999999999</v>
      </c>
      <c r="AD5" s="92">
        <f>'Customer Count Cadmus'!AC$15</f>
        <v>1269.48</v>
      </c>
    </row>
    <row r="6" spans="1:30" ht="15.75" thickBot="1" x14ac:dyDescent="0.3">
      <c r="A6" s="103" t="s">
        <v>333</v>
      </c>
      <c r="B6" s="104"/>
      <c r="C6" s="104"/>
      <c r="D6" s="105">
        <f>SUM(D3:D5)</f>
        <v>882959.74890007917</v>
      </c>
      <c r="E6" s="105">
        <f t="shared" ref="E6:AD6" si="0">SUM(E3:E5)</f>
        <v>880067.88318320445</v>
      </c>
      <c r="F6" s="105">
        <f t="shared" si="0"/>
        <v>872470.06608633697</v>
      </c>
      <c r="G6" s="105">
        <f t="shared" si="0"/>
        <v>859524.63204431138</v>
      </c>
      <c r="H6" s="105">
        <f t="shared" si="0"/>
        <v>840846.67915983405</v>
      </c>
      <c r="I6" s="105">
        <f t="shared" si="0"/>
        <v>816287.42764545931</v>
      </c>
      <c r="J6" s="105">
        <f t="shared" si="0"/>
        <v>786064.5729755162</v>
      </c>
      <c r="K6" s="105">
        <f t="shared" si="0"/>
        <v>750957.21459324867</v>
      </c>
      <c r="L6" s="105">
        <f t="shared" si="0"/>
        <v>712032.2423775614</v>
      </c>
      <c r="M6" s="105">
        <f t="shared" si="0"/>
        <v>670457.49902370141</v>
      </c>
      <c r="N6" s="105">
        <f t="shared" si="0"/>
        <v>627269.44319753535</v>
      </c>
      <c r="O6" s="105">
        <f t="shared" si="0"/>
        <v>583279.83003449731</v>
      </c>
      <c r="P6" s="105">
        <f t="shared" si="0"/>
        <v>539217.98714501399</v>
      </c>
      <c r="Q6" s="105">
        <f t="shared" si="0"/>
        <v>495104.58224241802</v>
      </c>
      <c r="R6" s="105">
        <f t="shared" si="0"/>
        <v>461605.37564383587</v>
      </c>
      <c r="S6" s="105">
        <f t="shared" si="0"/>
        <v>431953.58395670191</v>
      </c>
      <c r="T6" s="105">
        <f t="shared" si="0"/>
        <v>406837.88887871621</v>
      </c>
      <c r="U6" s="105">
        <f t="shared" si="0"/>
        <v>386710.40541503095</v>
      </c>
      <c r="V6" s="105">
        <f t="shared" si="0"/>
        <v>371654.31941895897</v>
      </c>
      <c r="W6" s="105">
        <f t="shared" si="0"/>
        <v>361384.66784314503</v>
      </c>
      <c r="X6" s="105">
        <f t="shared" si="0"/>
        <v>355854.69362046977</v>
      </c>
      <c r="Y6" s="105">
        <f t="shared" si="0"/>
        <v>353432.11491968954</v>
      </c>
      <c r="Z6" s="105">
        <f t="shared" si="0"/>
        <v>358134.49263277836</v>
      </c>
      <c r="AA6" s="105">
        <f t="shared" si="0"/>
        <v>359312.30644290085</v>
      </c>
      <c r="AB6" s="105">
        <f t="shared" si="0"/>
        <v>360392.1197969254</v>
      </c>
      <c r="AC6" s="105">
        <f t="shared" si="0"/>
        <v>361100.0387420897</v>
      </c>
      <c r="AD6" s="106">
        <f t="shared" si="0"/>
        <v>360019.68590141187</v>
      </c>
    </row>
    <row r="7" spans="1:30" s="102" customFormat="1" x14ac:dyDescent="0.25">
      <c r="A7" s="107" t="s">
        <v>303</v>
      </c>
      <c r="B7" s="108"/>
      <c r="C7" s="108"/>
      <c r="D7" s="109">
        <f>(D6-D$39)/D$39</f>
        <v>-9.4603849481084377E-3</v>
      </c>
      <c r="E7" s="109">
        <f>(E6-E$39)/E$39</f>
        <v>-2.3111744972794147E-2</v>
      </c>
      <c r="F7" s="109">
        <f>(F6-F$39)/F$39</f>
        <v>-4.1423657117468114E-2</v>
      </c>
      <c r="G7" s="109">
        <f>(G6-G$39)/G$39</f>
        <v>-6.5093549191516872E-2</v>
      </c>
      <c r="H7" s="109">
        <f>(H6-H$39)/H$39</f>
        <v>-9.4602882444529093E-2</v>
      </c>
      <c r="I7" s="109">
        <f>(I6-I$39)/I$39</f>
        <v>-0.12988137866789823</v>
      </c>
      <c r="J7" s="109">
        <f>(J6-J$39)/J$39</f>
        <v>-0.17040907242993331</v>
      </c>
      <c r="K7" s="109">
        <f>(K6-K$39)/K$39</f>
        <v>-0.21523976129816211</v>
      </c>
      <c r="L7" s="109">
        <f>(L6-L$39)/L$39</f>
        <v>-0.26313459521016597</v>
      </c>
      <c r="M7" s="109">
        <f>(M6-M$39)/M$39</f>
        <v>-0.31278980538705675</v>
      </c>
      <c r="N7" s="109">
        <f>(N6-N$39)/N$39</f>
        <v>-0.36312003817857941</v>
      </c>
      <c r="O7" s="109">
        <f>(O6-O$39)/O$39</f>
        <v>-0.41326729690216396</v>
      </c>
      <c r="P7" s="109">
        <f>(P6-P$39)/P$39</f>
        <v>-0.46252258866182039</v>
      </c>
      <c r="Q7" s="109">
        <f>(Q6-Q$39)/Q$39</f>
        <v>-0.51089663453461465</v>
      </c>
      <c r="R7" s="109">
        <f>(R6-R$39)/R$39</f>
        <v>-0.54799948464071069</v>
      </c>
      <c r="S7" s="109">
        <f>(S6-S$39)/S$39</f>
        <v>-0.58069845578037638</v>
      </c>
      <c r="T7" s="109">
        <f>(T6-T$39)/T$39</f>
        <v>-0.60847115016891262</v>
      </c>
      <c r="U7" s="109">
        <f>(U6-U$39)/U$39</f>
        <v>-0.63103355966702235</v>
      </c>
      <c r="V7" s="109">
        <f>(V6-V$39)/V$39</f>
        <v>-0.64841053950219052</v>
      </c>
      <c r="W7" s="109">
        <f>(W6-W$39)/W$39</f>
        <v>-0.66100793335767483</v>
      </c>
      <c r="X7" s="109">
        <f>(X6-X$39)/X$39</f>
        <v>-0.66899154572633368</v>
      </c>
      <c r="Y7" s="109">
        <f>(Y6-Y$39)/Y$39</f>
        <v>-0.67397380965389897</v>
      </c>
      <c r="Z7" s="109">
        <f>(Z6-Z$39)/Z$39</f>
        <v>-0.67233911635893351</v>
      </c>
      <c r="AA7" s="109">
        <f>(AA6-AA$39)/AA$39</f>
        <v>-0.67388909876377601</v>
      </c>
      <c r="AB7" s="109">
        <f>(AB6-AB$39)/AB$39</f>
        <v>-0.67546307163095864</v>
      </c>
      <c r="AC7" s="109">
        <f>(AC6-AC$39)/AC$39</f>
        <v>-0.67729636876496424</v>
      </c>
      <c r="AD7" s="110">
        <f>(AD6-AD$39)/AD$39</f>
        <v>-0.68062853076037444</v>
      </c>
    </row>
    <row r="8" spans="1:30" s="89" customFormat="1" ht="15.75" thickBot="1" x14ac:dyDescent="0.3">
      <c r="A8" s="95" t="s">
        <v>304</v>
      </c>
      <c r="B8" s="96"/>
      <c r="C8" s="96"/>
      <c r="D8" s="97"/>
      <c r="E8" s="97">
        <f>(E6-$D6)/$D6</f>
        <v>-3.2751954100706986E-3</v>
      </c>
      <c r="F8" s="97">
        <f>(F6-$D6)/$D6</f>
        <v>-1.1880137035475748E-2</v>
      </c>
      <c r="G8" s="97">
        <f>(G6-$D6)/$D6</f>
        <v>-2.6541546072696279E-2</v>
      </c>
      <c r="H8" s="97">
        <f>(H6-$D6)/$D6</f>
        <v>-4.7695344881469648E-2</v>
      </c>
      <c r="I8" s="97">
        <f>(I6-$D6)/$D6</f>
        <v>-7.5510034673352808E-2</v>
      </c>
      <c r="J8" s="97">
        <f>(J6-$D6)/$D6</f>
        <v>-0.10973906346837128</v>
      </c>
      <c r="K8" s="97">
        <f>(K6-$D6)/$D6</f>
        <v>-0.14950005871872271</v>
      </c>
      <c r="L8" s="97">
        <f>(L6-$D6)/$D6</f>
        <v>-0.19358470953567886</v>
      </c>
      <c r="M8" s="97">
        <f>(M6-$D$39)/$D$39</f>
        <v>-0.24785392106617282</v>
      </c>
      <c r="N8" s="97">
        <f>(N6-$D$39)/$D$39</f>
        <v>-0.29630401207675561</v>
      </c>
      <c r="O8" s="97">
        <f>(O6-$D$39)/$D$39</f>
        <v>-0.34565332221583911</v>
      </c>
      <c r="P8" s="97">
        <f>(P6-$D$39)/$D$39</f>
        <v>-0.39508366255535649</v>
      </c>
      <c r="Q8" s="97">
        <f>(Q6-$D$39)/$D$39</f>
        <v>-0.44457184722660426</v>
      </c>
      <c r="R8" s="97">
        <f>(R6-$D$39)/$D$39</f>
        <v>-0.48215259906726199</v>
      </c>
      <c r="S8" s="97">
        <f>(S6-$D$39)/$D$39</f>
        <v>-0.51541716674428339</v>
      </c>
      <c r="T8" s="97">
        <f>(T6-$D$39)/$D$39</f>
        <v>-0.54359295954265252</v>
      </c>
      <c r="U8" s="97">
        <f>(U6-$D$39)/$D$39</f>
        <v>-0.56617277673921007</v>
      </c>
      <c r="V8" s="97">
        <f>(V6-$D$39)/$D$39</f>
        <v>-0.58306329711153226</v>
      </c>
      <c r="W8" s="97">
        <f>(W6-$D$39)/$D$39</f>
        <v>-0.59458420362091258</v>
      </c>
      <c r="X8" s="97">
        <f>(X6-$D$39)/$D$39</f>
        <v>-0.60078795021819442</v>
      </c>
      <c r="Y8" s="97">
        <f>(Y6-$D$39)/$D$39</f>
        <v>-0.60350569604601179</v>
      </c>
      <c r="Z8" s="97">
        <f>(Z6-$D$39)/$D$39</f>
        <v>-0.59823038036423337</v>
      </c>
      <c r="AA8" s="97">
        <f>(AA6-$D$39)/$D$39</f>
        <v>-0.59690906165232749</v>
      </c>
      <c r="AB8" s="97">
        <f>(AB6-$D$39)/$D$39</f>
        <v>-0.59569768377767807</v>
      </c>
      <c r="AC8" s="97">
        <f>(AC6-$D$39)/$D$39</f>
        <v>-0.59490351194787006</v>
      </c>
      <c r="AD8" s="98">
        <f>(AD6-$D$39)/$D$39</f>
        <v>-0.59611549504025707</v>
      </c>
    </row>
    <row r="9" spans="1:30" ht="21" customHeight="1" thickBot="1" x14ac:dyDescent="0.3">
      <c r="K9" s="16">
        <f>(K6-D6)/D6</f>
        <v>-0.14950005871872271</v>
      </c>
      <c r="AD9" s="16"/>
    </row>
    <row r="10" spans="1:30" x14ac:dyDescent="0.25">
      <c r="A10" s="99" t="s">
        <v>334</v>
      </c>
      <c r="B10" s="100" t="s">
        <v>256</v>
      </c>
      <c r="C10" s="100" t="s">
        <v>257</v>
      </c>
      <c r="D10" s="100">
        <v>2024</v>
      </c>
      <c r="E10" s="100">
        <v>2025</v>
      </c>
      <c r="F10" s="100">
        <v>2026</v>
      </c>
      <c r="G10" s="100">
        <v>2027</v>
      </c>
      <c r="H10" s="100">
        <v>2028</v>
      </c>
      <c r="I10" s="100">
        <v>2029</v>
      </c>
      <c r="J10" s="100">
        <v>2030</v>
      </c>
      <c r="K10" s="100">
        <v>2031</v>
      </c>
      <c r="L10" s="100">
        <v>2032</v>
      </c>
      <c r="M10" s="100">
        <v>2033</v>
      </c>
      <c r="N10" s="100">
        <v>2034</v>
      </c>
      <c r="O10" s="100">
        <v>2035</v>
      </c>
      <c r="P10" s="100">
        <v>2036</v>
      </c>
      <c r="Q10" s="100">
        <v>2037</v>
      </c>
      <c r="R10" s="100">
        <v>2038</v>
      </c>
      <c r="S10" s="100">
        <v>2039</v>
      </c>
      <c r="T10" s="100">
        <v>2040</v>
      </c>
      <c r="U10" s="100">
        <v>2041</v>
      </c>
      <c r="V10" s="100">
        <v>2042</v>
      </c>
      <c r="W10" s="100">
        <v>2043</v>
      </c>
      <c r="X10" s="100">
        <v>2044</v>
      </c>
      <c r="Y10" s="100">
        <v>2045</v>
      </c>
      <c r="Z10" s="100">
        <v>2046</v>
      </c>
      <c r="AA10" s="100">
        <v>2047</v>
      </c>
      <c r="AB10" s="100">
        <v>2048</v>
      </c>
      <c r="AC10" s="100">
        <v>2049</v>
      </c>
      <c r="AD10" s="101">
        <v>2050</v>
      </c>
    </row>
    <row r="11" spans="1:30" s="13" customFormat="1" x14ac:dyDescent="0.25">
      <c r="A11" s="90" t="s">
        <v>289</v>
      </c>
      <c r="B11" s="65" t="s">
        <v>258</v>
      </c>
      <c r="C11" s="64" t="s">
        <v>284</v>
      </c>
      <c r="D11" s="66">
        <f>'Customer Count Cadmus'!C11</f>
        <v>822682.64797970792</v>
      </c>
      <c r="E11" s="66">
        <f>'Customer Count Cadmus'!D11</f>
        <v>819833.35912935459</v>
      </c>
      <c r="F11" s="66">
        <f>'Customer Count Cadmus'!E11</f>
        <v>812394.21606502298</v>
      </c>
      <c r="G11" s="66">
        <f>'Customer Count Cadmus'!F11</f>
        <v>799702.06301905762</v>
      </c>
      <c r="H11" s="66">
        <f>'Customer Count Cadmus'!G11</f>
        <v>781409.6012958202</v>
      </c>
      <c r="I11" s="66">
        <f>'Customer Count Cadmus'!H11</f>
        <v>757357.93311213772</v>
      </c>
      <c r="J11" s="66">
        <f>'Customer Count Cadmus'!I11</f>
        <v>727825.87860702863</v>
      </c>
      <c r="K11" s="66">
        <f>'Customer Count Cadmus'!J11</f>
        <v>693591.00194136414</v>
      </c>
      <c r="L11" s="66">
        <f>'Customer Count Cadmus'!K11</f>
        <v>655715.33441811358</v>
      </c>
      <c r="M11" s="66">
        <f>'Customer Count Cadmus'!L11</f>
        <v>615322.08527746424</v>
      </c>
      <c r="N11" s="66">
        <f>'Customer Count Cadmus'!M11</f>
        <v>573425.5046084132</v>
      </c>
      <c r="O11" s="66">
        <f>'Customer Count Cadmus'!N11</f>
        <v>530813.93248481036</v>
      </c>
      <c r="P11" s="66">
        <f>'Customer Count Cadmus'!O11</f>
        <v>488184.27820952871</v>
      </c>
      <c r="Q11" s="66">
        <f>'Customer Count Cadmus'!P11</f>
        <v>445533.4233677361</v>
      </c>
      <c r="R11" s="66">
        <f>'Customer Count Cadmus'!Q11</f>
        <v>413497.68819661264</v>
      </c>
      <c r="S11" s="66">
        <f>'Customer Count Cadmus'!R11</f>
        <v>385309.35353257938</v>
      </c>
      <c r="T11" s="66">
        <f>'Customer Count Cadmus'!S11</f>
        <v>361637.18481630483</v>
      </c>
      <c r="U11" s="66">
        <f>'Customer Count Cadmus'!T11</f>
        <v>342934.81092936196</v>
      </c>
      <c r="V11" s="66">
        <f>'Customer Count Cadmus'!U11</f>
        <v>329291.19568123936</v>
      </c>
      <c r="W11" s="66">
        <f>'Customer Count Cadmus'!V11</f>
        <v>320422.20557572751</v>
      </c>
      <c r="X11" s="66">
        <f>'Customer Count Cadmus'!W11</f>
        <v>316293.01734376955</v>
      </c>
      <c r="Y11" s="66">
        <f>'Customer Count Cadmus'!X8</f>
        <v>315227.71643570857</v>
      </c>
      <c r="Z11" s="66">
        <f>'Customer Count Cadmus'!Y11</f>
        <v>321268.68092671479</v>
      </c>
      <c r="AA11" s="66">
        <f>'Customer Count Cadmus'!Z11</f>
        <v>323721.89598637004</v>
      </c>
      <c r="AB11" s="66">
        <f>'Customer Count Cadmus'!AA11</f>
        <v>326022.05988257006</v>
      </c>
      <c r="AC11" s="66">
        <f>'Customer Count Cadmus'!AB11</f>
        <v>327890.36427815794</v>
      </c>
      <c r="AD11" s="91">
        <f>'Customer Count Cadmus'!AC11</f>
        <v>327894.90811548778</v>
      </c>
    </row>
    <row r="12" spans="1:30" x14ac:dyDescent="0.25">
      <c r="A12" s="90" t="s">
        <v>289</v>
      </c>
      <c r="B12" s="65" t="s">
        <v>258</v>
      </c>
      <c r="C12" s="64" t="s">
        <v>285</v>
      </c>
      <c r="D12" s="67">
        <f>'Customer Count Cadmus'!C$14</f>
        <v>58064.450920371244</v>
      </c>
      <c r="E12" s="67">
        <f>'Customer Count Cadmus'!D$14</f>
        <v>58060.884053849819</v>
      </c>
      <c r="F12" s="67">
        <f>'Customer Count Cadmus'!E$14</f>
        <v>57941.850021313949</v>
      </c>
      <c r="G12" s="67">
        <f>'Customer Count Cadmus'!F$14</f>
        <v>57726.889025253717</v>
      </c>
      <c r="H12" s="67">
        <f>'Customer Count Cadmus'!G$14</f>
        <v>57401.037864013852</v>
      </c>
      <c r="I12" s="67">
        <f>'Customer Count Cadmus'!H$14</f>
        <v>56930.924533321675</v>
      </c>
      <c r="J12" s="67">
        <f>'Customer Count Cadmus'!I$14</f>
        <v>56277.2543684876</v>
      </c>
      <c r="K12" s="67">
        <f>'Customer Count Cadmus'!J$14</f>
        <v>55442.472651884484</v>
      </c>
      <c r="L12" s="67">
        <f>'Customer Count Cadmus'!K$14</f>
        <v>54429.607959447792</v>
      </c>
      <c r="M12" s="67">
        <f>'Customer Count Cadmus'!L$14</f>
        <v>53284.213746237197</v>
      </c>
      <c r="N12" s="67">
        <f>'Customer Count Cadmus'!M$14</f>
        <v>52028.498589122151</v>
      </c>
      <c r="O12" s="67">
        <f>'Customer Count Cadmus'!N$14</f>
        <v>50685.877549686913</v>
      </c>
      <c r="P12" s="67">
        <f>'Customer Count Cadmus'!O$14</f>
        <v>49289.628935485307</v>
      </c>
      <c r="Q12" s="67">
        <f>'Customer Count Cadmus'!P$14</f>
        <v>47861.808874681934</v>
      </c>
      <c r="R12" s="67">
        <f>'Customer Count Cadmus'!Q$14</f>
        <v>46432.727447223187</v>
      </c>
      <c r="S12" s="67">
        <f>'Customer Count Cadmus'!R$14</f>
        <v>45003.320424122576</v>
      </c>
      <c r="T12" s="67">
        <f>'Customer Count Cadmus'!S$14</f>
        <v>43593.504062411404</v>
      </c>
      <c r="U12" s="67">
        <f>'Customer Count Cadmus'!T$14</f>
        <v>42202.574485668993</v>
      </c>
      <c r="V12" s="67">
        <f>'Customer Count Cadmus'!U$14</f>
        <v>40823.123737719638</v>
      </c>
      <c r="W12" s="67">
        <f>'Customer Count Cadmus'!V$14</f>
        <v>39455.142267417628</v>
      </c>
      <c r="X12" s="67">
        <f>'Customer Count Cadmus'!W$14</f>
        <v>38105.606276700215</v>
      </c>
      <c r="Y12" s="67">
        <f>'Customer Count Cadmus'!X$14</f>
        <v>36780.158483981002</v>
      </c>
      <c r="Z12" s="67">
        <f>'Customer Count Cadmus'!Y$14</f>
        <v>35473.81170606357</v>
      </c>
      <c r="AA12" s="67">
        <f>'Customer Count Cadmus'!Z$14</f>
        <v>34229.550456530822</v>
      </c>
      <c r="AB12" s="67">
        <f>'Customer Count Cadmus'!AA$14</f>
        <v>33039.999914355329</v>
      </c>
      <c r="AC12" s="67">
        <f>'Customer Count Cadmus'!AB$14</f>
        <v>31910.074463931782</v>
      </c>
      <c r="AD12" s="92">
        <f>'Customer Count Cadmus'!AC$14</f>
        <v>30855.297785924118</v>
      </c>
    </row>
    <row r="13" spans="1:30" x14ac:dyDescent="0.25">
      <c r="A13" s="90" t="s">
        <v>289</v>
      </c>
      <c r="B13" s="65" t="s">
        <v>258</v>
      </c>
      <c r="C13" s="64" t="s">
        <v>286</v>
      </c>
      <c r="D13" s="67">
        <f>'Customer Count Cadmus'!C$15</f>
        <v>2212.65</v>
      </c>
      <c r="E13" s="67">
        <f>'Customer Count Cadmus'!D$15</f>
        <v>2173.64</v>
      </c>
      <c r="F13" s="67">
        <f>'Customer Count Cadmus'!E$15</f>
        <v>2134</v>
      </c>
      <c r="G13" s="67">
        <f>'Customer Count Cadmus'!F$15</f>
        <v>2095.6800000000003</v>
      </c>
      <c r="H13" s="67">
        <f>'Customer Count Cadmus'!G$15</f>
        <v>2036.04</v>
      </c>
      <c r="I13" s="67">
        <f>'Customer Count Cadmus'!H$15</f>
        <v>1998.5700000000002</v>
      </c>
      <c r="J13" s="67">
        <f>'Customer Count Cadmus'!I$15</f>
        <v>1961.44</v>
      </c>
      <c r="K13" s="67">
        <f>'Customer Count Cadmus'!J$15</f>
        <v>1923.7400000000002</v>
      </c>
      <c r="L13" s="67">
        <f>'Customer Count Cadmus'!K$15</f>
        <v>1887.3</v>
      </c>
      <c r="M13" s="67">
        <f>'Customer Count Cadmus'!L$15</f>
        <v>1851.2</v>
      </c>
      <c r="N13" s="67">
        <f>'Customer Count Cadmus'!M$15</f>
        <v>1815.44</v>
      </c>
      <c r="O13" s="67">
        <f>'Customer Count Cadmus'!N$15</f>
        <v>1780.02</v>
      </c>
      <c r="P13" s="67">
        <f>'Customer Count Cadmus'!O$15</f>
        <v>1744.08</v>
      </c>
      <c r="Q13" s="67">
        <f>'Customer Count Cadmus'!P$15</f>
        <v>1709.35</v>
      </c>
      <c r="R13" s="67">
        <f>'Customer Count Cadmus'!Q$15</f>
        <v>1674.96</v>
      </c>
      <c r="S13" s="67">
        <f>'Customer Count Cadmus'!R$15</f>
        <v>1640.9099999999999</v>
      </c>
      <c r="T13" s="67">
        <f>'Customer Count Cadmus'!S$15</f>
        <v>1607.1999999999998</v>
      </c>
      <c r="U13" s="67">
        <f>'Customer Count Cadmus'!T$15</f>
        <v>1573.02</v>
      </c>
      <c r="V13" s="67">
        <f>'Customer Count Cadmus'!U$15</f>
        <v>1540</v>
      </c>
      <c r="W13" s="67">
        <f>'Customer Count Cadmus'!V$15</f>
        <v>1507.3200000000002</v>
      </c>
      <c r="X13" s="67">
        <f>'Customer Count Cadmus'!W$15</f>
        <v>1456.0700000000002</v>
      </c>
      <c r="Y13" s="67">
        <f>'Customer Count Cadmus'!X$15</f>
        <v>1424.24</v>
      </c>
      <c r="Z13" s="67">
        <f>'Customer Count Cadmus'!Y$15</f>
        <v>1392</v>
      </c>
      <c r="AA13" s="67">
        <f>'Customer Count Cadmus'!Z$15</f>
        <v>1360.86</v>
      </c>
      <c r="AB13" s="67">
        <f>'Customer Count Cadmus'!AA$15</f>
        <v>1330.06</v>
      </c>
      <c r="AC13" s="67">
        <f>'Customer Count Cadmus'!AB$15</f>
        <v>1299.5999999999999</v>
      </c>
      <c r="AD13" s="92">
        <f>'Customer Count Cadmus'!AC$15</f>
        <v>1269.48</v>
      </c>
    </row>
    <row r="14" spans="1:30" ht="15.75" thickBot="1" x14ac:dyDescent="0.3">
      <c r="A14" s="93" t="s">
        <v>333</v>
      </c>
      <c r="B14" s="68"/>
      <c r="C14" s="68"/>
      <c r="D14" s="69">
        <f>SUM(D11:D13)</f>
        <v>882959.74890007917</v>
      </c>
      <c r="E14" s="69">
        <f t="shared" ref="E14:AD14" si="1">SUM(E11:E13)</f>
        <v>880067.88318320445</v>
      </c>
      <c r="F14" s="69">
        <f t="shared" si="1"/>
        <v>872470.06608633697</v>
      </c>
      <c r="G14" s="69">
        <f t="shared" si="1"/>
        <v>859524.63204431138</v>
      </c>
      <c r="H14" s="69">
        <f t="shared" si="1"/>
        <v>840846.67915983405</v>
      </c>
      <c r="I14" s="69">
        <f t="shared" si="1"/>
        <v>816287.42764545931</v>
      </c>
      <c r="J14" s="69">
        <f t="shared" si="1"/>
        <v>786064.5729755162</v>
      </c>
      <c r="K14" s="69">
        <f t="shared" si="1"/>
        <v>750957.21459324867</v>
      </c>
      <c r="L14" s="69">
        <f t="shared" si="1"/>
        <v>712032.2423775614</v>
      </c>
      <c r="M14" s="69">
        <f t="shared" si="1"/>
        <v>670457.49902370141</v>
      </c>
      <c r="N14" s="69">
        <f t="shared" si="1"/>
        <v>627269.44319753535</v>
      </c>
      <c r="O14" s="69">
        <f t="shared" si="1"/>
        <v>583279.83003449731</v>
      </c>
      <c r="P14" s="69">
        <f t="shared" si="1"/>
        <v>539217.98714501399</v>
      </c>
      <c r="Q14" s="69">
        <f t="shared" si="1"/>
        <v>495104.58224241802</v>
      </c>
      <c r="R14" s="69">
        <f t="shared" si="1"/>
        <v>461605.37564383587</v>
      </c>
      <c r="S14" s="69">
        <f t="shared" si="1"/>
        <v>431953.58395670191</v>
      </c>
      <c r="T14" s="69">
        <f t="shared" si="1"/>
        <v>406837.88887871621</v>
      </c>
      <c r="U14" s="69">
        <f t="shared" si="1"/>
        <v>386710.40541503095</v>
      </c>
      <c r="V14" s="69">
        <f t="shared" si="1"/>
        <v>371654.31941895897</v>
      </c>
      <c r="W14" s="69">
        <f t="shared" si="1"/>
        <v>361384.66784314514</v>
      </c>
      <c r="X14" s="69">
        <f t="shared" si="1"/>
        <v>355854.69362046977</v>
      </c>
      <c r="Y14" s="69">
        <f t="shared" si="1"/>
        <v>353432.11491968954</v>
      </c>
      <c r="Z14" s="69">
        <f t="shared" si="1"/>
        <v>358134.49263277836</v>
      </c>
      <c r="AA14" s="69">
        <f t="shared" si="1"/>
        <v>359312.30644290085</v>
      </c>
      <c r="AB14" s="69">
        <f t="shared" si="1"/>
        <v>360392.1197969254</v>
      </c>
      <c r="AC14" s="69">
        <f t="shared" si="1"/>
        <v>361100.0387420897</v>
      </c>
      <c r="AD14" s="94">
        <f t="shared" si="1"/>
        <v>360019.68590141187</v>
      </c>
    </row>
    <row r="15" spans="1:30" s="42" customFormat="1" x14ac:dyDescent="0.25">
      <c r="A15" s="107" t="s">
        <v>303</v>
      </c>
      <c r="B15" s="108"/>
      <c r="C15" s="108"/>
      <c r="D15" s="109">
        <f>(D14-D$39)/D$39</f>
        <v>-9.4603849481084377E-3</v>
      </c>
      <c r="E15" s="109">
        <f>(E14-E$39)/E$39</f>
        <v>-2.3111744972794147E-2</v>
      </c>
      <c r="F15" s="109">
        <f>(F14-F$39)/F$39</f>
        <v>-4.1423657117468114E-2</v>
      </c>
      <c r="G15" s="109">
        <f>(G14-G$39)/G$39</f>
        <v>-6.5093549191516872E-2</v>
      </c>
      <c r="H15" s="109">
        <f>(H14-H$39)/H$39</f>
        <v>-9.4602882444529093E-2</v>
      </c>
      <c r="I15" s="109">
        <f>(I14-I$39)/I$39</f>
        <v>-0.12988137866789823</v>
      </c>
      <c r="J15" s="109">
        <f>(J14-J$39)/J$39</f>
        <v>-0.17040907242993331</v>
      </c>
      <c r="K15" s="109">
        <f>(K14-K$39)/K$39</f>
        <v>-0.21523976129816211</v>
      </c>
      <c r="L15" s="109">
        <f>(L14-L$39)/L$39</f>
        <v>-0.26313459521016597</v>
      </c>
      <c r="M15" s="109">
        <f>(M14-M$39)/M$39</f>
        <v>-0.31278980538705675</v>
      </c>
      <c r="N15" s="109">
        <f>(N14-N$39)/N$39</f>
        <v>-0.36312003817857941</v>
      </c>
      <c r="O15" s="109">
        <f>(O14-O$39)/O$39</f>
        <v>-0.41326729690216396</v>
      </c>
      <c r="P15" s="109">
        <f>(P14-P$39)/P$39</f>
        <v>-0.46252258866182039</v>
      </c>
      <c r="Q15" s="109">
        <f>(Q14-Q$39)/Q$39</f>
        <v>-0.51089663453461465</v>
      </c>
      <c r="R15" s="109">
        <f>(R14-R$39)/R$39</f>
        <v>-0.54799948464071069</v>
      </c>
      <c r="S15" s="109">
        <f>(S14-S$39)/S$39</f>
        <v>-0.58069845578037638</v>
      </c>
      <c r="T15" s="109">
        <f>(T14-T$39)/T$39</f>
        <v>-0.60847115016891262</v>
      </c>
      <c r="U15" s="109">
        <f>(U14-U$39)/U$39</f>
        <v>-0.63103355966702235</v>
      </c>
      <c r="V15" s="109">
        <f>(V14-V$39)/V$39</f>
        <v>-0.64841053950219052</v>
      </c>
      <c r="W15" s="109">
        <f>(W14-W$39)/W$39</f>
        <v>-0.66100793335767483</v>
      </c>
      <c r="X15" s="109">
        <f>(X14-X$39)/X$39</f>
        <v>-0.66899154572633368</v>
      </c>
      <c r="Y15" s="109">
        <f>(Y14-Y$39)/Y$39</f>
        <v>-0.67397380965389897</v>
      </c>
      <c r="Z15" s="109">
        <f>(Z14-Z$39)/Z$39</f>
        <v>-0.67233911635893351</v>
      </c>
      <c r="AA15" s="109">
        <f>(AA14-AA$39)/AA$39</f>
        <v>-0.67388909876377601</v>
      </c>
      <c r="AB15" s="109">
        <f>(AB14-AB$39)/AB$39</f>
        <v>-0.67546307163095864</v>
      </c>
      <c r="AC15" s="109">
        <f>(AC14-AC$39)/AC$39</f>
        <v>-0.67729636876496424</v>
      </c>
      <c r="AD15" s="110">
        <f>(AD14-AD$39)/AD$39</f>
        <v>-0.68062853076037444</v>
      </c>
    </row>
    <row r="16" spans="1:30" ht="15.75" thickBot="1" x14ac:dyDescent="0.3">
      <c r="A16" s="95" t="s">
        <v>304</v>
      </c>
      <c r="B16" s="96"/>
      <c r="C16" s="96"/>
      <c r="D16" s="97">
        <f>(D14-$D$39)/$D$39</f>
        <v>-9.4603849481084377E-3</v>
      </c>
      <c r="E16" s="97">
        <f>(E14-$D$39)/$D$39</f>
        <v>-1.2704595748819589E-2</v>
      </c>
      <c r="F16" s="97">
        <f>(F14-$D$39)/$D$39</f>
        <v>-2.1228131313992305E-2</v>
      </c>
      <c r="G16" s="97">
        <f>(G14-$D$39)/$D$39</f>
        <v>-3.5750837777839051E-2</v>
      </c>
      <c r="H16" s="97">
        <f>(H14-$D$39)/$D$39</f>
        <v>-5.6704513506766592E-2</v>
      </c>
      <c r="I16" s="97">
        <f>(I14-$D$39)/$D$39</f>
        <v>-8.4256065626006307E-2</v>
      </c>
      <c r="J16" s="97">
        <f>(J14-$D$39)/$D$39</f>
        <v>-0.11816127463222403</v>
      </c>
      <c r="K16" s="97">
        <f>(K14-$D$39)/$D$39</f>
        <v>-0.15754611556158721</v>
      </c>
      <c r="L16" s="97">
        <f>(L14-$D$39)/$D$39</f>
        <v>-0.20121370861151203</v>
      </c>
      <c r="M16" s="97">
        <f>(M14-$D$39)/$D$39</f>
        <v>-0.24785392106617282</v>
      </c>
      <c r="N16" s="97">
        <f>(N14-$D$39)/$D$39</f>
        <v>-0.29630401207675561</v>
      </c>
      <c r="O16" s="97">
        <f>(O14-$D$39)/$D$39</f>
        <v>-0.34565332221583911</v>
      </c>
      <c r="P16" s="97">
        <f>(P14-$D$39)/$D$39</f>
        <v>-0.39508366255535649</v>
      </c>
      <c r="Q16" s="97">
        <f>(Q14-$D$39)/$D$39</f>
        <v>-0.44457184722660426</v>
      </c>
      <c r="R16" s="97">
        <f>(R14-$D$39)/$D$39</f>
        <v>-0.48215259906726199</v>
      </c>
      <c r="S16" s="97">
        <f>(S14-$D$39)/$D$39</f>
        <v>-0.51541716674428339</v>
      </c>
      <c r="T16" s="97">
        <f>(T14-$D$39)/$D$39</f>
        <v>-0.54359295954265252</v>
      </c>
      <c r="U16" s="97">
        <f>(U14-$D$39)/$D$39</f>
        <v>-0.56617277673921007</v>
      </c>
      <c r="V16" s="97">
        <f>(V14-$D$39)/$D$39</f>
        <v>-0.58306329711153226</v>
      </c>
      <c r="W16" s="97">
        <f>(W14-$D$39)/$D$39</f>
        <v>-0.59458420362091258</v>
      </c>
      <c r="X16" s="97">
        <f>(X14-$D$39)/$D$39</f>
        <v>-0.60078795021819442</v>
      </c>
      <c r="Y16" s="97">
        <f>(Y14-$D$39)/$D$39</f>
        <v>-0.60350569604601179</v>
      </c>
      <c r="Z16" s="97">
        <f>(Z14-$D$39)/$D$39</f>
        <v>-0.59823038036423337</v>
      </c>
      <c r="AA16" s="97">
        <f>(AA14-$D$39)/$D$39</f>
        <v>-0.59690906165232749</v>
      </c>
      <c r="AB16" s="97">
        <f>(AB14-$D$39)/$D$39</f>
        <v>-0.59569768377767807</v>
      </c>
      <c r="AC16" s="97">
        <f>(AC14-$D$39)/$D$39</f>
        <v>-0.59490351194787006</v>
      </c>
      <c r="AD16" s="98">
        <f>(AD14-$D$39)/$D$39</f>
        <v>-0.59611549504025707</v>
      </c>
    </row>
    <row r="17" spans="1:30" ht="23.25" customHeight="1" thickBot="1" x14ac:dyDescent="0.3">
      <c r="D17" s="21"/>
      <c r="E17" s="11">
        <f>E14-$D14</f>
        <v>-2891.8657168747159</v>
      </c>
      <c r="F17" s="11">
        <f>F14-$D14</f>
        <v>-10489.682813742198</v>
      </c>
      <c r="G17" s="11">
        <f>G14-$D14</f>
        <v>-23435.116855767788</v>
      </c>
      <c r="H17" s="11">
        <f>H14-$D14</f>
        <v>-42113.069740245119</v>
      </c>
      <c r="I17" s="11">
        <f>I14-$D14</f>
        <v>-66672.321254619863</v>
      </c>
      <c r="J17" s="11">
        <f>J14-$D14</f>
        <v>-96895.175924562966</v>
      </c>
      <c r="K17" s="11">
        <f>K14-$D14</f>
        <v>-132002.53430683049</v>
      </c>
      <c r="L17" s="11">
        <f>L14-$D14</f>
        <v>-170927.50652251777</v>
      </c>
      <c r="M17" s="21">
        <f>(L17)/D14</f>
        <v>-0.19358470953567886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x14ac:dyDescent="0.25">
      <c r="A18" s="99" t="s">
        <v>312</v>
      </c>
      <c r="B18" s="100" t="s">
        <v>256</v>
      </c>
      <c r="C18" s="100" t="s">
        <v>257</v>
      </c>
      <c r="D18" s="100">
        <v>2024</v>
      </c>
      <c r="E18" s="100">
        <v>2025</v>
      </c>
      <c r="F18" s="100">
        <v>2026</v>
      </c>
      <c r="G18" s="100">
        <v>2027</v>
      </c>
      <c r="H18" s="100">
        <v>2028</v>
      </c>
      <c r="I18" s="100">
        <v>2029</v>
      </c>
      <c r="J18" s="100">
        <v>2030</v>
      </c>
      <c r="K18" s="100">
        <v>2031</v>
      </c>
      <c r="L18" s="100">
        <v>2032</v>
      </c>
      <c r="M18" s="100">
        <v>2033</v>
      </c>
      <c r="N18" s="100">
        <v>2034</v>
      </c>
      <c r="O18" s="100">
        <v>2035</v>
      </c>
      <c r="P18" s="100">
        <v>2036</v>
      </c>
      <c r="Q18" s="100">
        <v>2037</v>
      </c>
      <c r="R18" s="100">
        <v>2038</v>
      </c>
      <c r="S18" s="100">
        <v>2039</v>
      </c>
      <c r="T18" s="100">
        <v>2040</v>
      </c>
      <c r="U18" s="100">
        <v>2041</v>
      </c>
      <c r="V18" s="100">
        <v>2042</v>
      </c>
      <c r="W18" s="100">
        <v>2043</v>
      </c>
      <c r="X18" s="100">
        <v>2044</v>
      </c>
      <c r="Y18" s="100">
        <v>2045</v>
      </c>
      <c r="Z18" s="100">
        <v>2046</v>
      </c>
      <c r="AA18" s="100">
        <v>2047</v>
      </c>
      <c r="AB18" s="100">
        <v>2048</v>
      </c>
      <c r="AC18" s="100">
        <v>2049</v>
      </c>
      <c r="AD18" s="101">
        <v>2050</v>
      </c>
    </row>
    <row r="19" spans="1:30" x14ac:dyDescent="0.25">
      <c r="A19" s="90" t="s">
        <v>290</v>
      </c>
      <c r="B19" s="65" t="s">
        <v>258</v>
      </c>
      <c r="C19" s="64" t="s">
        <v>284</v>
      </c>
      <c r="D19" s="66">
        <f>'Customer Count Cadmus'!C12</f>
        <v>831023.66666666674</v>
      </c>
      <c r="E19" s="66">
        <f>'Customer Count Cadmus'!D12</f>
        <v>840393</v>
      </c>
      <c r="F19" s="66">
        <f>'Customer Count Cadmus'!E12</f>
        <v>849567.75</v>
      </c>
      <c r="G19" s="66">
        <f>'Customer Count Cadmus'!F12</f>
        <v>858633.66666666651</v>
      </c>
      <c r="H19" s="66">
        <f>'Customer Count Cadmus'!G12</f>
        <v>867813.83333333337</v>
      </c>
      <c r="I19" s="66">
        <f>'Customer Count Cadmus'!H12</f>
        <v>877074.5</v>
      </c>
      <c r="J19" s="66">
        <f>'Customer Count Cadmus'!I12</f>
        <v>886321.75000000012</v>
      </c>
      <c r="K19" s="66">
        <f>'Customer Count Cadmus'!J12</f>
        <v>895573.66666666663</v>
      </c>
      <c r="L19" s="66">
        <f>'Customer Count Cadmus'!K12</f>
        <v>904825.91666666663</v>
      </c>
      <c r="M19" s="66">
        <f>'Customer Count Cadmus'!L12</f>
        <v>914017.16666666674</v>
      </c>
      <c r="N19" s="66">
        <f>'Customer Count Cadmus'!M12</f>
        <v>923176</v>
      </c>
      <c r="O19" s="66">
        <f>'Customer Count Cadmus'!N12</f>
        <v>932272.08333333349</v>
      </c>
      <c r="P19" s="66">
        <f>'Customer Count Cadmus'!O12</f>
        <v>941303.41666666663</v>
      </c>
      <c r="Q19" s="66">
        <f>'Customer Count Cadmus'!P12</f>
        <v>950258.83333333337</v>
      </c>
      <c r="R19" s="66">
        <f>'Customer Count Cadmus'!Q12</f>
        <v>959164.66666666686</v>
      </c>
      <c r="S19" s="66">
        <f>'Customer Count Cadmus'!R12</f>
        <v>968016.08333333337</v>
      </c>
      <c r="T19" s="66">
        <f>'Customer Count Cadmus'!S12</f>
        <v>976868.66666666674</v>
      </c>
      <c r="U19" s="66">
        <f>'Customer Count Cadmus'!T12</f>
        <v>985778</v>
      </c>
      <c r="V19" s="66">
        <f>'Customer Count Cadmus'!U12</f>
        <v>994680</v>
      </c>
      <c r="W19" s="66">
        <f>'Customer Count Cadmus'!V12</f>
        <v>1003601.4166666667</v>
      </c>
      <c r="X19" s="66">
        <f>'Customer Count Cadmus'!W12</f>
        <v>1012544.25</v>
      </c>
      <c r="Y19" s="66">
        <f>'Customer Count Cadmus'!X12</f>
        <v>1021476.5</v>
      </c>
      <c r="Z19" s="66">
        <f>'Customer Count Cadmus'!Y12</f>
        <v>1030361.5000000001</v>
      </c>
      <c r="AA19" s="66">
        <f>'Customer Count Cadmus'!Z12</f>
        <v>1039146.1666666666</v>
      </c>
      <c r="AB19" s="66">
        <f>'Customer Count Cadmus'!AA12</f>
        <v>1047807.0833333335</v>
      </c>
      <c r="AC19" s="66">
        <f>'Customer Count Cadmus'!AB12</f>
        <v>1056307.5</v>
      </c>
      <c r="AD19" s="91">
        <f>'Customer Count Cadmus'!AC12</f>
        <v>1064609.666666667</v>
      </c>
    </row>
    <row r="20" spans="1:30" x14ac:dyDescent="0.25">
      <c r="A20" s="90" t="s">
        <v>290</v>
      </c>
      <c r="B20" s="65" t="s">
        <v>258</v>
      </c>
      <c r="C20" s="64" t="s">
        <v>285</v>
      </c>
      <c r="D20" s="67">
        <f>'Customer Count Cadmus'!C$14</f>
        <v>58064.450920371244</v>
      </c>
      <c r="E20" s="67">
        <f>'Customer Count Cadmus'!D$14</f>
        <v>58060.884053849819</v>
      </c>
      <c r="F20" s="67">
        <f>'Customer Count Cadmus'!E$14</f>
        <v>57941.850021313949</v>
      </c>
      <c r="G20" s="67">
        <f>'Customer Count Cadmus'!F$14</f>
        <v>57726.889025253717</v>
      </c>
      <c r="H20" s="67">
        <f>'Customer Count Cadmus'!G$14</f>
        <v>57401.037864013852</v>
      </c>
      <c r="I20" s="67">
        <f>'Customer Count Cadmus'!H$14</f>
        <v>56930.924533321675</v>
      </c>
      <c r="J20" s="67">
        <f>'Customer Count Cadmus'!I$14</f>
        <v>56277.2543684876</v>
      </c>
      <c r="K20" s="67">
        <f>'Customer Count Cadmus'!J$14</f>
        <v>55442.472651884484</v>
      </c>
      <c r="L20" s="67">
        <f>'Customer Count Cadmus'!K$14</f>
        <v>54429.607959447792</v>
      </c>
      <c r="M20" s="67">
        <f>'Customer Count Cadmus'!L$14</f>
        <v>53284.213746237197</v>
      </c>
      <c r="N20" s="67">
        <f>'Customer Count Cadmus'!M$14</f>
        <v>52028.498589122151</v>
      </c>
      <c r="O20" s="67">
        <f>'Customer Count Cadmus'!N$14</f>
        <v>50685.877549686913</v>
      </c>
      <c r="P20" s="67">
        <f>'Customer Count Cadmus'!O$14</f>
        <v>49289.628935485307</v>
      </c>
      <c r="Q20" s="67">
        <f>'Customer Count Cadmus'!P$14</f>
        <v>47861.808874681934</v>
      </c>
      <c r="R20" s="67">
        <f>'Customer Count Cadmus'!Q$14</f>
        <v>46432.727447223187</v>
      </c>
      <c r="S20" s="67">
        <f>'Customer Count Cadmus'!R$14</f>
        <v>45003.320424122576</v>
      </c>
      <c r="T20" s="67">
        <f>'Customer Count Cadmus'!S$14</f>
        <v>43593.504062411404</v>
      </c>
      <c r="U20" s="67">
        <f>'Customer Count Cadmus'!T$14</f>
        <v>42202.574485668993</v>
      </c>
      <c r="V20" s="67">
        <f>'Customer Count Cadmus'!U$14</f>
        <v>40823.123737719638</v>
      </c>
      <c r="W20" s="67">
        <f>'Customer Count Cadmus'!V$14</f>
        <v>39455.142267417628</v>
      </c>
      <c r="X20" s="67">
        <f>'Customer Count Cadmus'!W$14</f>
        <v>38105.606276700215</v>
      </c>
      <c r="Y20" s="67">
        <f>'Customer Count Cadmus'!X$14</f>
        <v>36780.158483981002</v>
      </c>
      <c r="Z20" s="67">
        <f>'Customer Count Cadmus'!Y$14</f>
        <v>35473.81170606357</v>
      </c>
      <c r="AA20" s="67">
        <f>'Customer Count Cadmus'!Z$14</f>
        <v>34229.550456530822</v>
      </c>
      <c r="AB20" s="67">
        <f>'Customer Count Cadmus'!AA$14</f>
        <v>33039.999914355329</v>
      </c>
      <c r="AC20" s="67">
        <f>'Customer Count Cadmus'!AB$14</f>
        <v>31910.074463931782</v>
      </c>
      <c r="AD20" s="92">
        <f>'Customer Count Cadmus'!AC$14</f>
        <v>30855.297785924118</v>
      </c>
    </row>
    <row r="21" spans="1:30" x14ac:dyDescent="0.25">
      <c r="A21" s="90" t="s">
        <v>290</v>
      </c>
      <c r="B21" s="65" t="s">
        <v>258</v>
      </c>
      <c r="C21" s="64" t="s">
        <v>286</v>
      </c>
      <c r="D21" s="67">
        <f>'Customer Count Cadmus'!C$15</f>
        <v>2212.65</v>
      </c>
      <c r="E21" s="67">
        <f>'Customer Count Cadmus'!D$15</f>
        <v>2173.64</v>
      </c>
      <c r="F21" s="67">
        <f>'Customer Count Cadmus'!E$15</f>
        <v>2134</v>
      </c>
      <c r="G21" s="67">
        <f>'Customer Count Cadmus'!F$15</f>
        <v>2095.6800000000003</v>
      </c>
      <c r="H21" s="67">
        <f>'Customer Count Cadmus'!G$15</f>
        <v>2036.04</v>
      </c>
      <c r="I21" s="67">
        <f>'Customer Count Cadmus'!H$15</f>
        <v>1998.5700000000002</v>
      </c>
      <c r="J21" s="67">
        <f>'Customer Count Cadmus'!I$15</f>
        <v>1961.44</v>
      </c>
      <c r="K21" s="67">
        <f>'Customer Count Cadmus'!J$15</f>
        <v>1923.7400000000002</v>
      </c>
      <c r="L21" s="67">
        <f>'Customer Count Cadmus'!K$15</f>
        <v>1887.3</v>
      </c>
      <c r="M21" s="67">
        <f>'Customer Count Cadmus'!L$15</f>
        <v>1851.2</v>
      </c>
      <c r="N21" s="67">
        <f>'Customer Count Cadmus'!M$15</f>
        <v>1815.44</v>
      </c>
      <c r="O21" s="67">
        <f>'Customer Count Cadmus'!N$15</f>
        <v>1780.02</v>
      </c>
      <c r="P21" s="67">
        <f>'Customer Count Cadmus'!O$15</f>
        <v>1744.08</v>
      </c>
      <c r="Q21" s="67">
        <f>'Customer Count Cadmus'!P$15</f>
        <v>1709.35</v>
      </c>
      <c r="R21" s="67">
        <f>'Customer Count Cadmus'!Q$15</f>
        <v>1674.96</v>
      </c>
      <c r="S21" s="67">
        <f>'Customer Count Cadmus'!R$15</f>
        <v>1640.9099999999999</v>
      </c>
      <c r="T21" s="67">
        <f>'Customer Count Cadmus'!S$15</f>
        <v>1607.1999999999998</v>
      </c>
      <c r="U21" s="67">
        <f>'Customer Count Cadmus'!T$15</f>
        <v>1573.02</v>
      </c>
      <c r="V21" s="67">
        <f>'Customer Count Cadmus'!U$15</f>
        <v>1540</v>
      </c>
      <c r="W21" s="67">
        <f>'Customer Count Cadmus'!V$15</f>
        <v>1507.3200000000002</v>
      </c>
      <c r="X21" s="67">
        <f>'Customer Count Cadmus'!W$15</f>
        <v>1456.0700000000002</v>
      </c>
      <c r="Y21" s="67">
        <f>'Customer Count Cadmus'!X$15</f>
        <v>1424.24</v>
      </c>
      <c r="Z21" s="67">
        <f>'Customer Count Cadmus'!Y$15</f>
        <v>1392</v>
      </c>
      <c r="AA21" s="67">
        <f>'Customer Count Cadmus'!Z$15</f>
        <v>1360.86</v>
      </c>
      <c r="AB21" s="67">
        <f>'Customer Count Cadmus'!AA$15</f>
        <v>1330.06</v>
      </c>
      <c r="AC21" s="67">
        <f>'Customer Count Cadmus'!AB$15</f>
        <v>1299.5999999999999</v>
      </c>
      <c r="AD21" s="92">
        <f>'Customer Count Cadmus'!AC$15</f>
        <v>1269.48</v>
      </c>
    </row>
    <row r="22" spans="1:30" ht="15.75" thickBot="1" x14ac:dyDescent="0.3">
      <c r="A22" s="93" t="s">
        <v>333</v>
      </c>
      <c r="B22" s="68"/>
      <c r="C22" s="68"/>
      <c r="D22" s="69">
        <f>SUM(D19:D21)</f>
        <v>891300.76758703799</v>
      </c>
      <c r="E22" s="69">
        <f t="shared" ref="E22:AD22" si="2">SUM(E19:E21)</f>
        <v>900627.52405384986</v>
      </c>
      <c r="F22" s="69">
        <f t="shared" si="2"/>
        <v>909643.60002131399</v>
      </c>
      <c r="G22" s="69">
        <f t="shared" si="2"/>
        <v>918456.23569192027</v>
      </c>
      <c r="H22" s="69">
        <f t="shared" si="2"/>
        <v>927250.91119734722</v>
      </c>
      <c r="I22" s="69">
        <f t="shared" si="2"/>
        <v>936003.99453332159</v>
      </c>
      <c r="J22" s="69">
        <f t="shared" si="2"/>
        <v>944560.44436848769</v>
      </c>
      <c r="K22" s="69">
        <f t="shared" si="2"/>
        <v>952939.87931855116</v>
      </c>
      <c r="L22" s="69">
        <f t="shared" si="2"/>
        <v>961142.82462611445</v>
      </c>
      <c r="M22" s="69">
        <f t="shared" si="2"/>
        <v>969152.58041290392</v>
      </c>
      <c r="N22" s="69">
        <f t="shared" si="2"/>
        <v>977019.93858912215</v>
      </c>
      <c r="O22" s="69">
        <f t="shared" si="2"/>
        <v>984737.98088302044</v>
      </c>
      <c r="P22" s="69">
        <f t="shared" si="2"/>
        <v>992337.12560215185</v>
      </c>
      <c r="Q22" s="69">
        <f t="shared" si="2"/>
        <v>999829.99220801529</v>
      </c>
      <c r="R22" s="69">
        <f t="shared" si="2"/>
        <v>1007272.35411389</v>
      </c>
      <c r="S22" s="69">
        <f t="shared" si="2"/>
        <v>1014660.313757456</v>
      </c>
      <c r="T22" s="69">
        <f t="shared" si="2"/>
        <v>1022069.3707290781</v>
      </c>
      <c r="U22" s="69">
        <f t="shared" si="2"/>
        <v>1029553.594485669</v>
      </c>
      <c r="V22" s="69">
        <f t="shared" si="2"/>
        <v>1037043.1237377196</v>
      </c>
      <c r="W22" s="69">
        <f t="shared" si="2"/>
        <v>1044563.8789340843</v>
      </c>
      <c r="X22" s="69">
        <f t="shared" si="2"/>
        <v>1052105.9262767003</v>
      </c>
      <c r="Y22" s="69">
        <f t="shared" si="2"/>
        <v>1059680.8984839809</v>
      </c>
      <c r="Z22" s="69">
        <f t="shared" si="2"/>
        <v>1067227.3117060638</v>
      </c>
      <c r="AA22" s="69">
        <f t="shared" si="2"/>
        <v>1074736.5771231975</v>
      </c>
      <c r="AB22" s="69">
        <f t="shared" si="2"/>
        <v>1082177.1432476889</v>
      </c>
      <c r="AC22" s="69">
        <f t="shared" si="2"/>
        <v>1089517.1744639319</v>
      </c>
      <c r="AD22" s="94">
        <f t="shared" si="2"/>
        <v>1096734.444452591</v>
      </c>
    </row>
    <row r="23" spans="1:30" x14ac:dyDescent="0.25">
      <c r="A23" s="107" t="s">
        <v>303</v>
      </c>
      <c r="B23" s="108"/>
      <c r="C23" s="108"/>
      <c r="D23" s="109">
        <f>(D22-D$39)/D$39</f>
        <v>-1.0309606873075136E-4</v>
      </c>
      <c r="E23" s="109">
        <f>(E22-E$39)/E$39</f>
        <v>-2.9024213432524767E-4</v>
      </c>
      <c r="F23" s="109">
        <f>(F22-F$39)/F$39</f>
        <v>-5.8137312799796264E-4</v>
      </c>
      <c r="G23" s="109">
        <f>(G22-G$39)/G$39</f>
        <v>-9.9354047437527626E-4</v>
      </c>
      <c r="H23" s="109">
        <f>(H22-H$39)/H$39</f>
        <v>-1.5655373847551723E-3</v>
      </c>
      <c r="I23" s="109">
        <f>(I22-I$39)/I$39</f>
        <v>-2.2699386245970459E-3</v>
      </c>
      <c r="J23" s="109">
        <f>(J22-J$39)/J$39</f>
        <v>-3.1368896025097035E-3</v>
      </c>
      <c r="K23" s="109">
        <f>(K22-K$39)/K$39</f>
        <v>-4.1652005865821006E-3</v>
      </c>
      <c r="L23" s="109">
        <f>(L22-L$39)/L$39</f>
        <v>-5.3359182667187186E-3</v>
      </c>
      <c r="M23" s="109">
        <f>(M22-M$39)/M$39</f>
        <v>-6.6312415551882812E-3</v>
      </c>
      <c r="N23" s="109">
        <f>(N22-N$39)/N$39</f>
        <v>-8.0109465949963488E-3</v>
      </c>
      <c r="O23" s="109">
        <f>(O22-O$39)/O$39</f>
        <v>-9.432612589350322E-3</v>
      </c>
      <c r="P23" s="109">
        <f>(P22-P$39)/P$39</f>
        <v>-1.086610209837769E-2</v>
      </c>
      <c r="Q23" s="109">
        <f>(Q22-Q$39)/Q$39</f>
        <v>-1.2289056450842321E-2</v>
      </c>
      <c r="R23" s="109">
        <f>(R22-R$39)/R$39</f>
        <v>-1.3686479427110593E-2</v>
      </c>
      <c r="S23" s="109">
        <f>(S22-S$39)/S$39</f>
        <v>-1.5059366981626502E-2</v>
      </c>
      <c r="T23" s="109">
        <f>(T22-T$39)/T$39</f>
        <v>-1.6390419604121131E-2</v>
      </c>
      <c r="U23" s="109">
        <f>(U22-U$39)/U$39</f>
        <v>-1.7686828256640839E-2</v>
      </c>
      <c r="V23" s="109">
        <f>(V22-V$39)/V$39</f>
        <v>-1.8944720034624413E-2</v>
      </c>
      <c r="W23" s="109">
        <f>(W22-W$39)/W$39</f>
        <v>-2.0160788300290007E-2</v>
      </c>
      <c r="X23" s="109">
        <f>(X22-X$39)/X$39</f>
        <v>-2.1353483226947707E-2</v>
      </c>
      <c r="Y23" s="109">
        <f>(Y22-Y$39)/Y$39</f>
        <v>-2.2489152142356528E-2</v>
      </c>
      <c r="Z23" s="109">
        <f>(Z22-Z$39)/Z$39</f>
        <v>-2.3582896389568925E-2</v>
      </c>
      <c r="AA23" s="109">
        <f>(AA22-AA$39)/AA$39</f>
        <v>-2.4571918432533087E-2</v>
      </c>
      <c r="AB23" s="109">
        <f>(AB22-AB$39)/AB$39</f>
        <v>-2.5487998409378217E-2</v>
      </c>
      <c r="AC23" s="109">
        <f>(AC22-AC$39)/AC$39</f>
        <v>-2.6333118885191839E-2</v>
      </c>
      <c r="AD23" s="110">
        <f>(AD22-AD$39)/AD$39</f>
        <v>-2.7092949060442146E-2</v>
      </c>
    </row>
    <row r="24" spans="1:30" ht="15.75" thickBot="1" x14ac:dyDescent="0.3">
      <c r="A24" s="95" t="s">
        <v>304</v>
      </c>
      <c r="B24" s="96"/>
      <c r="C24" s="96"/>
      <c r="D24" s="97">
        <f>(D22-$D$39)/$D$39</f>
        <v>-1.0309606873075136E-4</v>
      </c>
      <c r="E24" s="97">
        <f>(E22-$D$39)/$D$39</f>
        <v>1.0360032937803449E-2</v>
      </c>
      <c r="F24" s="97">
        <f>(F22-$D$39)/$D$39</f>
        <v>2.0474628115234567E-2</v>
      </c>
      <c r="G24" s="97">
        <f>(G22-$D$39)/$D$39</f>
        <v>3.0360995818438628E-2</v>
      </c>
      <c r="H24" s="97">
        <f>(H22-$D$39)/$D$39</f>
        <v>4.0227215088913831E-2</v>
      </c>
      <c r="I24" s="97">
        <f>(I22-$D$39)/$D$39</f>
        <v>5.0046774597638795E-2</v>
      </c>
      <c r="J24" s="97">
        <f>(J22-$D$39)/$D$39</f>
        <v>5.9645742768605091E-2</v>
      </c>
      <c r="K24" s="97">
        <f>(K22-$D$39)/$D$39</f>
        <v>6.9046128550774563E-2</v>
      </c>
      <c r="L24" s="97">
        <f>(L22-$D$39)/$D$39</f>
        <v>7.8248521182338313E-2</v>
      </c>
      <c r="M24" s="97">
        <f>(M22-$D$39)/$D$39</f>
        <v>8.7234186070901595E-2</v>
      </c>
      <c r="N24" s="97">
        <f>(N22-$D$39)/$D$39</f>
        <v>9.6060103615902226E-2</v>
      </c>
      <c r="O24" s="97">
        <f>(O22-$D$39)/$D$39</f>
        <v>0.10471851262296716</v>
      </c>
      <c r="P24" s="97">
        <f>(P22-$D$39)/$D$39</f>
        <v>0.11324353756797613</v>
      </c>
      <c r="Q24" s="97">
        <f>(Q22-$D$39)/$D$39</f>
        <v>0.12164933546833667</v>
      </c>
      <c r="R24" s="97">
        <f>(R22-$D$39)/$D$39</f>
        <v>0.12999847517318205</v>
      </c>
      <c r="S24" s="97">
        <f>(S22-$D$39)/$D$39</f>
        <v>0.13828658424097715</v>
      </c>
      <c r="T24" s="97">
        <f>(T22-$D$39)/$D$39</f>
        <v>0.14659836113648156</v>
      </c>
      <c r="U24" s="97">
        <f>(U22-$D$39)/$D$39</f>
        <v>0.15499446314232143</v>
      </c>
      <c r="V24" s="97">
        <f>(V22-$D$39)/$D$39</f>
        <v>0.16339651706549024</v>
      </c>
      <c r="W24" s="97">
        <f>(W22-$D$39)/$D$39</f>
        <v>0.17183360150380891</v>
      </c>
      <c r="X24" s="97">
        <f>(X22-$D$39)/$D$39</f>
        <v>0.1802945723246922</v>
      </c>
      <c r="Y24" s="97">
        <f>(Y22-$D$39)/$D$39</f>
        <v>0.18879247957762815</v>
      </c>
      <c r="Z24" s="97">
        <f>(Z22-$D$39)/$D$39</f>
        <v>0.19725834821698149</v>
      </c>
      <c r="AA24" s="97">
        <f>(AA22-$D$39)/$D$39</f>
        <v>0.20568254296071248</v>
      </c>
      <c r="AB24" s="97">
        <f>(AB22-$D$39)/$D$39</f>
        <v>0.21402966808606846</v>
      </c>
      <c r="AC24" s="97">
        <f>(AC22-$D$39)/$D$39</f>
        <v>0.22226400912422267</v>
      </c>
      <c r="AD24" s="98">
        <f>(AD22-$D$39)/$D$39</f>
        <v>0.23036063169982429</v>
      </c>
    </row>
    <row r="25" spans="1:30" ht="15.75" thickBot="1" x14ac:dyDescent="0.3"/>
    <row r="26" spans="1:30" x14ac:dyDescent="0.25">
      <c r="A26" s="99" t="s">
        <v>311</v>
      </c>
      <c r="B26" s="100" t="s">
        <v>256</v>
      </c>
      <c r="C26" s="100" t="s">
        <v>257</v>
      </c>
      <c r="D26" s="100">
        <v>2024</v>
      </c>
      <c r="E26" s="100">
        <v>2025</v>
      </c>
      <c r="F26" s="100">
        <v>2026</v>
      </c>
      <c r="G26" s="100">
        <v>2027</v>
      </c>
      <c r="H26" s="100">
        <v>2028</v>
      </c>
      <c r="I26" s="100">
        <v>2029</v>
      </c>
      <c r="J26" s="100">
        <v>2030</v>
      </c>
      <c r="K26" s="100">
        <v>2031</v>
      </c>
      <c r="L26" s="100">
        <v>2032</v>
      </c>
      <c r="M26" s="100">
        <v>2033</v>
      </c>
      <c r="N26" s="100">
        <v>2034</v>
      </c>
      <c r="O26" s="100">
        <v>2035</v>
      </c>
      <c r="P26" s="100">
        <v>2036</v>
      </c>
      <c r="Q26" s="100">
        <v>2037</v>
      </c>
      <c r="R26" s="100">
        <v>2038</v>
      </c>
      <c r="S26" s="100">
        <v>2039</v>
      </c>
      <c r="T26" s="100">
        <v>2040</v>
      </c>
      <c r="U26" s="100">
        <v>2041</v>
      </c>
      <c r="V26" s="100">
        <v>2042</v>
      </c>
      <c r="W26" s="100">
        <v>2043</v>
      </c>
      <c r="X26" s="100">
        <v>2044</v>
      </c>
      <c r="Y26" s="100">
        <v>2045</v>
      </c>
      <c r="Z26" s="100">
        <v>2046</v>
      </c>
      <c r="AA26" s="100">
        <v>2047</v>
      </c>
      <c r="AB26" s="100">
        <v>2048</v>
      </c>
      <c r="AC26" s="100">
        <v>2049</v>
      </c>
      <c r="AD26" s="101">
        <v>2050</v>
      </c>
    </row>
    <row r="27" spans="1:30" x14ac:dyDescent="0.25">
      <c r="A27" s="90" t="s">
        <v>291</v>
      </c>
      <c r="B27" s="65" t="s">
        <v>258</v>
      </c>
      <c r="C27" s="64" t="s">
        <v>284</v>
      </c>
      <c r="D27" s="66">
        <f>'Customer Count Cadmus'!C13</f>
        <v>829925.23281393258</v>
      </c>
      <c r="E27" s="66">
        <f>'Customer Count Cadmus'!D13</f>
        <v>837704.91032697528</v>
      </c>
      <c r="F27" s="66">
        <f>'Customer Count Cadmus'!E13</f>
        <v>844757.33058750094</v>
      </c>
      <c r="G27" s="66">
        <f>'Customer Count Cadmus'!F13</f>
        <v>851072.58100961649</v>
      </c>
      <c r="H27" s="66">
        <f>'Customer Count Cadmus'!G13</f>
        <v>856741.46952035173</v>
      </c>
      <c r="I27" s="66">
        <f>'Customer Count Cadmus'!H13</f>
        <v>861711.95812368032</v>
      </c>
      <c r="J27" s="66">
        <f>'Customer Count Cadmus'!I13</f>
        <v>865971.263229865</v>
      </c>
      <c r="K27" s="66">
        <f>'Customer Count Cadmus'!J13</f>
        <v>869627.27996844798</v>
      </c>
      <c r="L27" s="66">
        <f>'Customer Count Cadmus'!K13</f>
        <v>872814.8981818246</v>
      </c>
      <c r="M27" s="66">
        <f>'Customer Count Cadmus'!L13</f>
        <v>875662.07831169863</v>
      </c>
      <c r="N27" s="66">
        <f>'Customer Count Cadmus'!M13</f>
        <v>878308.74620833632</v>
      </c>
      <c r="O27" s="66">
        <f>'Customer Count Cadmus'!N13</f>
        <v>880848.92780701746</v>
      </c>
      <c r="P27" s="66">
        <f>'Customer Count Cadmus'!O13</f>
        <v>883371.02725401986</v>
      </c>
      <c r="Q27" s="66">
        <f>'Customer Count Cadmus'!P13</f>
        <v>885871.92613451125</v>
      </c>
      <c r="R27" s="66">
        <f>'Customer Count Cadmus'!Q13</f>
        <v>888358.97832227591</v>
      </c>
      <c r="S27" s="66">
        <f>'Customer Count Cadmus'!R13</f>
        <v>890830.83405566926</v>
      </c>
      <c r="T27" s="66">
        <f>'Customer Count Cadmus'!S13</f>
        <v>893303.01559359767</v>
      </c>
      <c r="U27" s="66">
        <f>'Customer Count Cadmus'!T13</f>
        <v>895791.04519496625</v>
      </c>
      <c r="V27" s="66">
        <f>'Customer Count Cadmus'!U13</f>
        <v>898277.02688211657</v>
      </c>
      <c r="W27" s="66">
        <f>'Customer Count Cadmus'!V13</f>
        <v>900768.43088759517</v>
      </c>
      <c r="X27" s="66">
        <f>'Customer Count Cadmus'!W13</f>
        <v>903265.81573346152</v>
      </c>
      <c r="Y27" s="66">
        <f>'Customer Count Cadmus'!X13</f>
        <v>905760.24506676279</v>
      </c>
      <c r="Z27" s="66">
        <f>'Customer Count Cadmus'!Y13</f>
        <v>908241.47931640688</v>
      </c>
      <c r="AA27" s="66">
        <f>'Customer Count Cadmus'!Z13</f>
        <v>910694.69437606214</v>
      </c>
      <c r="AB27" s="66">
        <f>'Customer Count Cadmus'!AA13</f>
        <v>912994.85827226215</v>
      </c>
      <c r="AC27" s="66">
        <f>'Customer Count Cadmus'!AB13</f>
        <v>914863.16266785003</v>
      </c>
      <c r="AD27" s="91">
        <f>'Customer Count Cadmus'!AC13</f>
        <v>916687.89374686475</v>
      </c>
    </row>
    <row r="28" spans="1:30" x14ac:dyDescent="0.25">
      <c r="A28" s="90" t="s">
        <v>291</v>
      </c>
      <c r="B28" s="65" t="s">
        <v>258</v>
      </c>
      <c r="C28" s="64" t="s">
        <v>285</v>
      </c>
      <c r="D28" s="67">
        <f>'Customer Count Cadmus'!C$14</f>
        <v>58064.450920371244</v>
      </c>
      <c r="E28" s="67">
        <f>'Customer Count Cadmus'!D$14</f>
        <v>58060.884053849819</v>
      </c>
      <c r="F28" s="67">
        <f>'Customer Count Cadmus'!E$14</f>
        <v>57941.850021313949</v>
      </c>
      <c r="G28" s="67">
        <f>'Customer Count Cadmus'!F$14</f>
        <v>57726.889025253717</v>
      </c>
      <c r="H28" s="67">
        <f>'Customer Count Cadmus'!G$14</f>
        <v>57401.037864013852</v>
      </c>
      <c r="I28" s="67">
        <f>'Customer Count Cadmus'!H$14</f>
        <v>56930.924533321675</v>
      </c>
      <c r="J28" s="67">
        <f>'Customer Count Cadmus'!I$14</f>
        <v>56277.2543684876</v>
      </c>
      <c r="K28" s="67">
        <f>'Customer Count Cadmus'!J$14</f>
        <v>55442.472651884484</v>
      </c>
      <c r="L28" s="67">
        <f>'Customer Count Cadmus'!K$14</f>
        <v>54429.607959447792</v>
      </c>
      <c r="M28" s="67">
        <f>'Customer Count Cadmus'!L$14</f>
        <v>53284.213746237197</v>
      </c>
      <c r="N28" s="67">
        <f>'Customer Count Cadmus'!M$14</f>
        <v>52028.498589122151</v>
      </c>
      <c r="O28" s="67">
        <f>'Customer Count Cadmus'!N$14</f>
        <v>50685.877549686913</v>
      </c>
      <c r="P28" s="67">
        <f>'Customer Count Cadmus'!O$14</f>
        <v>49289.628935485307</v>
      </c>
      <c r="Q28" s="67">
        <f>'Customer Count Cadmus'!P$14</f>
        <v>47861.808874681934</v>
      </c>
      <c r="R28" s="67">
        <f>'Customer Count Cadmus'!Q$14</f>
        <v>46432.727447223187</v>
      </c>
      <c r="S28" s="67">
        <f>'Customer Count Cadmus'!R$14</f>
        <v>45003.320424122576</v>
      </c>
      <c r="T28" s="67">
        <f>'Customer Count Cadmus'!S$14</f>
        <v>43593.504062411404</v>
      </c>
      <c r="U28" s="67">
        <f>'Customer Count Cadmus'!T$14</f>
        <v>42202.574485668993</v>
      </c>
      <c r="V28" s="67">
        <f>'Customer Count Cadmus'!U$14</f>
        <v>40823.123737719638</v>
      </c>
      <c r="W28" s="67">
        <f>'Customer Count Cadmus'!V$14</f>
        <v>39455.142267417628</v>
      </c>
      <c r="X28" s="67">
        <f>'Customer Count Cadmus'!W$14</f>
        <v>38105.606276700215</v>
      </c>
      <c r="Y28" s="67">
        <f>'Customer Count Cadmus'!X$14</f>
        <v>36780.158483981002</v>
      </c>
      <c r="Z28" s="67">
        <f>'Customer Count Cadmus'!Y$14</f>
        <v>35473.81170606357</v>
      </c>
      <c r="AA28" s="67">
        <f>'Customer Count Cadmus'!Z$14</f>
        <v>34229.550456530822</v>
      </c>
      <c r="AB28" s="67">
        <f>'Customer Count Cadmus'!AA$14</f>
        <v>33039.999914355329</v>
      </c>
      <c r="AC28" s="67">
        <f>'Customer Count Cadmus'!AB$14</f>
        <v>31910.074463931782</v>
      </c>
      <c r="AD28" s="92">
        <f>'Customer Count Cadmus'!AC$14</f>
        <v>30855.297785924118</v>
      </c>
    </row>
    <row r="29" spans="1:30" x14ac:dyDescent="0.25">
      <c r="A29" s="90" t="s">
        <v>291</v>
      </c>
      <c r="B29" s="65" t="s">
        <v>258</v>
      </c>
      <c r="C29" s="64" t="s">
        <v>286</v>
      </c>
      <c r="D29" s="67">
        <f>'Customer Count Cadmus'!C$15</f>
        <v>2212.65</v>
      </c>
      <c r="E29" s="67">
        <f>'Customer Count Cadmus'!D$15</f>
        <v>2173.64</v>
      </c>
      <c r="F29" s="67">
        <f>'Customer Count Cadmus'!E$15</f>
        <v>2134</v>
      </c>
      <c r="G29" s="67">
        <f>'Customer Count Cadmus'!F$15</f>
        <v>2095.6800000000003</v>
      </c>
      <c r="H29" s="67">
        <f>'Customer Count Cadmus'!G$15</f>
        <v>2036.04</v>
      </c>
      <c r="I29" s="67">
        <f>'Customer Count Cadmus'!H$15</f>
        <v>1998.5700000000002</v>
      </c>
      <c r="J29" s="67">
        <f>'Customer Count Cadmus'!I$15</f>
        <v>1961.44</v>
      </c>
      <c r="K29" s="67">
        <f>'Customer Count Cadmus'!J$15</f>
        <v>1923.7400000000002</v>
      </c>
      <c r="L29" s="67">
        <f>'Customer Count Cadmus'!K$15</f>
        <v>1887.3</v>
      </c>
      <c r="M29" s="67">
        <f>'Customer Count Cadmus'!L$15</f>
        <v>1851.2</v>
      </c>
      <c r="N29" s="67">
        <f>'Customer Count Cadmus'!M$15</f>
        <v>1815.44</v>
      </c>
      <c r="O29" s="67">
        <f>'Customer Count Cadmus'!N$15</f>
        <v>1780.02</v>
      </c>
      <c r="P29" s="67">
        <f>'Customer Count Cadmus'!O$15</f>
        <v>1744.08</v>
      </c>
      <c r="Q29" s="67">
        <f>'Customer Count Cadmus'!P$15</f>
        <v>1709.35</v>
      </c>
      <c r="R29" s="67">
        <f>'Customer Count Cadmus'!Q$15</f>
        <v>1674.96</v>
      </c>
      <c r="S29" s="67">
        <f>'Customer Count Cadmus'!R$15</f>
        <v>1640.9099999999999</v>
      </c>
      <c r="T29" s="67">
        <f>'Customer Count Cadmus'!S$15</f>
        <v>1607.1999999999998</v>
      </c>
      <c r="U29" s="67">
        <f>'Customer Count Cadmus'!T$15</f>
        <v>1573.02</v>
      </c>
      <c r="V29" s="67">
        <f>'Customer Count Cadmus'!U$15</f>
        <v>1540</v>
      </c>
      <c r="W29" s="67">
        <f>'Customer Count Cadmus'!V$15</f>
        <v>1507.3200000000002</v>
      </c>
      <c r="X29" s="67">
        <f>'Customer Count Cadmus'!W$15</f>
        <v>1456.0700000000002</v>
      </c>
      <c r="Y29" s="67">
        <f>'Customer Count Cadmus'!X$15</f>
        <v>1424.24</v>
      </c>
      <c r="Z29" s="67">
        <f>'Customer Count Cadmus'!Y$15</f>
        <v>1392</v>
      </c>
      <c r="AA29" s="67">
        <f>'Customer Count Cadmus'!Z$15</f>
        <v>1360.86</v>
      </c>
      <c r="AB29" s="67">
        <f>'Customer Count Cadmus'!AA$15</f>
        <v>1330.06</v>
      </c>
      <c r="AC29" s="67">
        <f>'Customer Count Cadmus'!AB$15</f>
        <v>1299.5999999999999</v>
      </c>
      <c r="AD29" s="92">
        <f>'Customer Count Cadmus'!AC$15</f>
        <v>1269.48</v>
      </c>
    </row>
    <row r="30" spans="1:30" ht="15.75" thickBot="1" x14ac:dyDescent="0.3">
      <c r="A30" s="93" t="s">
        <v>333</v>
      </c>
      <c r="B30" s="68"/>
      <c r="C30" s="68"/>
      <c r="D30" s="69">
        <f>SUM(D27:D29)</f>
        <v>890202.33373430383</v>
      </c>
      <c r="E30" s="69">
        <f t="shared" ref="E30:AD30" si="3">SUM(E27:E29)</f>
        <v>897939.43438082514</v>
      </c>
      <c r="F30" s="69">
        <f t="shared" si="3"/>
        <v>904833.18060881493</v>
      </c>
      <c r="G30" s="69">
        <f t="shared" si="3"/>
        <v>910895.15003487025</v>
      </c>
      <c r="H30" s="69">
        <f t="shared" si="3"/>
        <v>916178.54738436558</v>
      </c>
      <c r="I30" s="69">
        <f t="shared" si="3"/>
        <v>920641.45265700191</v>
      </c>
      <c r="J30" s="69">
        <f t="shared" si="3"/>
        <v>924209.95759835257</v>
      </c>
      <c r="K30" s="69">
        <f t="shared" si="3"/>
        <v>926993.4926203324</v>
      </c>
      <c r="L30" s="69">
        <f t="shared" si="3"/>
        <v>929131.80614127242</v>
      </c>
      <c r="M30" s="69">
        <f t="shared" si="3"/>
        <v>930797.4920579358</v>
      </c>
      <c r="N30" s="69">
        <f t="shared" si="3"/>
        <v>932152.68479745847</v>
      </c>
      <c r="O30" s="69">
        <f t="shared" si="3"/>
        <v>933314.82535670442</v>
      </c>
      <c r="P30" s="69">
        <f t="shared" si="3"/>
        <v>934404.73618950509</v>
      </c>
      <c r="Q30" s="69">
        <f t="shared" si="3"/>
        <v>935443.08500919316</v>
      </c>
      <c r="R30" s="69">
        <f t="shared" si="3"/>
        <v>936466.66576949903</v>
      </c>
      <c r="S30" s="69">
        <f t="shared" si="3"/>
        <v>937475.06447979191</v>
      </c>
      <c r="T30" s="69">
        <f t="shared" si="3"/>
        <v>938503.71965600899</v>
      </c>
      <c r="U30" s="69">
        <f t="shared" si="3"/>
        <v>939566.6396806353</v>
      </c>
      <c r="V30" s="69">
        <f t="shared" si="3"/>
        <v>940640.15061983617</v>
      </c>
      <c r="W30" s="69">
        <f t="shared" si="3"/>
        <v>941730.89315501275</v>
      </c>
      <c r="X30" s="69">
        <f t="shared" si="3"/>
        <v>942827.49201016163</v>
      </c>
      <c r="Y30" s="69">
        <f t="shared" si="3"/>
        <v>943964.64355074381</v>
      </c>
      <c r="Z30" s="69">
        <f t="shared" si="3"/>
        <v>945107.29102247045</v>
      </c>
      <c r="AA30" s="69">
        <f t="shared" si="3"/>
        <v>946285.104832593</v>
      </c>
      <c r="AB30" s="69">
        <f t="shared" si="3"/>
        <v>947364.91818661755</v>
      </c>
      <c r="AC30" s="69">
        <f t="shared" si="3"/>
        <v>948072.83713178174</v>
      </c>
      <c r="AD30" s="94">
        <f t="shared" si="3"/>
        <v>948812.6715327889</v>
      </c>
    </row>
    <row r="31" spans="1:30" s="13" customFormat="1" x14ac:dyDescent="0.25">
      <c r="A31" s="107" t="s">
        <v>303</v>
      </c>
      <c r="B31" s="108"/>
      <c r="C31" s="108"/>
      <c r="D31" s="109">
        <f>(D30-D$39)/D$39</f>
        <v>-1.3353631647140709E-3</v>
      </c>
      <c r="E31" s="109">
        <f>(E30-E$39)/E$39</f>
        <v>-3.2740610876310586E-3</v>
      </c>
      <c r="F31" s="109">
        <f>(F30-F$39)/F$39</f>
        <v>-5.8665449950957866E-3</v>
      </c>
      <c r="G31" s="109">
        <f>(G30-G$39)/G$39</f>
        <v>-9.2177466138534687E-3</v>
      </c>
      <c r="H31" s="109">
        <f>(H30-H$39)/H$39</f>
        <v>-1.3487908643705556E-2</v>
      </c>
      <c r="I31" s="109">
        <f>(I30-I$39)/I$39</f>
        <v>-1.864558438963974E-2</v>
      </c>
      <c r="J31" s="109">
        <f>(J30-J$39)/J$39</f>
        <v>-2.4614233546700674E-2</v>
      </c>
      <c r="K31" s="109">
        <f>(K30-K$39)/K$39</f>
        <v>-3.127951845058069E-2</v>
      </c>
      <c r="L31" s="109">
        <f>(L30-L$39)/L$39</f>
        <v>-3.8463367685027977E-2</v>
      </c>
      <c r="M31" s="109">
        <f>(M30-M$39)/M$39</f>
        <v>-4.5944707018988673E-2</v>
      </c>
      <c r="N31" s="109">
        <f>(N30-N$39)/N$39</f>
        <v>-5.3565620414597816E-2</v>
      </c>
      <c r="O31" s="109">
        <f>(O30-O$39)/O$39</f>
        <v>-6.1160180542439609E-2</v>
      </c>
      <c r="P31" s="109">
        <f>(P30-P$39)/P$39</f>
        <v>-6.8611487891249726E-2</v>
      </c>
      <c r="Q31" s="109">
        <f>(Q30-Q$39)/Q$39</f>
        <v>-7.5895522907321197E-2</v>
      </c>
      <c r="R31" s="109">
        <f>(R30-R$39)/R$39</f>
        <v>-8.3018877424848925E-2</v>
      </c>
      <c r="S31" s="109">
        <f>(S30-S$39)/S$39</f>
        <v>-8.9983838996992943E-2</v>
      </c>
      <c r="T31" s="109">
        <f>(T30-T$39)/T$39</f>
        <v>-9.6811550832089172E-2</v>
      </c>
      <c r="U31" s="109">
        <f>(U30-U$39)/U$39</f>
        <v>-0.10354478792334321</v>
      </c>
      <c r="V31" s="109">
        <f>(V30-V$39)/V$39</f>
        <v>-0.11014309319463897</v>
      </c>
      <c r="W31" s="109">
        <f>(W30-W$39)/W$39</f>
        <v>-0.11662189877379441</v>
      </c>
      <c r="X31" s="109">
        <f>(X30-X$39)/X$39</f>
        <v>-0.12300195452852927</v>
      </c>
      <c r="Y31" s="109">
        <f>(Y30-Y$39)/Y$39</f>
        <v>-0.12923250727174007</v>
      </c>
      <c r="Z31" s="109">
        <f>(Z30-Z$39)/Z$39</f>
        <v>-0.13531174326297174</v>
      </c>
      <c r="AA31" s="109">
        <f>(AA30-AA$39)/AA$39</f>
        <v>-0.1411541357478914</v>
      </c>
      <c r="AB31" s="109">
        <f>(AB30-AB$39)/AB$39</f>
        <v>-0.14688783770822084</v>
      </c>
      <c r="AC31" s="109">
        <f>(AC30-AC$39)/AC$39</f>
        <v>-0.15273742898641335</v>
      </c>
      <c r="AD31" s="110">
        <f>(AD30-AD$39)/AD$39</f>
        <v>-0.1583135344893852</v>
      </c>
    </row>
    <row r="32" spans="1:30" ht="15.75" thickBot="1" x14ac:dyDescent="0.3">
      <c r="A32" s="95" t="s">
        <v>304</v>
      </c>
      <c r="B32" s="96"/>
      <c r="C32" s="96"/>
      <c r="D32" s="97">
        <f>(D30-$D$39)/$D$39</f>
        <v>-1.3353631647140709E-3</v>
      </c>
      <c r="E32" s="97">
        <f>(E30-$D$39)/$D$39</f>
        <v>7.344426265744163E-3</v>
      </c>
      <c r="F32" s="97">
        <f>(F30-$D$39)/$D$39</f>
        <v>1.5078106927229436E-2</v>
      </c>
      <c r="G32" s="97">
        <f>(G30-$D$39)/$D$39</f>
        <v>2.1878667053805142E-2</v>
      </c>
      <c r="H32" s="97">
        <f>(H30-$D$39)/$D$39</f>
        <v>2.7805793837619074E-2</v>
      </c>
      <c r="I32" s="97">
        <f>(I30-$D$39)/$D$39</f>
        <v>3.2812459743145554E-2</v>
      </c>
      <c r="J32" s="97">
        <f>(J30-$D$39)/$D$39</f>
        <v>3.6815751530024358E-2</v>
      </c>
      <c r="K32" s="97">
        <f>(K30-$D$39)/$D$39</f>
        <v>3.9938432617797677E-2</v>
      </c>
      <c r="L32" s="97">
        <f>(L30-$D$39)/$D$39</f>
        <v>4.2337278380054362E-2</v>
      </c>
      <c r="M32" s="97">
        <f>(M30-$D$39)/$D$39</f>
        <v>4.4205911563780405E-2</v>
      </c>
      <c r="N32" s="97">
        <f>(N30-$D$39)/$D$39</f>
        <v>4.572622106395878E-2</v>
      </c>
      <c r="O32" s="97">
        <f>(O30-$D$39)/$D$39</f>
        <v>4.7029956895207801E-2</v>
      </c>
      <c r="P32" s="97">
        <f>(P30-$D$39)/$D$39</f>
        <v>4.8252662526022956E-2</v>
      </c>
      <c r="Q32" s="97">
        <f>(Q30-$D$39)/$D$39</f>
        <v>4.9417523825107848E-2</v>
      </c>
      <c r="R32" s="97">
        <f>(R30-$D$39)/$D$39</f>
        <v>5.0565817723613328E-2</v>
      </c>
      <c r="S32" s="97">
        <f>(S30-$D$39)/$D$39</f>
        <v>5.1697079790266574E-2</v>
      </c>
      <c r="T32" s="97">
        <f>(T30-$D$39)/$D$39</f>
        <v>5.285106637180724E-2</v>
      </c>
      <c r="U32" s="97">
        <f>(U30-$D$39)/$D$39</f>
        <v>5.4043492632841063E-2</v>
      </c>
      <c r="V32" s="97">
        <f>(V30-$D$39)/$D$39</f>
        <v>5.5247800206085114E-2</v>
      </c>
      <c r="W32" s="97">
        <f>(W30-$D$39)/$D$39</f>
        <v>5.6471438873941071E-2</v>
      </c>
      <c r="X32" s="97">
        <f>(X30-$D$39)/$D$39</f>
        <v>5.7701647396128694E-2</v>
      </c>
      <c r="Y32" s="97">
        <f>(Y30-$D$39)/$D$39</f>
        <v>5.8977349545255103E-2</v>
      </c>
      <c r="Z32" s="97">
        <f>(Z30-$D$39)/$D$39</f>
        <v>6.025921725008998E-2</v>
      </c>
      <c r="AA32" s="97">
        <f>(AA30-$D$39)/$D$39</f>
        <v>6.1580535961996086E-2</v>
      </c>
      <c r="AB32" s="97">
        <f>(AB30-$D$39)/$D$39</f>
        <v>6.2791913836645286E-2</v>
      </c>
      <c r="AC32" s="97">
        <f>(AC30-$D$39)/$D$39</f>
        <v>6.3586085666453379E-2</v>
      </c>
      <c r="AD32" s="98">
        <f>(AD30-$D$39)/$D$39</f>
        <v>6.4416061533064159E-2</v>
      </c>
    </row>
    <row r="33" spans="1:30" x14ac:dyDescent="0.25">
      <c r="AD33" s="16"/>
    </row>
    <row r="34" spans="1:30" ht="15.75" thickBot="1" x14ac:dyDescent="0.3"/>
    <row r="35" spans="1:30" x14ac:dyDescent="0.25">
      <c r="A35" s="99" t="s">
        <v>308</v>
      </c>
      <c r="B35" s="100" t="s">
        <v>256</v>
      </c>
      <c r="C35" s="100" t="s">
        <v>257</v>
      </c>
      <c r="D35" s="100">
        <v>2024</v>
      </c>
      <c r="E35" s="100">
        <v>2025</v>
      </c>
      <c r="F35" s="100">
        <v>2026</v>
      </c>
      <c r="G35" s="100">
        <v>2027</v>
      </c>
      <c r="H35" s="100">
        <v>2028</v>
      </c>
      <c r="I35" s="100">
        <v>2029</v>
      </c>
      <c r="J35" s="100">
        <v>2030</v>
      </c>
      <c r="K35" s="100">
        <v>2031</v>
      </c>
      <c r="L35" s="100">
        <v>2032</v>
      </c>
      <c r="M35" s="100">
        <v>2033</v>
      </c>
      <c r="N35" s="100">
        <v>2034</v>
      </c>
      <c r="O35" s="100">
        <v>2035</v>
      </c>
      <c r="P35" s="100">
        <v>2036</v>
      </c>
      <c r="Q35" s="100">
        <v>2037</v>
      </c>
      <c r="R35" s="100">
        <v>2038</v>
      </c>
      <c r="S35" s="100">
        <v>2039</v>
      </c>
      <c r="T35" s="100">
        <v>2040</v>
      </c>
      <c r="U35" s="100">
        <v>2041</v>
      </c>
      <c r="V35" s="100">
        <v>2042</v>
      </c>
      <c r="W35" s="100">
        <v>2043</v>
      </c>
      <c r="X35" s="100">
        <v>2044</v>
      </c>
      <c r="Y35" s="100">
        <v>2045</v>
      </c>
      <c r="Z35" s="100">
        <v>2046</v>
      </c>
      <c r="AA35" s="100">
        <v>2047</v>
      </c>
      <c r="AB35" s="100">
        <v>2048</v>
      </c>
      <c r="AC35" s="100">
        <v>2049</v>
      </c>
      <c r="AD35" s="101">
        <v>2050</v>
      </c>
    </row>
    <row r="36" spans="1:30" x14ac:dyDescent="0.25">
      <c r="A36" s="90" t="s">
        <v>284</v>
      </c>
      <c r="B36" s="65" t="s">
        <v>258</v>
      </c>
      <c r="C36" s="64" t="s">
        <v>284</v>
      </c>
      <c r="D36" s="67">
        <f>'Customer Count Cadmus'!C4</f>
        <v>831023.66666666674</v>
      </c>
      <c r="E36" s="67">
        <f>'Customer Count Cadmus'!D4</f>
        <v>840393</v>
      </c>
      <c r="F36" s="67">
        <f>'Customer Count Cadmus'!E4</f>
        <v>849567.75</v>
      </c>
      <c r="G36" s="67">
        <f>'Customer Count Cadmus'!F4</f>
        <v>858633.66666666651</v>
      </c>
      <c r="H36" s="67">
        <f>'Customer Count Cadmus'!G4</f>
        <v>867813.83333333337</v>
      </c>
      <c r="I36" s="67">
        <f>'Customer Count Cadmus'!H4</f>
        <v>877074.5</v>
      </c>
      <c r="J36" s="67">
        <f>'Customer Count Cadmus'!I4</f>
        <v>886321.75000000012</v>
      </c>
      <c r="K36" s="67">
        <f>'Customer Count Cadmus'!J4</f>
        <v>895573.66666666663</v>
      </c>
      <c r="L36" s="67">
        <f>'Customer Count Cadmus'!K4</f>
        <v>904825.91666666663</v>
      </c>
      <c r="M36" s="67">
        <f>'Customer Count Cadmus'!L4</f>
        <v>914017.16666666674</v>
      </c>
      <c r="N36" s="67">
        <f>'Customer Count Cadmus'!M4</f>
        <v>923176</v>
      </c>
      <c r="O36" s="67">
        <f>'Customer Count Cadmus'!N4</f>
        <v>932272.08333333349</v>
      </c>
      <c r="P36" s="67">
        <f>'Customer Count Cadmus'!O4</f>
        <v>941303.41666666663</v>
      </c>
      <c r="Q36" s="67">
        <f>'Customer Count Cadmus'!P4</f>
        <v>950258.83333333337</v>
      </c>
      <c r="R36" s="67">
        <f>'Customer Count Cadmus'!Q4</f>
        <v>959164.66666666686</v>
      </c>
      <c r="S36" s="67">
        <f>'Customer Count Cadmus'!R4</f>
        <v>968016.08333333337</v>
      </c>
      <c r="T36" s="67">
        <f>'Customer Count Cadmus'!S4</f>
        <v>976868.66666666674</v>
      </c>
      <c r="U36" s="67">
        <f>'Customer Count Cadmus'!T4</f>
        <v>985778</v>
      </c>
      <c r="V36" s="67">
        <f>'Customer Count Cadmus'!U4</f>
        <v>994680</v>
      </c>
      <c r="W36" s="67">
        <f>'Customer Count Cadmus'!V4</f>
        <v>1003601.4166666667</v>
      </c>
      <c r="X36" s="67">
        <f>'Customer Count Cadmus'!W4</f>
        <v>1012544.25</v>
      </c>
      <c r="Y36" s="67">
        <f>'Customer Count Cadmus'!X4</f>
        <v>1021476.5</v>
      </c>
      <c r="Z36" s="67">
        <f>'Customer Count Cadmus'!Y4</f>
        <v>1030361.5000000001</v>
      </c>
      <c r="AA36" s="67">
        <f>'Customer Count Cadmus'!Z4</f>
        <v>1039146.1666666666</v>
      </c>
      <c r="AB36" s="67">
        <f>'Customer Count Cadmus'!AA4</f>
        <v>1047807.0833333335</v>
      </c>
      <c r="AC36" s="67">
        <f>'Customer Count Cadmus'!AB4</f>
        <v>1056307.5</v>
      </c>
      <c r="AD36" s="92">
        <f>'Customer Count Cadmus'!AC4</f>
        <v>1064609.666666667</v>
      </c>
    </row>
    <row r="37" spans="1:30" x14ac:dyDescent="0.25">
      <c r="A37" s="90" t="s">
        <v>285</v>
      </c>
      <c r="B37" s="65" t="s">
        <v>258</v>
      </c>
      <c r="C37" s="64" t="s">
        <v>285</v>
      </c>
      <c r="D37" s="67">
        <f>'Customer Count Cadmus'!C5</f>
        <v>58134</v>
      </c>
      <c r="E37" s="67">
        <f>'Customer Count Cadmus'!D5</f>
        <v>58278</v>
      </c>
      <c r="F37" s="67">
        <f>'Customer Count Cadmus'!E5</f>
        <v>58405</v>
      </c>
      <c r="G37" s="67">
        <f>'Customer Count Cadmus'!F5</f>
        <v>58553</v>
      </c>
      <c r="H37" s="67">
        <f>'Customer Count Cadmus'!G5</f>
        <v>58725</v>
      </c>
      <c r="I37" s="67">
        <f>'Customer Count Cadmus'!H5</f>
        <v>58910</v>
      </c>
      <c r="J37" s="67">
        <f>'Customer Count Cadmus'!I5</f>
        <v>59079</v>
      </c>
      <c r="K37" s="67">
        <f>'Customer Count Cadmus'!J5</f>
        <v>59238</v>
      </c>
      <c r="L37" s="67">
        <f>'Customer Count Cadmus'!K5</f>
        <v>59376</v>
      </c>
      <c r="M37" s="67">
        <f>'Customer Count Cadmus'!L5</f>
        <v>59525</v>
      </c>
      <c r="N37" s="67">
        <f>'Customer Count Cadmus'!M5</f>
        <v>59671</v>
      </c>
      <c r="O37" s="67">
        <f>'Customer Count Cadmus'!N5</f>
        <v>59797</v>
      </c>
      <c r="P37" s="67">
        <f>'Customer Count Cadmus'!O5</f>
        <v>59907</v>
      </c>
      <c r="Q37" s="67">
        <f>'Customer Count Cadmus'!P5</f>
        <v>60000</v>
      </c>
      <c r="R37" s="67">
        <f>'Customer Count Cadmus'!Q5</f>
        <v>60091</v>
      </c>
      <c r="S37" s="67">
        <f>'Customer Count Cadmus'!R5</f>
        <v>60181</v>
      </c>
      <c r="T37" s="67">
        <f>'Customer Count Cadmus'!S5</f>
        <v>60272</v>
      </c>
      <c r="U37" s="67">
        <f>'Customer Count Cadmus'!T5</f>
        <v>60371</v>
      </c>
      <c r="V37" s="67">
        <f>'Customer Count Cadmus'!U5</f>
        <v>60464</v>
      </c>
      <c r="W37" s="67">
        <f>'Customer Count Cadmus'!V5</f>
        <v>60547</v>
      </c>
      <c r="X37" s="67">
        <f>'Customer Count Cadmus'!W5</f>
        <v>60627</v>
      </c>
      <c r="Y37" s="67">
        <f>'Customer Count Cadmus'!X5</f>
        <v>60710</v>
      </c>
      <c r="Z37" s="67">
        <f>'Customer Count Cadmus'!Y5</f>
        <v>60786</v>
      </c>
      <c r="AA37" s="67">
        <f>'Customer Count Cadmus'!Z5</f>
        <v>60825</v>
      </c>
      <c r="AB37" s="67">
        <f>'Customer Count Cadmus'!AA5</f>
        <v>60852</v>
      </c>
      <c r="AC37" s="67">
        <f>'Customer Count Cadmus'!AB5</f>
        <v>60871</v>
      </c>
      <c r="AD37" s="92">
        <f>'Customer Count Cadmus'!AC5</f>
        <v>60878</v>
      </c>
    </row>
    <row r="38" spans="1:30" ht="15.75" thickBot="1" x14ac:dyDescent="0.3">
      <c r="A38" s="111" t="s">
        <v>286</v>
      </c>
      <c r="B38" s="112" t="s">
        <v>258</v>
      </c>
      <c r="C38" s="113" t="s">
        <v>286</v>
      </c>
      <c r="D38" s="114">
        <f>'Customer Count Cadmus'!C6</f>
        <v>2235</v>
      </c>
      <c r="E38" s="114">
        <f>'Customer Count Cadmus'!D6</f>
        <v>2218</v>
      </c>
      <c r="F38" s="114">
        <f>'Customer Count Cadmus'!E6</f>
        <v>2200</v>
      </c>
      <c r="G38" s="114">
        <f>'Customer Count Cadmus'!F6</f>
        <v>2183</v>
      </c>
      <c r="H38" s="114">
        <f>'Customer Count Cadmus'!G6</f>
        <v>2166</v>
      </c>
      <c r="I38" s="114">
        <f>'Customer Count Cadmus'!H6</f>
        <v>2149</v>
      </c>
      <c r="J38" s="114">
        <f>'Customer Count Cadmus'!I6</f>
        <v>2132</v>
      </c>
      <c r="K38" s="114">
        <f>'Customer Count Cadmus'!J6</f>
        <v>2114</v>
      </c>
      <c r="L38" s="114">
        <f>'Customer Count Cadmus'!K6</f>
        <v>2097</v>
      </c>
      <c r="M38" s="114">
        <f>'Customer Count Cadmus'!L6</f>
        <v>2080</v>
      </c>
      <c r="N38" s="114">
        <f>'Customer Count Cadmus'!M6</f>
        <v>2063</v>
      </c>
      <c r="O38" s="114">
        <f>'Customer Count Cadmus'!N6</f>
        <v>2046</v>
      </c>
      <c r="P38" s="114">
        <f>'Customer Count Cadmus'!O6</f>
        <v>2028</v>
      </c>
      <c r="Q38" s="114">
        <f>'Customer Count Cadmus'!P6</f>
        <v>2011</v>
      </c>
      <c r="R38" s="114">
        <f>'Customer Count Cadmus'!Q6</f>
        <v>1994</v>
      </c>
      <c r="S38" s="114">
        <f>'Customer Count Cadmus'!R6</f>
        <v>1977</v>
      </c>
      <c r="T38" s="114">
        <f>'Customer Count Cadmus'!S6</f>
        <v>1960</v>
      </c>
      <c r="U38" s="114">
        <f>'Customer Count Cadmus'!T6</f>
        <v>1942</v>
      </c>
      <c r="V38" s="114">
        <f>'Customer Count Cadmus'!U6</f>
        <v>1925</v>
      </c>
      <c r="W38" s="114">
        <f>'Customer Count Cadmus'!V6</f>
        <v>1908</v>
      </c>
      <c r="X38" s="114">
        <f>'Customer Count Cadmus'!W6</f>
        <v>1891</v>
      </c>
      <c r="Y38" s="114">
        <f>'Customer Count Cadmus'!X6</f>
        <v>1874</v>
      </c>
      <c r="Z38" s="114">
        <f>'Customer Count Cadmus'!Y6</f>
        <v>1856</v>
      </c>
      <c r="AA38" s="114">
        <f>'Customer Count Cadmus'!Z6</f>
        <v>1839</v>
      </c>
      <c r="AB38" s="114">
        <f>'Customer Count Cadmus'!AA6</f>
        <v>1822</v>
      </c>
      <c r="AC38" s="114">
        <f>'Customer Count Cadmus'!AB6</f>
        <v>1805</v>
      </c>
      <c r="AD38" s="115">
        <f>'Customer Count Cadmus'!AC6</f>
        <v>1788</v>
      </c>
    </row>
    <row r="39" spans="1:30" ht="15.75" thickBot="1" x14ac:dyDescent="0.3">
      <c r="A39" s="116" t="s">
        <v>302</v>
      </c>
      <c r="B39" s="117"/>
      <c r="C39" s="117"/>
      <c r="D39" s="118">
        <f>SUM(D36:D38)</f>
        <v>891392.66666666674</v>
      </c>
      <c r="E39" s="118">
        <f t="shared" ref="E39:AD39" si="4">SUM(E36:E38)</f>
        <v>900889</v>
      </c>
      <c r="F39" s="118">
        <f t="shared" si="4"/>
        <v>910172.75</v>
      </c>
      <c r="G39" s="118">
        <f t="shared" si="4"/>
        <v>919369.66666666651</v>
      </c>
      <c r="H39" s="118">
        <f t="shared" si="4"/>
        <v>928704.83333333337</v>
      </c>
      <c r="I39" s="118">
        <f t="shared" si="4"/>
        <v>938133.5</v>
      </c>
      <c r="J39" s="118">
        <f t="shared" si="4"/>
        <v>947532.75000000012</v>
      </c>
      <c r="K39" s="118">
        <f t="shared" si="4"/>
        <v>956925.66666666663</v>
      </c>
      <c r="L39" s="118">
        <f t="shared" si="4"/>
        <v>966298.91666666663</v>
      </c>
      <c r="M39" s="118">
        <f t="shared" si="4"/>
        <v>975622.16666666674</v>
      </c>
      <c r="N39" s="118">
        <f t="shared" si="4"/>
        <v>984910</v>
      </c>
      <c r="O39" s="118">
        <f t="shared" si="4"/>
        <v>994115.08333333349</v>
      </c>
      <c r="P39" s="118">
        <f t="shared" si="4"/>
        <v>1003238.4166666666</v>
      </c>
      <c r="Q39" s="118">
        <f t="shared" si="4"/>
        <v>1012269.8333333334</v>
      </c>
      <c r="R39" s="118">
        <f t="shared" si="4"/>
        <v>1021249.6666666669</v>
      </c>
      <c r="S39" s="118">
        <f t="shared" si="4"/>
        <v>1030174.0833333334</v>
      </c>
      <c r="T39" s="118">
        <f t="shared" si="4"/>
        <v>1039100.6666666667</v>
      </c>
      <c r="U39" s="118">
        <f t="shared" si="4"/>
        <v>1048091</v>
      </c>
      <c r="V39" s="118">
        <f t="shared" si="4"/>
        <v>1057069</v>
      </c>
      <c r="W39" s="118">
        <f t="shared" si="4"/>
        <v>1066056.4166666667</v>
      </c>
      <c r="X39" s="118">
        <f t="shared" si="4"/>
        <v>1075062.25</v>
      </c>
      <c r="Y39" s="118">
        <f t="shared" si="4"/>
        <v>1084060.5</v>
      </c>
      <c r="Z39" s="118">
        <f t="shared" si="4"/>
        <v>1093003.5</v>
      </c>
      <c r="AA39" s="118">
        <f t="shared" si="4"/>
        <v>1101810.1666666665</v>
      </c>
      <c r="AB39" s="118">
        <f t="shared" si="4"/>
        <v>1110481.0833333335</v>
      </c>
      <c r="AC39" s="118">
        <f t="shared" si="4"/>
        <v>1118983.5</v>
      </c>
      <c r="AD39" s="119">
        <f t="shared" si="4"/>
        <v>1127275.666666667</v>
      </c>
    </row>
    <row r="40" spans="1:30" x14ac:dyDescent="0.2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4" spans="1:30" x14ac:dyDescent="0.25">
      <c r="U44" s="9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FBB38E-217C-48C7-853D-2E8B61C4DF8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3092659-1655-404E-8416-E36FC76C03FE}"/>
</file>

<file path=customXml/itemProps3.xml><?xml version="1.0" encoding="utf-8"?>
<ds:datastoreItem xmlns:ds="http://schemas.openxmlformats.org/officeDocument/2006/customXml" ds:itemID="{0F20671A-D413-447E-BD5D-5E8EF5769CEF}"/>
</file>

<file path=customXml/itemProps4.xml><?xml version="1.0" encoding="utf-8"?>
<ds:datastoreItem xmlns:ds="http://schemas.openxmlformats.org/officeDocument/2006/customXml" ds:itemID="{CD324512-6839-4D2A-85CA-DDFB195AB429}"/>
</file>

<file path=customXml/itemProps5.xml><?xml version="1.0" encoding="utf-8"?>
<ds:datastoreItem xmlns:ds="http://schemas.openxmlformats.org/officeDocument/2006/customXml" ds:itemID="{22923BF1-57C5-43CC-9F3F-0AA268751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2022-2026budget</vt:lpstr>
      <vt:lpstr>Sept GRC Settlement B</vt:lpstr>
      <vt:lpstr>Dec Settlement B</vt:lpstr>
      <vt:lpstr>Settlement H Constrained area </vt:lpstr>
      <vt:lpstr>working papers</vt:lpstr>
      <vt:lpstr>Scenario Cost Data Summary</vt:lpstr>
      <vt:lpstr>Scenario O&amp;M 2024-2050</vt:lpstr>
      <vt:lpstr>Scenario capex 2024-2050</vt:lpstr>
      <vt:lpstr>Customer summary</vt:lpstr>
      <vt:lpstr>Customer Count Cadmus</vt:lpstr>
      <vt:lpstr>NCC-JBsummary</vt:lpstr>
      <vt:lpstr>20yr breakout - edits</vt:lpstr>
      <vt:lpstr>20 yr breakout-original</vt:lpstr>
      <vt:lpstr>2020 - 20 yr plan</vt:lpstr>
      <vt:lpstr>avg category spend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Weatherby, Niecie</dc:creator>
  <cp:lastModifiedBy>Weatherby, Niecie</cp:lastModifiedBy>
  <dcterms:created xsi:type="dcterms:W3CDTF">2021-05-25T23:38:06Z</dcterms:created>
  <dcterms:modified xsi:type="dcterms:W3CDTF">2023-12-08T20:16:01Z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