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wrk\30_ava\AV07 - 2021GRC\dir\_exh\_xlsfnl\"/>
    </mc:Choice>
  </mc:AlternateContent>
  <xr:revisionPtr revIDLastSave="0" documentId="13_ncr:1_{3308DAFF-D4E7-4089-BF55-B4B5828BB3B7}" xr6:coauthVersionLast="47" xr6:coauthVersionMax="47" xr10:uidLastSave="{00000000-0000-0000-0000-000000000000}"/>
  <bookViews>
    <workbookView xWindow="2340" yWindow="2340" windowWidth="24240" windowHeight="12960" xr2:uid="{00000000-000D-0000-FFFF-FFFF00000000}"/>
  </bookViews>
  <sheets>
    <sheet name="Exh. No. BGM-4 (1)" sheetId="79" r:id="rId1"/>
    <sheet name="PROP0SED RATES" sheetId="54" r:id="rId2"/>
    <sheet name="RR SUMMARY" sheetId="55" r:id="rId3"/>
    <sheet name="CF" sheetId="56" r:id="rId4"/>
    <sheet name="ADJ DETAIL INPUT" sheetId="1" r:id="rId5"/>
    <sheet name="Acerno_Cache_XXXXX" sheetId="78" state="veryHidden" r:id="rId6"/>
    <sheet name="ADJ SUMMARY" sheetId="3" r:id="rId7"/>
    <sheet name="DEBT CALC" sheetId="75" r:id="rId8"/>
    <sheet name="ROO INPUT" sheetId="5" r:id="rId9"/>
    <sheet name="LEAD SHEETS-DO NOT ENTER" sheetId="76" r:id="rId10"/>
    <sheet name="Recap Summary" sheetId="6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 localSheetId="0">'[1]Named Ranges'!$C$4</definedName>
    <definedName name="CASE">'[2]Named Ranges'!$C$4</definedName>
    <definedName name="CASE_E" localSheetId="0">'[3]Named Ranges E'!$C$4</definedName>
    <definedName name="CASE_E">'[4]Named Ranges E'!$C$4</definedName>
    <definedName name="CASE_GAS">'[5]Named Ranges G'!$C$4</definedName>
    <definedName name="CBWorkbookPriority">-2060790043</definedName>
    <definedName name="Comp" localSheetId="0">'[1]Named Ranges'!$C$8</definedName>
    <definedName name="Comp">'[2]Named Ranges'!$C$8</definedName>
    <definedName name="Comp_E" localSheetId="0">'[3]Named Ranges E'!$C$8</definedName>
    <definedName name="Comp_E">'[4]Named Ranges E'!$C$8</definedName>
    <definedName name="Comp_GAS">'[5]Named Ranges G'!$C$8</definedName>
    <definedName name="DOCKETNUMBER" localSheetId="0">'[1]Named Ranges'!$C$6</definedName>
    <definedName name="DOCKETNUMBER">'[2]Named Ranges'!$C$6</definedName>
    <definedName name="DOCKETNUMBER_E" localSheetId="0">'[3]Named Ranges E'!$C$6</definedName>
    <definedName name="DOCKETNUMBER_E">'[4]Named Ranges E'!$C$6</definedName>
    <definedName name="DOCKETNUMBER_GAS">'[5]Named Ranges G'!$C$6</definedName>
    <definedName name="first_day">'[6]Historic Data'!$K$3</definedName>
    <definedName name="FIT" localSheetId="0">'[1]Named Ranges'!$C$3</definedName>
    <definedName name="FIT">'[2]Named Ranges'!$C$3</definedName>
    <definedName name="FIT_E" localSheetId="0">'[3]Named Ranges E'!$C$3</definedName>
    <definedName name="FIT_E">'[4]Named Ranges E'!$C$3</definedName>
    <definedName name="FIT_GAS">'[5]Named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Elec" localSheetId="3">[7]DebtCalc!#REF!</definedName>
    <definedName name="ID_Elec" localSheetId="7">'DEBT CALC'!$A$89:$F$166</definedName>
    <definedName name="ID_Elec" localSheetId="9">#REF!</definedName>
    <definedName name="ID_Elec" localSheetId="1">[8]DebtCalc!#REF!</definedName>
    <definedName name="ID_Elec" localSheetId="10">#REF!</definedName>
    <definedName name="ID_Elec" localSheetId="2">[8]DebtCalc!#REF!</definedName>
    <definedName name="ID_Gas" localSheetId="7">'DEBT CALC'!#REF!</definedName>
    <definedName name="ID_Gas" localSheetId="0">'[9]DEBT CALC'!#REF!</definedName>
    <definedName name="ID_Gas" localSheetId="9">#REF!</definedName>
    <definedName name="ID_Gas">'[10]DEBT CALC'!#REF!</definedName>
    <definedName name="_xlnm.Print_Area" localSheetId="4">'ADJ DETAIL INPUT'!$A$2:$AY$84</definedName>
    <definedName name="_xlnm.Print_Area" localSheetId="6">'ADJ SUMMARY'!$A$1:$F$54</definedName>
    <definedName name="_xlnm.Print_Area" localSheetId="3">CF!$A$1:$F$29</definedName>
    <definedName name="_xlnm.Print_Area" localSheetId="7">'DEBT CALC'!$A$1:$I$67</definedName>
    <definedName name="_xlnm.Print_Area" localSheetId="0">'Exh. No. BGM-4 (1)'!$A$1:$AH$64</definedName>
    <definedName name="_xlnm.Print_Area" localSheetId="9">'LEAD SHEETS-DO NOT ENTER'!$A$2:$AP$82</definedName>
    <definedName name="_xlnm.Print_Area" localSheetId="1">'PROP0SED RATES'!$A$1:$J$82</definedName>
    <definedName name="_xlnm.Print_Area" localSheetId="10">'Recap Summary'!$A$1:$R$67</definedName>
    <definedName name="_xlnm.Print_Area" localSheetId="8">'ROO INPUT'!$A$3:$G$82</definedName>
    <definedName name="_xlnm.Print_Area" localSheetId="2">'RR SUMMARY'!$A$1:$F$33,'RR SUMMARY'!$G$1:$M$19</definedName>
    <definedName name="Print_for_CBReport" localSheetId="10">'Recap Summary'!$A$11:$I$57</definedName>
    <definedName name="Print_for_Checking" localSheetId="7">'[11]ADJ SUMMARY'!$A$1:'[11]ADJ SUMMARY'!#REF!</definedName>
    <definedName name="Print_for_Checking" localSheetId="0">'[9]ADJ SUMMARY'!#REF!:'[9]ADJ SUMMARY'!#REF!</definedName>
    <definedName name="Print_for_Checking" localSheetId="10">'Recap Summary'!$A$11:$I$57</definedName>
    <definedName name="Print_for_Checking">'[10]ADJ SUMMARY'!#REF!:'[10]ADJ SUMMARY'!#REF!</definedName>
    <definedName name="_xlnm.Print_Titles" localSheetId="4">'ADJ DETAIL INPUT'!$A:$D,'ADJ DETAIL INPUT'!$2:$10</definedName>
    <definedName name="_xlnm.Print_Titles" localSheetId="0">'Exh. No. BGM-4 (1)'!$A:$G</definedName>
    <definedName name="_xlnm.Print_Titles" localSheetId="9">'LEAD SHEETS-DO NOT ENTER'!$A:$D,'LEAD SHEETS-DO NOT ENTER'!$2:$11</definedName>
    <definedName name="RRC_Adjustment_Print" localSheetId="0">#REF!</definedName>
    <definedName name="RRC_Rate_Print" localSheetId="0">#REF!</definedName>
    <definedName name="SAPBEXhrIndnt">"Wide"</definedName>
    <definedName name="SAPsysID">"708C5W7SBKP804JT78WJ0JNKI"</definedName>
    <definedName name="SAPwbID">"ARS"</definedName>
    <definedName name="Summary" localSheetId="7">#REF!</definedName>
    <definedName name="Summary" localSheetId="0">#REF!</definedName>
    <definedName name="Summary" localSheetId="9">#REF!</definedName>
    <definedName name="Summary">#REF!</definedName>
    <definedName name="TableName">"Dummy"</definedName>
    <definedName name="TESTYEAR" localSheetId="0">'[1]Named Ranges'!$C$5</definedName>
    <definedName name="TESTYEAR">'[2]Named Ranges'!$C$5</definedName>
    <definedName name="TESTYEAR_E" localSheetId="0">'[3]Named Ranges E'!$C$5</definedName>
    <definedName name="TESTYEAR_E">'[4]Named Ranges E'!$C$5</definedName>
    <definedName name="TESTYEAR_GAS">'[5]Named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A_Elec" localSheetId="3">[7]DebtCalc!#REF!</definedName>
    <definedName name="WA_Elec" localSheetId="7">'DEBT CALC'!$A$1:$F$88</definedName>
    <definedName name="WA_Elec" localSheetId="9">#REF!</definedName>
    <definedName name="WA_Elec" localSheetId="1">[8]DebtCalc!#REF!</definedName>
    <definedName name="WA_Elec" localSheetId="10">#REF!</definedName>
    <definedName name="WA_Elec" localSheetId="2">[8]DebtCalc!#REF!</definedName>
    <definedName name="WA_Gas" localSheetId="7">'DEBT CALC'!#REF!</definedName>
    <definedName name="WA_Gas" localSheetId="0">'[9]DEBT CALC'!#REF!</definedName>
    <definedName name="WA_Gas" localSheetId="9">#REF!</definedName>
    <definedName name="WA_Gas">'[10]DEBT CALC'!#REF!</definedName>
    <definedName name="Z_5BE913A1_B14F_11D2_B0DC_0000832CDFF0_.wvu.Cols" localSheetId="4" hidden="1">'ADJ DETAIL INPUT'!$W:$AY</definedName>
    <definedName name="Z_5BE913A1_B14F_11D2_B0DC_0000832CDFF0_.wvu.Cols" localSheetId="9" hidden="1">'LEAD SHEETS-DO NOT ENTER'!$AB:$AD</definedName>
    <definedName name="Z_5BE913A1_B14F_11D2_B0DC_0000832CDFF0_.wvu.PrintArea" localSheetId="4" hidden="1">'ADJ DETAIL INPUT'!$E$11:$AY$82</definedName>
    <definedName name="Z_5BE913A1_B14F_11D2_B0DC_0000832CDFF0_.wvu.PrintArea" localSheetId="6" hidden="1">'ADJ SUMMARY'!$A$1:$F$50</definedName>
    <definedName name="Z_5BE913A1_B14F_11D2_B0DC_0000832CDFF0_.wvu.PrintArea" localSheetId="9" hidden="1">'LEAD SHEETS-DO NOT ENTER'!$E$12:$AD$83</definedName>
    <definedName name="Z_5BE913A1_B14F_11D2_B0DC_0000832CDFF0_.wvu.PrintArea" localSheetId="10" hidden="1">'Recap Summary'!$A$11:$I$57</definedName>
    <definedName name="Z_5BE913A1_B14F_11D2_B0DC_0000832CDFF0_.wvu.PrintArea" localSheetId="8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SUMMARY'!$29:$50,'ADJ SUMMARY'!#REF!</definedName>
    <definedName name="Z_5BE913A1_B14F_11D2_B0DC_0000832CDFF0_.wvu.Rows" localSheetId="10" hidden="1">'Recap Summary'!$32:$32,'Recap Summary'!$35:$57,'Recap Summary'!#REF!</definedName>
    <definedName name="Z_A15D1964_B049_11D2_8670_0000832CEEE8_.wvu.Cols" localSheetId="4" hidden="1">'ADJ DETAIL INPUT'!$W:$AY</definedName>
    <definedName name="Z_A15D1964_B049_11D2_8670_0000832CEEE8_.wvu.Cols" localSheetId="9" hidden="1">'LEAD SHEETS-DO NOT ENTER'!$AB:$AD</definedName>
    <definedName name="Z_A15D1964_B049_11D2_8670_0000832CEEE8_.wvu.PrintArea" localSheetId="4" hidden="1">'ADJ DETAIL INPUT'!$E$11:$AY$82</definedName>
    <definedName name="Z_A15D1964_B049_11D2_8670_0000832CEEE8_.wvu.PrintArea" localSheetId="6" hidden="1">'ADJ SUMMARY'!$A$1:$F$50</definedName>
    <definedName name="Z_A15D1964_B049_11D2_8670_0000832CEEE8_.wvu.PrintArea" localSheetId="9" hidden="1">'LEAD SHEETS-DO NOT ENTER'!$E$12:$AD$83</definedName>
    <definedName name="Z_A15D1964_B049_11D2_8670_0000832CEEE8_.wvu.PrintArea" localSheetId="10" hidden="1">'Recap Summary'!$A$11:$I$57</definedName>
    <definedName name="Z_A15D1964_B049_11D2_8670_0000832CEEE8_.wvu.PrintArea" localSheetId="8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SUMMARY'!$29:$50,'ADJ SUMMARY'!#REF!</definedName>
    <definedName name="Z_A15D1964_B049_11D2_8670_0000832CEEE8_.wvu.Rows" localSheetId="10" hidden="1">'Recap Summary'!$32:$32,'Recap Summary'!$35:$57,'Recap Summary'!#REF!</definedName>
  </definedNames>
  <calcPr calcId="19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77" i="1" l="1"/>
  <c r="AQ45" i="1"/>
  <c r="AA55" i="79"/>
  <c r="AD43" i="1"/>
  <c r="AD39" i="1"/>
  <c r="AD38" i="1"/>
  <c r="AD33" i="1"/>
  <c r="AD22" i="1"/>
  <c r="AH43" i="1" l="1"/>
  <c r="Y41" i="79"/>
  <c r="AP68" i="1"/>
  <c r="AP63" i="1"/>
  <c r="AC49" i="79"/>
  <c r="Y49" i="79"/>
  <c r="AS73" i="1"/>
  <c r="AS70" i="1"/>
  <c r="AS69" i="1"/>
  <c r="AS68" i="1"/>
  <c r="AS64" i="1"/>
  <c r="AS63" i="1"/>
  <c r="AS62" i="1"/>
  <c r="AS44" i="1"/>
  <c r="AS34" i="1"/>
  <c r="AS28" i="1"/>
  <c r="AC52" i="79"/>
  <c r="Y52" i="79"/>
  <c r="AE47" i="1" l="1"/>
  <c r="AE48" i="1"/>
  <c r="AE50" i="1"/>
  <c r="AE53" i="1" s="1"/>
  <c r="AE65" i="1"/>
  <c r="AE24" i="1"/>
  <c r="AE30" i="1"/>
  <c r="AE36" i="1"/>
  <c r="Y38" i="79"/>
  <c r="T53" i="79"/>
  <c r="AA53" i="79"/>
  <c r="R53" i="79" s="1"/>
  <c r="AT72" i="1"/>
  <c r="AT74" i="1" s="1"/>
  <c r="AT81" i="1" s="1"/>
  <c r="AT71" i="1"/>
  <c r="AT65" i="1"/>
  <c r="AT47" i="1"/>
  <c r="AT36" i="1"/>
  <c r="AT30" i="1"/>
  <c r="AT24" i="1"/>
  <c r="AT17" i="1"/>
  <c r="V53" i="79" l="1"/>
  <c r="AE53" i="79" s="1"/>
  <c r="AT48" i="1"/>
  <c r="AT50" i="1" s="1"/>
  <c r="AT54" i="1"/>
  <c r="AT53" i="1" l="1"/>
  <c r="AT58" i="1" s="1"/>
  <c r="AT88" i="1" s="1"/>
  <c r="AT89" i="1" s="1"/>
  <c r="AT83" i="1" s="1"/>
  <c r="A49" i="75" l="1"/>
  <c r="AW45" i="1"/>
  <c r="AW47" i="1" s="1"/>
  <c r="AV45" i="1"/>
  <c r="AV47" i="1" s="1"/>
  <c r="AW71" i="1"/>
  <c r="AW65" i="1"/>
  <c r="AW72" i="1" s="1"/>
  <c r="AW74" i="1" s="1"/>
  <c r="AW81" i="1" s="1"/>
  <c r="AW36" i="1"/>
  <c r="AW30" i="1"/>
  <c r="AW24" i="1"/>
  <c r="AW17" i="1"/>
  <c r="T55" i="79"/>
  <c r="T56" i="79"/>
  <c r="AA56" i="79"/>
  <c r="AA54" i="79"/>
  <c r="AU43" i="1"/>
  <c r="AU47" i="1" s="1"/>
  <c r="T54" i="79"/>
  <c r="AV71" i="1"/>
  <c r="AV65" i="1"/>
  <c r="AV36" i="1"/>
  <c r="AV30" i="1"/>
  <c r="AV24" i="1"/>
  <c r="AV17" i="1"/>
  <c r="AU36" i="1"/>
  <c r="AU30" i="1"/>
  <c r="AU24" i="1"/>
  <c r="AU17" i="1"/>
  <c r="Y37" i="79"/>
  <c r="AA50" i="79"/>
  <c r="T50" i="79"/>
  <c r="AW48" i="1" l="1"/>
  <c r="AW50" i="1" s="1"/>
  <c r="AV48" i="1"/>
  <c r="AV50" i="1" s="1"/>
  <c r="AV53" i="1" s="1"/>
  <c r="AV72" i="1"/>
  <c r="AV74" i="1" s="1"/>
  <c r="AV81" i="1" s="1"/>
  <c r="AU65" i="1"/>
  <c r="AU71" i="1"/>
  <c r="AU48" i="1"/>
  <c r="AU50" i="1" s="1"/>
  <c r="AW53" i="1" l="1"/>
  <c r="AU72" i="1"/>
  <c r="AU74" i="1" s="1"/>
  <c r="AU81" i="1" s="1"/>
  <c r="AU53" i="1"/>
  <c r="AA41" i="79" l="1"/>
  <c r="AA40" i="79" l="1"/>
  <c r="AG43" i="1"/>
  <c r="AA49" i="79" l="1"/>
  <c r="AP45" i="1"/>
  <c r="T52" i="79" l="1"/>
  <c r="AA48" i="79" l="1"/>
  <c r="AC48" i="79"/>
  <c r="AA45" i="79"/>
  <c r="AC45" i="79"/>
  <c r="AA46" i="79"/>
  <c r="AC46" i="79"/>
  <c r="AA47" i="79"/>
  <c r="AC47" i="79"/>
  <c r="AA44" i="79"/>
  <c r="AC44" i="79"/>
  <c r="AK29" i="79" l="1"/>
  <c r="AM29" i="79" s="1"/>
  <c r="AM28" i="79"/>
  <c r="AK23" i="79"/>
  <c r="AM23" i="79" s="1"/>
  <c r="AM22" i="79"/>
  <c r="AM17" i="79"/>
  <c r="AM16" i="79"/>
  <c r="AM18" i="79" s="1"/>
  <c r="AM10" i="79"/>
  <c r="AM11" i="79"/>
  <c r="J13" i="55"/>
  <c r="J11" i="55"/>
  <c r="K13" i="55"/>
  <c r="K11" i="55"/>
  <c r="R54" i="79" l="1"/>
  <c r="R55" i="79"/>
  <c r="R56" i="79"/>
  <c r="AM24" i="79"/>
  <c r="AM30" i="79"/>
  <c r="T44" i="79" l="1"/>
  <c r="R44" i="79" s="1"/>
  <c r="T45" i="79"/>
  <c r="R45" i="79" s="1"/>
  <c r="T46" i="79"/>
  <c r="R46" i="79" s="1"/>
  <c r="T47" i="79"/>
  <c r="R47" i="79" s="1"/>
  <c r="T48" i="79"/>
  <c r="R48" i="79" s="1"/>
  <c r="T49" i="79"/>
  <c r="R50" i="79"/>
  <c r="T51" i="79"/>
  <c r="AK4" i="79"/>
  <c r="T21" i="79"/>
  <c r="R21" i="79" s="1"/>
  <c r="T22" i="79"/>
  <c r="R22" i="79" s="1"/>
  <c r="T23" i="79"/>
  <c r="R23" i="79" s="1"/>
  <c r="T24" i="79"/>
  <c r="R24" i="79" s="1"/>
  <c r="T25" i="79"/>
  <c r="R25" i="79" s="1"/>
  <c r="T26" i="79"/>
  <c r="R26" i="79" s="1"/>
  <c r="T27" i="79"/>
  <c r="T28" i="79"/>
  <c r="R28" i="79" s="1"/>
  <c r="Y51" i="79"/>
  <c r="Y48" i="79"/>
  <c r="Y47" i="79"/>
  <c r="Y46" i="79"/>
  <c r="Y45" i="79"/>
  <c r="Y44" i="79"/>
  <c r="Y43" i="79"/>
  <c r="Y42" i="79"/>
  <c r="Y39" i="79"/>
  <c r="Y36" i="79"/>
  <c r="Y35" i="79"/>
  <c r="Y34" i="79"/>
  <c r="Y28" i="79"/>
  <c r="Y27" i="79"/>
  <c r="Y26" i="79"/>
  <c r="Y25" i="79"/>
  <c r="Y24" i="79"/>
  <c r="Y23" i="79"/>
  <c r="Y22" i="79"/>
  <c r="Y21" i="79"/>
  <c r="Y20" i="79"/>
  <c r="Y19" i="79"/>
  <c r="Y18" i="79"/>
  <c r="Y17" i="79"/>
  <c r="Y16" i="79"/>
  <c r="Y15" i="79"/>
  <c r="Y13" i="79"/>
  <c r="Y12" i="79"/>
  <c r="Y11" i="79"/>
  <c r="Y10" i="79"/>
  <c r="K52" i="79" l="1"/>
  <c r="K19" i="79"/>
  <c r="T43" i="79"/>
  <c r="R43" i="79" s="1"/>
  <c r="T42" i="79"/>
  <c r="R42" i="79" s="1"/>
  <c r="T41" i="79"/>
  <c r="R41" i="79" s="1"/>
  <c r="T40" i="79"/>
  <c r="R40" i="79" s="1"/>
  <c r="T39" i="79"/>
  <c r="R39" i="79" s="1"/>
  <c r="T38" i="79"/>
  <c r="R38" i="79" s="1"/>
  <c r="T37" i="79"/>
  <c r="R37" i="79" s="1"/>
  <c r="T36" i="79"/>
  <c r="R36" i="79" s="1"/>
  <c r="T35" i="79"/>
  <c r="R35" i="79" s="1"/>
  <c r="T34" i="79"/>
  <c r="R34" i="79" s="1"/>
  <c r="T20" i="79"/>
  <c r="R20" i="79" s="1"/>
  <c r="T19" i="79"/>
  <c r="R19" i="79" s="1"/>
  <c r="T18" i="79"/>
  <c r="R18" i="79" s="1"/>
  <c r="T17" i="79"/>
  <c r="R17" i="79" s="1"/>
  <c r="T16" i="79"/>
  <c r="R16" i="79" s="1"/>
  <c r="T15" i="79"/>
  <c r="R15" i="79" s="1"/>
  <c r="AC31" i="79"/>
  <c r="T13" i="79"/>
  <c r="R13" i="79" s="1"/>
  <c r="T12" i="79"/>
  <c r="R12" i="79" s="1"/>
  <c r="T11" i="79"/>
  <c r="R11" i="79" s="1"/>
  <c r="T10" i="79"/>
  <c r="R10" i="79" s="1"/>
  <c r="B10" i="79"/>
  <c r="T14" i="79" l="1"/>
  <c r="R14" i="79" s="1"/>
  <c r="B11" i="79"/>
  <c r="B12" i="79" s="1"/>
  <c r="AA31" i="79"/>
  <c r="AM12" i="79"/>
  <c r="Y14" i="79"/>
  <c r="Y31" i="79" s="1"/>
  <c r="V54" i="79" l="1"/>
  <c r="AE54" i="79" s="1"/>
  <c r="V56" i="79"/>
  <c r="AE56" i="79" s="1"/>
  <c r="V55" i="79"/>
  <c r="AE55" i="79" s="1"/>
  <c r="O19" i="79"/>
  <c r="V19" i="79"/>
  <c r="B13" i="79"/>
  <c r="AE19" i="79" l="1"/>
  <c r="B14" i="79"/>
  <c r="B15" i="79" l="1"/>
  <c r="B16" i="79" l="1"/>
  <c r="B17" i="79" l="1"/>
  <c r="B18" i="79" s="1"/>
  <c r="B19" i="79" l="1"/>
  <c r="B20" i="79" l="1"/>
  <c r="B21" i="79" l="1"/>
  <c r="B51" i="69"/>
  <c r="B50" i="69"/>
  <c r="B49" i="69"/>
  <c r="B48" i="69"/>
  <c r="B47" i="69"/>
  <c r="B38" i="69"/>
  <c r="B37" i="69"/>
  <c r="B22" i="79" l="1"/>
  <c r="AS8" i="76"/>
  <c r="AS9" i="76"/>
  <c r="AS10" i="76"/>
  <c r="AS11" i="76"/>
  <c r="AS12" i="76"/>
  <c r="B23" i="79" l="1"/>
  <c r="AQ8" i="76"/>
  <c r="AR8" i="76"/>
  <c r="AQ9" i="76"/>
  <c r="AR9" i="76"/>
  <c r="AQ10" i="76"/>
  <c r="AR10" i="76"/>
  <c r="AQ11" i="76"/>
  <c r="AR11" i="76"/>
  <c r="AQ12" i="76"/>
  <c r="AR12" i="76"/>
  <c r="AR15" i="76"/>
  <c r="AR16" i="76"/>
  <c r="AR17" i="76"/>
  <c r="AR22" i="76"/>
  <c r="AR23" i="76"/>
  <c r="AR24" i="76"/>
  <c r="AR28" i="76"/>
  <c r="AR29" i="76"/>
  <c r="AR30" i="76"/>
  <c r="AR34" i="76"/>
  <c r="AR35" i="76"/>
  <c r="AR36" i="76"/>
  <c r="AR39" i="76"/>
  <c r="AR40" i="76"/>
  <c r="AR41" i="76"/>
  <c r="AR44" i="76"/>
  <c r="AR45" i="76"/>
  <c r="AR47" i="76"/>
  <c r="AR56" i="76"/>
  <c r="AR57" i="76"/>
  <c r="AR63" i="76"/>
  <c r="AR64" i="76"/>
  <c r="AR65" i="76"/>
  <c r="AR69" i="76"/>
  <c r="AR70" i="76"/>
  <c r="AR71" i="76"/>
  <c r="AR74" i="76"/>
  <c r="AR76" i="76"/>
  <c r="AR77" i="76"/>
  <c r="AR78" i="76"/>
  <c r="AR79" i="76"/>
  <c r="B24" i="79" l="1"/>
  <c r="AR66" i="76"/>
  <c r="AR72" i="76"/>
  <c r="AR73" i="76" s="1"/>
  <c r="AR75" i="76" s="1"/>
  <c r="AR82" i="76" s="1"/>
  <c r="AR31" i="76"/>
  <c r="AR18" i="76"/>
  <c r="AR37" i="76"/>
  <c r="AR25" i="76"/>
  <c r="C53" i="3"/>
  <c r="B53" i="3"/>
  <c r="A53" i="3"/>
  <c r="B25" i="79" l="1"/>
  <c r="B26" i="79" l="1"/>
  <c r="E53" i="3"/>
  <c r="AP33" i="1"/>
  <c r="B27" i="79" l="1"/>
  <c r="X44" i="1"/>
  <c r="B28" i="79" l="1"/>
  <c r="B31" i="79" s="1"/>
  <c r="B34" i="79" l="1"/>
  <c r="B35" i="79" s="1"/>
  <c r="AL8" i="76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P66" i="76" l="1"/>
  <c r="AO37" i="76"/>
  <c r="B36" i="79"/>
  <c r="B37" i="79" s="1"/>
  <c r="B38" i="79" s="1"/>
  <c r="B39" i="79" s="1"/>
  <c r="B40" i="79" s="1"/>
  <c r="B41" i="79" s="1"/>
  <c r="B42" i="79" s="1"/>
  <c r="B43" i="79" s="1"/>
  <c r="AP72" i="76"/>
  <c r="AP73" i="76" s="1"/>
  <c r="AP75" i="76" s="1"/>
  <c r="AP82" i="76" s="1"/>
  <c r="AO25" i="76"/>
  <c r="AO66" i="76"/>
  <c r="AO31" i="76"/>
  <c r="AO72" i="76"/>
  <c r="AO48" i="76"/>
  <c r="AP18" i="76"/>
  <c r="AL18" i="76"/>
  <c r="AM18" i="76"/>
  <c r="AN18" i="76"/>
  <c r="AO18" i="76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B44" i="79" l="1"/>
  <c r="B45" i="79" s="1"/>
  <c r="B46" i="79" s="1"/>
  <c r="B47" i="79" s="1"/>
  <c r="B48" i="79" s="1"/>
  <c r="B49" i="79" s="1"/>
  <c r="B50" i="79" s="1"/>
  <c r="B51" i="79" s="1"/>
  <c r="B52" i="79" s="1"/>
  <c r="AO73" i="76"/>
  <c r="AO75" i="76" s="1"/>
  <c r="AO82" i="76" s="1"/>
  <c r="AO49" i="76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P34" i="1"/>
  <c r="AN35" i="76" s="1"/>
  <c r="AN37" i="76" s="1"/>
  <c r="AN49" i="76" s="1"/>
  <c r="AN51" i="76" s="1"/>
  <c r="AN74" i="76"/>
  <c r="AN71" i="76"/>
  <c r="AN70" i="76"/>
  <c r="AN64" i="76"/>
  <c r="AN65" i="76"/>
  <c r="B53" i="79" l="1"/>
  <c r="B54" i="79" s="1"/>
  <c r="AN72" i="76"/>
  <c r="AN66" i="76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N65" i="1"/>
  <c r="AO65" i="1"/>
  <c r="AN71" i="1"/>
  <c r="AO71" i="1"/>
  <c r="B55" i="79" l="1"/>
  <c r="B56" i="79" s="1"/>
  <c r="AN73" i="76"/>
  <c r="AN75" i="76" s="1"/>
  <c r="AN82" i="76" s="1"/>
  <c r="AN72" i="1"/>
  <c r="AN74" i="1" s="1"/>
  <c r="AN81" i="1" s="1"/>
  <c r="AO72" i="1"/>
  <c r="AO74" i="1" s="1"/>
  <c r="AO81" i="1" s="1"/>
  <c r="AO48" i="1"/>
  <c r="AO50" i="1" s="1"/>
  <c r="AO53" i="1" s="1"/>
  <c r="AM54" i="76" s="1"/>
  <c r="AN48" i="1"/>
  <c r="AN50" i="1" s="1"/>
  <c r="AN53" i="1" s="1"/>
  <c r="AL54" i="76" s="1"/>
  <c r="B59" i="79" l="1"/>
  <c r="B61" i="79" s="1"/>
  <c r="B63" i="79" s="1"/>
  <c r="E44" i="3"/>
  <c r="F45" i="75" s="1"/>
  <c r="G45" i="75" s="1"/>
  <c r="I50" i="69"/>
  <c r="L50" i="69" s="1"/>
  <c r="E43" i="3"/>
  <c r="F44" i="75" s="1"/>
  <c r="G44" i="75" s="1"/>
  <c r="I49" i="69"/>
  <c r="L49" i="69" s="1"/>
  <c r="X70" i="1"/>
  <c r="X64" i="1"/>
  <c r="AA8" i="76" l="1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47" i="1"/>
  <c r="AC36" i="1"/>
  <c r="AC30" i="1"/>
  <c r="AC24" i="1"/>
  <c r="AC17" i="1"/>
  <c r="AC72" i="1" l="1"/>
  <c r="AC74" i="1" s="1"/>
  <c r="AC81" i="1" s="1"/>
  <c r="AA18" i="76"/>
  <c r="AA72" i="76"/>
  <c r="AA48" i="76"/>
  <c r="AA66" i="76"/>
  <c r="AA25" i="76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B71" i="1"/>
  <c r="AB65" i="1"/>
  <c r="AB47" i="1"/>
  <c r="AB36" i="1"/>
  <c r="AB30" i="1"/>
  <c r="AB24" i="1"/>
  <c r="AB17" i="1"/>
  <c r="AC10" i="1" l="1"/>
  <c r="A38" i="69" s="1"/>
  <c r="A37" i="69"/>
  <c r="E32" i="3"/>
  <c r="F33" i="75" s="1"/>
  <c r="G33" i="75" s="1"/>
  <c r="I38" i="69"/>
  <c r="L38" i="69" s="1"/>
  <c r="AA49" i="76"/>
  <c r="AA51" i="76" s="1"/>
  <c r="AB72" i="1"/>
  <c r="AB74" i="1" s="1"/>
  <c r="AB81" i="1" s="1"/>
  <c r="AA73" i="76"/>
  <c r="AA75" i="76" s="1"/>
  <c r="AA82" i="76" s="1"/>
  <c r="A31" i="3"/>
  <c r="A32" i="75" s="1"/>
  <c r="Z11" i="76"/>
  <c r="Z66" i="76"/>
  <c r="Z18" i="76"/>
  <c r="Z72" i="76"/>
  <c r="Z48" i="76"/>
  <c r="Z25" i="76"/>
  <c r="Z31" i="76"/>
  <c r="Z37" i="76"/>
  <c r="AB48" i="1"/>
  <c r="AB50" i="1" s="1"/>
  <c r="AB53" i="1" s="1"/>
  <c r="Z54" i="76" s="1"/>
  <c r="AD10" i="1" l="1"/>
  <c r="A32" i="3"/>
  <c r="A33" i="75" s="1"/>
  <c r="E31" i="3"/>
  <c r="F32" i="75" s="1"/>
  <c r="G32" i="75" s="1"/>
  <c r="I37" i="69"/>
  <c r="L37" i="69" s="1"/>
  <c r="AA11" i="76"/>
  <c r="Z73" i="76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52" i="75"/>
  <c r="C45" i="3"/>
  <c r="B46" i="75" s="1"/>
  <c r="C42" i="3"/>
  <c r="B43" i="75" s="1"/>
  <c r="C41" i="3"/>
  <c r="B42" i="75" s="1"/>
  <c r="B45" i="3"/>
  <c r="B42" i="3"/>
  <c r="B41" i="3"/>
  <c r="AS71" i="1"/>
  <c r="AS65" i="1"/>
  <c r="AS24" i="1"/>
  <c r="AS17" i="1"/>
  <c r="AP71" i="1"/>
  <c r="AP65" i="1"/>
  <c r="AP47" i="1"/>
  <c r="AP36" i="1"/>
  <c r="AP30" i="1"/>
  <c r="AP24" i="1"/>
  <c r="AP17" i="1"/>
  <c r="AM71" i="1"/>
  <c r="AM65" i="1"/>
  <c r="AM47" i="1"/>
  <c r="AM36" i="1"/>
  <c r="AM30" i="1"/>
  <c r="AM24" i="1"/>
  <c r="AM17" i="1"/>
  <c r="AL71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39" i="5" s="1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G37" i="5"/>
  <c r="AK66" i="76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72" i="1"/>
  <c r="AM74" i="1" s="1"/>
  <c r="AM81" i="1" s="1"/>
  <c r="AM48" i="1"/>
  <c r="AM50" i="1" s="1"/>
  <c r="AM53" i="1" s="1"/>
  <c r="AK54" i="76" s="1"/>
  <c r="AL48" i="1"/>
  <c r="AL50" i="1" s="1"/>
  <c r="AL53" i="1" s="1"/>
  <c r="AJ54" i="76" s="1"/>
  <c r="E15" i="5"/>
  <c r="F37" i="5"/>
  <c r="F16" i="5"/>
  <c r="E16" i="5" s="1"/>
  <c r="H16" i="5" s="1"/>
  <c r="E22" i="5"/>
  <c r="E28" i="5"/>
  <c r="E44" i="5"/>
  <c r="F52" i="75" l="1"/>
  <c r="G52" i="75" s="1"/>
  <c r="F49" i="75"/>
  <c r="G49" i="75" s="1"/>
  <c r="E42" i="3"/>
  <c r="F43" i="75" s="1"/>
  <c r="G43" i="75" s="1"/>
  <c r="I48" i="69"/>
  <c r="L48" i="69" s="1"/>
  <c r="E45" i="3"/>
  <c r="F46" i="75" s="1"/>
  <c r="G46" i="75" s="1"/>
  <c r="I51" i="69"/>
  <c r="L51" i="69" s="1"/>
  <c r="E41" i="3"/>
  <c r="F42" i="75" s="1"/>
  <c r="G42" i="75" s="1"/>
  <c r="I47" i="69"/>
  <c r="L47" i="69" s="1"/>
  <c r="AJ73" i="76"/>
  <c r="AJ75" i="76" s="1"/>
  <c r="AJ82" i="76" s="1"/>
  <c r="G49" i="5"/>
  <c r="G51" i="5" s="1"/>
  <c r="G59" i="5" s="1"/>
  <c r="E72" i="5"/>
  <c r="F25" i="5"/>
  <c r="F72" i="5"/>
  <c r="AK73" i="76"/>
  <c r="AK75" i="76" s="1"/>
  <c r="AK82" i="76" s="1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7" i="69" l="1"/>
  <c r="E17" i="69"/>
  <c r="AG35" i="76" l="1"/>
  <c r="L11" i="55" l="1"/>
  <c r="L13" i="55"/>
  <c r="X17" i="1"/>
  <c r="X24" i="1"/>
  <c r="X30" i="1"/>
  <c r="X36" i="1"/>
  <c r="X47" i="1"/>
  <c r="X65" i="1"/>
  <c r="X71" i="1"/>
  <c r="X72" i="1" l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5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J15" i="55"/>
  <c r="L15" i="55" l="1"/>
  <c r="N12" i="55"/>
  <c r="AW54" i="1" s="1"/>
  <c r="AW58" i="1" s="1"/>
  <c r="AV54" i="1" l="1"/>
  <c r="AV58" i="1" s="1"/>
  <c r="AU54" i="1"/>
  <c r="AU58" i="1" s="1"/>
  <c r="AO54" i="1"/>
  <c r="AN54" i="1"/>
  <c r="AL55" i="76" s="1"/>
  <c r="AL59" i="76" s="1"/>
  <c r="AM54" i="1"/>
  <c r="BC39" i="1"/>
  <c r="F13" i="55"/>
  <c r="BC40" i="1"/>
  <c r="AM55" i="76"/>
  <c r="AM59" i="76" s="1"/>
  <c r="AC54" i="1"/>
  <c r="AB54" i="1"/>
  <c r="AL54" i="1"/>
  <c r="AS54" i="1"/>
  <c r="AJ54" i="1"/>
  <c r="AJ58" i="1" s="1"/>
  <c r="AP54" i="1"/>
  <c r="AN55" i="76" s="1"/>
  <c r="AN59" i="76" s="1"/>
  <c r="AG54" i="1"/>
  <c r="AG58" i="1" s="1"/>
  <c r="X54" i="1"/>
  <c r="X58" i="1" s="1"/>
  <c r="I54" i="1"/>
  <c r="I58" i="1" s="1"/>
  <c r="E86" i="1"/>
  <c r="O10" i="69"/>
  <c r="C27" i="3"/>
  <c r="B30" i="75" s="1"/>
  <c r="B27" i="3"/>
  <c r="AV88" i="1" l="1"/>
  <c r="AW88" i="1"/>
  <c r="AU88" i="1"/>
  <c r="AR55" i="76"/>
  <c r="BB40" i="1"/>
  <c r="BC43" i="1" s="1"/>
  <c r="K43" i="79"/>
  <c r="O43" i="79" s="1"/>
  <c r="V43" i="79"/>
  <c r="K28" i="79"/>
  <c r="O28" i="79" s="1"/>
  <c r="V28" i="79"/>
  <c r="K40" i="79"/>
  <c r="O40" i="79" s="1"/>
  <c r="V40" i="79"/>
  <c r="AE40" i="79" s="1"/>
  <c r="K13" i="79"/>
  <c r="O13" i="79" s="1"/>
  <c r="V13" i="79"/>
  <c r="AO58" i="1"/>
  <c r="AN58" i="1"/>
  <c r="Z55" i="76"/>
  <c r="Z59" i="76" s="1"/>
  <c r="AB58" i="1"/>
  <c r="AA55" i="76"/>
  <c r="AA59" i="76" s="1"/>
  <c r="AC58" i="1"/>
  <c r="AP58" i="1"/>
  <c r="AK55" i="76"/>
  <c r="AK59" i="76" s="1"/>
  <c r="AM58" i="1"/>
  <c r="AJ55" i="76"/>
  <c r="AJ59" i="76" s="1"/>
  <c r="AL58" i="1"/>
  <c r="AJ88" i="1"/>
  <c r="AG88" i="1"/>
  <c r="I55" i="76"/>
  <c r="I59" i="76" s="1"/>
  <c r="I88" i="1"/>
  <c r="H15" i="69"/>
  <c r="K15" i="69" s="1"/>
  <c r="D12" i="3"/>
  <c r="B33" i="69"/>
  <c r="B31" i="69"/>
  <c r="AE13" i="79" l="1"/>
  <c r="AE28" i="79"/>
  <c r="AE43" i="79"/>
  <c r="K36" i="79"/>
  <c r="O36" i="79" s="1"/>
  <c r="V36" i="79"/>
  <c r="K35" i="79"/>
  <c r="O35" i="79" s="1"/>
  <c r="V35" i="79"/>
  <c r="K45" i="79"/>
  <c r="O45" i="79" s="1"/>
  <c r="V45" i="79"/>
  <c r="K49" i="79"/>
  <c r="O49" i="79" s="1"/>
  <c r="H49" i="69"/>
  <c r="K49" i="69" s="1"/>
  <c r="K46" i="79"/>
  <c r="O46" i="79" s="1"/>
  <c r="V46" i="79"/>
  <c r="H50" i="69"/>
  <c r="K50" i="69" s="1"/>
  <c r="D45" i="3"/>
  <c r="H51" i="69"/>
  <c r="K51" i="69" s="1"/>
  <c r="D32" i="3"/>
  <c r="H38" i="69"/>
  <c r="K38" i="69" s="1"/>
  <c r="D42" i="3"/>
  <c r="H48" i="69"/>
  <c r="K48" i="69" s="1"/>
  <c r="D31" i="3"/>
  <c r="H37" i="69"/>
  <c r="K37" i="69" s="1"/>
  <c r="D41" i="3"/>
  <c r="H47" i="69"/>
  <c r="K47" i="69" s="1"/>
  <c r="AN88" i="1"/>
  <c r="D43" i="3"/>
  <c r="AO88" i="1"/>
  <c r="D44" i="3"/>
  <c r="AC88" i="1"/>
  <c r="AB88" i="1"/>
  <c r="AL88" i="1"/>
  <c r="AP88" i="1"/>
  <c r="AM88" i="1"/>
  <c r="X55" i="76"/>
  <c r="X54" i="76"/>
  <c r="AE46" i="79" l="1"/>
  <c r="K48" i="79"/>
  <c r="O48" i="79" s="1"/>
  <c r="V48" i="79"/>
  <c r="AE35" i="79"/>
  <c r="K47" i="79"/>
  <c r="O47" i="79" s="1"/>
  <c r="V47" i="79"/>
  <c r="AE45" i="79"/>
  <c r="AE36" i="79"/>
  <c r="X59" i="76"/>
  <c r="E27" i="3"/>
  <c r="F30" i="75" s="1"/>
  <c r="I33" i="69"/>
  <c r="L33" i="69" s="1"/>
  <c r="AE47" i="79" l="1"/>
  <c r="AE48" i="79"/>
  <c r="G30" i="75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F72" i="1" l="1"/>
  <c r="AF74" i="1" s="1"/>
  <c r="AF81" i="1" s="1"/>
  <c r="AF54" i="1" s="1"/>
  <c r="AI72" i="1"/>
  <c r="AI74" i="1" s="1"/>
  <c r="AI81" i="1" s="1"/>
  <c r="AI54" i="1" s="1"/>
  <c r="AD48" i="1"/>
  <c r="AI48" i="1"/>
  <c r="AI50" i="1" s="1"/>
  <c r="AI53" i="1" s="1"/>
  <c r="AF48" i="1"/>
  <c r="AF50" i="1" s="1"/>
  <c r="AF53" i="1" s="1"/>
  <c r="AD50" i="1" l="1"/>
  <c r="AD53" i="1" s="1"/>
  <c r="AF58" i="1"/>
  <c r="AI58" i="1"/>
  <c r="AD58" i="1" l="1"/>
  <c r="K37" i="79"/>
  <c r="O37" i="79" s="1"/>
  <c r="V37" i="79"/>
  <c r="K42" i="79"/>
  <c r="O42" i="79" s="1"/>
  <c r="V42" i="79"/>
  <c r="K39" i="79"/>
  <c r="O39" i="79" s="1"/>
  <c r="V39" i="79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AE37" i="79" l="1"/>
  <c r="AE39" i="79"/>
  <c r="AE42" i="79"/>
  <c r="V72" i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2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F72" i="76"/>
  <c r="AF66" i="76"/>
  <c r="AF25" i="76"/>
  <c r="AF31" i="76"/>
  <c r="AF37" i="76"/>
  <c r="AF48" i="76"/>
  <c r="AF18" i="76"/>
  <c r="AQ48" i="1"/>
  <c r="AQ50" i="1" s="1"/>
  <c r="AQ54" i="1" l="1"/>
  <c r="AO55" i="76" s="1"/>
  <c r="AQ53" i="1"/>
  <c r="AO54" i="76" s="1"/>
  <c r="E46" i="3"/>
  <c r="F47" i="75" s="1"/>
  <c r="I52" i="69"/>
  <c r="L52" i="69" s="1"/>
  <c r="AF49" i="76"/>
  <c r="AF51" i="76" s="1"/>
  <c r="AF73" i="76"/>
  <c r="AF75" i="76" s="1"/>
  <c r="AF82" i="76" s="1"/>
  <c r="AO59" i="76" l="1"/>
  <c r="G47" i="75"/>
  <c r="S38" i="1" l="1"/>
  <c r="S43" i="1"/>
  <c r="B43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3" i="69"/>
  <c r="L43" i="69" s="1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4" i="69"/>
  <c r="B45" i="69"/>
  <c r="B29" i="69"/>
  <c r="C49" i="3"/>
  <c r="B53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5" i="69" l="1"/>
  <c r="L45" i="69" s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4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4" i="69" l="1"/>
  <c r="L44" i="69" s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Z37" i="55"/>
  <c r="B53" i="69"/>
  <c r="B46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X71" i="1"/>
  <c r="AX65" i="1"/>
  <c r="AX47" i="1"/>
  <c r="AX36" i="1"/>
  <c r="AX30" i="1"/>
  <c r="AX24" i="1"/>
  <c r="AX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AK54" i="1" s="1"/>
  <c r="U11" i="76"/>
  <c r="A31" i="69"/>
  <c r="AR72" i="1"/>
  <c r="AR74" i="1" s="1"/>
  <c r="AR81" i="1" s="1"/>
  <c r="AR54" i="1" s="1"/>
  <c r="AP55" i="76" s="1"/>
  <c r="S11" i="76"/>
  <c r="AX72" i="1"/>
  <c r="AX74" i="1" s="1"/>
  <c r="AX81" i="1" s="1"/>
  <c r="AR48" i="1"/>
  <c r="AR50" i="1" s="1"/>
  <c r="AX48" i="1"/>
  <c r="AX50" i="1" s="1"/>
  <c r="AX53" i="1" s="1"/>
  <c r="AK48" i="1"/>
  <c r="AK50" i="1" s="1"/>
  <c r="AK53" i="1" s="1"/>
  <c r="AX54" i="1" l="1"/>
  <c r="AY94" i="1"/>
  <c r="A33" i="69"/>
  <c r="A27" i="3"/>
  <c r="A30" i="75" s="1"/>
  <c r="AR53" i="1"/>
  <c r="AP54" i="76" s="1"/>
  <c r="AP59" i="76" s="1"/>
  <c r="AI54" i="76"/>
  <c r="A25" i="3"/>
  <c r="A28" i="75" s="1"/>
  <c r="V11" i="76"/>
  <c r="I54" i="69"/>
  <c r="L54" i="69" s="1"/>
  <c r="E49" i="3"/>
  <c r="F53" i="75" s="1"/>
  <c r="G53" i="75" s="1"/>
  <c r="A29" i="69"/>
  <c r="A23" i="3"/>
  <c r="A26" i="75" s="1"/>
  <c r="T11" i="76"/>
  <c r="I46" i="69"/>
  <c r="E47" i="3"/>
  <c r="F48" i="75" s="1"/>
  <c r="G48" i="75" s="1"/>
  <c r="I53" i="69"/>
  <c r="L53" i="69" s="1"/>
  <c r="L36" i="69"/>
  <c r="E40" i="3"/>
  <c r="F41" i="75" l="1"/>
  <c r="G41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62" i="75" l="1"/>
  <c r="E45" i="1" l="1"/>
  <c r="E46" i="76" s="1"/>
  <c r="F82" i="76"/>
  <c r="I55" i="54"/>
  <c r="I72" i="54"/>
  <c r="I66" i="54"/>
  <c r="I31" i="54"/>
  <c r="I25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92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50" i="75"/>
  <c r="C149" i="75"/>
  <c r="B136" i="75"/>
  <c r="F134" i="75"/>
  <c r="A90" i="75"/>
  <c r="A89" i="75"/>
  <c r="C87" i="75"/>
  <c r="C165" i="75" s="1"/>
  <c r="C86" i="75"/>
  <c r="C164" i="75" s="1"/>
  <c r="C83" i="75"/>
  <c r="C161" i="75" s="1"/>
  <c r="C82" i="75"/>
  <c r="C160" i="75" s="1"/>
  <c r="C79" i="75"/>
  <c r="C157" i="75" s="1"/>
  <c r="C78" i="75"/>
  <c r="C156" i="75" s="1"/>
  <c r="C77" i="75"/>
  <c r="C155" i="75" s="1"/>
  <c r="C73" i="75"/>
  <c r="E80" i="75" s="1"/>
  <c r="I10" i="75"/>
  <c r="F138" i="75" l="1"/>
  <c r="F142" i="75" s="1"/>
  <c r="F145" i="75" s="1"/>
  <c r="C88" i="75"/>
  <c r="D87" i="75" s="1"/>
  <c r="C151" i="75"/>
  <c r="E158" i="75" s="1"/>
  <c r="C158" i="75"/>
  <c r="D157" i="75" s="1"/>
  <c r="C162" i="75"/>
  <c r="D161" i="75" s="1"/>
  <c r="C166" i="75"/>
  <c r="D164" i="75" s="1"/>
  <c r="D166" i="75" s="1"/>
  <c r="C84" i="75"/>
  <c r="D82" i="75" s="1"/>
  <c r="C80" i="75"/>
  <c r="D78" i="75" s="1"/>
  <c r="E78" i="75" s="1"/>
  <c r="E88" i="75" s="1"/>
  <c r="D83" i="75" l="1"/>
  <c r="D84" i="75" s="1"/>
  <c r="D156" i="75"/>
  <c r="D86" i="75"/>
  <c r="D88" i="75" s="1"/>
  <c r="D155" i="75"/>
  <c r="E155" i="75" s="1"/>
  <c r="E162" i="75" s="1"/>
  <c r="E161" i="75" s="1"/>
  <c r="E157" i="75"/>
  <c r="D165" i="75"/>
  <c r="E87" i="75"/>
  <c r="D79" i="75"/>
  <c r="E79" i="75" s="1"/>
  <c r="D77" i="75"/>
  <c r="D160" i="75"/>
  <c r="D158" i="75" l="1"/>
  <c r="E156" i="75"/>
  <c r="E166" i="75" s="1"/>
  <c r="E164" i="75" s="1"/>
  <c r="E86" i="75"/>
  <c r="D80" i="75"/>
  <c r="E77" i="75"/>
  <c r="E84" i="75" s="1"/>
  <c r="E160" i="75"/>
  <c r="D162" i="75"/>
  <c r="E165" i="75" l="1"/>
  <c r="E82" i="75"/>
  <c r="E83" i="75"/>
  <c r="F24" i="1" l="1"/>
  <c r="G24" i="1"/>
  <c r="H24" i="1"/>
  <c r="S24" i="1"/>
  <c r="J24" i="1"/>
  <c r="L24" i="1"/>
  <c r="M24" i="1"/>
  <c r="O24" i="1"/>
  <c r="W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F10" i="79" l="1" a="1"/>
  <c r="F10" i="79" s="1"/>
  <c r="A1" i="3"/>
  <c r="A2" i="76"/>
  <c r="A4" i="3"/>
  <c r="A4" i="55"/>
  <c r="G10" i="1"/>
  <c r="G11" i="76" s="1"/>
  <c r="F11" i="76"/>
  <c r="F11" i="79" l="1" a="1"/>
  <c r="F11" i="79" s="1"/>
  <c r="H10" i="1"/>
  <c r="F12" i="79" l="1" a="1"/>
  <c r="F12" i="79" s="1"/>
  <c r="F35" i="79" a="1"/>
  <c r="F35" i="79" s="1"/>
  <c r="H11" i="76"/>
  <c r="I10" i="1"/>
  <c r="F36" i="79" s="1" a="1"/>
  <c r="F36" i="79" s="1"/>
  <c r="A30" i="3"/>
  <c r="A31" i="75" s="1"/>
  <c r="Y11" i="76"/>
  <c r="A36" i="69"/>
  <c r="F20" i="79" l="1" a="1"/>
  <c r="F20" i="79" s="1"/>
  <c r="F17" i="79" a="1"/>
  <c r="F17" i="79" s="1"/>
  <c r="F37" i="79" a="1"/>
  <c r="F37" i="79" s="1"/>
  <c r="F25" i="79" a="1"/>
  <c r="F25" i="79" s="1"/>
  <c r="F15" i="79" a="1"/>
  <c r="F15" i="79" s="1"/>
  <c r="F19" i="79" a="1"/>
  <c r="F19" i="79" s="1"/>
  <c r="F14" i="79" a="1"/>
  <c r="F14" i="79" s="1"/>
  <c r="F28" i="79" a="1"/>
  <c r="F28" i="79" s="1"/>
  <c r="F18" i="79" a="1"/>
  <c r="F18" i="79" s="1"/>
  <c r="F13" i="79" a="1"/>
  <c r="F13" i="79" s="1"/>
  <c r="F34" i="79" a="1"/>
  <c r="F34" i="79" s="1"/>
  <c r="F26" i="79" a="1"/>
  <c r="F26" i="79" s="1"/>
  <c r="F27" i="79" a="1"/>
  <c r="F27" i="79" s="1"/>
  <c r="F21" i="79" a="1"/>
  <c r="F21" i="79" s="1"/>
  <c r="F22" i="79" a="1"/>
  <c r="F22" i="79" s="1"/>
  <c r="F16" i="79" a="1"/>
  <c r="F16" i="79" s="1"/>
  <c r="F23" i="79" a="1"/>
  <c r="F23" i="79" s="1"/>
  <c r="F24" i="79" a="1"/>
  <c r="F24" i="79" s="1"/>
  <c r="A12" i="3"/>
  <c r="A15" i="75" s="1"/>
  <c r="I11" i="76"/>
  <c r="A15" i="69"/>
  <c r="C36" i="3" l="1"/>
  <c r="B37" i="75" s="1"/>
  <c r="B42" i="69"/>
  <c r="Y76" i="1" l="1"/>
  <c r="Y78" i="1" l="1"/>
  <c r="AE54" i="76" l="1"/>
  <c r="I42" i="69"/>
  <c r="L42" i="69" s="1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Y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1" i="69"/>
  <c r="B40" i="69"/>
  <c r="B39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AS15" i="76" l="1"/>
  <c r="AQ15" i="76"/>
  <c r="E54" i="76"/>
  <c r="E34" i="76"/>
  <c r="F34" i="54"/>
  <c r="N10" i="69"/>
  <c r="E87" i="1"/>
  <c r="AW89" i="1" s="1"/>
  <c r="AW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AY33" i="1" s="1"/>
  <c r="F22" i="54"/>
  <c r="Y21" i="1"/>
  <c r="AY21" i="1" s="1"/>
  <c r="AQ22" i="76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U65" i="1"/>
  <c r="P71" i="1"/>
  <c r="O65" i="1"/>
  <c r="L65" i="1"/>
  <c r="J71" i="1"/>
  <c r="G71" i="1"/>
  <c r="G47" i="1"/>
  <c r="J47" i="1"/>
  <c r="AE71" i="1"/>
  <c r="J65" i="1"/>
  <c r="G65" i="1"/>
  <c r="E16" i="1"/>
  <c r="AV89" i="1" l="1"/>
  <c r="AV83" i="1" s="1"/>
  <c r="AU89" i="1"/>
  <c r="AU83" i="1" s="1"/>
  <c r="O49" i="69"/>
  <c r="O50" i="69"/>
  <c r="O51" i="69"/>
  <c r="O47" i="69"/>
  <c r="O48" i="69"/>
  <c r="N49" i="69"/>
  <c r="N50" i="69"/>
  <c r="N51" i="69"/>
  <c r="N47" i="69"/>
  <c r="N48" i="69"/>
  <c r="AS34" i="76"/>
  <c r="AQ34" i="76"/>
  <c r="E37" i="76"/>
  <c r="N38" i="69"/>
  <c r="N37" i="69"/>
  <c r="O38" i="69"/>
  <c r="O37" i="69"/>
  <c r="H22" i="54"/>
  <c r="AS22" i="76"/>
  <c r="AC89" i="1"/>
  <c r="AC83" i="1" s="1"/>
  <c r="AO89" i="1"/>
  <c r="AO83" i="1" s="1"/>
  <c r="AN89" i="1"/>
  <c r="AN83" i="1" s="1"/>
  <c r="AB89" i="1"/>
  <c r="AB83" i="1" s="1"/>
  <c r="AM89" i="1"/>
  <c r="AM83" i="1" s="1"/>
  <c r="AP89" i="1"/>
  <c r="AP83" i="1" s="1"/>
  <c r="AG89" i="1"/>
  <c r="AG83" i="1" s="1"/>
  <c r="AJ89" i="1"/>
  <c r="AJ83" i="1" s="1"/>
  <c r="AL89" i="1"/>
  <c r="AL83" i="1" s="1"/>
  <c r="N15" i="69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M7" i="79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S48" i="1"/>
  <c r="S50" i="1" s="1"/>
  <c r="S53" i="1" s="1"/>
  <c r="G48" i="1"/>
  <c r="AB54" i="76"/>
  <c r="Y47" i="1"/>
  <c r="Y36" i="1"/>
  <c r="F31" i="54"/>
  <c r="F37" i="54"/>
  <c r="F72" i="54"/>
  <c r="F25" i="54"/>
  <c r="E48" i="1"/>
  <c r="Y24" i="1"/>
  <c r="Y16" i="1"/>
  <c r="U50" i="1"/>
  <c r="F17" i="54"/>
  <c r="F18" i="54" s="1"/>
  <c r="P49" i="69" l="1"/>
  <c r="T7" i="79"/>
  <c r="M31" i="79"/>
  <c r="M59" i="79" s="1"/>
  <c r="P48" i="69"/>
  <c r="P50" i="69"/>
  <c r="P47" i="69"/>
  <c r="P51" i="69"/>
  <c r="P37" i="69"/>
  <c r="P38" i="69"/>
  <c r="F53" i="1"/>
  <c r="F54" i="76" s="1"/>
  <c r="P53" i="1"/>
  <c r="P54" i="76" s="1"/>
  <c r="R53" i="1"/>
  <c r="R54" i="76" s="1"/>
  <c r="AC54" i="76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D54" i="76"/>
  <c r="S54" i="76"/>
  <c r="L54" i="76"/>
  <c r="N54" i="76"/>
  <c r="L46" i="69"/>
  <c r="Y71" i="1"/>
  <c r="Y30" i="1"/>
  <c r="Y48" i="1" s="1"/>
  <c r="L32" i="69"/>
  <c r="Y65" i="1"/>
  <c r="G50" i="1"/>
  <c r="G53" i="1" s="1"/>
  <c r="I11" i="69"/>
  <c r="E8" i="3"/>
  <c r="E11" i="75" s="1"/>
  <c r="E54" i="75" s="1"/>
  <c r="E50" i="1"/>
  <c r="AN24" i="79" l="1"/>
  <c r="AN18" i="79"/>
  <c r="AN12" i="79"/>
  <c r="T31" i="79"/>
  <c r="E24" i="3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E17" i="3"/>
  <c r="F20" i="75" s="1"/>
  <c r="G20" i="75" s="1"/>
  <c r="G54" i="76"/>
  <c r="P81" i="1"/>
  <c r="AE81" i="1"/>
  <c r="AE54" i="1" s="1"/>
  <c r="AE58" i="1" s="1"/>
  <c r="J81" i="1"/>
  <c r="J54" i="1" s="1"/>
  <c r="M81" i="1"/>
  <c r="M54" i="1" s="1"/>
  <c r="R81" i="1"/>
  <c r="R54" i="1" s="1"/>
  <c r="F81" i="1"/>
  <c r="E35" i="3"/>
  <c r="F36" i="75" s="1"/>
  <c r="G36" i="75" s="1"/>
  <c r="I41" i="69"/>
  <c r="L41" i="69" s="1"/>
  <c r="Y50" i="1"/>
  <c r="E58" i="1"/>
  <c r="G11" i="75"/>
  <c r="L24" i="69"/>
  <c r="L20" i="69"/>
  <c r="L11" i="69"/>
  <c r="E82" i="1" l="1"/>
  <c r="I7" i="79"/>
  <c r="K7" i="79" s="1"/>
  <c r="F54" i="1"/>
  <c r="H94" i="1"/>
  <c r="L14" i="69"/>
  <c r="E19" i="3"/>
  <c r="F22" i="75" s="1"/>
  <c r="G22" i="75" s="1"/>
  <c r="P54" i="1"/>
  <c r="G15" i="54"/>
  <c r="M15" i="54" s="1"/>
  <c r="I25" i="69"/>
  <c r="L25" i="69" s="1"/>
  <c r="I19" i="69"/>
  <c r="L19" i="69" s="1"/>
  <c r="E21" i="3"/>
  <c r="F24" i="75" s="1"/>
  <c r="G24" i="75" s="1"/>
  <c r="E33" i="3"/>
  <c r="F34" i="75" s="1"/>
  <c r="G34" i="75" s="1"/>
  <c r="I22" i="69"/>
  <c r="L22" i="69" s="1"/>
  <c r="E13" i="3"/>
  <c r="F16" i="75" s="1"/>
  <c r="I27" i="69"/>
  <c r="L27" i="69" s="1"/>
  <c r="O58" i="1"/>
  <c r="E16" i="3"/>
  <c r="F19" i="75" s="1"/>
  <c r="G19" i="75" s="1"/>
  <c r="E34" i="3"/>
  <c r="F35" i="75" s="1"/>
  <c r="G35" i="75" s="1"/>
  <c r="I40" i="69"/>
  <c r="L40" i="69" s="1"/>
  <c r="I39" i="69"/>
  <c r="L39" i="69" s="1"/>
  <c r="I12" i="69"/>
  <c r="I17" i="69" s="1"/>
  <c r="E9" i="3"/>
  <c r="F12" i="75" s="1"/>
  <c r="H11" i="69"/>
  <c r="D8" i="3"/>
  <c r="F8" i="3" s="1"/>
  <c r="F82" i="54"/>
  <c r="O7" i="79" l="1"/>
  <c r="R7" i="79"/>
  <c r="F54" i="75"/>
  <c r="G16" i="75"/>
  <c r="G12" i="75"/>
  <c r="D18" i="3"/>
  <c r="H24" i="69"/>
  <c r="K24" i="69" s="1"/>
  <c r="N24" i="69" s="1"/>
  <c r="L12" i="69"/>
  <c r="L17" i="69" s="1"/>
  <c r="I34" i="69"/>
  <c r="I56" i="69" s="1"/>
  <c r="E28" i="3"/>
  <c r="E50" i="3" s="1"/>
  <c r="E54" i="3" s="1"/>
  <c r="F34" i="69"/>
  <c r="F56" i="69" s="1"/>
  <c r="K11" i="69"/>
  <c r="G54" i="75" l="1"/>
  <c r="V7" i="79"/>
  <c r="L34" i="69"/>
  <c r="E34" i="69"/>
  <c r="E56" i="69" s="1"/>
  <c r="N11" i="69"/>
  <c r="L56" i="69" l="1"/>
  <c r="AY15" i="1" l="1"/>
  <c r="AQ16" i="76" s="1"/>
  <c r="AY64" i="1"/>
  <c r="AQ65" i="76" s="1"/>
  <c r="AY22" i="1"/>
  <c r="AQ23" i="76" s="1"/>
  <c r="AY45" i="1"/>
  <c r="AQ46" i="76" s="1"/>
  <c r="AY70" i="1"/>
  <c r="AQ71" i="76" s="1"/>
  <c r="AY35" i="1"/>
  <c r="AQ36" i="76" s="1"/>
  <c r="AY78" i="1"/>
  <c r="AQ79" i="76" s="1"/>
  <c r="AY46" i="1"/>
  <c r="AQ47" i="76" s="1"/>
  <c r="AY40" i="1"/>
  <c r="AQ41" i="76" s="1"/>
  <c r="AY38" i="1"/>
  <c r="AQ39" i="76" s="1"/>
  <c r="AY75" i="1"/>
  <c r="AQ76" i="76" s="1"/>
  <c r="AY27" i="1"/>
  <c r="AQ28" i="76" s="1"/>
  <c r="AY56" i="1"/>
  <c r="AQ57" i="76" s="1"/>
  <c r="AY16" i="1"/>
  <c r="AQ17" i="76" s="1"/>
  <c r="AY23" i="1"/>
  <c r="AQ24" i="76" s="1"/>
  <c r="AY55" i="1"/>
  <c r="AQ56" i="76" s="1"/>
  <c r="AY39" i="1"/>
  <c r="AQ40" i="76" s="1"/>
  <c r="AY68" i="1"/>
  <c r="AQ69" i="76" s="1"/>
  <c r="AY69" i="1"/>
  <c r="AQ70" i="76" s="1"/>
  <c r="AY73" i="1"/>
  <c r="AQ74" i="76" s="1"/>
  <c r="AY29" i="1"/>
  <c r="AQ30" i="76" s="1"/>
  <c r="AY63" i="1"/>
  <c r="AQ64" i="76" s="1"/>
  <c r="H34" i="54"/>
  <c r="AY43" i="1"/>
  <c r="AQ44" i="76" s="1"/>
  <c r="AY76" i="1"/>
  <c r="AQ77" i="76" s="1"/>
  <c r="AY77" i="1"/>
  <c r="AQ78" i="76" s="1"/>
  <c r="AY62" i="1"/>
  <c r="AQ63" i="76" s="1"/>
  <c r="AQ66" i="76" l="1"/>
  <c r="AQ25" i="76"/>
  <c r="AQ72" i="76"/>
  <c r="AQ18" i="76"/>
  <c r="H30" i="54"/>
  <c r="AS30" i="76"/>
  <c r="H40" i="54"/>
  <c r="AS40" i="76"/>
  <c r="AS45" i="76"/>
  <c r="H76" i="54"/>
  <c r="AS76" i="76"/>
  <c r="H79" i="54"/>
  <c r="AS79" i="76"/>
  <c r="H23" i="54"/>
  <c r="AS23" i="76"/>
  <c r="H44" i="54"/>
  <c r="AS44" i="76"/>
  <c r="H56" i="54"/>
  <c r="AS56" i="76"/>
  <c r="AS29" i="76"/>
  <c r="H39" i="54"/>
  <c r="AS39" i="76"/>
  <c r="H36" i="54"/>
  <c r="AS36" i="76"/>
  <c r="H77" i="54"/>
  <c r="AS77" i="76"/>
  <c r="H63" i="54"/>
  <c r="AS63" i="76"/>
  <c r="H70" i="54"/>
  <c r="AS70" i="76"/>
  <c r="H24" i="54"/>
  <c r="AS24" i="76"/>
  <c r="H57" i="54"/>
  <c r="AS57" i="76"/>
  <c r="H41" i="54"/>
  <c r="AS41" i="76"/>
  <c r="H71" i="54"/>
  <c r="AS71" i="76"/>
  <c r="H65" i="54"/>
  <c r="AS65" i="76"/>
  <c r="H78" i="54"/>
  <c r="AS78" i="76"/>
  <c r="H64" i="54"/>
  <c r="AS64" i="76"/>
  <c r="H69" i="54"/>
  <c r="H17" i="54"/>
  <c r="AS17" i="76"/>
  <c r="H28" i="54"/>
  <c r="H47" i="54"/>
  <c r="AS47" i="76"/>
  <c r="H46" i="54"/>
  <c r="H16" i="54"/>
  <c r="F25" i="55" s="1"/>
  <c r="H74" i="54"/>
  <c r="AS74" i="76"/>
  <c r="AY71" i="1"/>
  <c r="AY24" i="1"/>
  <c r="AY65" i="1"/>
  <c r="AY17" i="1"/>
  <c r="AS25" i="76" l="1"/>
  <c r="AQ73" i="76"/>
  <c r="AQ75" i="76" s="1"/>
  <c r="AQ82" i="76" s="1"/>
  <c r="AS16" i="76"/>
  <c r="AS18" i="76" s="1"/>
  <c r="AS69" i="76"/>
  <c r="AS72" i="76" s="1"/>
  <c r="AS66" i="76"/>
  <c r="AS28" i="76"/>
  <c r="AS31" i="76" s="1"/>
  <c r="AS35" i="76"/>
  <c r="AS37" i="76" s="1"/>
  <c r="G22" i="54"/>
  <c r="AY72" i="1"/>
  <c r="AY74" i="1" s="1"/>
  <c r="AY81" i="1" s="1"/>
  <c r="F11" i="55" s="1"/>
  <c r="F15" i="55" s="1"/>
  <c r="AS73" i="76" l="1"/>
  <c r="AS75" i="76" s="1"/>
  <c r="AS82" i="76" s="1"/>
  <c r="G71" i="54" l="1"/>
  <c r="G69" i="54"/>
  <c r="G39" i="54"/>
  <c r="J74" i="54"/>
  <c r="G77" i="54"/>
  <c r="G36" i="54"/>
  <c r="G70" i="54"/>
  <c r="J71" i="54"/>
  <c r="J77" i="54"/>
  <c r="J79" i="54"/>
  <c r="G79" i="54"/>
  <c r="J70" i="54"/>
  <c r="H72" i="54"/>
  <c r="J69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4" i="54"/>
  <c r="G72" i="54" l="1"/>
  <c r="G64" i="54"/>
  <c r="G66" i="54" s="1"/>
  <c r="J34" i="54"/>
  <c r="G34" i="54"/>
  <c r="H66" i="54"/>
  <c r="H73" i="54" s="1"/>
  <c r="H75" i="54" s="1"/>
  <c r="H81" i="54" s="1"/>
  <c r="J64" i="54"/>
  <c r="J66" i="54" s="1"/>
  <c r="J72" i="54"/>
  <c r="J25" i="54"/>
  <c r="G25" i="54"/>
  <c r="G18" i="54"/>
  <c r="G73" i="54" l="1"/>
  <c r="G75" i="54" s="1"/>
  <c r="G81" i="54" s="1"/>
  <c r="J73" i="54"/>
  <c r="J75" i="54" s="1"/>
  <c r="J8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32" i="69" l="1"/>
  <c r="E8" i="75"/>
  <c r="A26" i="3"/>
  <c r="A29" i="75" s="1"/>
  <c r="E58" i="75" l="1"/>
  <c r="I49" i="75" s="1"/>
  <c r="S55" i="76"/>
  <c r="S59" i="76" s="1"/>
  <c r="E88" i="1"/>
  <c r="E89" i="1" s="1"/>
  <c r="E83" i="1" s="1"/>
  <c r="G55" i="76"/>
  <c r="G59" i="76" s="1"/>
  <c r="AR58" i="1"/>
  <c r="P58" i="1"/>
  <c r="J55" i="76"/>
  <c r="J59" i="76" s="1"/>
  <c r="R58" i="1"/>
  <c r="M55" i="76"/>
  <c r="M59" i="76" s="1"/>
  <c r="O15" i="69"/>
  <c r="P15" i="69" s="1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K20" i="79" l="1"/>
  <c r="O20" i="79" s="1"/>
  <c r="V20" i="79"/>
  <c r="AE20" i="79" s="1"/>
  <c r="K34" i="79"/>
  <c r="V34" i="79"/>
  <c r="K16" i="79"/>
  <c r="O16" i="79" s="1"/>
  <c r="V16" i="79"/>
  <c r="K22" i="79"/>
  <c r="O22" i="79" s="1"/>
  <c r="V22" i="79"/>
  <c r="AE22" i="79" s="1"/>
  <c r="K10" i="79"/>
  <c r="I33" i="75"/>
  <c r="I44" i="75"/>
  <c r="I45" i="75"/>
  <c r="I32" i="75"/>
  <c r="I47" i="75"/>
  <c r="I48" i="75"/>
  <c r="I52" i="75"/>
  <c r="I46" i="75"/>
  <c r="I53" i="75"/>
  <c r="I37" i="75"/>
  <c r="I36" i="75"/>
  <c r="I41" i="75"/>
  <c r="I35" i="75"/>
  <c r="I40" i="75"/>
  <c r="I42" i="75"/>
  <c r="I43" i="75"/>
  <c r="I39" i="75"/>
  <c r="I34" i="75"/>
  <c r="I38" i="75"/>
  <c r="I15" i="75"/>
  <c r="I30" i="75"/>
  <c r="AK58" i="1"/>
  <c r="D27" i="3"/>
  <c r="H33" i="69"/>
  <c r="K33" i="69" s="1"/>
  <c r="N33" i="69" s="1"/>
  <c r="O31" i="69"/>
  <c r="O33" i="69"/>
  <c r="X88" i="1"/>
  <c r="E60" i="75"/>
  <c r="AD88" i="1"/>
  <c r="AF88" i="1"/>
  <c r="AI88" i="1"/>
  <c r="V55" i="76"/>
  <c r="V59" i="76" s="1"/>
  <c r="V5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AF55" i="76"/>
  <c r="AF59" i="76" s="1"/>
  <c r="O52" i="69"/>
  <c r="S58" i="1"/>
  <c r="O88" i="1"/>
  <c r="G58" i="1"/>
  <c r="O23" i="69"/>
  <c r="O24" i="69"/>
  <c r="P24" i="69" s="1"/>
  <c r="O40" i="69"/>
  <c r="O27" i="69"/>
  <c r="O41" i="69"/>
  <c r="O45" i="69"/>
  <c r="O26" i="69"/>
  <c r="O30" i="69"/>
  <c r="O36" i="69"/>
  <c r="O42" i="69"/>
  <c r="O29" i="69"/>
  <c r="O53" i="69"/>
  <c r="O25" i="69"/>
  <c r="I12" i="75"/>
  <c r="I16" i="75"/>
  <c r="AI55" i="76"/>
  <c r="AI59" i="76" s="1"/>
  <c r="R55" i="76"/>
  <c r="R59" i="76" s="1"/>
  <c r="I13" i="75"/>
  <c r="O54" i="69"/>
  <c r="AX58" i="1"/>
  <c r="AD55" i="76"/>
  <c r="AD59" i="76" s="1"/>
  <c r="J58" i="1"/>
  <c r="F58" i="75"/>
  <c r="F60" i="75" s="1"/>
  <c r="I11" i="75"/>
  <c r="M58" i="1"/>
  <c r="I14" i="75"/>
  <c r="F55" i="76"/>
  <c r="F59" i="76" s="1"/>
  <c r="P55" i="76"/>
  <c r="P59" i="76" s="1"/>
  <c r="O14" i="69"/>
  <c r="O13" i="69"/>
  <c r="O21" i="69"/>
  <c r="O19" i="69"/>
  <c r="O44" i="69"/>
  <c r="O20" i="69"/>
  <c r="O12" i="69"/>
  <c r="N58" i="1"/>
  <c r="O46" i="69"/>
  <c r="O32" i="69"/>
  <c r="O39" i="69"/>
  <c r="O43" i="69"/>
  <c r="O11" i="69"/>
  <c r="O22" i="69"/>
  <c r="O28" i="69"/>
  <c r="K58" i="1"/>
  <c r="D39" i="3"/>
  <c r="U58" i="1"/>
  <c r="T58" i="1"/>
  <c r="L55" i="76"/>
  <c r="L59" i="76" s="1"/>
  <c r="H58" i="1"/>
  <c r="AB55" i="76"/>
  <c r="AB59" i="76" s="1"/>
  <c r="Y54" i="1"/>
  <c r="AY54" i="1" s="1"/>
  <c r="AQ55" i="76" s="1"/>
  <c r="Q55" i="76"/>
  <c r="Q59" i="76" s="1"/>
  <c r="Q58" i="1"/>
  <c r="Y55" i="76"/>
  <c r="Y59" i="76" s="1"/>
  <c r="D9" i="3"/>
  <c r="H12" i="69"/>
  <c r="F88" i="1"/>
  <c r="D15" i="3"/>
  <c r="H21" i="69"/>
  <c r="K21" i="69" s="1"/>
  <c r="N21" i="69" s="1"/>
  <c r="L88" i="1"/>
  <c r="D33" i="3"/>
  <c r="H39" i="69"/>
  <c r="K39" i="69" s="1"/>
  <c r="N39" i="69" s="1"/>
  <c r="H41" i="69"/>
  <c r="K41" i="69" s="1"/>
  <c r="N41" i="69" s="1"/>
  <c r="D35" i="3"/>
  <c r="D47" i="3"/>
  <c r="H53" i="69"/>
  <c r="K53" i="69" s="1"/>
  <c r="N53" i="69" s="1"/>
  <c r="AR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AE16" i="79" l="1"/>
  <c r="D49" i="3"/>
  <c r="AX88" i="1"/>
  <c r="AX89" i="1" s="1"/>
  <c r="K50" i="79"/>
  <c r="O50" i="79" s="1"/>
  <c r="V50" i="79"/>
  <c r="AE50" i="79" s="1"/>
  <c r="D23" i="3"/>
  <c r="D34" i="3"/>
  <c r="D24" i="3"/>
  <c r="H19" i="69"/>
  <c r="K19" i="69" s="1"/>
  <c r="N19" i="69" s="1"/>
  <c r="P19" i="69" s="1"/>
  <c r="D22" i="3"/>
  <c r="O34" i="79"/>
  <c r="AE34" i="79" s="1"/>
  <c r="D14" i="3"/>
  <c r="H26" i="69"/>
  <c r="K26" i="69" s="1"/>
  <c r="N26" i="69" s="1"/>
  <c r="P26" i="69" s="1"/>
  <c r="D17" i="3"/>
  <c r="AK88" i="1"/>
  <c r="AK89" i="1" s="1"/>
  <c r="AK83" i="1" s="1"/>
  <c r="V88" i="1"/>
  <c r="V89" i="1" s="1"/>
  <c r="V83" i="1" s="1"/>
  <c r="D11" i="3"/>
  <c r="D16" i="3"/>
  <c r="H43" i="69"/>
  <c r="K43" i="69" s="1"/>
  <c r="N43" i="69" s="1"/>
  <c r="P43" i="69" s="1"/>
  <c r="H13" i="69"/>
  <c r="K13" i="69" s="1"/>
  <c r="N13" i="69" s="1"/>
  <c r="P13" i="69" s="1"/>
  <c r="O10" i="79"/>
  <c r="E64" i="75"/>
  <c r="E67" i="75" s="1"/>
  <c r="G60" i="75"/>
  <c r="I60" i="75"/>
  <c r="I67" i="75" s="1"/>
  <c r="I54" i="75"/>
  <c r="H55" i="54"/>
  <c r="AS55" i="76"/>
  <c r="P11" i="69"/>
  <c r="O17" i="69"/>
  <c r="O34" i="69" s="1"/>
  <c r="O56" i="69" s="1"/>
  <c r="H46" i="69"/>
  <c r="K46" i="69" s="1"/>
  <c r="N46" i="69" s="1"/>
  <c r="P46" i="69" s="1"/>
  <c r="D40" i="3"/>
  <c r="P33" i="69"/>
  <c r="AD89" i="1"/>
  <c r="AD83" i="1" s="1"/>
  <c r="R89" i="1"/>
  <c r="R83" i="1" s="1"/>
  <c r="AA89" i="1"/>
  <c r="AA83" i="1" s="1"/>
  <c r="L89" i="1"/>
  <c r="L83" i="1" s="1"/>
  <c r="AR89" i="1"/>
  <c r="AR83" i="1" s="1"/>
  <c r="O89" i="1"/>
  <c r="O83" i="1" s="1"/>
  <c r="AI89" i="1"/>
  <c r="AI83" i="1" s="1"/>
  <c r="P89" i="1"/>
  <c r="P83" i="1" s="1"/>
  <c r="F89" i="1"/>
  <c r="F83" i="1" s="1"/>
  <c r="AF89" i="1"/>
  <c r="AF83" i="1" s="1"/>
  <c r="X89" i="1"/>
  <c r="X83" i="1" s="1"/>
  <c r="D25" i="3"/>
  <c r="H31" i="69"/>
  <c r="K31" i="69" s="1"/>
  <c r="N31" i="69" s="1"/>
  <c r="P31" i="69" s="1"/>
  <c r="D36" i="3"/>
  <c r="H42" i="69"/>
  <c r="K42" i="69" s="1"/>
  <c r="N42" i="69" s="1"/>
  <c r="P42" i="69" s="1"/>
  <c r="AH88" i="1"/>
  <c r="D37" i="3"/>
  <c r="H52" i="69"/>
  <c r="K52" i="69" s="1"/>
  <c r="N52" i="69" s="1"/>
  <c r="P52" i="69" s="1"/>
  <c r="D46" i="3"/>
  <c r="AQ88" i="1"/>
  <c r="S88" i="1"/>
  <c r="H28" i="69"/>
  <c r="K28" i="69" s="1"/>
  <c r="N28" i="69" s="1"/>
  <c r="P28" i="69" s="1"/>
  <c r="N88" i="1"/>
  <c r="K88" i="1"/>
  <c r="D10" i="3"/>
  <c r="G88" i="1"/>
  <c r="H54" i="69"/>
  <c r="K54" i="69" s="1"/>
  <c r="N54" i="69" s="1"/>
  <c r="P54" i="69" s="1"/>
  <c r="D38" i="3"/>
  <c r="P27" i="69"/>
  <c r="P41" i="69"/>
  <c r="P53" i="69"/>
  <c r="H44" i="69"/>
  <c r="K44" i="69" s="1"/>
  <c r="N44" i="69" s="1"/>
  <c r="P44" i="69" s="1"/>
  <c r="P36" i="69"/>
  <c r="P25" i="69"/>
  <c r="J88" i="1"/>
  <c r="T88" i="1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5" i="69"/>
  <c r="K45" i="69" s="1"/>
  <c r="N45" i="69" s="1"/>
  <c r="P45" i="69" s="1"/>
  <c r="P39" i="69"/>
  <c r="H23" i="69"/>
  <c r="K23" i="69" s="1"/>
  <c r="N23" i="69" s="1"/>
  <c r="P23" i="69" s="1"/>
  <c r="P21" i="69"/>
  <c r="U88" i="1"/>
  <c r="H30" i="69"/>
  <c r="K30" i="69" s="1"/>
  <c r="N30" i="69" s="1"/>
  <c r="P30" i="69" s="1"/>
  <c r="Q88" i="1"/>
  <c r="H40" i="69"/>
  <c r="K40" i="69" s="1"/>
  <c r="N40" i="69" s="1"/>
  <c r="P40" i="69" s="1"/>
  <c r="H88" i="1"/>
  <c r="H14" i="69"/>
  <c r="K14" i="69" s="1"/>
  <c r="N14" i="69" s="1"/>
  <c r="P14" i="69" s="1"/>
  <c r="AE88" i="1"/>
  <c r="D20" i="3"/>
  <c r="K12" i="69"/>
  <c r="K44" i="79" l="1"/>
  <c r="O44" i="79" s="1"/>
  <c r="V44" i="79"/>
  <c r="K15" i="79"/>
  <c r="O15" i="79" s="1"/>
  <c r="V15" i="79"/>
  <c r="K14" i="79"/>
  <c r="O14" i="79" s="1"/>
  <c r="V14" i="79"/>
  <c r="K24" i="79"/>
  <c r="O24" i="79" s="1"/>
  <c r="V24" i="79"/>
  <c r="K25" i="79"/>
  <c r="O25" i="79" s="1"/>
  <c r="V25" i="79"/>
  <c r="K17" i="79"/>
  <c r="O17" i="79" s="1"/>
  <c r="V17" i="79"/>
  <c r="K12" i="79"/>
  <c r="O12" i="79" s="1"/>
  <c r="V12" i="79"/>
  <c r="K18" i="79"/>
  <c r="O18" i="79" s="1"/>
  <c r="V18" i="79"/>
  <c r="K21" i="79"/>
  <c r="O21" i="79" s="1"/>
  <c r="V21" i="79"/>
  <c r="K23" i="79"/>
  <c r="O23" i="79" s="1"/>
  <c r="V23" i="79"/>
  <c r="K41" i="79"/>
  <c r="O41" i="79" s="1"/>
  <c r="V41" i="79"/>
  <c r="K26" i="79"/>
  <c r="O26" i="79" s="1"/>
  <c r="V26" i="79"/>
  <c r="K38" i="79"/>
  <c r="V38" i="79"/>
  <c r="V10" i="79"/>
  <c r="K11" i="79"/>
  <c r="V11" i="79"/>
  <c r="W53" i="1"/>
  <c r="Y53" i="1" s="1"/>
  <c r="K17" i="69"/>
  <c r="H17" i="69"/>
  <c r="AE89" i="1"/>
  <c r="AE83" i="1" s="1"/>
  <c r="K89" i="1"/>
  <c r="K83" i="1" s="1"/>
  <c r="AQ89" i="1"/>
  <c r="AQ83" i="1" s="1"/>
  <c r="U89" i="1"/>
  <c r="U83" i="1" s="1"/>
  <c r="J89" i="1"/>
  <c r="J83" i="1" s="1"/>
  <c r="S89" i="1"/>
  <c r="S83" i="1" s="1"/>
  <c r="AH89" i="1"/>
  <c r="AH83" i="1" s="1"/>
  <c r="Q89" i="1"/>
  <c r="Q83" i="1" s="1"/>
  <c r="M89" i="1"/>
  <c r="M83" i="1" s="1"/>
  <c r="T89" i="1"/>
  <c r="T83" i="1" s="1"/>
  <c r="N89" i="1"/>
  <c r="N83" i="1" s="1"/>
  <c r="H89" i="1"/>
  <c r="H83" i="1" s="1"/>
  <c r="AX83" i="1"/>
  <c r="G89" i="1"/>
  <c r="G83" i="1" s="1"/>
  <c r="F64" i="75"/>
  <c r="F67" i="75" s="1"/>
  <c r="G67" i="75" s="1"/>
  <c r="N12" i="69"/>
  <c r="N17" i="69" s="1"/>
  <c r="K31" i="79" l="1"/>
  <c r="AE26" i="79"/>
  <c r="AE23" i="79"/>
  <c r="AE18" i="79"/>
  <c r="AE17" i="79"/>
  <c r="AE24" i="79"/>
  <c r="AE15" i="79"/>
  <c r="O38" i="79"/>
  <c r="AE38" i="79" s="1"/>
  <c r="O11" i="79"/>
  <c r="AE41" i="79"/>
  <c r="AE21" i="79"/>
  <c r="AE12" i="79"/>
  <c r="AE25" i="79"/>
  <c r="AE14" i="79"/>
  <c r="AE44" i="79"/>
  <c r="AE10" i="79"/>
  <c r="J68" i="75"/>
  <c r="J55" i="54"/>
  <c r="G55" i="54"/>
  <c r="G64" i="75"/>
  <c r="W58" i="1"/>
  <c r="R27" i="79" s="1"/>
  <c r="W54" i="76"/>
  <c r="W59" i="76" s="1"/>
  <c r="P12" i="69"/>
  <c r="O27" i="79" l="1"/>
  <c r="O31" i="79" s="1"/>
  <c r="I31" i="79"/>
  <c r="AE11" i="79"/>
  <c r="Y58" i="1"/>
  <c r="Y88" i="1" s="1"/>
  <c r="H32" i="69"/>
  <c r="D26" i="3"/>
  <c r="D28" i="3" s="1"/>
  <c r="W88" i="1"/>
  <c r="V27" i="79" l="1"/>
  <c r="R31" i="79"/>
  <c r="D50" i="3"/>
  <c r="F50" i="3" s="1"/>
  <c r="F28" i="3"/>
  <c r="Y89" i="1"/>
  <c r="Y83" i="1" s="1"/>
  <c r="W89" i="1"/>
  <c r="W83" i="1" s="1"/>
  <c r="K32" i="69"/>
  <c r="H34" i="69"/>
  <c r="AE27" i="79" l="1"/>
  <c r="AE31" i="79" s="1"/>
  <c r="V31" i="79"/>
  <c r="N32" i="69"/>
  <c r="K34" i="69"/>
  <c r="K56" i="69" l="1"/>
  <c r="H56" i="69"/>
  <c r="P32" i="69"/>
  <c r="N34" i="69"/>
  <c r="N56" i="69" s="1"/>
  <c r="O57" i="69" s="1"/>
  <c r="O60" i="69" s="1"/>
  <c r="AR46" i="76" l="1"/>
  <c r="AR48" i="76" s="1"/>
  <c r="AR49" i="76" s="1"/>
  <c r="AR51" i="76" s="1"/>
  <c r="AS46" i="76" l="1"/>
  <c r="AS48" i="76" s="1"/>
  <c r="AS49" i="76" s="1"/>
  <c r="AS51" i="76" s="1"/>
  <c r="O62" i="69"/>
  <c r="D53" i="3" l="1"/>
  <c r="D54" i="3" s="1"/>
  <c r="F54" i="3" s="1"/>
  <c r="AR54" i="76"/>
  <c r="AR59" i="76" s="1"/>
  <c r="AS54" i="76"/>
  <c r="AS59" i="76" s="1"/>
  <c r="A33" i="3" l="1"/>
  <c r="A34" i="75" s="1"/>
  <c r="A39" i="69"/>
  <c r="AB11" i="76"/>
  <c r="AE10" i="1"/>
  <c r="AC11" i="76" l="1"/>
  <c r="F38" i="79" a="1"/>
  <c r="F38" i="79" s="1"/>
  <c r="A34" i="3"/>
  <c r="A35" i="75" s="1"/>
  <c r="A40" i="69"/>
  <c r="AF10" i="1"/>
  <c r="F39" i="79" l="1" a="1"/>
  <c r="F39" i="79" s="1"/>
  <c r="A35" i="3"/>
  <c r="A36" i="75" s="1"/>
  <c r="AD11" i="76"/>
  <c r="A41" i="69"/>
  <c r="AG10" i="1"/>
  <c r="AH10" i="1" l="1"/>
  <c r="AE11" i="76"/>
  <c r="A36" i="3"/>
  <c r="A37" i="75" s="1"/>
  <c r="A42" i="69"/>
  <c r="AI10" i="1" l="1"/>
  <c r="A37" i="3"/>
  <c r="A38" i="75" s="1"/>
  <c r="AF11" i="76"/>
  <c r="A43" i="69"/>
  <c r="A44" i="69" l="1"/>
  <c r="A38" i="3"/>
  <c r="A39" i="75" s="1"/>
  <c r="AJ10" i="1"/>
  <c r="AG11" i="76"/>
  <c r="A39" i="3" l="1"/>
  <c r="A40" i="75" s="1"/>
  <c r="A45" i="69"/>
  <c r="AH11" i="76"/>
  <c r="AK10" i="1"/>
  <c r="A40" i="3" l="1"/>
  <c r="A41" i="75" s="1"/>
  <c r="AI11" i="76"/>
  <c r="A46" i="69"/>
  <c r="AL10" i="1"/>
  <c r="A47" i="69" s="1"/>
  <c r="AM10" i="1" l="1"/>
  <c r="A41" i="3"/>
  <c r="A42" i="75" s="1"/>
  <c r="AJ11" i="76"/>
  <c r="AN10" i="1" l="1"/>
  <c r="A48" i="69"/>
  <c r="AO10" i="1"/>
  <c r="A50" i="69" s="1"/>
  <c r="A43" i="3"/>
  <c r="A44" i="75" s="1"/>
  <c r="AK11" i="76"/>
  <c r="A42" i="3"/>
  <c r="A43" i="75" s="1"/>
  <c r="AL11" i="76" l="1"/>
  <c r="A49" i="69"/>
  <c r="AM11" i="76"/>
  <c r="AP10" i="1"/>
  <c r="A44" i="3"/>
  <c r="A45" i="75" s="1"/>
  <c r="AN11" i="76" l="1"/>
  <c r="A51" i="69"/>
  <c r="A45" i="3"/>
  <c r="A46" i="75" s="1"/>
  <c r="AQ10" i="1"/>
  <c r="AR10" i="1" s="1"/>
  <c r="F50" i="79" l="1" a="1"/>
  <c r="F50" i="79" s="1"/>
  <c r="F46" i="79" a="1"/>
  <c r="F46" i="79" s="1"/>
  <c r="F41" i="79" a="1"/>
  <c r="F41" i="79" s="1"/>
  <c r="F42" i="79" a="1"/>
  <c r="F42" i="79" s="1"/>
  <c r="F51" i="79" a="1"/>
  <c r="F51" i="79" s="1"/>
  <c r="F40" i="79" a="1"/>
  <c r="F40" i="79" s="1"/>
  <c r="F45" i="79" a="1"/>
  <c r="F45" i="79" s="1"/>
  <c r="F48" i="79" a="1"/>
  <c r="F48" i="79" s="1"/>
  <c r="F47" i="79" a="1"/>
  <c r="F47" i="79" s="1"/>
  <c r="F49" i="79" a="1"/>
  <c r="F49" i="79" s="1"/>
  <c r="F43" i="79" a="1"/>
  <c r="F43" i="79" s="1"/>
  <c r="F44" i="79" a="1"/>
  <c r="F44" i="79" s="1"/>
  <c r="AO11" i="76"/>
  <c r="A52" i="69"/>
  <c r="A46" i="3"/>
  <c r="A47" i="75" s="1"/>
  <c r="AP11" i="76" l="1"/>
  <c r="A53" i="69"/>
  <c r="A47" i="3"/>
  <c r="A48" i="75" s="1"/>
  <c r="AX10" i="1"/>
  <c r="I51" i="79" s="1" a="1"/>
  <c r="I51" i="79" s="1"/>
  <c r="A52" i="75"/>
  <c r="R51" i="79" l="1"/>
  <c r="V51" i="79" s="1"/>
  <c r="K51" i="79"/>
  <c r="I59" i="79"/>
  <c r="A54" i="69"/>
  <c r="A49" i="3"/>
  <c r="A53" i="75" s="1"/>
  <c r="O51" i="79" l="1"/>
  <c r="O59" i="79" s="1"/>
  <c r="O63" i="79" s="1"/>
  <c r="AN31" i="79" s="1"/>
  <c r="AN34" i="79" s="1"/>
  <c r="K59" i="79"/>
  <c r="AC59" i="79"/>
  <c r="AE51" i="79" l="1"/>
  <c r="T59" i="79"/>
  <c r="R49" i="79" l="1"/>
  <c r="V49" i="79" l="1"/>
  <c r="AE49" i="79" l="1"/>
  <c r="AY34" i="1" l="1"/>
  <c r="AS36" i="1"/>
  <c r="AY44" i="1"/>
  <c r="AS47" i="1"/>
  <c r="AY47" i="1" l="1"/>
  <c r="AQ45" i="76"/>
  <c r="AQ48" i="76" s="1"/>
  <c r="H45" i="54"/>
  <c r="AQ35" i="76"/>
  <c r="AQ37" i="76" s="1"/>
  <c r="H35" i="54"/>
  <c r="AY36" i="1"/>
  <c r="H37" i="54" l="1"/>
  <c r="G35" i="54"/>
  <c r="G37" i="54" s="1"/>
  <c r="J35" i="54"/>
  <c r="H48" i="54"/>
  <c r="G45" i="54"/>
  <c r="G48" i="54" s="1"/>
  <c r="J45" i="54"/>
  <c r="AS30" i="1"/>
  <c r="AS48" i="1" s="1"/>
  <c r="AS50" i="1" s="1"/>
  <c r="AY28" i="1"/>
  <c r="AA52" i="79"/>
  <c r="Y59" i="79"/>
  <c r="AA59" i="79" l="1"/>
  <c r="R52" i="79"/>
  <c r="AQ29" i="76"/>
  <c r="AQ31" i="76" s="1"/>
  <c r="AQ49" i="76" s="1"/>
  <c r="AQ51" i="76" s="1"/>
  <c r="AY30" i="1"/>
  <c r="AY48" i="1" s="1"/>
  <c r="AY50" i="1" s="1"/>
  <c r="H29" i="54"/>
  <c r="AS53" i="1"/>
  <c r="AY53" i="1" s="1"/>
  <c r="AY58" i="1" l="1"/>
  <c r="F17" i="55" s="1"/>
  <c r="F19" i="55" s="1"/>
  <c r="F23" i="55" s="1"/>
  <c r="R59" i="79"/>
  <c r="V52" i="79"/>
  <c r="H54" i="54"/>
  <c r="G54" i="54" s="1"/>
  <c r="AQ54" i="76"/>
  <c r="AQ59" i="76" s="1"/>
  <c r="H31" i="54"/>
  <c r="H49" i="54" s="1"/>
  <c r="H51" i="54" s="1"/>
  <c r="G29" i="54"/>
  <c r="G31" i="54" s="1"/>
  <c r="G49" i="54" s="1"/>
  <c r="G51" i="54" s="1"/>
  <c r="J29" i="54"/>
  <c r="J31" i="54" s="1"/>
  <c r="AS58" i="1"/>
  <c r="AS88" i="1" s="1"/>
  <c r="AS89" i="1" s="1"/>
  <c r="AS83" i="1" s="1"/>
  <c r="AY88" i="1" l="1"/>
  <c r="AY89" i="1" s="1"/>
  <c r="AY83" i="1" s="1"/>
  <c r="BC42" i="1" s="1"/>
  <c r="BC44" i="1" s="1"/>
  <c r="BC46" i="1" s="1"/>
  <c r="H59" i="54"/>
  <c r="H82" i="54" s="1"/>
  <c r="AE52" i="79"/>
  <c r="V59" i="79"/>
  <c r="G59" i="54"/>
  <c r="F31" i="55"/>
  <c r="O66" i="69"/>
  <c r="P66" i="69" s="1"/>
  <c r="J12" i="56"/>
  <c r="F27" i="55"/>
  <c r="V61" i="79"/>
  <c r="BC45" i="1" l="1"/>
  <c r="AE59" i="79"/>
  <c r="V63" i="79"/>
  <c r="J17" i="56"/>
  <c r="I44" i="54" s="1"/>
  <c r="J19" i="56"/>
  <c r="I36" i="54" s="1"/>
  <c r="I15" i="54"/>
  <c r="J15" i="56"/>
  <c r="I37" i="54" l="1"/>
  <c r="J36" i="54"/>
  <c r="J37" i="54" s="1"/>
  <c r="I39" i="54"/>
  <c r="J39" i="54" s="1"/>
  <c r="J21" i="56"/>
  <c r="J23" i="56" s="1"/>
  <c r="J15" i="54"/>
  <c r="J18" i="54" s="1"/>
  <c r="I18" i="54"/>
  <c r="I48" i="54"/>
  <c r="J44" i="54"/>
  <c r="J48" i="54" s="1"/>
  <c r="J25" i="56" l="1"/>
  <c r="I54" i="54" s="1"/>
  <c r="J54" i="54" s="1"/>
  <c r="J49" i="54"/>
  <c r="J51" i="54" s="1"/>
  <c r="I49" i="54"/>
  <c r="I51" i="54" s="1"/>
  <c r="I59" i="54" l="1"/>
  <c r="J27" i="56"/>
  <c r="J29" i="56" s="1"/>
  <c r="J30" i="56" s="1"/>
  <c r="J59" i="54"/>
  <c r="J82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7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6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<sst xmlns="http://schemas.openxmlformats.org/spreadsheetml/2006/main" count="1169" uniqueCount="641">
  <si>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</si>
  <si>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</si>
  <si>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</si>
  <si>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</si>
  <si>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</si>
  <si>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</si>
  <si>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</si>
  <si>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</si>
  <si>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</si>
  <si>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</si>
  <si>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</si>
  <si>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</si>
  <si>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</si>
  <si>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</si>
  <si>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</si>
  <si>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</si>
  <si>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</si>
  <si>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</si>
  <si>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</si>
  <si>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</si>
  <si>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</si>
  <si>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</si>
  <si>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</si>
  <si>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</si>
  <si>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</si>
  <si>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</si>
  <si>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</si>
  <si>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</si>
  <si>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</si>
  <si>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</si>
  <si>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</si>
  <si>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</si>
  <si>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</si>
  <si>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</si>
  <si>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</si>
  <si>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</si>
  <si>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</si>
  <si>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</si>
  <si>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</si>
  <si>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</si>
  <si>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</si>
  <si>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</si>
  <si>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</si>
  <si>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</si>
  <si>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</si>
  <si>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</si>
  <si>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</si>
  <si>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</si>
  <si>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</si>
  <si>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</si>
  <si>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</si>
  <si>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</si>
  <si>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</si>
  <si>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</si>
  <si>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</si>
  <si>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</si>
  <si>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</si>
  <si>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</si>
  <si>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</si>
  <si>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</si>
  <si>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</si>
  <si>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</si>
  <si>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</si>
  <si>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</si>
  <si>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</si>
  <si>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</si>
  <si>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</si>
  <si>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</si>
  <si>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</si>
  <si>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</si>
  <si>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</si>
  <si>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</si>
  <si>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</si>
  <si>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</si>
  <si>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</si>
  <si>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</si>
  <si>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</si>
  <si>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</si>
  <si>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</si>
  <si>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</si>
  <si>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</si>
  <si>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</si>
  <si>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</si>
  <si>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</si>
  <si>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</si>
  <si>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</si>
  <si>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</si>
  <si>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</si>
  <si>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</si>
  <si>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</si>
  <si>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</si>
  <si>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</si>
  <si>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</si>
  <si>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</si>
  <si>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</si>
  <si>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</si>
  <si>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</si>
  <si>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</si>
  <si>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</si>
  <si>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</si>
  <si>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</si>
  <si>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</si>
  <si>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</si>
  <si>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</si>
  <si>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</si>
  <si>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</si>
  <si>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</si>
  <si>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</si>
  <si>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</si>
  <si>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</si>
  <si>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</si>
  <si>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</si>
  <si>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</si>
  <si>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</si>
  <si>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</si>
  <si>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</si>
  <si>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</si>
  <si>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</si>
  <si>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</si>
  <si>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</si>
  <si>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</si>
  <si>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</si>
  <si>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</si>
  <si>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</si>
  <si>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</si>
  <si>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</si>
  <si>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</si>
  <si>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</si>
  <si>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</si>
  <si>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</si>
  <si>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</si>
  <si>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</si>
  <si>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</si>
  <si>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</si>
  <si>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</si>
  <si>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</si>
  <si>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</si>
  <si>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</si>
  <si>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</si>
  <si>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</si>
  <si>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</si>
  <si>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</si>
  <si>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</si>
  <si>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</si>
  <si>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</si>
  <si>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</si>
  <si>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</si>
  <si>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</si>
  <si>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</si>
  <si>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</si>
  <si>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</si>
  <si>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</si>
  <si>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</si>
  <si>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</si>
  <si>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</si>
  <si>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</si>
  <si>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</si>
  <si>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</si>
  <si>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</si>
  <si>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</si>
  <si>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</si>
  <si>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</si>
  <si>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</si>
  <si>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</si>
  <si>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</si>
  <si>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</si>
  <si>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</si>
  <si>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</si>
  <si>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</si>
  <si>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</si>
  <si>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</si>
  <si>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</si>
  <si>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</si>
  <si>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</si>
  <si>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</si>
  <si>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</si>
  <si>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</si>
  <si>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</si>
  <si>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</si>
  <si>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</si>
  <si>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</si>
  <si>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</si>
  <si>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</si>
  <si>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</si>
  <si>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</si>
  <si>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</si>
  <si>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</si>
  <si>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</si>
  <si>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</si>
  <si>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</si>
  <si>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</si>
  <si>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</si>
  <si>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</si>
  <si>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</si>
  <si>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</si>
  <si>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</si>
  <si>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</si>
  <si>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</si>
  <si>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</si>
  <si>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</si>
  <si>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</si>
  <si>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</si>
  <si>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</si>
  <si>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</si>
  <si>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</si>
  <si>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</si>
  <si>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</si>
  <si>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</si>
  <si>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</si>
  <si>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</si>
  <si>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</si>
  <si>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</si>
  <si>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</si>
  <si>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</si>
  <si>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</si>
  <si>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</si>
  <si>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</si>
  <si>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</si>
  <si>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</si>
  <si>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</si>
  <si>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</si>
  <si>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</si>
  <si>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</si>
  <si>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</si>
  <si>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</si>
  <si>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</si>
  <si>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</si>
  <si>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</si>
  <si>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</si>
  <si>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</si>
  <si>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</si>
  <si>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</si>
  <si>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</si>
  <si>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</si>
  <si>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</si>
  <si>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</si>
  <si>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</si>
  <si>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</si>
  <si>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</si>
  <si>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</si>
  <si>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</si>
  <si>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</si>
  <si>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</si>
  <si>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</si>
  <si>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</si>
  <si>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</si>
  <si>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</si>
  <si>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</si>
  <si>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</si>
  <si>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</si>
  <si>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</si>
  <si>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</si>
  <si>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</si>
  <si>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</si>
  <si>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</si>
  <si>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</si>
  <si>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</si>
  <si>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</si>
  <si>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</si>
  <si>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</si>
  <si>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</si>
  <si>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</si>
  <si>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</si>
  <si>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</si>
  <si>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</si>
  <si>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</si>
  <si>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</si>
  <si>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</si>
  <si>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</si>
  <si>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</si>
  <si>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</si>
  <si>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</si>
  <si>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</si>
  <si>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</si>
  <si>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</si>
  <si>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</si>
  <si>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</si>
  <si>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</si>
  <si>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</si>
  <si>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</si>
  <si>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</si>
  <si>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</si>
  <si>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</si>
  <si>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</si>
  <si>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</si>
  <si>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</si>
  <si>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</si>
  <si>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</si>
  <si>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</si>
  <si>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</si>
  <si>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</si>
  <si>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</si>
  <si>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</si>
  <si>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</si>
  <si>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</si>
  <si>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</si>
  <si>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</si>
  <si>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</si>
  <si>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</si>
  <si>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</si>
  <si>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</si>
  <si>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</si>
  <si>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</si>
  <si>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</si>
  <si>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</si>
  <si>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</si>
  <si>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</si>
  <si>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</si>
  <si>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</si>
  <si>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</si>
  <si>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</si>
  <si>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</si>
  <si>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</si>
  <si>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</si>
  <si>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</si>
  <si>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</si>
  <si>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</si>
  <si>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</si>
  <si>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</si>
  <si>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</si>
  <si>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</si>
  <si>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</si>
  <si>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</si>
  <si>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</si>
  <si>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</si>
  <si>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</si>
  <si>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</si>
  <si>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</si>
  <si>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</si>
  <si>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</si>
  <si>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</si>
  <si>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</si>
  <si>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</si>
  <si>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</si>
  <si>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</si>
  <si>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</si>
  <si>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</si>
  <si>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</si>
  <si>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</si>
  <si>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</si>
  <si>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</si>
  <si>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</si>
  <si>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</si>
  <si>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</si>
  <si>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</si>
  <si>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</si>
  <si>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</si>
  <si>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</si>
  <si>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</si>
  <si>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</si>
  <si>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</si>
  <si>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</si>
  <si>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</si>
  <si>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</si>
  <si>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</si>
  <si>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</si>
  <si>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</si>
  <si>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</si>
  <si>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</si>
  <si>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</si>
  <si>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</si>
  <si>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</si>
  <si>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</si>
  <si>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</si>
  <si>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</si>
  <si>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</si>
  <si>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</si>
  <si>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</si>
  <si>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</si>
  <si>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</si>
  <si>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</si>
  <si>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</si>
  <si>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</si>
  <si>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</si>
  <si>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</si>
  <si>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</si>
  <si>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</si>
  <si>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</si>
  <si>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</si>
  <si>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</si>
  <si>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</si>
  <si>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</si>
  <si>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</si>
  <si>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</si>
  <si>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</si>
  <si>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</si>
  <si>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</si>
  <si>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</si>
  <si>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</si>
  <si>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</si>
  <si>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</si>
  <si>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</si>
  <si>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</si>
  <si>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</si>
  <si>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</si>
  <si>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</si>
  <si>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</si>
  <si>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</si>
  <si>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</si>
  <si>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</si>
  <si>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</si>
  <si>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</si>
  <si>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</si>
  <si>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</si>
  <si>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</si>
  <si>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</si>
  <si>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</si>
  <si>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</si>
  <si>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</si>
  <si>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</si>
  <si>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</si>
  <si>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</si>
  <si>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</si>
  <si>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</si>
  <si>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</si>
  <si>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</si>
  <si>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</si>
  <si>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</si>
  <si>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</si>
  <si>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</si>
  <si>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</si>
  <si>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</si>
  <si>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</si>
  <si>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</si>
  <si>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</si>
  <si>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</si>
  <si>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</si>
  <si>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</si>
  <si>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</si>
  <si>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</si>
  <si>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</si>
  <si>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</si>
  <si>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</si>
  <si>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</si>
  <si>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</si>
  <si>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</si>
  <si>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</si>
  <si>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</si>
  <si>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</si>
  <si>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</si>
  <si>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</si>
  <si>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</si>
  <si>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</si>
  <si>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</si>
  <si>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</si>
  <si>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</si>
  <si>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</si>
  <si>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</si>
  <si>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</si>
  <si>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</si>
  <si>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</si>
  <si>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</si>
  <si>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</si>
  <si>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</si>
  <si>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</si>
  <si>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</si>
  <si>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</si>
  <si>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</si>
  <si>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</si>
  <si>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</si>
  <si>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</si>
  <si>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</si>
  <si>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</si>
  <si>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</si>
  <si>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</si>
  <si>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</si>
  <si>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</si>
  <si>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</si>
  <si>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</si>
  <si>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</si>
  <si>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</si>
  <si>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</si>
  <si>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</si>
  <si>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</si>
  <si>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</si>
  <si>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</si>
  <si>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</si>
  <si>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</si>
  <si>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</si>
  <si>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</si>
  <si>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</si>
  <si>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</si>
  <si>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</si>
  <si>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</si>
  <si>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</si>
  <si>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</si>
  <si>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</si>
  <si>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</si>
  <si>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</si>
  <si>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</si>
  <si>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</si>
  <si>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</si>
  <si>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</si>
  <si>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</si>
  <si>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</si>
  <si>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</si>
  <si>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</si>
  <si>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</si>
  <si>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</si>
  <si>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</si>
  <si>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</si>
  <si>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</si>
  <si>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</si>
  <si>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</si>
  <si>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</si>
  <si>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</si>
  <si>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</si>
  <si>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</si>
  <si>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</si>
  <si>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</si>
  <si>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</si>
  <si>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</si>
  <si>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</si>
  <si>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</si>
  <si>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</si>
  <si>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</si>
  <si>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</si>
  <si>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</si>
  <si>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</si>
  <si>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</si>
  <si>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</si>
  <si>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</si>
  <si>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</si>
  <si>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</si>
  <si>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</si>
  <si>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</si>
  <si>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</si>
  <si>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</si>
  <si>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</si>
  <si>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</si>
  <si>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</si>
  <si>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</si>
  <si>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</si>
  <si>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</si>
  <si>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</si>
  <si>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</si>
  <si>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</si>
  <si>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</si>
  <si>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</si>
  <si>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</si>
  <si>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</si>
  <si>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</si>
  <si>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</si>
  <si>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</si>
  <si>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</si>
  <si>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</si>
  <si>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</si>
  <si>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</si>
  <si>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</si>
  <si>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</si>
  <si>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</si>
  <si>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</si>
  <si>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</si>
  <si>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</si>
  <si>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</si>
  <si>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</si>
  <si>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</si>
  <si>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</si>
  <si>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</si>
  <si>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</si>
  <si>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</si>
  <si>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</si>
  <si>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</si>
  <si>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</si>
  <si>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</si>
  <si>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</si>
  <si>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</si>
  <si>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</si>
  <si>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</si>
  <si>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Filed 2019</t>
  </si>
  <si>
    <t>Tax Return</t>
  </si>
  <si>
    <t>2019</t>
  </si>
  <si>
    <t>ADFIT</t>
  </si>
  <si>
    <t>G-RDFIT</t>
  </si>
  <si>
    <t>4.00T</t>
  </si>
  <si>
    <t>INFORMATIONAL ONLY</t>
  </si>
  <si>
    <t>Other</t>
  </si>
  <si>
    <t>CF WA Elec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</si>
  <si>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</si>
  <si>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</si>
  <si>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</si>
  <si>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</si>
  <si>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</si>
  <si>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</si>
  <si>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</si>
  <si>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</si>
  <si>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>Tax Customer</t>
  </si>
  <si>
    <t>Credit</t>
  </si>
  <si>
    <t xml:space="preserve">After Tariff #176  Tax Customer Credit </t>
  </si>
  <si>
    <t>Natural Gas Revenue Requirement Summary ($000)</t>
  </si>
  <si>
    <t>AWEC Proposed</t>
  </si>
  <si>
    <t>Impact of AWEC Adjustments</t>
  </si>
  <si>
    <t>Rev. Req. 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</si>
  <si>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</si>
  <si>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</si>
  <si>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</si>
  <si>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</si>
  <si>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</si>
  <si>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</si>
  <si>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 xml:space="preserve">No. </t>
  </si>
  <si>
    <t>Income</t>
  </si>
  <si>
    <t>(Suf.)</t>
  </si>
  <si>
    <t>AWEC Position</t>
  </si>
  <si>
    <t>Tax Rate</t>
  </si>
  <si>
    <t>Cost of Capital</t>
  </si>
  <si>
    <t>Restating Adjustments:</t>
  </si>
  <si>
    <t>Neutral</t>
  </si>
  <si>
    <t>Total Debt</t>
  </si>
  <si>
    <t>Restated Results</t>
  </si>
  <si>
    <t>Pro Forma Adjustments:</t>
  </si>
  <si>
    <t>Pro Forma Results</t>
  </si>
  <si>
    <t>Calculated:</t>
  </si>
  <si>
    <t>Cost of Capital Impact</t>
  </si>
  <si>
    <t>2020 AMA Capital</t>
  </si>
  <si>
    <t>NOI Bef.</t>
  </si>
  <si>
    <t>Int. Ded.</t>
  </si>
  <si>
    <t xml:space="preserve">Approx Impact </t>
  </si>
  <si>
    <t>Cap Structure</t>
  </si>
  <si>
    <t>Cost of Debt</t>
  </si>
  <si>
    <t>ROE</t>
  </si>
  <si>
    <t>Total Impact</t>
  </si>
  <si>
    <t>2020 AMA</t>
  </si>
  <si>
    <t>Inter-Corp.</t>
  </si>
  <si>
    <t>Allocation</t>
  </si>
  <si>
    <t>AFUDC</t>
  </si>
  <si>
    <t xml:space="preserve">Flow Through </t>
  </si>
  <si>
    <t>Amort.</t>
  </si>
  <si>
    <t>Inter-Corp. Cost Allocation</t>
  </si>
  <si>
    <t>Tax Accounting Change Credit</t>
  </si>
  <si>
    <t>AFUDC Flow Through Amort.</t>
  </si>
  <si>
    <t>AMA Capital</t>
  </si>
  <si>
    <t>AVISTA UTILITIES - AWEC ADJUSTED</t>
  </si>
  <si>
    <t>Contest</t>
  </si>
  <si>
    <t>2020 O&amp;M Expense</t>
  </si>
  <si>
    <t>O&amp;M</t>
  </si>
  <si>
    <t>Per Book Results (Y/E Dec. 2019)</t>
  </si>
  <si>
    <t>Avista Filed at AWEC RoR</t>
  </si>
  <si>
    <t>Withdrawn</t>
  </si>
  <si>
    <t>Prtl. Settlement</t>
  </si>
  <si>
    <t>Separate Tariff</t>
  </si>
  <si>
    <t>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</si>
</sst>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0000.00"/>
    <numFmt numFmtId="175" formatCode="0000"/>
    <numFmt numFmtId="176" formatCode="_(* #,##0.00000_);_(* \(#,##0.00000\);_(* &quot;-&quot;_);_(@_)"/>
    <numFmt numFmtId="177" formatCode="_(* #,##0.000000_);_(* \(#,##0.000000\);_(* &quot;-&quot;_);_(@_)"/>
    <numFmt numFmtId="178" formatCode="_(* #,##0.000000_);_(* \(#,##0.000000\);_(* &quot;-&quot;??_);_(@_)"/>
    <numFmt numFmtId="179" formatCode="_(* #,##0.000_);_(* \(#,##0.000\);_(* &quot;-&quot;_);_(@_)"/>
    <numFmt numFmtId="180" formatCode="&quot;$&quot;#,##0.000_);\(&quot;$&quot;#,##0.000\)"/>
    <numFmt numFmtId="181" formatCode="_(* #,##0.00_);_(* \(#,##0.00\);_(* &quot;-&quot;_);_(@_)"/>
  </numFmts>
  <fonts count="69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sz val="9"/>
      <name val="Calibri"/>
      <family val="2"/>
    </font>
    <font>
      <i/>
      <u/>
      <sz val="10"/>
      <name val="Times New Roman"/>
      <family val="1"/>
    </font>
    <font>
      <b/>
      <i/>
      <sz val="10"/>
      <name val="Times New Roman"/>
      <family val="1"/>
    </font>
    <font>
      <sz val="9"/>
      <color rgb="FFDC404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fgColor rgb="FF37E9A5"/>
      </patternFill>
    </fill>
    <fill>
      <patternFill patternType="solid">
        <fgColor rgb="FF62F4CE"/>
        <bgColor indexed="64"/>
      </patternFill>
    </fill>
    <fill>
      <patternFill patternType="solid">
        <fgColor rgb="FFF066E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E44C1C"/>
      </left>
      <right style="thin">
        <color rgb="FFE44C1C"/>
      </right>
      <top style="thin">
        <color rgb="FFE44C1C"/>
      </top>
      <bottom style="thin">
        <color rgb="FFE44C1C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44" fontId="1" fillId="0" borderId="0" applyFont="0" applyFill="0" applyBorder="0" applyAlignment="0" applyProtection="0"/>
    <xf numFmtId="0" fontId="42" fillId="3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46" fillId="0" borderId="0" applyFont="0" applyFill="0" applyBorder="0" applyAlignment="0" applyProtection="0"/>
    <xf numFmtId="0" fontId="36" fillId="0" borderId="0"/>
    <xf numFmtId="0" fontId="1" fillId="0" borderId="0"/>
    <xf numFmtId="9" fontId="1" fillId="0" borderId="0" applyFont="0" applyFill="0" applyBorder="0" applyAlignment="0" applyProtection="0"/>
  </cellStyleXfs>
  <cellXfs count="850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7" fontId="8" fillId="0" borderId="3" xfId="0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9" fontId="19" fillId="0" borderId="0" xfId="0" applyNumberFormat="1" applyFont="1" applyAlignment="1">
      <alignment horizontal="right"/>
    </xf>
    <xf numFmtId="169" fontId="8" fillId="0" borderId="0" xfId="0" applyNumberFormat="1" applyFont="1"/>
    <xf numFmtId="169" fontId="20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6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10" fontId="15" fillId="0" borderId="0" xfId="7" applyNumberFormat="1" applyFont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0" fontId="12" fillId="0" borderId="0" xfId="0" applyFont="1" applyFill="1"/>
    <xf numFmtId="37" fontId="12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3" fontId="24" fillId="0" borderId="0" xfId="0" applyNumberFormat="1" applyFont="1" applyFill="1"/>
    <xf numFmtId="3" fontId="3" fillId="0" borderId="0" xfId="0" applyNumberFormat="1" applyFont="1" applyFill="1"/>
    <xf numFmtId="0" fontId="8" fillId="0" borderId="15" xfId="0" applyFont="1" applyBorder="1"/>
    <xf numFmtId="10" fontId="8" fillId="0" borderId="15" xfId="0" applyNumberFormat="1" applyFont="1" applyBorder="1"/>
    <xf numFmtId="5" fontId="14" fillId="0" borderId="0" xfId="0" applyNumberFormat="1" applyFont="1"/>
    <xf numFmtId="37" fontId="14" fillId="0" borderId="0" xfId="0" applyNumberFormat="1" applyFont="1"/>
    <xf numFmtId="0" fontId="25" fillId="0" borderId="0" xfId="0" applyFont="1"/>
    <xf numFmtId="5" fontId="15" fillId="0" borderId="0" xfId="0" applyNumberFormat="1" applyFont="1"/>
    <xf numFmtId="10" fontId="8" fillId="0" borderId="0" xfId="7" applyNumberFormat="1" applyFont="1"/>
    <xf numFmtId="0" fontId="8" fillId="0" borderId="0" xfId="0" applyFont="1" applyAlignment="1">
      <alignment horizontal="right"/>
    </xf>
    <xf numFmtId="5" fontId="8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0" fontId="12" fillId="0" borderId="0" xfId="0" applyFont="1" applyFill="1" applyBorder="1"/>
    <xf numFmtId="5" fontId="8" fillId="0" borderId="0" xfId="0" applyNumberFormat="1" applyFont="1" applyFill="1" applyBorder="1"/>
    <xf numFmtId="5" fontId="9" fillId="0" borderId="0" xfId="0" applyNumberFormat="1" applyFont="1" applyFill="1" applyBorder="1"/>
    <xf numFmtId="10" fontId="8" fillId="0" borderId="0" xfId="0" applyNumberFormat="1" applyFont="1" applyFill="1" applyBorder="1"/>
    <xf numFmtId="5" fontId="8" fillId="0" borderId="3" xfId="0" applyNumberFormat="1" applyFont="1" applyBorder="1"/>
    <xf numFmtId="173" fontId="8" fillId="0" borderId="0" xfId="1" applyNumberFormat="1" applyFont="1" applyFill="1" applyBorder="1"/>
    <xf numFmtId="173" fontId="8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2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0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1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41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5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43" fillId="0" borderId="0" xfId="0" applyNumberFormat="1" applyFont="1"/>
    <xf numFmtId="3" fontId="43" fillId="0" borderId="0" xfId="0" applyNumberFormat="1" applyFont="1"/>
    <xf numFmtId="49" fontId="43" fillId="0" borderId="0" xfId="0" applyNumberFormat="1" applyFont="1" applyFill="1" applyAlignment="1">
      <alignment horizontal="center"/>
    </xf>
    <xf numFmtId="3" fontId="43" fillId="0" borderId="0" xfId="0" applyNumberFormat="1" applyFont="1" applyFill="1"/>
    <xf numFmtId="174" fontId="43" fillId="0" borderId="0" xfId="0" applyNumberFormat="1" applyFont="1" applyAlignment="1">
      <alignment horizontal="center"/>
    </xf>
    <xf numFmtId="175" fontId="43" fillId="0" borderId="0" xfId="0" applyNumberFormat="1" applyFont="1"/>
    <xf numFmtId="175" fontId="43" fillId="0" borderId="0" xfId="0" applyNumberFormat="1" applyFont="1" applyAlignment="1">
      <alignment horizontal="center"/>
    </xf>
    <xf numFmtId="0" fontId="43" fillId="0" borderId="0" xfId="0" applyFont="1"/>
    <xf numFmtId="174" fontId="43" fillId="4" borderId="0" xfId="0" applyNumberFormat="1" applyFont="1" applyFill="1"/>
    <xf numFmtId="3" fontId="43" fillId="4" borderId="0" xfId="0" applyNumberFormat="1" applyFont="1" applyFill="1"/>
    <xf numFmtId="175" fontId="43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4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0" fontId="14" fillId="0" borderId="0" xfId="0" applyFont="1" applyFill="1"/>
    <xf numFmtId="176" fontId="32" fillId="0" borderId="0" xfId="5" applyNumberFormat="1" applyFont="1" applyFill="1"/>
    <xf numFmtId="10" fontId="32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9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5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/>
    <xf numFmtId="3" fontId="8" fillId="0" borderId="0" xfId="0" applyNumberFormat="1" applyFont="1"/>
    <xf numFmtId="37" fontId="8" fillId="0" borderId="0" xfId="0" applyNumberFormat="1" applyFont="1"/>
    <xf numFmtId="5" fontId="14" fillId="0" borderId="0" xfId="0" applyNumberFormat="1" applyFont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Fill="1"/>
    <xf numFmtId="5" fontId="15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7" fillId="0" borderId="23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3" fontId="47" fillId="0" borderId="0" xfId="0" applyNumberFormat="1" applyFont="1" applyAlignment="1">
      <alignment horizontal="left"/>
    </xf>
    <xf numFmtId="3" fontId="47" fillId="0" borderId="0" xfId="0" applyNumberFormat="1" applyFont="1" applyFill="1" applyAlignment="1">
      <alignment horizontal="left"/>
    </xf>
    <xf numFmtId="49" fontId="47" fillId="0" borderId="0" xfId="0" applyNumberFormat="1" applyFont="1" applyAlignment="1">
      <alignment horizontal="left"/>
    </xf>
    <xf numFmtId="3" fontId="47" fillId="0" borderId="0" xfId="0" applyNumberFormat="1" applyFont="1"/>
    <xf numFmtId="3" fontId="47" fillId="0" borderId="0" xfId="0" applyNumberFormat="1" applyFont="1" applyFill="1"/>
    <xf numFmtId="0" fontId="47" fillId="0" borderId="0" xfId="0" applyFont="1"/>
    <xf numFmtId="3" fontId="47" fillId="4" borderId="0" xfId="0" applyNumberFormat="1" applyFont="1" applyFill="1"/>
    <xf numFmtId="174" fontId="4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2" fillId="0" borderId="0" xfId="0" applyNumberFormat="1" applyFont="1" applyFill="1" applyBorder="1"/>
    <xf numFmtId="5" fontId="14" fillId="0" borderId="0" xfId="0" applyNumberFormat="1" applyFont="1" applyBorder="1"/>
    <xf numFmtId="5" fontId="15" fillId="0" borderId="0" xfId="0" applyNumberFormat="1" applyFont="1" applyBorder="1"/>
    <xf numFmtId="177" fontId="3" fillId="0" borderId="0" xfId="5" applyNumberFormat="1" applyFont="1" applyFill="1"/>
    <xf numFmtId="5" fontId="3" fillId="0" borderId="0" xfId="0" applyNumberFormat="1" applyFont="1" applyFill="1"/>
    <xf numFmtId="3" fontId="12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7" fillId="4" borderId="32" xfId="0" applyFont="1" applyFill="1" applyBorder="1" applyAlignment="1">
      <alignment horizontal="left"/>
    </xf>
    <xf numFmtId="173" fontId="8" fillId="0" borderId="0" xfId="0" applyNumberFormat="1" applyFont="1" applyBorder="1"/>
    <xf numFmtId="1" fontId="8" fillId="0" borderId="0" xfId="0" applyNumberFormat="1" applyFont="1"/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5" fontId="47" fillId="4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3" fontId="48" fillId="0" borderId="0" xfId="6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5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51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51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10" xfId="7" applyNumberFormat="1" applyFont="1" applyBorder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42" fillId="0" borderId="0" xfId="0" applyFont="1" applyAlignment="1">
      <alignment horizontal="right"/>
    </xf>
    <xf numFmtId="5" fontId="27" fillId="0" borderId="18" xfId="0" applyNumberFormat="1" applyFont="1" applyFill="1" applyBorder="1"/>
    <xf numFmtId="5" fontId="27" fillId="0" borderId="0" xfId="0" applyNumberFormat="1" applyFont="1" applyFill="1" applyBorder="1"/>
    <xf numFmtId="10" fontId="27" fillId="0" borderId="16" xfId="7" applyNumberFormat="1" applyFont="1" applyBorder="1"/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5" fillId="0" borderId="0" xfId="0" applyFont="1"/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37" fontId="26" fillId="4" borderId="22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52" fillId="4" borderId="0" xfId="20" applyNumberFormat="1" applyFont="1" applyFill="1" applyBorder="1"/>
    <xf numFmtId="0" fontId="27" fillId="4" borderId="23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3" xfId="20" applyNumberFormat="1" applyFont="1" applyFill="1" applyBorder="1"/>
    <xf numFmtId="167" fontId="26" fillId="4" borderId="0" xfId="7" applyNumberFormat="1" applyFont="1" applyFill="1" applyBorder="1"/>
    <xf numFmtId="10" fontId="26" fillId="4" borderId="23" xfId="7" applyNumberFormat="1" applyFont="1" applyFill="1" applyBorder="1"/>
    <xf numFmtId="10" fontId="26" fillId="4" borderId="0" xfId="7" applyNumberFormat="1" applyFont="1" applyFill="1" applyBorder="1"/>
    <xf numFmtId="170" fontId="52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1" xfId="7" applyNumberFormat="1" applyFont="1" applyFill="1" applyBorder="1"/>
    <xf numFmtId="37" fontId="26" fillId="4" borderId="24" xfId="20" applyNumberFormat="1" applyFont="1" applyFill="1" applyBorder="1"/>
    <xf numFmtId="0" fontId="26" fillId="4" borderId="25" xfId="0" applyFont="1" applyFill="1" applyBorder="1"/>
    <xf numFmtId="10" fontId="26" fillId="4" borderId="25" xfId="7" applyNumberFormat="1" applyFont="1" applyFill="1" applyBorder="1"/>
    <xf numFmtId="10" fontId="52" fillId="4" borderId="25" xfId="7" applyNumberFormat="1" applyFont="1" applyFill="1" applyBorder="1"/>
    <xf numFmtId="10" fontId="26" fillId="4" borderId="26" xfId="7" applyNumberFormat="1" applyFont="1" applyFill="1" applyBorder="1"/>
    <xf numFmtId="0" fontId="52" fillId="0" borderId="0" xfId="0" applyFont="1"/>
    <xf numFmtId="0" fontId="52" fillId="0" borderId="0" xfId="0" applyFont="1" applyBorder="1"/>
    <xf numFmtId="41" fontId="26" fillId="0" borderId="0" xfId="0" applyNumberFormat="1" applyFont="1" applyFill="1" applyBorder="1"/>
    <xf numFmtId="0" fontId="52" fillId="0" borderId="0" xfId="0" applyFont="1" applyFill="1" applyBorder="1"/>
    <xf numFmtId="10" fontId="52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52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4" fillId="0" borderId="0" xfId="0" applyNumberFormat="1" applyFont="1" applyFill="1"/>
    <xf numFmtId="169" fontId="8" fillId="0" borderId="15" xfId="0" applyNumberFormat="1" applyFont="1" applyFill="1" applyBorder="1"/>
    <xf numFmtId="10" fontId="21" fillId="0" borderId="0" xfId="0" applyNumberFormat="1" applyFont="1" applyFill="1"/>
    <xf numFmtId="178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4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3" fontId="54" fillId="0" borderId="0" xfId="6" applyNumberFormat="1" applyFont="1" applyFill="1"/>
    <xf numFmtId="3" fontId="55" fillId="0" borderId="0" xfId="6" applyNumberFormat="1" applyFont="1" applyFill="1" applyAlignment="1">
      <alignment horizontal="center"/>
    </xf>
    <xf numFmtId="0" fontId="55" fillId="0" borderId="0" xfId="6" applyNumberFormat="1" applyFont="1" applyFill="1" applyAlignment="1">
      <alignment horizontal="center"/>
    </xf>
    <xf numFmtId="3" fontId="55" fillId="0" borderId="1" xfId="6" applyNumberFormat="1" applyFont="1" applyFill="1" applyBorder="1" applyAlignment="1">
      <alignment horizontal="center"/>
    </xf>
    <xf numFmtId="3" fontId="55" fillId="0" borderId="5" xfId="6" applyNumberFormat="1" applyFont="1" applyFill="1" applyBorder="1" applyAlignment="1">
      <alignment horizontal="center"/>
    </xf>
    <xf numFmtId="3" fontId="55" fillId="0" borderId="8" xfId="6" applyNumberFormat="1" applyFont="1" applyFill="1" applyBorder="1" applyAlignment="1">
      <alignment horizontal="center"/>
    </xf>
    <xf numFmtId="42" fontId="54" fillId="0" borderId="0" xfId="4" applyNumberFormat="1" applyFont="1" applyFill="1"/>
    <xf numFmtId="41" fontId="54" fillId="0" borderId="0" xfId="4" applyNumberFormat="1" applyFont="1" applyFill="1"/>
    <xf numFmtId="41" fontId="54" fillId="0" borderId="10" xfId="4" applyNumberFormat="1" applyFont="1" applyFill="1" applyBorder="1"/>
    <xf numFmtId="41" fontId="54" fillId="0" borderId="0" xfId="6" applyNumberFormat="1" applyFont="1" applyFill="1"/>
    <xf numFmtId="41" fontId="54" fillId="0" borderId="0" xfId="4" applyNumberFormat="1" applyFont="1" applyFill="1" applyBorder="1"/>
    <xf numFmtId="41" fontId="54" fillId="0" borderId="10" xfId="6" applyNumberFormat="1" applyFont="1" applyFill="1" applyBorder="1"/>
    <xf numFmtId="42" fontId="54" fillId="0" borderId="12" xfId="6" applyNumberFormat="1" applyFont="1" applyFill="1" applyBorder="1"/>
    <xf numFmtId="41" fontId="54" fillId="0" borderId="15" xfId="6" applyNumberFormat="1" applyFont="1" applyFill="1" applyBorder="1"/>
    <xf numFmtId="41" fontId="54" fillId="0" borderId="0" xfId="6" applyNumberFormat="1" applyFont="1" applyFill="1" applyBorder="1"/>
    <xf numFmtId="42" fontId="55" fillId="0" borderId="12" xfId="6" applyNumberFormat="1" applyFont="1" applyFill="1" applyBorder="1"/>
    <xf numFmtId="3" fontId="54" fillId="0" borderId="0" xfId="5" applyNumberFormat="1" applyFont="1" applyFill="1"/>
    <xf numFmtId="3" fontId="54" fillId="0" borderId="0" xfId="5" applyNumberFormat="1" applyFont="1" applyFill="1" applyBorder="1"/>
    <xf numFmtId="3" fontId="54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7" fillId="0" borderId="0" xfId="0" applyFont="1" applyFill="1" applyAlignment="1"/>
    <xf numFmtId="175" fontId="47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8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52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5" fontId="47" fillId="0" borderId="0" xfId="0" applyNumberFormat="1" applyFont="1" applyAlignment="1">
      <alignment horizontal="center"/>
    </xf>
    <xf numFmtId="14" fontId="27" fillId="0" borderId="10" xfId="0" quotePrefix="1" applyNumberFormat="1" applyFont="1" applyFill="1" applyBorder="1" applyAlignment="1">
      <alignment horizontal="center"/>
    </xf>
    <xf numFmtId="0" fontId="52" fillId="0" borderId="0" xfId="0" applyFont="1" applyFill="1"/>
    <xf numFmtId="14" fontId="56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0" fillId="0" borderId="0" xfId="0" applyFont="1"/>
    <xf numFmtId="0" fontId="50" fillId="0" borderId="0" xfId="0" applyFont="1" applyFill="1"/>
    <xf numFmtId="3" fontId="60" fillId="0" borderId="0" xfId="6" applyNumberFormat="1" applyFont="1" applyFill="1"/>
    <xf numFmtId="41" fontId="60" fillId="0" borderId="0" xfId="6" applyNumberFormat="1" applyFont="1" applyFill="1"/>
    <xf numFmtId="41" fontId="60" fillId="0" borderId="0" xfId="6" applyNumberFormat="1" applyFont="1" applyFill="1" applyBorder="1"/>
    <xf numFmtId="41" fontId="60" fillId="0" borderId="0" xfId="5" applyNumberFormat="1" applyFont="1" applyFill="1"/>
    <xf numFmtId="3" fontId="60" fillId="0" borderId="0" xfId="5" applyNumberFormat="1" applyFont="1" applyFill="1"/>
    <xf numFmtId="3" fontId="60" fillId="0" borderId="0" xfId="5" applyNumberFormat="1" applyFont="1" applyFill="1" applyBorder="1"/>
    <xf numFmtId="3" fontId="60" fillId="0" borderId="0" xfId="6" applyNumberFormat="1" applyFont="1" applyFill="1" applyBorder="1"/>
    <xf numFmtId="3" fontId="61" fillId="0" borderId="0" xfId="6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41" fontId="3" fillId="0" borderId="0" xfId="22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6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9" fillId="0" borderId="0" xfId="20" applyNumberFormat="1" applyFont="1" applyFill="1" applyAlignment="1">
      <alignment vertical="top"/>
    </xf>
    <xf numFmtId="0" fontId="8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10" fontId="63" fillId="4" borderId="0" xfId="7" applyNumberFormat="1" applyFont="1" applyFill="1" applyBorder="1"/>
    <xf numFmtId="5" fontId="50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40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9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left"/>
    </xf>
    <xf numFmtId="0" fontId="59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2" fillId="0" borderId="0" xfId="6" applyNumberFormat="1" applyFont="1" applyFill="1" applyBorder="1"/>
    <xf numFmtId="167" fontId="44" fillId="0" borderId="0" xfId="7" applyNumberFormat="1" applyFont="1" applyFill="1"/>
    <xf numFmtId="0" fontId="65" fillId="0" borderId="0" xfId="0" applyFont="1" applyFill="1" applyBorder="1" applyAlignment="1">
      <alignment horizontal="left"/>
    </xf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8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37" fontId="8" fillId="0" borderId="10" xfId="0" applyNumberFormat="1" applyFont="1" applyBorder="1"/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0" fontId="40" fillId="0" borderId="0" xfId="0" applyFont="1" applyAlignment="1">
      <alignment horizontal="left"/>
    </xf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6" borderId="0" xfId="20" applyNumberFormat="1" applyFont="1" applyFill="1"/>
    <xf numFmtId="5" fontId="3" fillId="0" borderId="0" xfId="20" applyNumberFormat="1" applyFont="1"/>
    <xf numFmtId="37" fontId="3" fillId="6" borderId="37" xfId="20" applyNumberFormat="1" applyFont="1" applyFill="1" applyBorder="1"/>
    <xf numFmtId="37" fontId="3" fillId="0" borderId="0" xfId="20" applyNumberFormat="1" applyFont="1"/>
    <xf numFmtId="37" fontId="3" fillId="7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6" borderId="10" xfId="20" applyNumberFormat="1" applyFont="1" applyFill="1" applyBorder="1"/>
    <xf numFmtId="37" fontId="3" fillId="0" borderId="10" xfId="20" applyNumberFormat="1" applyFont="1" applyBorder="1"/>
    <xf numFmtId="37" fontId="3" fillId="6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32" fillId="0" borderId="0" xfId="20" applyNumberFormat="1" applyFont="1"/>
    <xf numFmtId="4" fontId="12" fillId="0" borderId="22" xfId="0" applyNumberFormat="1" applyFont="1" applyFill="1" applyBorder="1" applyAlignment="1">
      <alignment horizontal="center"/>
    </xf>
    <xf numFmtId="0" fontId="9" fillId="0" borderId="0" xfId="23" applyFont="1"/>
    <xf numFmtId="0" fontId="8" fillId="0" borderId="0" xfId="23" applyFont="1"/>
    <xf numFmtId="0" fontId="16" fillId="0" borderId="0" xfId="23" applyFont="1"/>
    <xf numFmtId="0" fontId="8" fillId="0" borderId="0" xfId="23" applyFont="1" applyAlignment="1">
      <alignment horizontal="center"/>
    </xf>
    <xf numFmtId="0" fontId="16" fillId="0" borderId="6" xfId="23" applyFont="1" applyBorder="1"/>
    <xf numFmtId="0" fontId="66" fillId="0" borderId="0" xfId="23" applyFont="1"/>
    <xf numFmtId="0" fontId="8" fillId="0" borderId="10" xfId="23" applyFont="1" applyBorder="1"/>
    <xf numFmtId="0" fontId="40" fillId="0" borderId="10" xfId="23" applyFont="1" applyBorder="1"/>
    <xf numFmtId="0" fontId="9" fillId="0" borderId="10" xfId="23" applyFont="1" applyBorder="1"/>
    <xf numFmtId="0" fontId="10" fillId="0" borderId="10" xfId="23" applyFont="1" applyBorder="1" applyAlignment="1">
      <alignment horizontal="center"/>
    </xf>
    <xf numFmtId="0" fontId="66" fillId="0" borderId="10" xfId="23" applyFont="1" applyBorder="1"/>
    <xf numFmtId="0" fontId="16" fillId="0" borderId="10" xfId="23" applyFont="1" applyBorder="1"/>
    <xf numFmtId="0" fontId="9" fillId="0" borderId="0" xfId="23" applyFont="1" applyAlignment="1">
      <alignment horizontal="center"/>
    </xf>
    <xf numFmtId="170" fontId="8" fillId="0" borderId="0" xfId="23" applyNumberFormat="1" applyFont="1"/>
    <xf numFmtId="0" fontId="9" fillId="0" borderId="10" xfId="23" applyFont="1" applyBorder="1" applyAlignment="1">
      <alignment horizontal="center"/>
    </xf>
    <xf numFmtId="0" fontId="8" fillId="0" borderId="10" xfId="23" applyFont="1" applyBorder="1" applyAlignment="1">
      <alignment horizontal="center"/>
    </xf>
    <xf numFmtId="9" fontId="8" fillId="0" borderId="0" xfId="23" applyNumberFormat="1" applyFont="1"/>
    <xf numFmtId="41" fontId="9" fillId="0" borderId="0" xfId="23" applyNumberFormat="1" applyFont="1"/>
    <xf numFmtId="5" fontId="9" fillId="0" borderId="0" xfId="23" applyNumberFormat="1" applyFont="1"/>
    <xf numFmtId="3" fontId="8" fillId="0" borderId="0" xfId="23" applyNumberFormat="1" applyFont="1"/>
    <xf numFmtId="10" fontId="8" fillId="0" borderId="0" xfId="23" applyNumberFormat="1" applyFont="1"/>
    <xf numFmtId="2" fontId="8" fillId="0" borderId="0" xfId="23" applyNumberFormat="1" applyFont="1"/>
    <xf numFmtId="41" fontId="8" fillId="0" borderId="0" xfId="23" applyNumberFormat="1" applyFont="1"/>
    <xf numFmtId="0" fontId="8" fillId="4" borderId="2" xfId="23" applyFont="1" applyFill="1" applyBorder="1"/>
    <xf numFmtId="0" fontId="8" fillId="4" borderId="3" xfId="23" applyFont="1" applyFill="1" applyBorder="1"/>
    <xf numFmtId="0" fontId="8" fillId="4" borderId="4" xfId="23" applyFont="1" applyFill="1" applyBorder="1"/>
    <xf numFmtId="0" fontId="8" fillId="4" borderId="9" xfId="23" applyFont="1" applyFill="1" applyBorder="1"/>
    <xf numFmtId="0" fontId="8" fillId="4" borderId="10" xfId="23" applyFont="1" applyFill="1" applyBorder="1"/>
    <xf numFmtId="0" fontId="8" fillId="4" borderId="11" xfId="23" applyFont="1" applyFill="1" applyBorder="1"/>
    <xf numFmtId="41" fontId="16" fillId="0" borderId="0" xfId="23" applyNumberFormat="1" applyFont="1"/>
    <xf numFmtId="0" fontId="8" fillId="4" borderId="6" xfId="23" applyFont="1" applyFill="1" applyBorder="1"/>
    <xf numFmtId="10" fontId="8" fillId="4" borderId="0" xfId="23" applyNumberFormat="1" applyFont="1" applyFill="1"/>
    <xf numFmtId="10" fontId="8" fillId="4" borderId="7" xfId="24" applyNumberFormat="1" applyFont="1" applyFill="1" applyBorder="1"/>
    <xf numFmtId="10" fontId="8" fillId="4" borderId="10" xfId="23" applyNumberFormat="1" applyFont="1" applyFill="1" applyBorder="1"/>
    <xf numFmtId="10" fontId="8" fillId="4" borderId="11" xfId="24" applyNumberFormat="1" applyFont="1" applyFill="1" applyBorder="1"/>
    <xf numFmtId="0" fontId="8" fillId="0" borderId="0" xfId="23" applyFont="1" applyAlignment="1">
      <alignment horizontal="right"/>
    </xf>
    <xf numFmtId="0" fontId="67" fillId="0" borderId="0" xfId="23" applyFont="1"/>
    <xf numFmtId="41" fontId="9" fillId="0" borderId="3" xfId="23" applyNumberFormat="1" applyFont="1" applyBorder="1"/>
    <xf numFmtId="41" fontId="8" fillId="0" borderId="3" xfId="23" applyNumberFormat="1" applyFont="1" applyBorder="1"/>
    <xf numFmtId="41" fontId="9" fillId="0" borderId="12" xfId="23" applyNumberFormat="1" applyFont="1" applyBorder="1"/>
    <xf numFmtId="179" fontId="8" fillId="0" borderId="0" xfId="23" applyNumberFormat="1" applyFont="1"/>
    <xf numFmtId="41" fontId="64" fillId="0" borderId="0" xfId="7" applyNumberFormat="1" applyFont="1" applyFill="1" applyBorder="1" applyAlignment="1">
      <alignment horizontal="center"/>
    </xf>
    <xf numFmtId="41" fontId="52" fillId="0" borderId="0" xfId="0" applyNumberFormat="1" applyFont="1" applyFill="1" applyBorder="1"/>
    <xf numFmtId="41" fontId="9" fillId="0" borderId="0" xfId="23" applyNumberFormat="1" applyFont="1" applyBorder="1"/>
    <xf numFmtId="41" fontId="8" fillId="8" borderId="42" xfId="23" applyNumberFormat="1" applyFont="1" applyFill="1" applyBorder="1"/>
    <xf numFmtId="5" fontId="9" fillId="0" borderId="12" xfId="23" applyNumberFormat="1" applyFont="1" applyBorder="1"/>
    <xf numFmtId="180" fontId="51" fillId="0" borderId="0" xfId="0" applyNumberFormat="1" applyFont="1" applyFill="1"/>
    <xf numFmtId="3" fontId="26" fillId="0" borderId="0" xfId="0" applyNumberFormat="1" applyFont="1"/>
    <xf numFmtId="181" fontId="8" fillId="0" borderId="0" xfId="23" applyNumberFormat="1" applyFont="1"/>
    <xf numFmtId="0" fontId="8" fillId="0" borderId="0" xfId="23" applyFont="1" applyFill="1" applyBorder="1"/>
    <xf numFmtId="10" fontId="8" fillId="0" borderId="0" xfId="23" applyNumberFormat="1" applyFont="1" applyFill="1" applyBorder="1"/>
    <xf numFmtId="10" fontId="8" fillId="0" borderId="0" xfId="24" applyNumberFormat="1" applyFont="1" applyFill="1" applyBorder="1"/>
    <xf numFmtId="41" fontId="5" fillId="7" borderId="0" xfId="20" applyNumberFormat="1" applyFont="1" applyFill="1" applyBorder="1" applyAlignment="1">
      <alignment horizontal="center" vertical="top"/>
    </xf>
    <xf numFmtId="41" fontId="68" fillId="0" borderId="0" xfId="4" applyNumberFormat="1" applyFont="1" applyFill="1"/>
    <xf numFmtId="3" fontId="5" fillId="0" borderId="1" xfId="22" applyNumberFormat="1" applyFont="1" applyBorder="1" applyAlignment="1">
      <alignment horizontal="center"/>
    </xf>
    <xf numFmtId="3" fontId="5" fillId="0" borderId="5" xfId="22" applyNumberFormat="1" applyFont="1" applyBorder="1" applyAlignment="1">
      <alignment horizontal="center"/>
    </xf>
    <xf numFmtId="3" fontId="5" fillId="0" borderId="8" xfId="22" applyNumberFormat="1" applyFont="1" applyBorder="1" applyAlignment="1">
      <alignment horizontal="center"/>
    </xf>
    <xf numFmtId="4" fontId="5" fillId="0" borderId="0" xfId="22" applyNumberFormat="1" applyFont="1" applyAlignment="1">
      <alignment horizontal="center"/>
    </xf>
    <xf numFmtId="2" fontId="8" fillId="0" borderId="0" xfId="23" applyNumberFormat="1" applyFont="1" applyAlignment="1">
      <alignment horizontal="right"/>
    </xf>
    <xf numFmtId="41" fontId="5" fillId="9" borderId="0" xfId="20" applyNumberFormat="1" applyFont="1" applyFill="1" applyBorder="1" applyAlignment="1">
      <alignment horizontal="center" vertical="top"/>
    </xf>
    <xf numFmtId="0" fontId="8" fillId="9" borderId="0" xfId="23" applyFont="1" applyFill="1" applyAlignment="1">
      <alignment horizontal="center"/>
    </xf>
    <xf numFmtId="41" fontId="5" fillId="10" borderId="0" xfId="20" applyNumberFormat="1" applyFont="1" applyFill="1" applyBorder="1" applyAlignment="1">
      <alignment horizontal="center" vertical="top"/>
    </xf>
    <xf numFmtId="0" fontId="8" fillId="10" borderId="0" xfId="23" applyFont="1" applyFill="1" applyAlignment="1">
      <alignment horizontal="center"/>
    </xf>
    <xf numFmtId="41" fontId="28" fillId="5" borderId="13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41" fontId="5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5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2 2 2 4" xfId="23" xr:uid="{E7B10B8F-7CDA-47C5-A9E4-CE9A847808C1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  <cellStyle name="Percent 2 12" xfId="24" xr:uid="{6B00A28B-5671-4132-994F-2899A6DEDDA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066E9"/>
      <color rgb="FFF3B563"/>
      <color rgb="FF37E9A5"/>
      <color rgb="FFE44C1C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br/Mullins%20Exh%20BGM-9%20-%20Electric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br/Mullins%20Exh%20BGM-10%20-%20Natural%20Gas%20Rev%20Req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rk\30_ava\3046-8%20-%20UE-160228%202016%20GRC\disc\BR1\Attachment%20Bench%20Request%201\Exhibit%20No.%20BGM-13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avista\3046-9%20-%202018%20GRC\dir\_wps\_fnl\UE-170485%20-%20UG-170486_Exh%20BGM-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AV07%20-%202021GRC/dir/_exh/_xlsfnl%20-%20CONF/Confidential%20Exh.%20BGM-9%20-%20IT&amp;S%20Comparis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%20AMI%20Capital%20and%20Regulatory%20Ass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BGM-7%20BGM-8%20-%20Pro%20Forma%20Capit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AV07%20-%202021GRC/init/3.WPs/5.%20UE__Andrews(AVA-Oct20)/Native%20Workpapers/Exh.%20EMA-3%20-%202019%20WA%20Natural%20Gas%20RR%20Model%20AMA%20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CA"/>
      <sheetName val="Exh. No. BGM-9 (1)"/>
      <sheetName val="Exh. No. BGM-9 (1A)"/>
      <sheetName val="BGM-9 (2) Detailed Summary"/>
      <sheetName val="BGM-9 (4) Electric Adj"/>
      <sheetName val="BGM-9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CROSS ANSWERING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nual FERC by Org"/>
      <sheetName val="2016"/>
      <sheetName val="2016 Pivot"/>
      <sheetName val="2017"/>
      <sheetName val="2018"/>
      <sheetName val="Recap"/>
      <sheetName val="Oper Pivot"/>
      <sheetName val="NonOper"/>
      <sheetName val="Exh. BGM-9"/>
      <sheetName val="ISIT-1 (Adj. 3.07) 2020"/>
      <sheetName val="Acerno_Cache_XXXXX"/>
      <sheetName val="ISIT -DR 80- Non-Labor Actual"/>
      <sheetName val="DR 81 Pivot"/>
      <sheetName val="DR 81 Product Lis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S15">
            <v>1030036.26</v>
          </cell>
        </row>
        <row r="20">
          <cell r="S20">
            <v>283237</v>
          </cell>
          <cell r="W20">
            <v>-340827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djustment"/>
      <sheetName val="AMI"/>
      <sheetName val="Amortization"/>
      <sheetName val="Electric-Old meter deferral"/>
      <sheetName val="Gas-Old meter deferral"/>
      <sheetName val="Old Meters"/>
      <sheetName val="Deprec Ex ADJ by Func"/>
      <sheetName val="AWEC DR 40"/>
    </sheetNames>
    <sheetDataSet>
      <sheetData sheetId="0"/>
      <sheetData sheetId="1">
        <row r="3">
          <cell r="E3">
            <v>-24366497.947500002</v>
          </cell>
          <cell r="F3">
            <v>-5267726.5995833334</v>
          </cell>
        </row>
        <row r="8">
          <cell r="F8">
            <v>867206.7150000002</v>
          </cell>
        </row>
        <row r="26">
          <cell r="C26">
            <v>35432431.025416657</v>
          </cell>
          <cell r="F26">
            <v>-4400519.8845833335</v>
          </cell>
        </row>
        <row r="48">
          <cell r="F48">
            <v>2067558.5429348461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BGM-6"/>
      <sheetName val="Electric"/>
      <sheetName val="E-PLT 2019 EOP"/>
      <sheetName val="E-PLT  2020 AMA"/>
      <sheetName val="E-DEPX 2020 AMA"/>
      <sheetName val="E-AMTX 2020 AMA"/>
      <sheetName val="Exh BGM-7-&gt;"/>
      <sheetName val="Gas"/>
      <sheetName val="G-PLT 2019 EOP"/>
      <sheetName val="G-PLT 2020 AMA"/>
      <sheetName val="G-DEPX 2020 AMA"/>
      <sheetName val="G-AMTX 2020 AMA"/>
      <sheetName val="Allocation Factors"/>
      <sheetName val="AMI - Electric"/>
      <sheetName val="AMI - Natural Gas"/>
      <sheetName val="AWEC DR 40"/>
      <sheetName val="AWEC-033.Attch A AMI Meters"/>
      <sheetName val="AWEC-DR-031-Attachmnt A meters"/>
      <sheetName val="Deprec Ex ADJ by Func"/>
    </sheetNames>
    <sheetDataSet>
      <sheetData sheetId="0"/>
      <sheetData sheetId="1">
        <row r="6">
          <cell r="L6">
            <v>3248.134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L6">
            <v>688.20600000000002</v>
          </cell>
        </row>
        <row r="7">
          <cell r="L7">
            <v>13130.748430904723</v>
          </cell>
        </row>
        <row r="8">
          <cell r="L8">
            <v>2864.8708190952752</v>
          </cell>
        </row>
        <row r="16">
          <cell r="L16">
            <v>-234.995</v>
          </cell>
        </row>
        <row r="17">
          <cell r="L17">
            <v>-3377.8160663454787</v>
          </cell>
        </row>
        <row r="18">
          <cell r="L18">
            <v>-3950.9195586545211</v>
          </cell>
        </row>
        <row r="26">
          <cell r="L26">
            <v>-3406.8853325051291</v>
          </cell>
        </row>
        <row r="30">
          <cell r="H30">
            <v>5713209.2924948707</v>
          </cell>
        </row>
        <row r="34">
          <cell r="L34">
            <v>104.932</v>
          </cell>
        </row>
        <row r="35">
          <cell r="L35">
            <v>855.94865043588322</v>
          </cell>
        </row>
        <row r="36">
          <cell r="L36">
            <v>581.51134956411681</v>
          </cell>
        </row>
        <row r="39">
          <cell r="H39">
            <v>1542392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/>
      <sheetData sheetId="2"/>
      <sheetData sheetId="3">
        <row r="22">
          <cell r="AD22">
            <v>30</v>
          </cell>
        </row>
        <row r="33">
          <cell r="AD33">
            <v>424</v>
          </cell>
        </row>
        <row r="38">
          <cell r="AD38">
            <v>203</v>
          </cell>
        </row>
        <row r="39">
          <cell r="AD39">
            <v>18</v>
          </cell>
        </row>
        <row r="43">
          <cell r="AD43">
            <v>302</v>
          </cell>
        </row>
        <row r="45">
          <cell r="AQ45">
            <v>1550</v>
          </cell>
        </row>
        <row r="77">
          <cell r="AQ77">
            <v>-3959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0CE7-B36F-46E3-8DFE-262AED80061F}">
  <sheetPr codeName="Sheet2">
    <tabColor rgb="FF37E9A5"/>
  </sheetPr>
  <dimension ref="A1:AY75"/>
  <sheetViews>
    <sheetView tabSelected="1" zoomScale="85" zoomScaleNormal="85" zoomScaleSheetLayoutView="85" workbookViewId="0"/>
  </sheetViews>
  <sheetFormatPr defaultRowHeight="12.75"/>
  <cols>
    <col min="1" max="1" width="1.42578125" style="751" customWidth="1"/>
    <col min="2" max="2" width="5.7109375" style="751" customWidth="1"/>
    <col min="3" max="3" width="1.42578125" style="751" customWidth="1"/>
    <col min="4" max="4" width="8" style="751" customWidth="1"/>
    <col min="5" max="5" width="1.42578125" style="751" customWidth="1"/>
    <col min="6" max="6" width="39" style="751" customWidth="1"/>
    <col min="7" max="8" width="1.42578125" style="752" customWidth="1"/>
    <col min="9" max="9" width="9.5703125" style="751" customWidth="1"/>
    <col min="10" max="10" width="1.42578125" style="751" customWidth="1"/>
    <col min="11" max="11" width="9.5703125" style="751" customWidth="1"/>
    <col min="12" max="12" width="1.42578125" style="751" customWidth="1"/>
    <col min="13" max="13" width="9.5703125" style="751" customWidth="1"/>
    <col min="14" max="14" width="1.42578125" style="751" customWidth="1"/>
    <col min="15" max="15" width="9.5703125" style="751" customWidth="1"/>
    <col min="16" max="16" width="1.42578125" style="752" customWidth="1"/>
    <col min="17" max="17" width="1.42578125" style="751" customWidth="1"/>
    <col min="18" max="18" width="9.5703125" style="751" customWidth="1"/>
    <col min="19" max="19" width="1.42578125" style="751" customWidth="1"/>
    <col min="20" max="20" width="9.5703125" style="751" customWidth="1"/>
    <col min="21" max="21" width="1.42578125" style="751" customWidth="1"/>
    <col min="22" max="22" width="9.5703125" style="751" customWidth="1"/>
    <col min="23" max="24" width="1.42578125" style="751" customWidth="1"/>
    <col min="25" max="25" width="10.42578125" style="752" customWidth="1"/>
    <col min="26" max="26" width="1.42578125" style="752" customWidth="1"/>
    <col min="27" max="27" width="10.42578125" style="752" customWidth="1"/>
    <col min="28" max="28" width="1.28515625" style="752" customWidth="1"/>
    <col min="29" max="29" width="10.42578125" style="752" customWidth="1"/>
    <col min="30" max="30" width="1.42578125" style="752" customWidth="1"/>
    <col min="31" max="31" width="10.42578125" style="752" customWidth="1"/>
    <col min="32" max="32" width="1.42578125" style="752" customWidth="1"/>
    <col min="33" max="33" width="15.7109375" style="752" customWidth="1"/>
    <col min="34" max="35" width="2.7109375" style="752" customWidth="1"/>
    <col min="36" max="36" width="21.140625" style="752" customWidth="1"/>
    <col min="37" max="39" width="11.85546875" style="751" customWidth="1"/>
    <col min="40" max="40" width="11.7109375" style="751" customWidth="1"/>
    <col min="41" max="41" width="21.140625" style="751" customWidth="1"/>
    <col min="42" max="44" width="11.85546875" style="751" customWidth="1"/>
    <col min="45" max="16384" width="9.140625" style="751"/>
  </cols>
  <sheetData>
    <row r="1" spans="1:51">
      <c r="A1" s="750" t="s">
        <v>589</v>
      </c>
      <c r="B1" s="750"/>
      <c r="C1" s="750"/>
      <c r="E1" s="750"/>
      <c r="F1" s="750"/>
      <c r="I1" s="752"/>
      <c r="J1" s="752"/>
      <c r="K1" s="752"/>
      <c r="L1" s="750"/>
      <c r="M1" s="750"/>
      <c r="N1" s="750"/>
      <c r="O1" s="750"/>
      <c r="Q1" s="750"/>
      <c r="R1" s="750"/>
      <c r="S1" s="750"/>
      <c r="T1" s="750"/>
      <c r="U1" s="750"/>
      <c r="V1" s="750"/>
      <c r="Z1" s="753"/>
      <c r="AI1" s="754"/>
      <c r="AK1" s="752"/>
      <c r="AL1" s="752"/>
      <c r="AM1" s="752"/>
      <c r="AN1" s="752"/>
      <c r="AO1" s="752"/>
    </row>
    <row r="2" spans="1:51">
      <c r="B2" s="750"/>
      <c r="C2" s="750"/>
      <c r="D2" s="750"/>
      <c r="E2" s="750"/>
      <c r="F2" s="750"/>
      <c r="H2" s="755"/>
      <c r="I2" s="756" t="s">
        <v>636</v>
      </c>
      <c r="J2" s="756"/>
      <c r="K2" s="756"/>
      <c r="L2" s="757"/>
      <c r="M2" s="757"/>
      <c r="N2" s="757"/>
      <c r="O2" s="757"/>
      <c r="Q2" s="750"/>
      <c r="R2" s="756" t="s">
        <v>590</v>
      </c>
      <c r="S2" s="758"/>
      <c r="T2" s="758"/>
      <c r="U2" s="758"/>
      <c r="V2" s="758"/>
      <c r="Y2" s="756" t="s">
        <v>591</v>
      </c>
      <c r="Z2" s="759"/>
      <c r="AA2" s="760"/>
      <c r="AB2" s="760"/>
      <c r="AC2" s="760"/>
      <c r="AD2" s="760"/>
      <c r="AE2" s="760"/>
      <c r="AF2" s="753"/>
      <c r="AG2" s="753"/>
      <c r="AI2" s="754"/>
      <c r="AJ2" s="761" t="s">
        <v>592</v>
      </c>
      <c r="AK2" s="761"/>
      <c r="AL2" s="761"/>
      <c r="AM2" s="761"/>
      <c r="AN2" s="752"/>
      <c r="AO2" s="752"/>
    </row>
    <row r="3" spans="1:51">
      <c r="B3" s="750"/>
      <c r="C3" s="750"/>
      <c r="D3" s="750"/>
      <c r="E3" s="750"/>
      <c r="F3" s="750"/>
      <c r="I3" s="753"/>
      <c r="J3" s="753"/>
      <c r="K3" s="753"/>
      <c r="L3" s="753"/>
      <c r="M3" s="753"/>
      <c r="N3" s="753"/>
      <c r="O3" s="753" t="s">
        <v>593</v>
      </c>
      <c r="R3" s="753"/>
      <c r="S3" s="753"/>
      <c r="T3" s="753"/>
      <c r="U3" s="753"/>
      <c r="V3" s="753" t="s">
        <v>593</v>
      </c>
      <c r="Y3" s="753" t="s">
        <v>594</v>
      </c>
      <c r="Z3" s="753"/>
      <c r="AA3" s="753"/>
      <c r="AB3" s="753"/>
      <c r="AC3" s="753"/>
      <c r="AD3" s="753"/>
      <c r="AE3" s="753" t="s">
        <v>593</v>
      </c>
      <c r="AF3" s="753"/>
      <c r="AG3" s="753"/>
      <c r="AI3" s="754"/>
      <c r="AJ3" s="751"/>
    </row>
    <row r="4" spans="1:51">
      <c r="B4" s="750"/>
      <c r="C4" s="750"/>
      <c r="D4" s="762" t="s">
        <v>595</v>
      </c>
      <c r="E4" s="750"/>
      <c r="F4" s="750"/>
      <c r="I4" s="753" t="s">
        <v>614</v>
      </c>
      <c r="J4" s="753"/>
      <c r="K4" s="753" t="s">
        <v>596</v>
      </c>
      <c r="L4" s="753"/>
      <c r="M4" s="753"/>
      <c r="N4" s="753"/>
      <c r="O4" s="753" t="s">
        <v>597</v>
      </c>
      <c r="R4" s="753" t="s">
        <v>596</v>
      </c>
      <c r="S4" s="753"/>
      <c r="T4" s="753"/>
      <c r="U4" s="753"/>
      <c r="V4" s="753" t="s">
        <v>597</v>
      </c>
      <c r="Y4" s="753" t="s">
        <v>596</v>
      </c>
      <c r="Z4" s="753"/>
      <c r="AA4" s="753" t="s">
        <v>596</v>
      </c>
      <c r="AB4" s="753"/>
      <c r="AC4" s="753"/>
      <c r="AD4" s="753"/>
      <c r="AE4" s="753" t="s">
        <v>597</v>
      </c>
      <c r="AF4" s="753"/>
      <c r="AG4" s="753"/>
      <c r="AI4" s="754"/>
      <c r="AJ4" s="751" t="s">
        <v>598</v>
      </c>
      <c r="AK4" s="763">
        <f>+CF!E27</f>
        <v>0.755463</v>
      </c>
    </row>
    <row r="5" spans="1:51">
      <c r="B5" s="758" t="s">
        <v>7</v>
      </c>
      <c r="C5" s="750"/>
      <c r="D5" s="764" t="s">
        <v>599</v>
      </c>
      <c r="E5" s="750"/>
      <c r="F5" s="758" t="s">
        <v>71</v>
      </c>
      <c r="I5" s="765" t="s">
        <v>615</v>
      </c>
      <c r="J5" s="753"/>
      <c r="K5" s="765" t="s">
        <v>600</v>
      </c>
      <c r="L5" s="753"/>
      <c r="M5" s="765" t="s">
        <v>19</v>
      </c>
      <c r="N5" s="753"/>
      <c r="O5" s="765" t="s">
        <v>601</v>
      </c>
      <c r="R5" s="765" t="s">
        <v>600</v>
      </c>
      <c r="S5" s="753"/>
      <c r="T5" s="765" t="s">
        <v>19</v>
      </c>
      <c r="U5" s="753"/>
      <c r="V5" s="765" t="s">
        <v>601</v>
      </c>
      <c r="Y5" s="765" t="s">
        <v>600</v>
      </c>
      <c r="Z5" s="753"/>
      <c r="AA5" s="765" t="s">
        <v>600</v>
      </c>
      <c r="AB5" s="753"/>
      <c r="AC5" s="765" t="s">
        <v>19</v>
      </c>
      <c r="AD5" s="753"/>
      <c r="AE5" s="765" t="s">
        <v>601</v>
      </c>
      <c r="AF5" s="753"/>
      <c r="AG5" s="765" t="s">
        <v>602</v>
      </c>
      <c r="AI5" s="754"/>
      <c r="AJ5" s="751" t="s">
        <v>603</v>
      </c>
      <c r="AK5" s="766">
        <v>0.21</v>
      </c>
    </row>
    <row r="6" spans="1:51">
      <c r="AG6" s="753"/>
      <c r="AI6" s="754"/>
      <c r="AJ6" s="751"/>
    </row>
    <row r="7" spans="1:51">
      <c r="B7" s="751">
        <v>1</v>
      </c>
      <c r="D7" s="391">
        <v>1</v>
      </c>
      <c r="E7" s="750"/>
      <c r="F7" s="750" t="s">
        <v>635</v>
      </c>
      <c r="I7" s="767">
        <f>+INDEX('ADJ DETAIL INPUT'!$E$58:$AR$58,1,MATCH(D7,'ADJ DETAIL INPUT'!$E$10:$AR$10,0))</f>
        <v>24474</v>
      </c>
      <c r="J7" s="767"/>
      <c r="K7" s="767">
        <f>+I7</f>
        <v>24474</v>
      </c>
      <c r="L7" s="767"/>
      <c r="M7" s="767">
        <f>+INDEX('ADJ DETAIL INPUT'!$E$81:$AR$81,1,MATCH(D7,'ADJ DETAIL INPUT'!$E$10:$AR$10,0))</f>
        <v>405933</v>
      </c>
      <c r="N7" s="767"/>
      <c r="O7" s="767">
        <f>+($M7*$AM$12-$K7)/$AK$4</f>
        <v>5270.8118067992718</v>
      </c>
      <c r="Q7" s="750"/>
      <c r="R7" s="768">
        <f>+I7</f>
        <v>24474</v>
      </c>
      <c r="S7" s="767"/>
      <c r="T7" s="767">
        <f>+M7</f>
        <v>405933</v>
      </c>
      <c r="U7" s="767"/>
      <c r="V7" s="767">
        <f>+($T7*$AM$12-$R7)/$AK$4</f>
        <v>5270.8118067992718</v>
      </c>
      <c r="AG7" s="753"/>
      <c r="AI7" s="754"/>
      <c r="AJ7" s="751"/>
      <c r="AN7" s="751" t="s">
        <v>616</v>
      </c>
      <c r="AV7" s="769"/>
      <c r="AW7" s="770"/>
      <c r="AX7" s="770"/>
      <c r="AY7" s="770"/>
    </row>
    <row r="8" spans="1:51">
      <c r="D8" s="771"/>
      <c r="I8" s="772"/>
      <c r="J8" s="772"/>
      <c r="K8" s="772"/>
      <c r="L8" s="772"/>
      <c r="M8" s="772"/>
      <c r="N8" s="772"/>
      <c r="O8" s="772"/>
      <c r="R8" s="772"/>
      <c r="S8" s="772"/>
      <c r="T8" s="772"/>
      <c r="U8" s="772"/>
      <c r="V8" s="772"/>
      <c r="AG8" s="753"/>
      <c r="AI8" s="754"/>
      <c r="AJ8" s="773" t="s">
        <v>604</v>
      </c>
      <c r="AK8" s="774" t="s">
        <v>132</v>
      </c>
      <c r="AL8" s="774"/>
      <c r="AM8" s="775" t="s">
        <v>133</v>
      </c>
      <c r="AO8" s="799"/>
      <c r="AP8" s="799"/>
      <c r="AQ8" s="799"/>
      <c r="AR8" s="799"/>
      <c r="AV8" s="769"/>
      <c r="AW8" s="770"/>
      <c r="AX8" s="770"/>
      <c r="AY8" s="770"/>
    </row>
    <row r="9" spans="1:51">
      <c r="B9" s="755" t="s">
        <v>605</v>
      </c>
      <c r="D9" s="771"/>
      <c r="I9" s="772"/>
      <c r="J9" s="772"/>
      <c r="K9" s="772"/>
      <c r="L9" s="772"/>
      <c r="M9" s="772"/>
      <c r="N9" s="772"/>
      <c r="O9" s="772"/>
      <c r="R9" s="772"/>
      <c r="S9" s="772"/>
      <c r="T9" s="772"/>
      <c r="U9" s="772"/>
      <c r="V9" s="772"/>
      <c r="AG9" s="753"/>
      <c r="AI9" s="754"/>
      <c r="AJ9" s="776" t="s">
        <v>134</v>
      </c>
      <c r="AK9" s="777" t="s">
        <v>135</v>
      </c>
      <c r="AL9" s="777" t="s">
        <v>136</v>
      </c>
      <c r="AM9" s="778" t="s">
        <v>136</v>
      </c>
      <c r="AO9" s="799"/>
      <c r="AP9" s="799"/>
      <c r="AQ9" s="799"/>
      <c r="AR9" s="799"/>
      <c r="AW9" s="770"/>
      <c r="AX9" s="770"/>
    </row>
    <row r="10" spans="1:51">
      <c r="B10" s="751">
        <f t="shared" ref="B10:B56" ca="1" si="0">+MAX(OFFSET($B$7,0,0,ROW($B10)-ROW($B$7),1))+1</f>
        <v>2</v>
      </c>
      <c r="D10" s="771">
        <v>1.01</v>
      </c>
      <c r="F10" s="751" t="str" cm="1">
        <f t="array" ref="F10">+TRIM(INDEX('ADJ DETAIL INPUT'!$E$7:$AR$7&amp;" "&amp;'ADJ DETAIL INPUT'!$E$8:$AR$8&amp;" "&amp;'ADJ DETAIL INPUT'!$E$9:$AR$9,1,MATCH(D10,'ADJ DETAIL INPUT'!$E$10:$AR$10,0)))</f>
        <v>Deferred FIT Rate Base</v>
      </c>
      <c r="I10" s="772">
        <v>0</v>
      </c>
      <c r="J10" s="772"/>
      <c r="K10" s="772">
        <f>+I10+$M10*$AK$5*$AM$10</f>
        <v>-5.1141299999999994</v>
      </c>
      <c r="L10" s="772"/>
      <c r="M10" s="772">
        <v>-994</v>
      </c>
      <c r="N10" s="772"/>
      <c r="O10" s="772">
        <f>+($M10*$AM$12-$K10)/$AK$4</f>
        <v>-85.464503225174496</v>
      </c>
      <c r="R10" s="772">
        <f>+I10+AA10+$T10*$AK$5*$AM$10</f>
        <v>-5.1141299999999994</v>
      </c>
      <c r="S10" s="772"/>
      <c r="T10" s="772">
        <f>+M10+AC10</f>
        <v>-994</v>
      </c>
      <c r="U10" s="772"/>
      <c r="V10" s="772">
        <f t="shared" ref="V10:V28" si="1">+($T10*$AM$12-$R10)/$AK$4</f>
        <v>-85.464503225174496</v>
      </c>
      <c r="Y10" s="772">
        <f>+AA10/(1-$AK$5)</f>
        <v>0</v>
      </c>
      <c r="Z10" s="772"/>
      <c r="AA10" s="794">
        <v>0</v>
      </c>
      <c r="AB10" s="772"/>
      <c r="AC10" s="794">
        <v>0</v>
      </c>
      <c r="AD10" s="779"/>
      <c r="AE10" s="772">
        <f t="shared" ref="AE10:AE28" si="2">+V10-O10</f>
        <v>0</v>
      </c>
      <c r="AG10" s="753" t="s">
        <v>606</v>
      </c>
      <c r="AI10" s="754"/>
      <c r="AJ10" s="780" t="s">
        <v>607</v>
      </c>
      <c r="AK10" s="781">
        <v>0.51500000000000001</v>
      </c>
      <c r="AL10" s="781">
        <v>4.7500000000000001E-2</v>
      </c>
      <c r="AM10" s="782">
        <f>ROUND(AK10*AL10,4)</f>
        <v>2.4500000000000001E-2</v>
      </c>
      <c r="AO10" s="799"/>
      <c r="AP10" s="800"/>
      <c r="AQ10" s="800"/>
      <c r="AR10" s="801"/>
      <c r="AV10" s="798"/>
    </row>
    <row r="11" spans="1:51">
      <c r="B11" s="751">
        <f t="shared" ca="1" si="0"/>
        <v>3</v>
      </c>
      <c r="D11" s="771">
        <v>1.02</v>
      </c>
      <c r="F11" s="751" t="str" cm="1">
        <f t="array" ref="F11">+TRIM(INDEX('ADJ DETAIL INPUT'!$E$7:$AR$7&amp;" "&amp;'ADJ DETAIL INPUT'!$E$8:$AR$8&amp;" "&amp;'ADJ DETAIL INPUT'!$E$9:$AR$9,1,MATCH(D11,'ADJ DETAIL INPUT'!$E$10:$AR$10,0)))</f>
        <v>Deferred Debits and Credits</v>
      </c>
      <c r="I11" s="772">
        <v>-11.850000000000001</v>
      </c>
      <c r="J11" s="772"/>
      <c r="K11" s="772">
        <f>+I11+$M11*$AK$5*$AM$10</f>
        <v>-11.855145000000002</v>
      </c>
      <c r="L11" s="772"/>
      <c r="M11" s="772">
        <v>-1</v>
      </c>
      <c r="N11" s="772"/>
      <c r="O11" s="772">
        <f t="shared" ref="O11:O28" si="3">+($M11*$AM$12-$K11)/$AK$4</f>
        <v>15.599764647639926</v>
      </c>
      <c r="R11" s="772">
        <f t="shared" ref="R11:R28" si="4">+I11+AA11+$T11*$AK$5*$AM$10</f>
        <v>-11.855145000000002</v>
      </c>
      <c r="S11" s="772"/>
      <c r="T11" s="772">
        <f t="shared" ref="T11:T20" si="5">+M11+AC11</f>
        <v>-1</v>
      </c>
      <c r="U11" s="772"/>
      <c r="V11" s="772">
        <f t="shared" si="1"/>
        <v>15.599764647639926</v>
      </c>
      <c r="Y11" s="772">
        <f>+AA11/(1-$AK$5)</f>
        <v>0</v>
      </c>
      <c r="Z11" s="772"/>
      <c r="AA11" s="794">
        <v>0</v>
      </c>
      <c r="AB11" s="772"/>
      <c r="AC11" s="794">
        <v>0</v>
      </c>
      <c r="AD11" s="779"/>
      <c r="AE11" s="772">
        <f t="shared" si="2"/>
        <v>0</v>
      </c>
      <c r="AG11" s="753" t="s">
        <v>606</v>
      </c>
      <c r="AI11" s="754"/>
      <c r="AJ11" s="780" t="s">
        <v>495</v>
      </c>
      <c r="AK11" s="783">
        <v>0.48499999999999999</v>
      </c>
      <c r="AL11" s="781">
        <v>9.4E-2</v>
      </c>
      <c r="AM11" s="784">
        <f>ROUND(AK11*AL11,4)</f>
        <v>4.5600000000000002E-2</v>
      </c>
      <c r="AO11" s="799"/>
      <c r="AP11" s="800"/>
      <c r="AQ11" s="800"/>
      <c r="AR11" s="801"/>
      <c r="AV11" s="798"/>
    </row>
    <row r="12" spans="1:51">
      <c r="B12" s="751">
        <f t="shared" ca="1" si="0"/>
        <v>4</v>
      </c>
      <c r="D12" s="771">
        <v>1.03</v>
      </c>
      <c r="F12" s="751" t="str" cm="1">
        <f t="array" ref="F12">+TRIM(INDEX('ADJ DETAIL INPUT'!$E$7:$AR$7&amp;" "&amp;'ADJ DETAIL INPUT'!$E$8:$AR$8&amp;" "&amp;'ADJ DETAIL INPUT'!$E$9:$AR$9,1,MATCH(D12,'ADJ DETAIL INPUT'!$E$10:$AR$10,0)))</f>
        <v>Working Capital</v>
      </c>
      <c r="I12" s="772">
        <v>0</v>
      </c>
      <c r="J12" s="772"/>
      <c r="K12" s="772">
        <f t="shared" ref="K12:K28" si="6">+I12+$M12*$AK$5*$AM$10</f>
        <v>-5.8858799999999993</v>
      </c>
      <c r="L12" s="772"/>
      <c r="M12" s="772">
        <v>-1144</v>
      </c>
      <c r="N12" s="772"/>
      <c r="O12" s="772">
        <f t="shared" si="3"/>
        <v>-98.36156105593524</v>
      </c>
      <c r="R12" s="772">
        <f t="shared" si="4"/>
        <v>-5.8858799999999993</v>
      </c>
      <c r="S12" s="772"/>
      <c r="T12" s="772">
        <f t="shared" si="5"/>
        <v>-1144</v>
      </c>
      <c r="U12" s="772"/>
      <c r="V12" s="772">
        <f t="shared" si="1"/>
        <v>-98.36156105593524</v>
      </c>
      <c r="Y12" s="772">
        <f>+AA12/(1-$AK$5)</f>
        <v>0</v>
      </c>
      <c r="Z12" s="772"/>
      <c r="AA12" s="794">
        <v>0</v>
      </c>
      <c r="AB12" s="772"/>
      <c r="AC12" s="794">
        <v>0</v>
      </c>
      <c r="AD12" s="779"/>
      <c r="AE12" s="772">
        <f t="shared" si="2"/>
        <v>0</v>
      </c>
      <c r="AG12" s="753" t="s">
        <v>606</v>
      </c>
      <c r="AI12" s="754"/>
      <c r="AJ12" s="776" t="s">
        <v>25</v>
      </c>
      <c r="AK12" s="783">
        <v>1</v>
      </c>
      <c r="AL12" s="777"/>
      <c r="AM12" s="784">
        <f>+SUM(AM10:AM11)</f>
        <v>7.0099999999999996E-2</v>
      </c>
      <c r="AN12" s="772">
        <f>+(AM12-AM18)*$M$59/$AK$4*1000</f>
        <v>-415300.22738782625</v>
      </c>
      <c r="AO12" s="751" t="s">
        <v>617</v>
      </c>
      <c r="AP12" s="800"/>
      <c r="AQ12" s="799"/>
      <c r="AR12" s="801"/>
      <c r="AV12" s="798"/>
    </row>
    <row r="13" spans="1:51">
      <c r="B13" s="751">
        <f t="shared" ca="1" si="0"/>
        <v>5</v>
      </c>
      <c r="D13" s="771">
        <v>1.04</v>
      </c>
      <c r="F13" s="751" t="str" cm="1">
        <f t="array" ref="F13">+TRIM(INDEX('ADJ DETAIL INPUT'!$E$7:$AR$7&amp;" "&amp;'ADJ DETAIL INPUT'!$E$8:$AR$8&amp;" "&amp;'ADJ DETAIL INPUT'!$E$9:$AR$9,1,MATCH(D13,'ADJ DETAIL INPUT'!$E$10:$AR$10,0)))</f>
        <v>Remove AMI Rate Base</v>
      </c>
      <c r="I13" s="772">
        <v>0</v>
      </c>
      <c r="J13" s="772"/>
      <c r="K13" s="772">
        <f t="shared" si="6"/>
        <v>-94.683434999999989</v>
      </c>
      <c r="L13" s="772"/>
      <c r="M13" s="772">
        <v>-18403</v>
      </c>
      <c r="N13" s="772"/>
      <c r="O13" s="772">
        <f t="shared" si="3"/>
        <v>-1582.2970350632659</v>
      </c>
      <c r="R13" s="772">
        <f t="shared" si="4"/>
        <v>-94.683434999999989</v>
      </c>
      <c r="S13" s="772"/>
      <c r="T13" s="772">
        <f t="shared" si="5"/>
        <v>-18403</v>
      </c>
      <c r="U13" s="772"/>
      <c r="V13" s="772">
        <f t="shared" si="1"/>
        <v>-1582.2970350632659</v>
      </c>
      <c r="Y13" s="772">
        <f>+AA13/(1-$AK$5)</f>
        <v>0</v>
      </c>
      <c r="Z13" s="772"/>
      <c r="AA13" s="794">
        <v>0</v>
      </c>
      <c r="AB13" s="772"/>
      <c r="AC13" s="794">
        <v>0</v>
      </c>
      <c r="AD13" s="779"/>
      <c r="AE13" s="772">
        <f t="shared" si="2"/>
        <v>0</v>
      </c>
      <c r="AG13" s="753" t="s">
        <v>606</v>
      </c>
      <c r="AI13" s="754"/>
      <c r="AV13" s="798"/>
    </row>
    <row r="14" spans="1:51">
      <c r="B14" s="751">
        <f t="shared" ca="1" si="0"/>
        <v>6</v>
      </c>
      <c r="D14" s="771">
        <v>2.0099999999999998</v>
      </c>
      <c r="F14" s="751" t="str" cm="1">
        <f t="array" ref="F14">+TRIM(INDEX('ADJ DETAIL INPUT'!$E$7:$AR$7&amp;" "&amp;'ADJ DETAIL INPUT'!$E$8:$AR$8&amp;" "&amp;'ADJ DETAIL INPUT'!$E$9:$AR$9,1,MATCH(D14,'ADJ DETAIL INPUT'!$E$10:$AR$10,0)))</f>
        <v>Eliminate B &amp; O Taxes</v>
      </c>
      <c r="I14" s="772">
        <v>-9.48</v>
      </c>
      <c r="J14" s="772"/>
      <c r="K14" s="772">
        <f t="shared" si="6"/>
        <v>-9.48</v>
      </c>
      <c r="L14" s="772"/>
      <c r="M14" s="772">
        <v>0</v>
      </c>
      <c r="N14" s="772"/>
      <c r="O14" s="772">
        <f t="shared" si="3"/>
        <v>12.548596026542663</v>
      </c>
      <c r="R14" s="772">
        <f t="shared" si="4"/>
        <v>-9.48</v>
      </c>
      <c r="S14" s="772"/>
      <c r="T14" s="772">
        <f t="shared" si="5"/>
        <v>0</v>
      </c>
      <c r="U14" s="772"/>
      <c r="V14" s="772">
        <f t="shared" si="1"/>
        <v>12.548596026542663</v>
      </c>
      <c r="Y14" s="772">
        <f>+AA14/(1-$AK$5)</f>
        <v>0</v>
      </c>
      <c r="Z14" s="772"/>
      <c r="AA14" s="794">
        <v>0</v>
      </c>
      <c r="AB14" s="772"/>
      <c r="AC14" s="794">
        <v>0</v>
      </c>
      <c r="AD14" s="779"/>
      <c r="AE14" s="772">
        <f t="shared" si="2"/>
        <v>0</v>
      </c>
      <c r="AG14" s="753" t="s">
        <v>606</v>
      </c>
      <c r="AI14" s="754"/>
      <c r="AJ14" s="773" t="s">
        <v>604</v>
      </c>
      <c r="AK14" s="774" t="s">
        <v>132</v>
      </c>
      <c r="AL14" s="774"/>
      <c r="AM14" s="775" t="s">
        <v>133</v>
      </c>
      <c r="AV14" s="798"/>
    </row>
    <row r="15" spans="1:51">
      <c r="B15" s="751">
        <f t="shared" ca="1" si="0"/>
        <v>7</v>
      </c>
      <c r="D15" s="771">
        <v>2.0199999999999996</v>
      </c>
      <c r="F15" s="751" t="str" cm="1">
        <f t="array" ref="F15">+TRIM(INDEX('ADJ DETAIL INPUT'!$E$7:$AR$7&amp;" "&amp;'ADJ DETAIL INPUT'!$E$8:$AR$8&amp;" "&amp;'ADJ DETAIL INPUT'!$E$9:$AR$9,1,MATCH(D15,'ADJ DETAIL INPUT'!$E$10:$AR$10,0)))</f>
        <v>Restate Property Tax</v>
      </c>
      <c r="I15" s="772">
        <v>-188.81</v>
      </c>
      <c r="J15" s="772"/>
      <c r="K15" s="772">
        <f t="shared" si="6"/>
        <v>-188.81</v>
      </c>
      <c r="L15" s="772"/>
      <c r="M15" s="772">
        <v>0</v>
      </c>
      <c r="N15" s="772"/>
      <c r="O15" s="772">
        <f t="shared" si="3"/>
        <v>249.92620419530806</v>
      </c>
      <c r="R15" s="772">
        <f t="shared" si="4"/>
        <v>-188.81</v>
      </c>
      <c r="S15" s="772"/>
      <c r="T15" s="772">
        <f t="shared" si="5"/>
        <v>0</v>
      </c>
      <c r="U15" s="772"/>
      <c r="V15" s="772">
        <f t="shared" si="1"/>
        <v>249.92620419530806</v>
      </c>
      <c r="Y15" s="772">
        <f t="shared" ref="Y15:Y28" si="7">+AA15/(1-$AK$5)</f>
        <v>0</v>
      </c>
      <c r="Z15" s="772"/>
      <c r="AA15" s="794">
        <v>0</v>
      </c>
      <c r="AB15" s="772"/>
      <c r="AC15" s="794">
        <v>0</v>
      </c>
      <c r="AD15" s="779"/>
      <c r="AE15" s="772">
        <f t="shared" si="2"/>
        <v>0</v>
      </c>
      <c r="AG15" s="753" t="s">
        <v>606</v>
      </c>
      <c r="AI15" s="754"/>
      <c r="AJ15" s="776" t="s">
        <v>134</v>
      </c>
      <c r="AK15" s="777" t="s">
        <v>135</v>
      </c>
      <c r="AL15" s="777" t="s">
        <v>136</v>
      </c>
      <c r="AM15" s="778" t="s">
        <v>136</v>
      </c>
      <c r="AV15" s="798"/>
    </row>
    <row r="16" spans="1:51">
      <c r="B16" s="751">
        <f t="shared" ca="1" si="0"/>
        <v>8</v>
      </c>
      <c r="D16" s="771">
        <v>2.0299999999999994</v>
      </c>
      <c r="F16" s="751" t="str" cm="1">
        <f t="array" ref="F16">+TRIM(INDEX('ADJ DETAIL INPUT'!$E$7:$AR$7&amp;" "&amp;'ADJ DETAIL INPUT'!$E$8:$AR$8&amp;" "&amp;'ADJ DETAIL INPUT'!$E$9:$AR$9,1,MATCH(D16,'ADJ DETAIL INPUT'!$E$10:$AR$10,0)))</f>
        <v>Uncollectible Expense</v>
      </c>
      <c r="I16" s="772">
        <v>-131.13999999999999</v>
      </c>
      <c r="J16" s="772"/>
      <c r="K16" s="772">
        <f t="shared" si="6"/>
        <v>-131.13999999999999</v>
      </c>
      <c r="L16" s="772"/>
      <c r="M16" s="772">
        <v>0</v>
      </c>
      <c r="N16" s="772"/>
      <c r="O16" s="772">
        <f t="shared" si="3"/>
        <v>173.58891170050683</v>
      </c>
      <c r="R16" s="772">
        <f t="shared" si="4"/>
        <v>-131.13999999999999</v>
      </c>
      <c r="S16" s="772"/>
      <c r="T16" s="772">
        <f t="shared" si="5"/>
        <v>0</v>
      </c>
      <c r="U16" s="772"/>
      <c r="V16" s="772">
        <f t="shared" si="1"/>
        <v>173.58891170050683</v>
      </c>
      <c r="Y16" s="772">
        <f t="shared" si="7"/>
        <v>0</v>
      </c>
      <c r="Z16" s="772"/>
      <c r="AA16" s="794">
        <v>0</v>
      </c>
      <c r="AB16" s="772"/>
      <c r="AC16" s="794">
        <v>0</v>
      </c>
      <c r="AD16" s="779"/>
      <c r="AE16" s="772">
        <f t="shared" si="2"/>
        <v>0</v>
      </c>
      <c r="AG16" s="753" t="s">
        <v>606</v>
      </c>
      <c r="AI16" s="754"/>
      <c r="AJ16" s="780" t="s">
        <v>607</v>
      </c>
      <c r="AK16" s="781">
        <v>0.5</v>
      </c>
      <c r="AL16" s="781">
        <v>4.7500000000000001E-2</v>
      </c>
      <c r="AM16" s="782">
        <f>ROUND(AK16*AL16,4)</f>
        <v>2.3800000000000002E-2</v>
      </c>
      <c r="AV16" s="798"/>
    </row>
    <row r="17" spans="2:48">
      <c r="B17" s="751">
        <f t="shared" ca="1" si="0"/>
        <v>9</v>
      </c>
      <c r="D17" s="771">
        <v>2.0399999999999991</v>
      </c>
      <c r="F17" s="751" t="str" cm="1">
        <f t="array" ref="F17">+TRIM(INDEX('ADJ DETAIL INPUT'!$E$7:$AR$7&amp;" "&amp;'ADJ DETAIL INPUT'!$E$8:$AR$8&amp;" "&amp;'ADJ DETAIL INPUT'!$E$9:$AR$9,1,MATCH(D17,'ADJ DETAIL INPUT'!$E$10:$AR$10,0)))</f>
        <v>Regulatory Expense</v>
      </c>
      <c r="I17" s="772">
        <v>45.82</v>
      </c>
      <c r="J17" s="772"/>
      <c r="K17" s="772">
        <f t="shared" si="6"/>
        <v>45.82</v>
      </c>
      <c r="L17" s="772"/>
      <c r="M17" s="772">
        <v>0</v>
      </c>
      <c r="N17" s="772"/>
      <c r="O17" s="772">
        <f t="shared" si="3"/>
        <v>-60.651547461622876</v>
      </c>
      <c r="R17" s="772">
        <f t="shared" si="4"/>
        <v>45.82</v>
      </c>
      <c r="S17" s="772"/>
      <c r="T17" s="772">
        <f t="shared" si="5"/>
        <v>0</v>
      </c>
      <c r="U17" s="772"/>
      <c r="V17" s="772">
        <f t="shared" si="1"/>
        <v>-60.651547461622876</v>
      </c>
      <c r="Y17" s="772">
        <f t="shared" si="7"/>
        <v>0</v>
      </c>
      <c r="Z17" s="772"/>
      <c r="AA17" s="794">
        <v>0</v>
      </c>
      <c r="AB17" s="772"/>
      <c r="AC17" s="794">
        <v>0</v>
      </c>
      <c r="AD17" s="779"/>
      <c r="AE17" s="772">
        <f t="shared" si="2"/>
        <v>0</v>
      </c>
      <c r="AG17" s="753" t="s">
        <v>606</v>
      </c>
      <c r="AI17" s="754"/>
      <c r="AJ17" s="780" t="s">
        <v>495</v>
      </c>
      <c r="AK17" s="783">
        <v>0.5</v>
      </c>
      <c r="AL17" s="781">
        <v>9.4E-2</v>
      </c>
      <c r="AM17" s="784">
        <f>ROUND(AK17*AL17,4)</f>
        <v>4.7E-2</v>
      </c>
      <c r="AV17" s="798"/>
    </row>
    <row r="18" spans="2:48">
      <c r="B18" s="751">
        <f t="shared" ca="1" si="0"/>
        <v>10</v>
      </c>
      <c r="D18" s="771">
        <v>2.0499999999999989</v>
      </c>
      <c r="F18" s="751" t="str" cm="1">
        <f t="array" ref="F18">+TRIM(INDEX('ADJ DETAIL INPUT'!$E$7:$AR$7&amp;" "&amp;'ADJ DETAIL INPUT'!$E$8:$AR$8&amp;" "&amp;'ADJ DETAIL INPUT'!$E$9:$AR$9,1,MATCH(D18,'ADJ DETAIL INPUT'!$E$10:$AR$10,0)))</f>
        <v>Injuries &amp; Damages</v>
      </c>
      <c r="I18" s="772">
        <v>7.11</v>
      </c>
      <c r="J18" s="772"/>
      <c r="K18" s="772">
        <f t="shared" si="6"/>
        <v>7.11</v>
      </c>
      <c r="L18" s="772"/>
      <c r="M18" s="772">
        <v>0</v>
      </c>
      <c r="N18" s="772"/>
      <c r="O18" s="772">
        <f t="shared" si="3"/>
        <v>-9.4114470199069977</v>
      </c>
      <c r="R18" s="772">
        <f t="shared" si="4"/>
        <v>7.11</v>
      </c>
      <c r="S18" s="772"/>
      <c r="T18" s="772">
        <f t="shared" si="5"/>
        <v>0</v>
      </c>
      <c r="U18" s="772"/>
      <c r="V18" s="772">
        <f t="shared" si="1"/>
        <v>-9.4114470199069977</v>
      </c>
      <c r="Y18" s="772">
        <f t="shared" si="7"/>
        <v>0</v>
      </c>
      <c r="Z18" s="772"/>
      <c r="AA18" s="794">
        <v>0</v>
      </c>
      <c r="AB18" s="772"/>
      <c r="AC18" s="794">
        <v>0</v>
      </c>
      <c r="AD18" s="779"/>
      <c r="AE18" s="772">
        <f t="shared" si="2"/>
        <v>0</v>
      </c>
      <c r="AG18" s="753" t="s">
        <v>606</v>
      </c>
      <c r="AI18" s="754"/>
      <c r="AJ18" s="776" t="s">
        <v>25</v>
      </c>
      <c r="AK18" s="783">
        <v>1</v>
      </c>
      <c r="AL18" s="777"/>
      <c r="AM18" s="784">
        <f>+SUM(AM16:AM17)</f>
        <v>7.0800000000000002E-2</v>
      </c>
      <c r="AN18" s="772">
        <f>+(AM18-AM24)*$M$59/$AK$4*1000</f>
        <v>-593286.03912546136</v>
      </c>
      <c r="AO18" s="751" t="s">
        <v>618</v>
      </c>
      <c r="AV18" s="798"/>
    </row>
    <row r="19" spans="2:48" ht="13.5">
      <c r="B19" s="751">
        <f t="shared" ca="1" si="0"/>
        <v>11</v>
      </c>
      <c r="D19" s="771">
        <v>2.0599999999999987</v>
      </c>
      <c r="F19" s="751" t="str" cm="1">
        <f t="array" ref="F19">+TRIM(INDEX('ADJ DETAIL INPUT'!$E$7:$AR$7&amp;" "&amp;'ADJ DETAIL INPUT'!$E$8:$AR$8&amp;" "&amp;'ADJ DETAIL INPUT'!$E$9:$AR$9,1,MATCH(D19,'ADJ DETAIL INPUT'!$E$10:$AR$10,0)))</f>
        <v>FIT / DFIT Expense</v>
      </c>
      <c r="I19" s="772">
        <v>-53</v>
      </c>
      <c r="J19" s="772"/>
      <c r="K19" s="772">
        <f t="shared" si="6"/>
        <v>-53</v>
      </c>
      <c r="L19" s="772"/>
      <c r="M19" s="772">
        <v>0</v>
      </c>
      <c r="N19" s="772"/>
      <c r="O19" s="772">
        <f t="shared" si="3"/>
        <v>70.155652891008558</v>
      </c>
      <c r="R19" s="772">
        <f t="shared" si="4"/>
        <v>-53</v>
      </c>
      <c r="S19" s="772"/>
      <c r="T19" s="772">
        <f t="shared" si="5"/>
        <v>0</v>
      </c>
      <c r="U19" s="772"/>
      <c r="V19" s="772">
        <f t="shared" si="1"/>
        <v>70.155652891008558</v>
      </c>
      <c r="Y19" s="772">
        <f t="shared" si="7"/>
        <v>0</v>
      </c>
      <c r="Z19" s="772"/>
      <c r="AA19" s="794">
        <v>0</v>
      </c>
      <c r="AB19" s="772"/>
      <c r="AC19" s="794">
        <v>0</v>
      </c>
      <c r="AD19" s="779"/>
      <c r="AE19" s="772">
        <f t="shared" si="2"/>
        <v>0</v>
      </c>
      <c r="AG19" s="753" t="s">
        <v>606</v>
      </c>
      <c r="AI19" s="754"/>
      <c r="AJ19" s="786"/>
      <c r="AL19" s="785"/>
      <c r="AM19" s="772"/>
      <c r="AV19" s="798"/>
    </row>
    <row r="20" spans="2:48">
      <c r="B20" s="751">
        <f t="shared" ca="1" si="0"/>
        <v>12</v>
      </c>
      <c r="D20" s="771">
        <v>2.0699999999999985</v>
      </c>
      <c r="F20" s="751" t="str" cm="1">
        <f t="array" ref="F20">+TRIM(INDEX('ADJ DETAIL INPUT'!$E$7:$AR$7&amp;" "&amp;'ADJ DETAIL INPUT'!$E$8:$AR$8&amp;" "&amp;'ADJ DETAIL INPUT'!$E$9:$AR$9,1,MATCH(D20,'ADJ DETAIL INPUT'!$E$10:$AR$10,0)))</f>
        <v>Office Space Charges to Non-Utility</v>
      </c>
      <c r="I20" s="772">
        <v>12.64</v>
      </c>
      <c r="J20" s="772"/>
      <c r="K20" s="772">
        <f t="shared" si="6"/>
        <v>12.64</v>
      </c>
      <c r="L20" s="772"/>
      <c r="M20" s="772">
        <v>0</v>
      </c>
      <c r="N20" s="772"/>
      <c r="O20" s="772">
        <f t="shared" si="3"/>
        <v>-16.731461368723551</v>
      </c>
      <c r="R20" s="772">
        <f t="shared" si="4"/>
        <v>12.64</v>
      </c>
      <c r="S20" s="772"/>
      <c r="T20" s="772">
        <f t="shared" si="5"/>
        <v>0</v>
      </c>
      <c r="U20" s="772"/>
      <c r="V20" s="772">
        <f t="shared" si="1"/>
        <v>-16.731461368723551</v>
      </c>
      <c r="Y20" s="772">
        <f t="shared" si="7"/>
        <v>0</v>
      </c>
      <c r="Z20" s="772"/>
      <c r="AA20" s="794">
        <v>0</v>
      </c>
      <c r="AB20" s="772"/>
      <c r="AC20" s="794">
        <v>0</v>
      </c>
      <c r="AD20" s="779"/>
      <c r="AE20" s="772">
        <f t="shared" si="2"/>
        <v>0</v>
      </c>
      <c r="AG20" s="753" t="s">
        <v>606</v>
      </c>
      <c r="AI20" s="754"/>
      <c r="AJ20" s="773" t="s">
        <v>604</v>
      </c>
      <c r="AK20" s="774" t="s">
        <v>132</v>
      </c>
      <c r="AL20" s="774"/>
      <c r="AM20" s="775" t="s">
        <v>133</v>
      </c>
      <c r="AV20" s="798"/>
    </row>
    <row r="21" spans="2:48">
      <c r="B21" s="751">
        <f t="shared" ca="1" si="0"/>
        <v>13</v>
      </c>
      <c r="D21" s="771">
        <v>2.0799999999999983</v>
      </c>
      <c r="F21" s="751" t="str" cm="1">
        <f t="array" ref="F21">+TRIM(INDEX('ADJ DETAIL INPUT'!$E$7:$AR$7&amp;" "&amp;'ADJ DETAIL INPUT'!$E$8:$AR$8&amp;" "&amp;'ADJ DETAIL INPUT'!$E$9:$AR$9,1,MATCH(D21,'ADJ DETAIL INPUT'!$E$10:$AR$10,0)))</f>
        <v>Restate Excise Taxes</v>
      </c>
      <c r="I21" s="772">
        <v>-0.79</v>
      </c>
      <c r="J21" s="772"/>
      <c r="K21" s="772">
        <f t="shared" si="6"/>
        <v>-0.79</v>
      </c>
      <c r="L21" s="772"/>
      <c r="M21" s="772">
        <v>0</v>
      </c>
      <c r="N21" s="772"/>
      <c r="O21" s="772">
        <f t="shared" si="3"/>
        <v>1.0457163355452219</v>
      </c>
      <c r="R21" s="772">
        <f t="shared" si="4"/>
        <v>-0.79</v>
      </c>
      <c r="S21" s="772"/>
      <c r="T21" s="772">
        <f t="shared" ref="T21:T28" si="8">+M21+AC21</f>
        <v>0</v>
      </c>
      <c r="U21" s="772"/>
      <c r="V21" s="772">
        <f t="shared" si="1"/>
        <v>1.0457163355452219</v>
      </c>
      <c r="Y21" s="772">
        <f t="shared" si="7"/>
        <v>0</v>
      </c>
      <c r="Z21" s="772"/>
      <c r="AA21" s="794">
        <v>0</v>
      </c>
      <c r="AB21" s="772"/>
      <c r="AC21" s="794">
        <v>0</v>
      </c>
      <c r="AD21" s="779"/>
      <c r="AE21" s="772">
        <f t="shared" si="2"/>
        <v>0</v>
      </c>
      <c r="AG21" s="753" t="s">
        <v>606</v>
      </c>
      <c r="AI21" s="754"/>
      <c r="AJ21" s="776" t="s">
        <v>134</v>
      </c>
      <c r="AK21" s="777" t="s">
        <v>135</v>
      </c>
      <c r="AL21" s="777" t="s">
        <v>136</v>
      </c>
      <c r="AM21" s="778" t="s">
        <v>136</v>
      </c>
      <c r="AV21" s="798"/>
    </row>
    <row r="22" spans="2:48">
      <c r="B22" s="751">
        <f t="shared" ca="1" si="0"/>
        <v>14</v>
      </c>
      <c r="D22" s="771">
        <v>2.0899999999999981</v>
      </c>
      <c r="F22" s="751" t="str" cm="1">
        <f t="array" ref="F22">+TRIM(INDEX('ADJ DETAIL INPUT'!$E$7:$AR$7&amp;" "&amp;'ADJ DETAIL INPUT'!$E$8:$AR$8&amp;" "&amp;'ADJ DETAIL INPUT'!$E$9:$AR$9,1,MATCH(D22,'ADJ DETAIL INPUT'!$E$10:$AR$10,0)))</f>
        <v>Net Gains &amp; Losses</v>
      </c>
      <c r="I22" s="772">
        <v>8.69</v>
      </c>
      <c r="J22" s="772"/>
      <c r="K22" s="772">
        <f t="shared" si="6"/>
        <v>8.69</v>
      </c>
      <c r="L22" s="772"/>
      <c r="M22" s="772">
        <v>0</v>
      </c>
      <c r="N22" s="772"/>
      <c r="O22" s="772">
        <f t="shared" si="3"/>
        <v>-11.502879690997441</v>
      </c>
      <c r="R22" s="772">
        <f t="shared" si="4"/>
        <v>8.69</v>
      </c>
      <c r="S22" s="772"/>
      <c r="T22" s="772">
        <f t="shared" si="8"/>
        <v>0</v>
      </c>
      <c r="U22" s="772"/>
      <c r="V22" s="772">
        <f t="shared" si="1"/>
        <v>-11.502879690997441</v>
      </c>
      <c r="Y22" s="772">
        <f t="shared" si="7"/>
        <v>0</v>
      </c>
      <c r="Z22" s="772"/>
      <c r="AA22" s="794">
        <v>0</v>
      </c>
      <c r="AB22" s="772"/>
      <c r="AC22" s="794">
        <v>0</v>
      </c>
      <c r="AD22" s="779"/>
      <c r="AE22" s="772">
        <f t="shared" si="2"/>
        <v>0</v>
      </c>
      <c r="AG22" s="753" t="s">
        <v>606</v>
      </c>
      <c r="AI22" s="754"/>
      <c r="AJ22" s="780" t="s">
        <v>607</v>
      </c>
      <c r="AK22" s="781">
        <v>0.5</v>
      </c>
      <c r="AL22" s="781">
        <v>4.965E-2</v>
      </c>
      <c r="AM22" s="782">
        <f>ROUND(AK22*AL22,4)</f>
        <v>2.4799999999999999E-2</v>
      </c>
      <c r="AV22" s="798"/>
    </row>
    <row r="23" spans="2:48">
      <c r="B23" s="751">
        <f t="shared" ca="1" si="0"/>
        <v>15</v>
      </c>
      <c r="D23" s="771">
        <v>2.0999999999999979</v>
      </c>
      <c r="F23" s="751" t="str" cm="1">
        <f t="array" ref="F23">+TRIM(INDEX('ADJ DETAIL INPUT'!$E$7:$AR$7&amp;" "&amp;'ADJ DETAIL INPUT'!$E$8:$AR$8&amp;" "&amp;'ADJ DETAIL INPUT'!$E$9:$AR$9,1,MATCH(D23,'ADJ DETAIL INPUT'!$E$10:$AR$10,0)))</f>
        <v>Weather Normalization / Gas Cost Adjust</v>
      </c>
      <c r="I23" s="772">
        <v>-4.74</v>
      </c>
      <c r="J23" s="772"/>
      <c r="K23" s="772">
        <f t="shared" si="6"/>
        <v>-4.74</v>
      </c>
      <c r="L23" s="772"/>
      <c r="M23" s="772">
        <v>0</v>
      </c>
      <c r="N23" s="772"/>
      <c r="O23" s="772">
        <f t="shared" si="3"/>
        <v>6.2742980132713315</v>
      </c>
      <c r="R23" s="772">
        <f t="shared" si="4"/>
        <v>-4.74</v>
      </c>
      <c r="S23" s="772"/>
      <c r="T23" s="772">
        <f t="shared" si="8"/>
        <v>0</v>
      </c>
      <c r="U23" s="772"/>
      <c r="V23" s="772">
        <f t="shared" si="1"/>
        <v>6.2742980132713315</v>
      </c>
      <c r="Y23" s="772">
        <f t="shared" si="7"/>
        <v>0</v>
      </c>
      <c r="Z23" s="772"/>
      <c r="AA23" s="794">
        <v>0</v>
      </c>
      <c r="AB23" s="772"/>
      <c r="AC23" s="794">
        <v>0</v>
      </c>
      <c r="AD23" s="779"/>
      <c r="AE23" s="772">
        <f t="shared" si="2"/>
        <v>0</v>
      </c>
      <c r="AG23" s="753" t="s">
        <v>606</v>
      </c>
      <c r="AI23" s="754"/>
      <c r="AJ23" s="780" t="s">
        <v>495</v>
      </c>
      <c r="AK23" s="783">
        <f>1-AK22</f>
        <v>0.5</v>
      </c>
      <c r="AL23" s="781">
        <v>9.4E-2</v>
      </c>
      <c r="AM23" s="784">
        <f>ROUND(AK23*AL23,4)</f>
        <v>4.7E-2</v>
      </c>
      <c r="AV23" s="798"/>
    </row>
    <row r="24" spans="2:48">
      <c r="B24" s="751">
        <f t="shared" ca="1" si="0"/>
        <v>16</v>
      </c>
      <c r="D24" s="771">
        <v>2.1099999999999977</v>
      </c>
      <c r="F24" s="751" t="str" cm="1">
        <f t="array" ref="F24">+TRIM(INDEX('ADJ DETAIL INPUT'!$E$7:$AR$7&amp;" "&amp;'ADJ DETAIL INPUT'!$E$8:$AR$8&amp;" "&amp;'ADJ DETAIL INPUT'!$E$9:$AR$9,1,MATCH(D24,'ADJ DETAIL INPUT'!$E$10:$AR$10,0)))</f>
        <v>Eliminate Adder Schedules</v>
      </c>
      <c r="I24" s="772">
        <v>-3.999999999996362E-2</v>
      </c>
      <c r="J24" s="772"/>
      <c r="K24" s="772">
        <f t="shared" si="6"/>
        <v>-3.999999999996362E-2</v>
      </c>
      <c r="L24" s="772"/>
      <c r="M24" s="772">
        <v>0</v>
      </c>
      <c r="N24" s="772"/>
      <c r="O24" s="772">
        <f t="shared" si="3"/>
        <v>5.2947662559203586E-2</v>
      </c>
      <c r="R24" s="772">
        <f t="shared" si="4"/>
        <v>-3.999999999996362E-2</v>
      </c>
      <c r="S24" s="772"/>
      <c r="T24" s="772">
        <f t="shared" si="8"/>
        <v>0</v>
      </c>
      <c r="U24" s="772"/>
      <c r="V24" s="772">
        <f t="shared" si="1"/>
        <v>5.2947662559203586E-2</v>
      </c>
      <c r="Y24" s="772">
        <f t="shared" si="7"/>
        <v>0</v>
      </c>
      <c r="Z24" s="772"/>
      <c r="AA24" s="794">
        <v>0</v>
      </c>
      <c r="AB24" s="772"/>
      <c r="AC24" s="794">
        <v>0</v>
      </c>
      <c r="AD24" s="779"/>
      <c r="AE24" s="772">
        <f t="shared" si="2"/>
        <v>0</v>
      </c>
      <c r="AG24" s="753" t="s">
        <v>606</v>
      </c>
      <c r="AI24" s="754"/>
      <c r="AJ24" s="776" t="s">
        <v>25</v>
      </c>
      <c r="AK24" s="783">
        <v>1</v>
      </c>
      <c r="AL24" s="777"/>
      <c r="AM24" s="784">
        <f>+SUM(AM22:AM23)</f>
        <v>7.1800000000000003E-2</v>
      </c>
      <c r="AN24" s="772">
        <f>+(AM24-AM30)*$M$59/$AK$4*1000</f>
        <v>-1483215.0978136533</v>
      </c>
      <c r="AO24" s="751" t="s">
        <v>619</v>
      </c>
      <c r="AV24" s="798"/>
    </row>
    <row r="25" spans="2:48" ht="13.5">
      <c r="B25" s="751">
        <f t="shared" ca="1" si="0"/>
        <v>17</v>
      </c>
      <c r="D25" s="771">
        <v>2.1199999999999974</v>
      </c>
      <c r="F25" s="751" t="str" cm="1">
        <f t="array" ref="F25">+TRIM(INDEX('ADJ DETAIL INPUT'!$E$7:$AR$7&amp;" "&amp;'ADJ DETAIL INPUT'!$E$8:$AR$8&amp;" "&amp;'ADJ DETAIL INPUT'!$E$9:$AR$9,1,MATCH(D25,'ADJ DETAIL INPUT'!$E$10:$AR$10,0)))</f>
        <v>Misc. Restating Non-Util / Non- Recurring Expense</v>
      </c>
      <c r="I25" s="772">
        <v>-34.76</v>
      </c>
      <c r="J25" s="772"/>
      <c r="K25" s="772">
        <f t="shared" si="6"/>
        <v>-34.76</v>
      </c>
      <c r="L25" s="772"/>
      <c r="M25" s="772">
        <v>0</v>
      </c>
      <c r="N25" s="772"/>
      <c r="O25" s="772">
        <f t="shared" si="3"/>
        <v>46.011518763989763</v>
      </c>
      <c r="R25" s="772">
        <f t="shared" si="4"/>
        <v>-34.76</v>
      </c>
      <c r="S25" s="772"/>
      <c r="T25" s="772">
        <f t="shared" si="8"/>
        <v>0</v>
      </c>
      <c r="U25" s="772"/>
      <c r="V25" s="772">
        <f t="shared" si="1"/>
        <v>46.011518763989763</v>
      </c>
      <c r="Y25" s="772">
        <f t="shared" si="7"/>
        <v>0</v>
      </c>
      <c r="Z25" s="772"/>
      <c r="AA25" s="794">
        <v>0</v>
      </c>
      <c r="AB25" s="772"/>
      <c r="AC25" s="794">
        <v>0</v>
      </c>
      <c r="AD25" s="779"/>
      <c r="AE25" s="772">
        <f t="shared" si="2"/>
        <v>0</v>
      </c>
      <c r="AG25" s="753" t="s">
        <v>606</v>
      </c>
      <c r="AI25" s="754"/>
      <c r="AJ25" s="786"/>
      <c r="AL25" s="785"/>
      <c r="AM25" s="772"/>
      <c r="AV25" s="798"/>
    </row>
    <row r="26" spans="2:48">
      <c r="B26" s="751">
        <f t="shared" ca="1" si="0"/>
        <v>18</v>
      </c>
      <c r="D26" s="771">
        <v>2.1299999999999972</v>
      </c>
      <c r="F26" s="751" t="str" cm="1">
        <f t="array" ref="F26">+TRIM(INDEX('ADJ DETAIL INPUT'!$E$7:$AR$7&amp;" "&amp;'ADJ DETAIL INPUT'!$E$8:$AR$8&amp;" "&amp;'ADJ DETAIL INPUT'!$E$9:$AR$9,1,MATCH(D26,'ADJ DETAIL INPUT'!$E$10:$AR$10,0)))</f>
        <v>Restating Incentives Expense</v>
      </c>
      <c r="I26" s="772">
        <v>-173.01</v>
      </c>
      <c r="J26" s="772"/>
      <c r="K26" s="772">
        <f t="shared" si="6"/>
        <v>-173.01</v>
      </c>
      <c r="L26" s="772"/>
      <c r="M26" s="772">
        <v>0</v>
      </c>
      <c r="N26" s="772"/>
      <c r="O26" s="772">
        <f t="shared" si="3"/>
        <v>229.01187748440358</v>
      </c>
      <c r="R26" s="772">
        <f t="shared" si="4"/>
        <v>-173.01</v>
      </c>
      <c r="S26" s="772"/>
      <c r="T26" s="772">
        <f t="shared" si="8"/>
        <v>0</v>
      </c>
      <c r="U26" s="772"/>
      <c r="V26" s="772">
        <f t="shared" si="1"/>
        <v>229.01187748440358</v>
      </c>
      <c r="Y26" s="772">
        <f t="shared" si="7"/>
        <v>0</v>
      </c>
      <c r="Z26" s="772"/>
      <c r="AA26" s="794">
        <v>0</v>
      </c>
      <c r="AB26" s="772"/>
      <c r="AC26" s="794">
        <v>0</v>
      </c>
      <c r="AD26" s="779"/>
      <c r="AE26" s="772">
        <f t="shared" si="2"/>
        <v>0</v>
      </c>
      <c r="AG26" s="753" t="s">
        <v>606</v>
      </c>
      <c r="AI26" s="754"/>
      <c r="AJ26" s="773" t="s">
        <v>604</v>
      </c>
      <c r="AK26" s="774" t="s">
        <v>132</v>
      </c>
      <c r="AL26" s="774"/>
      <c r="AM26" s="775" t="s">
        <v>133</v>
      </c>
      <c r="AV26" s="798"/>
    </row>
    <row r="27" spans="2:48">
      <c r="B27" s="751">
        <f t="shared" ca="1" si="0"/>
        <v>19</v>
      </c>
      <c r="D27" s="771">
        <v>2.139999999999997</v>
      </c>
      <c r="F27" s="751" t="str" cm="1">
        <f t="array" ref="F27">+TRIM(INDEX('ADJ DETAIL INPUT'!$E$7:$AR$7&amp;" "&amp;'ADJ DETAIL INPUT'!$E$8:$AR$8&amp;" "&amp;'ADJ DETAIL INPUT'!$E$9:$AR$9,1,MATCH(D27,'ADJ DETAIL INPUT'!$E$10:$AR$10,0)))</f>
        <v>Restate Debt Interest</v>
      </c>
      <c r="I27" s="772">
        <v>-222</v>
      </c>
      <c r="J27" s="772"/>
      <c r="K27" s="779">
        <v>-247</v>
      </c>
      <c r="L27" s="772"/>
      <c r="M27" s="772">
        <v>0</v>
      </c>
      <c r="N27" s="772"/>
      <c r="O27" s="772">
        <f t="shared" si="3"/>
        <v>326.95181630337953</v>
      </c>
      <c r="R27" s="772">
        <f>+'ADJ DETAIL INPUT'!W58</f>
        <v>-247</v>
      </c>
      <c r="S27" s="772"/>
      <c r="T27" s="772">
        <f t="shared" si="8"/>
        <v>0</v>
      </c>
      <c r="U27" s="772"/>
      <c r="V27" s="772">
        <f t="shared" si="1"/>
        <v>326.95181630337953</v>
      </c>
      <c r="Y27" s="772">
        <f t="shared" si="7"/>
        <v>0</v>
      </c>
      <c r="Z27" s="772"/>
      <c r="AA27" s="794">
        <v>0</v>
      </c>
      <c r="AB27" s="772"/>
      <c r="AC27" s="794">
        <v>0</v>
      </c>
      <c r="AD27" s="779"/>
      <c r="AE27" s="772">
        <f t="shared" si="2"/>
        <v>0</v>
      </c>
      <c r="AG27" s="753" t="s">
        <v>606</v>
      </c>
      <c r="AI27" s="754"/>
      <c r="AJ27" s="776" t="s">
        <v>134</v>
      </c>
      <c r="AK27" s="777" t="s">
        <v>135</v>
      </c>
      <c r="AL27" s="777" t="s">
        <v>136</v>
      </c>
      <c r="AM27" s="778" t="s">
        <v>136</v>
      </c>
      <c r="AV27" s="798"/>
    </row>
    <row r="28" spans="2:48">
      <c r="B28" s="751">
        <f t="shared" ca="1" si="0"/>
        <v>20</v>
      </c>
      <c r="D28" s="771">
        <v>2.1499999999999968</v>
      </c>
      <c r="F28" s="751" t="str" cm="1">
        <f t="array" ref="F28">+TRIM(INDEX('ADJ DETAIL INPUT'!$E$7:$AR$7&amp;" "&amp;'ADJ DETAIL INPUT'!$E$8:$AR$8&amp;" "&amp;'ADJ DETAIL INPUT'!$E$9:$AR$9,1,MATCH(D28,'ADJ DETAIL INPUT'!$E$10:$AR$10,0)))</f>
        <v>Restate 2019 AMA Rate Base to EOP</v>
      </c>
      <c r="I28" s="772">
        <v>206.98000000000002</v>
      </c>
      <c r="J28" s="772"/>
      <c r="K28" s="772">
        <f t="shared" si="6"/>
        <v>272.47854222319228</v>
      </c>
      <c r="L28" s="772"/>
      <c r="M28" s="772">
        <v>12730.523269813853</v>
      </c>
      <c r="N28" s="772"/>
      <c r="O28" s="772">
        <f t="shared" si="3"/>
        <v>820.59761893138227</v>
      </c>
      <c r="R28" s="772">
        <f t="shared" si="4"/>
        <v>272.47854222319228</v>
      </c>
      <c r="S28" s="772"/>
      <c r="T28" s="772">
        <f t="shared" si="8"/>
        <v>12730.523269813853</v>
      </c>
      <c r="U28" s="772"/>
      <c r="V28" s="772">
        <f t="shared" si="1"/>
        <v>820.59761893138227</v>
      </c>
      <c r="Y28" s="772">
        <f t="shared" si="7"/>
        <v>0</v>
      </c>
      <c r="Z28" s="772"/>
      <c r="AA28" s="794">
        <v>0</v>
      </c>
      <c r="AB28" s="772"/>
      <c r="AC28" s="794">
        <v>0</v>
      </c>
      <c r="AD28" s="779"/>
      <c r="AE28" s="772">
        <f t="shared" si="2"/>
        <v>0</v>
      </c>
      <c r="AG28" s="753" t="s">
        <v>606</v>
      </c>
      <c r="AI28" s="754"/>
      <c r="AJ28" s="780" t="s">
        <v>607</v>
      </c>
      <c r="AK28" s="781">
        <v>0.5</v>
      </c>
      <c r="AL28" s="781">
        <v>4.965E-2</v>
      </c>
      <c r="AM28" s="782">
        <f>ROUND(AK28*AL28,4)</f>
        <v>2.4799999999999999E-2</v>
      </c>
      <c r="AV28" s="798"/>
    </row>
    <row r="29" spans="2:48">
      <c r="D29" s="771"/>
      <c r="I29" s="793"/>
      <c r="J29" s="793"/>
      <c r="K29" s="793"/>
      <c r="L29" s="767"/>
      <c r="M29" s="793"/>
      <c r="N29" s="767"/>
      <c r="O29" s="793"/>
      <c r="Q29" s="750"/>
      <c r="R29" s="793"/>
      <c r="S29" s="767"/>
      <c r="T29" s="793"/>
      <c r="U29" s="767"/>
      <c r="V29" s="793"/>
      <c r="Y29" s="793"/>
      <c r="Z29" s="772"/>
      <c r="AA29" s="793"/>
      <c r="AB29" s="772"/>
      <c r="AC29" s="793"/>
      <c r="AD29" s="779"/>
      <c r="AE29" s="793"/>
      <c r="AG29" s="753"/>
      <c r="AI29" s="754"/>
      <c r="AJ29" s="780" t="s">
        <v>495</v>
      </c>
      <c r="AK29" s="783">
        <f>1-AK28</f>
        <v>0.5</v>
      </c>
      <c r="AL29" s="781">
        <v>9.9000000000000005E-2</v>
      </c>
      <c r="AM29" s="784">
        <f>ROUND(AK29*AL29,4)</f>
        <v>4.9500000000000002E-2</v>
      </c>
    </row>
    <row r="30" spans="2:48">
      <c r="D30" s="771"/>
      <c r="I30" s="787"/>
      <c r="J30" s="793"/>
      <c r="K30" s="787"/>
      <c r="L30" s="767"/>
      <c r="M30" s="787"/>
      <c r="N30" s="767"/>
      <c r="O30" s="787"/>
      <c r="Q30" s="750"/>
      <c r="R30" s="787"/>
      <c r="S30" s="767"/>
      <c r="T30" s="787"/>
      <c r="U30" s="767"/>
      <c r="V30" s="787"/>
      <c r="Y30" s="787"/>
      <c r="Z30" s="772"/>
      <c r="AA30" s="787"/>
      <c r="AB30" s="772"/>
      <c r="AC30" s="787"/>
      <c r="AD30" s="779"/>
      <c r="AE30" s="787"/>
      <c r="AG30" s="753"/>
      <c r="AI30" s="754"/>
      <c r="AJ30" s="776" t="s">
        <v>25</v>
      </c>
      <c r="AK30" s="783">
        <v>1</v>
      </c>
      <c r="AL30" s="777"/>
      <c r="AM30" s="784">
        <f>+SUM(AM28:AM29)</f>
        <v>7.4300000000000005E-2</v>
      </c>
    </row>
    <row r="31" spans="2:48" ht="13.5">
      <c r="B31" s="751">
        <f t="shared" ca="1" si="0"/>
        <v>21</v>
      </c>
      <c r="D31" s="771"/>
      <c r="F31" s="750" t="s">
        <v>608</v>
      </c>
      <c r="I31" s="767">
        <f>+SUM(I$7:I$30)</f>
        <v>23925.62</v>
      </c>
      <c r="J31" s="767"/>
      <c r="K31" s="767">
        <f>+SUM(K$7:K$30)</f>
        <v>23860.429952223185</v>
      </c>
      <c r="L31" s="767"/>
      <c r="M31" s="767">
        <f>+SUM(M$7:M$30)</f>
        <v>398121.52326981386</v>
      </c>
      <c r="N31" s="767"/>
      <c r="O31" s="767">
        <f>+SUM(O$7:O$30)</f>
        <v>5358.1562948691826</v>
      </c>
      <c r="Q31" s="750"/>
      <c r="R31" s="767">
        <f>+SUM(R$7:R$30)</f>
        <v>23860.429952223185</v>
      </c>
      <c r="S31" s="767"/>
      <c r="T31" s="767">
        <f>+SUM(T$7:T$30)</f>
        <v>398121.52326981386</v>
      </c>
      <c r="U31" s="767"/>
      <c r="V31" s="767">
        <f>+SUM(V$7:V$30)</f>
        <v>5358.1562948691826</v>
      </c>
      <c r="Y31" s="767">
        <f>+SUM(Y$7:Y$30)</f>
        <v>0</v>
      </c>
      <c r="Z31" s="772"/>
      <c r="AA31" s="767">
        <f>+SUM(AA$7:AA$30)</f>
        <v>0</v>
      </c>
      <c r="AB31" s="772"/>
      <c r="AC31" s="767">
        <f>+SUM(AC$7:AC$30)</f>
        <v>0</v>
      </c>
      <c r="AD31" s="779"/>
      <c r="AE31" s="767">
        <f>+SUM(AE$7:AE$30)</f>
        <v>0</v>
      </c>
      <c r="AG31" s="753"/>
      <c r="AI31" s="754"/>
      <c r="AJ31" s="786"/>
      <c r="AL31" s="785"/>
      <c r="AM31" s="772"/>
      <c r="AN31" s="772">
        <f>+O63*1000-SUM(AN8:AN30)</f>
        <v>36617.564326941036</v>
      </c>
      <c r="AO31" s="751" t="s">
        <v>180</v>
      </c>
    </row>
    <row r="32" spans="2:48">
      <c r="D32" s="771"/>
      <c r="I32" s="772"/>
      <c r="J32" s="772"/>
      <c r="K32" s="772"/>
      <c r="L32" s="772"/>
      <c r="M32" s="772"/>
      <c r="N32" s="772"/>
      <c r="O32" s="772"/>
      <c r="R32" s="772"/>
      <c r="S32" s="772"/>
      <c r="T32" s="772"/>
      <c r="U32" s="772"/>
      <c r="V32" s="772"/>
      <c r="Y32" s="772"/>
      <c r="Z32" s="772"/>
      <c r="AA32" s="772"/>
      <c r="AB32" s="772"/>
      <c r="AC32" s="772"/>
      <c r="AD32" s="779"/>
      <c r="AE32" s="772"/>
      <c r="AG32" s="753"/>
      <c r="AI32" s="754"/>
      <c r="AL32" s="785"/>
      <c r="AM32" s="770"/>
    </row>
    <row r="33" spans="2:48" ht="13.5">
      <c r="B33" s="755" t="s">
        <v>609</v>
      </c>
      <c r="D33" s="771"/>
      <c r="I33" s="772"/>
      <c r="J33" s="772"/>
      <c r="K33" s="772"/>
      <c r="L33" s="772"/>
      <c r="M33" s="772"/>
      <c r="N33" s="772"/>
      <c r="O33" s="772"/>
      <c r="R33" s="772"/>
      <c r="S33" s="772"/>
      <c r="T33" s="772"/>
      <c r="U33" s="772"/>
      <c r="V33" s="772"/>
      <c r="Y33" s="772"/>
      <c r="Z33" s="772"/>
      <c r="AA33" s="772"/>
      <c r="AB33" s="772"/>
      <c r="AC33" s="772"/>
      <c r="AD33" s="779"/>
      <c r="AE33" s="772"/>
      <c r="AG33" s="753"/>
      <c r="AI33" s="754"/>
      <c r="AJ33" s="786"/>
      <c r="AL33" s="785"/>
      <c r="AM33" s="772"/>
    </row>
    <row r="34" spans="2:48">
      <c r="B34" s="751">
        <f t="shared" ca="1" si="0"/>
        <v>22</v>
      </c>
      <c r="D34" s="771">
        <v>3.01</v>
      </c>
      <c r="F34" s="751" t="str" cm="1">
        <f t="array" ref="F34">+TRIM(INDEX('ADJ DETAIL INPUT'!$E$7:$AR$7&amp;" "&amp;'ADJ DETAIL INPUT'!$E$8:$AR$8&amp;" "&amp;'ADJ DETAIL INPUT'!$E$9:$AR$9,1,MATCH(D34,'ADJ DETAIL INPUT'!$E$10:$AR$10,0)))</f>
        <v>Pro Forma Revenue Normalization</v>
      </c>
      <c r="I34" s="772">
        <v>8186.77</v>
      </c>
      <c r="J34" s="772"/>
      <c r="K34" s="772">
        <f>+I34+$M34*$AK$5*$AM$10</f>
        <v>8186.77</v>
      </c>
      <c r="L34" s="772"/>
      <c r="M34" s="772">
        <v>0</v>
      </c>
      <c r="N34" s="772"/>
      <c r="O34" s="772">
        <f t="shared" ref="O34:O51" si="9">+($M34*$AM$12-$K34)/$AK$4</f>
        <v>-10836.758385255136</v>
      </c>
      <c r="R34" s="772">
        <f t="shared" ref="R34:R51" si="10">+I34+AA34+$T34*$AK$5*$AM$10</f>
        <v>8186.77</v>
      </c>
      <c r="S34" s="772"/>
      <c r="T34" s="772">
        <f t="shared" ref="T34:T43" si="11">+M34+AC34</f>
        <v>0</v>
      </c>
      <c r="U34" s="772"/>
      <c r="V34" s="772">
        <f t="shared" ref="V34:V51" si="12">+($T34*$AM$12-$R34)/$AK$4</f>
        <v>-10836.758385255136</v>
      </c>
      <c r="Y34" s="772">
        <f t="shared" ref="Y34:Y51" si="13">+AA34/(1-$AK$5)</f>
        <v>0</v>
      </c>
      <c r="Z34" s="772"/>
      <c r="AA34" s="794">
        <v>0</v>
      </c>
      <c r="AB34" s="772"/>
      <c r="AC34" s="794">
        <v>0</v>
      </c>
      <c r="AD34" s="779"/>
      <c r="AE34" s="772">
        <f t="shared" ref="AE34:AE51" si="14">+V34-O34</f>
        <v>0</v>
      </c>
      <c r="AG34" s="753" t="s">
        <v>606</v>
      </c>
      <c r="AI34" s="754"/>
      <c r="AL34" s="785"/>
      <c r="AM34" s="770"/>
      <c r="AN34" s="772">
        <f>+SUM(AN12:AN32)</f>
        <v>-2455183.7999999998</v>
      </c>
      <c r="AO34" s="751" t="s">
        <v>620</v>
      </c>
      <c r="AV34" s="798"/>
    </row>
    <row r="35" spans="2:48" ht="13.5">
      <c r="B35" s="751">
        <f t="shared" ca="1" si="0"/>
        <v>23</v>
      </c>
      <c r="D35" s="771">
        <v>3.0199999999999996</v>
      </c>
      <c r="F35" s="751" t="str" cm="1">
        <f t="array" ref="F35">+TRIM(INDEX('ADJ DETAIL INPUT'!$E$7:$AR$7&amp;" "&amp;'ADJ DETAIL INPUT'!$E$8:$AR$8&amp;" "&amp;'ADJ DETAIL INPUT'!$E$9:$AR$9,1,MATCH(D35,'ADJ DETAIL INPUT'!$E$10:$AR$10,0)))</f>
        <v>Pro Forma Def. Debits, Credits &amp; Regulatory Amorts</v>
      </c>
      <c r="I35" s="772">
        <v>181.7</v>
      </c>
      <c r="J35" s="772"/>
      <c r="K35" s="772">
        <f>+I35+$M35*$AK$5*$AM$10</f>
        <v>181.7</v>
      </c>
      <c r="L35" s="772"/>
      <c r="M35" s="772">
        <v>0</v>
      </c>
      <c r="N35" s="772"/>
      <c r="O35" s="772">
        <f t="shared" si="9"/>
        <v>-240.51475717540103</v>
      </c>
      <c r="R35" s="772">
        <f t="shared" si="10"/>
        <v>181.7</v>
      </c>
      <c r="S35" s="772"/>
      <c r="T35" s="772">
        <f t="shared" si="11"/>
        <v>0</v>
      </c>
      <c r="U35" s="772"/>
      <c r="V35" s="772">
        <f t="shared" si="12"/>
        <v>-240.51475717540103</v>
      </c>
      <c r="Y35" s="772">
        <f t="shared" si="13"/>
        <v>0</v>
      </c>
      <c r="Z35" s="772"/>
      <c r="AA35" s="794">
        <v>0</v>
      </c>
      <c r="AB35" s="772"/>
      <c r="AC35" s="794">
        <v>0</v>
      </c>
      <c r="AD35" s="779"/>
      <c r="AE35" s="772">
        <f t="shared" si="14"/>
        <v>0</v>
      </c>
      <c r="AG35" s="753" t="s">
        <v>606</v>
      </c>
      <c r="AI35" s="754"/>
      <c r="AJ35" s="786"/>
      <c r="AL35" s="785"/>
      <c r="AM35" s="772"/>
      <c r="AV35" s="798"/>
    </row>
    <row r="36" spans="2:48">
      <c r="B36" s="751">
        <f t="shared" ca="1" si="0"/>
        <v>24</v>
      </c>
      <c r="D36" s="771">
        <v>3.0299999999999994</v>
      </c>
      <c r="F36" s="751" t="str" cm="1">
        <f t="array" ref="F36">+TRIM(INDEX('ADJ DETAIL INPUT'!$E$7:$AR$7&amp;" "&amp;'ADJ DETAIL INPUT'!$E$8:$AR$8&amp;" "&amp;'ADJ DETAIL INPUT'!$E$9:$AR$9,1,MATCH(D36,'ADJ DETAIL INPUT'!$E$10:$AR$10,0)))</f>
        <v>Pro Forma ARAM DFIT</v>
      </c>
      <c r="I36" s="772">
        <v>-41</v>
      </c>
      <c r="J36" s="772"/>
      <c r="K36" s="772">
        <f t="shared" ref="K36:K52" si="15">+I36+$M36*$AK$5*$AM$10</f>
        <v>-41</v>
      </c>
      <c r="L36" s="772"/>
      <c r="M36" s="772">
        <v>0</v>
      </c>
      <c r="N36" s="772"/>
      <c r="O36" s="772">
        <f t="shared" si="9"/>
        <v>54.271354123233039</v>
      </c>
      <c r="R36" s="772">
        <f t="shared" si="10"/>
        <v>-41</v>
      </c>
      <c r="S36" s="772"/>
      <c r="T36" s="772">
        <f t="shared" si="11"/>
        <v>0</v>
      </c>
      <c r="U36" s="772"/>
      <c r="V36" s="772">
        <f t="shared" si="12"/>
        <v>54.271354123233039</v>
      </c>
      <c r="Y36" s="772">
        <f t="shared" si="13"/>
        <v>0</v>
      </c>
      <c r="Z36" s="772"/>
      <c r="AA36" s="794">
        <v>0</v>
      </c>
      <c r="AB36" s="772"/>
      <c r="AC36" s="794">
        <v>0</v>
      </c>
      <c r="AD36" s="779"/>
      <c r="AE36" s="772">
        <f t="shared" si="14"/>
        <v>0</v>
      </c>
      <c r="AG36" s="753" t="s">
        <v>606</v>
      </c>
      <c r="AI36" s="754"/>
      <c r="AL36" s="785"/>
      <c r="AM36" s="770"/>
      <c r="AV36" s="798"/>
    </row>
    <row r="37" spans="2:48">
      <c r="B37" s="751">
        <f t="shared" ca="1" si="0"/>
        <v>25</v>
      </c>
      <c r="D37" s="771">
        <v>3.0399999999999991</v>
      </c>
      <c r="F37" s="751" t="str" cm="1">
        <f t="array" ref="F37">+TRIM(INDEX('ADJ DETAIL INPUT'!$E$7:$AR$7&amp;" "&amp;'ADJ DETAIL INPUT'!$E$8:$AR$8&amp;" "&amp;'ADJ DETAIL INPUT'!$E$9:$AR$9,1,MATCH(D37,'ADJ DETAIL INPUT'!$E$10:$AR$10,0)))</f>
        <v>Pro Forma Labor Non-Exec</v>
      </c>
      <c r="I37" s="772">
        <v>-771.83</v>
      </c>
      <c r="J37" s="772"/>
      <c r="K37" s="772">
        <f t="shared" si="15"/>
        <v>-771.83</v>
      </c>
      <c r="L37" s="772"/>
      <c r="M37" s="772">
        <v>0</v>
      </c>
      <c r="N37" s="772"/>
      <c r="O37" s="772">
        <f t="shared" si="9"/>
        <v>1021.6648598276819</v>
      </c>
      <c r="R37" s="772">
        <f t="shared" si="10"/>
        <v>-771.83</v>
      </c>
      <c r="S37" s="772"/>
      <c r="T37" s="772">
        <f t="shared" si="11"/>
        <v>0</v>
      </c>
      <c r="U37" s="772"/>
      <c r="V37" s="772">
        <f t="shared" si="12"/>
        <v>1021.6648598276819</v>
      </c>
      <c r="Y37" s="772">
        <f t="shared" ref="Y37:Y38" si="16">+AA37/(1-$AK$5)</f>
        <v>0</v>
      </c>
      <c r="Z37" s="772"/>
      <c r="AA37" s="794">
        <v>0</v>
      </c>
      <c r="AB37" s="772"/>
      <c r="AC37" s="794">
        <v>0</v>
      </c>
      <c r="AD37" s="779"/>
      <c r="AE37" s="772">
        <f t="shared" si="14"/>
        <v>0</v>
      </c>
      <c r="AG37" s="810" t="s">
        <v>637</v>
      </c>
      <c r="AI37" s="754"/>
      <c r="AL37" s="785"/>
      <c r="AM37" s="770"/>
      <c r="AV37" s="798"/>
    </row>
    <row r="38" spans="2:48">
      <c r="B38" s="751">
        <f t="shared" ca="1" si="0"/>
        <v>26</v>
      </c>
      <c r="D38" s="771">
        <v>3.0499999999999989</v>
      </c>
      <c r="F38" s="751" t="str" cm="1">
        <f t="array" ref="F38">+TRIM(INDEX('ADJ DETAIL INPUT'!$E$7:$AR$7&amp;" "&amp;'ADJ DETAIL INPUT'!$E$8:$AR$8&amp;" "&amp;'ADJ DETAIL INPUT'!$E$9:$AR$9,1,MATCH(D38,'ADJ DETAIL INPUT'!$E$10:$AR$10,0)))</f>
        <v>Pro Forma Labor Exec</v>
      </c>
      <c r="I38" s="772">
        <v>76.63</v>
      </c>
      <c r="J38" s="772"/>
      <c r="K38" s="772">
        <f t="shared" si="15"/>
        <v>76.63</v>
      </c>
      <c r="L38" s="772"/>
      <c r="M38" s="772">
        <v>0</v>
      </c>
      <c r="N38" s="772"/>
      <c r="O38" s="772">
        <f t="shared" si="9"/>
        <v>-101.43448454788653</v>
      </c>
      <c r="R38" s="772">
        <f t="shared" si="10"/>
        <v>76.63</v>
      </c>
      <c r="S38" s="772"/>
      <c r="T38" s="772">
        <f t="shared" si="11"/>
        <v>0</v>
      </c>
      <c r="U38" s="772"/>
      <c r="V38" s="772">
        <f t="shared" si="12"/>
        <v>-101.43448454788653</v>
      </c>
      <c r="Y38" s="772">
        <f t="shared" si="16"/>
        <v>0</v>
      </c>
      <c r="Z38" s="772"/>
      <c r="AA38" s="794">
        <v>0</v>
      </c>
      <c r="AB38" s="772"/>
      <c r="AC38" s="794">
        <v>0</v>
      </c>
      <c r="AD38" s="779"/>
      <c r="AE38" s="772">
        <f t="shared" si="14"/>
        <v>0</v>
      </c>
      <c r="AG38" s="753" t="s">
        <v>606</v>
      </c>
      <c r="AI38" s="754"/>
      <c r="AL38" s="785"/>
      <c r="AM38" s="770"/>
      <c r="AV38" s="798"/>
    </row>
    <row r="39" spans="2:48">
      <c r="B39" s="751">
        <f t="shared" ca="1" si="0"/>
        <v>27</v>
      </c>
      <c r="D39" s="771">
        <v>3.0599999999999987</v>
      </c>
      <c r="F39" s="751" t="str" cm="1">
        <f t="array" ref="F39">+TRIM(INDEX('ADJ DETAIL INPUT'!$E$7:$AR$7&amp;" "&amp;'ADJ DETAIL INPUT'!$E$8:$AR$8&amp;" "&amp;'ADJ DETAIL INPUT'!$E$9:$AR$9,1,MATCH(D39,'ADJ DETAIL INPUT'!$E$10:$AR$10,0)))</f>
        <v>Pro Forma Employee Benefits</v>
      </c>
      <c r="I39" s="772">
        <v>-269.39</v>
      </c>
      <c r="J39" s="772"/>
      <c r="K39" s="772">
        <f t="shared" si="15"/>
        <v>-269.39</v>
      </c>
      <c r="L39" s="772"/>
      <c r="M39" s="772">
        <v>0</v>
      </c>
      <c r="N39" s="772"/>
      <c r="O39" s="772">
        <f t="shared" si="9"/>
        <v>356.58927042092068</v>
      </c>
      <c r="R39" s="772">
        <f t="shared" si="10"/>
        <v>-269.39</v>
      </c>
      <c r="S39" s="772"/>
      <c r="T39" s="772">
        <f t="shared" si="11"/>
        <v>0</v>
      </c>
      <c r="U39" s="772"/>
      <c r="V39" s="772">
        <f t="shared" si="12"/>
        <v>356.58927042092068</v>
      </c>
      <c r="Y39" s="772">
        <f t="shared" si="13"/>
        <v>0</v>
      </c>
      <c r="Z39" s="772"/>
      <c r="AA39" s="794">
        <v>0</v>
      </c>
      <c r="AB39" s="772"/>
      <c r="AC39" s="794">
        <v>0</v>
      </c>
      <c r="AD39" s="779"/>
      <c r="AE39" s="772">
        <f t="shared" si="14"/>
        <v>0</v>
      </c>
      <c r="AG39" s="753" t="s">
        <v>606</v>
      </c>
      <c r="AI39" s="754"/>
      <c r="AL39" s="785"/>
      <c r="AM39" s="770"/>
      <c r="AV39" s="798"/>
    </row>
    <row r="40" spans="2:48">
      <c r="B40" s="751">
        <f t="shared" ca="1" si="0"/>
        <v>28</v>
      </c>
      <c r="D40" s="771">
        <v>3.0699999999999985</v>
      </c>
      <c r="F40" s="751" t="str" cm="1">
        <f t="array" ref="F40">+TRIM(INDEX('ADJ DETAIL INPUT'!$E$7:$AR$7&amp;" "&amp;'ADJ DETAIL INPUT'!$E$8:$AR$8&amp;" "&amp;'ADJ DETAIL INPUT'!$E$9:$AR$9,1,MATCH(D40,'ADJ DETAIL INPUT'!$E$10:$AR$10,0)))</f>
        <v>Pro Forma Insurance Expense</v>
      </c>
      <c r="I40" s="772">
        <v>-852.41</v>
      </c>
      <c r="J40" s="772"/>
      <c r="K40" s="772">
        <f t="shared" si="15"/>
        <v>-852.41</v>
      </c>
      <c r="L40" s="772"/>
      <c r="M40" s="772">
        <v>0</v>
      </c>
      <c r="N40" s="772"/>
      <c r="O40" s="772">
        <f t="shared" si="9"/>
        <v>1128.3279260532945</v>
      </c>
      <c r="R40" s="772">
        <f t="shared" si="10"/>
        <v>-232.26</v>
      </c>
      <c r="S40" s="772"/>
      <c r="T40" s="772">
        <f t="shared" si="11"/>
        <v>0</v>
      </c>
      <c r="U40" s="772"/>
      <c r="V40" s="772">
        <f t="shared" si="12"/>
        <v>307.44060265029526</v>
      </c>
      <c r="Y40" s="794">
        <v>785</v>
      </c>
      <c r="Z40" s="772"/>
      <c r="AA40" s="772">
        <f>+Y40*(1-$AK$5)</f>
        <v>620.15</v>
      </c>
      <c r="AB40" s="772"/>
      <c r="AC40" s="794">
        <v>0</v>
      </c>
      <c r="AD40" s="779"/>
      <c r="AE40" s="772">
        <f t="shared" si="14"/>
        <v>-820.8873234029993</v>
      </c>
      <c r="AG40" s="753" t="s">
        <v>632</v>
      </c>
      <c r="AI40" s="754"/>
      <c r="AL40" s="785"/>
      <c r="AM40" s="770"/>
      <c r="AV40" s="798"/>
    </row>
    <row r="41" spans="2:48">
      <c r="B41" s="751">
        <f t="shared" ca="1" si="0"/>
        <v>29</v>
      </c>
      <c r="D41" s="771">
        <v>3.0799999999999983</v>
      </c>
      <c r="F41" s="751" t="str" cm="1">
        <f t="array" ref="F41">+TRIM(INDEX('ADJ DETAIL INPUT'!$E$7:$AR$7&amp;" "&amp;'ADJ DETAIL INPUT'!$E$8:$AR$8&amp;" "&amp;'ADJ DETAIL INPUT'!$E$9:$AR$9,1,MATCH(D41,'ADJ DETAIL INPUT'!$E$10:$AR$10,0)))</f>
        <v>Pro Forma IS/IT Expense</v>
      </c>
      <c r="I41" s="772">
        <v>-492.96000000000004</v>
      </c>
      <c r="J41" s="772"/>
      <c r="K41" s="772">
        <f t="shared" si="15"/>
        <v>-492.96000000000004</v>
      </c>
      <c r="L41" s="772"/>
      <c r="M41" s="772">
        <v>0</v>
      </c>
      <c r="N41" s="772"/>
      <c r="O41" s="772">
        <f t="shared" si="9"/>
        <v>652.52699338021853</v>
      </c>
      <c r="R41" s="772">
        <f t="shared" si="10"/>
        <v>-223.70667000000003</v>
      </c>
      <c r="S41" s="772"/>
      <c r="T41" s="772">
        <f t="shared" si="11"/>
        <v>0</v>
      </c>
      <c r="U41" s="772"/>
      <c r="V41" s="772">
        <f t="shared" si="12"/>
        <v>296.11863188534716</v>
      </c>
      <c r="Y41" s="794">
        <f>-'[12]ISIT-1 (Adj. 3.07) 2020'!$W$20/1000</f>
        <v>340.827</v>
      </c>
      <c r="Z41" s="772"/>
      <c r="AA41" s="772">
        <f>+Y41*(1-$AK$5)</f>
        <v>269.25333000000001</v>
      </c>
      <c r="AB41" s="772"/>
      <c r="AC41" s="794">
        <v>0</v>
      </c>
      <c r="AD41" s="779"/>
      <c r="AE41" s="772">
        <f t="shared" si="14"/>
        <v>-356.40836149487137</v>
      </c>
      <c r="AG41" s="753" t="s">
        <v>632</v>
      </c>
      <c r="AI41" s="754"/>
      <c r="AL41" s="785"/>
      <c r="AM41" s="770"/>
      <c r="AV41" s="798"/>
    </row>
    <row r="42" spans="2:48">
      <c r="B42" s="751">
        <f t="shared" ca="1" si="0"/>
        <v>30</v>
      </c>
      <c r="D42" s="771">
        <v>3.0899999999999981</v>
      </c>
      <c r="F42" s="751" t="str" cm="1">
        <f t="array" ref="F42">+TRIM(INDEX('ADJ DETAIL INPUT'!$E$7:$AR$7&amp;" "&amp;'ADJ DETAIL INPUT'!$E$8:$AR$8&amp;" "&amp;'ADJ DETAIL INPUT'!$E$9:$AR$9,1,MATCH(D42,'ADJ DETAIL INPUT'!$E$10:$AR$10,0)))</f>
        <v>Pro Forma Property Tax</v>
      </c>
      <c r="I42" s="772">
        <v>-365.77</v>
      </c>
      <c r="J42" s="772"/>
      <c r="K42" s="772">
        <f t="shared" si="15"/>
        <v>-365.77</v>
      </c>
      <c r="L42" s="772"/>
      <c r="M42" s="772">
        <v>0</v>
      </c>
      <c r="N42" s="772"/>
      <c r="O42" s="772">
        <f t="shared" si="9"/>
        <v>484.16666335743776</v>
      </c>
      <c r="R42" s="772">
        <f t="shared" si="10"/>
        <v>-365.77</v>
      </c>
      <c r="S42" s="772"/>
      <c r="T42" s="772">
        <f t="shared" si="11"/>
        <v>0</v>
      </c>
      <c r="U42" s="772"/>
      <c r="V42" s="772">
        <f t="shared" si="12"/>
        <v>484.16666335743776</v>
      </c>
      <c r="Y42" s="772">
        <f t="shared" si="13"/>
        <v>0</v>
      </c>
      <c r="Z42" s="772"/>
      <c r="AA42" s="794">
        <v>0</v>
      </c>
      <c r="AB42" s="772"/>
      <c r="AC42" s="794">
        <v>0</v>
      </c>
      <c r="AD42" s="779"/>
      <c r="AE42" s="772">
        <f t="shared" si="14"/>
        <v>0</v>
      </c>
      <c r="AG42" s="753" t="s">
        <v>606</v>
      </c>
      <c r="AI42" s="754"/>
      <c r="AL42" s="785"/>
      <c r="AM42" s="770"/>
      <c r="AV42" s="798"/>
    </row>
    <row r="43" spans="2:48" ht="13.5">
      <c r="B43" s="751">
        <f t="shared" ca="1" si="0"/>
        <v>31</v>
      </c>
      <c r="D43" s="771">
        <v>3.0999999999999979</v>
      </c>
      <c r="F43" s="751" t="str" cm="1">
        <f t="array" ref="F43">+TRIM(INDEX('ADJ DETAIL INPUT'!$E$7:$AR$7&amp;" "&amp;'ADJ DETAIL INPUT'!$E$8:$AR$8&amp;" "&amp;'ADJ DETAIL INPUT'!$E$9:$AR$9,1,MATCH(D43,'ADJ DETAIL INPUT'!$E$10:$AR$10,0)))</f>
        <v>Pro Forma Fee Free Amortization</v>
      </c>
      <c r="I43" s="772">
        <v>-688.88</v>
      </c>
      <c r="J43" s="772"/>
      <c r="K43" s="772">
        <f t="shared" si="15"/>
        <v>-688.88</v>
      </c>
      <c r="L43" s="772"/>
      <c r="M43" s="772">
        <v>0</v>
      </c>
      <c r="N43" s="772"/>
      <c r="O43" s="772">
        <f t="shared" si="9"/>
        <v>911.86464459543356</v>
      </c>
      <c r="R43" s="772">
        <f t="shared" si="10"/>
        <v>-688.88</v>
      </c>
      <c r="S43" s="772"/>
      <c r="T43" s="772">
        <f t="shared" si="11"/>
        <v>0</v>
      </c>
      <c r="U43" s="772"/>
      <c r="V43" s="772">
        <f t="shared" si="12"/>
        <v>911.86464459543356</v>
      </c>
      <c r="Y43" s="772">
        <f t="shared" si="13"/>
        <v>0</v>
      </c>
      <c r="Z43" s="772"/>
      <c r="AA43" s="794">
        <v>0</v>
      </c>
      <c r="AB43" s="772"/>
      <c r="AC43" s="794">
        <v>0</v>
      </c>
      <c r="AD43" s="779"/>
      <c r="AE43" s="772">
        <f t="shared" si="14"/>
        <v>0</v>
      </c>
      <c r="AG43" s="753" t="s">
        <v>606</v>
      </c>
      <c r="AI43" s="754"/>
      <c r="AJ43" s="786"/>
      <c r="AL43" s="785"/>
      <c r="AM43" s="772"/>
      <c r="AV43" s="798"/>
    </row>
    <row r="44" spans="2:48">
      <c r="B44" s="751">
        <f t="shared" ca="1" si="0"/>
        <v>32</v>
      </c>
      <c r="C44" s="750"/>
      <c r="D44" s="771">
        <v>3.1099999999999977</v>
      </c>
      <c r="E44" s="750"/>
      <c r="F44" s="751" t="str" cm="1">
        <f t="array" ref="F44">+TRIM(INDEX('ADJ DETAIL INPUT'!$E$7:$AR$7&amp;" "&amp;'ADJ DETAIL INPUT'!$E$8:$AR$8&amp;" "&amp;'ADJ DETAIL INPUT'!$E$9:$AR$9,1,MATCH(D44,'ADJ DETAIL INPUT'!$E$10:$AR$10,0)))</f>
        <v>Pro Forma 2020 Customer At Center</v>
      </c>
      <c r="I44" s="772">
        <v>-455.83</v>
      </c>
      <c r="J44" s="772"/>
      <c r="K44" s="772">
        <f t="shared" si="15"/>
        <v>-440.79116499999998</v>
      </c>
      <c r="L44" s="767"/>
      <c r="M44" s="772">
        <v>2923</v>
      </c>
      <c r="N44" s="767"/>
      <c r="O44" s="772">
        <f t="shared" si="9"/>
        <v>854.69899253835058</v>
      </c>
      <c r="Q44" s="750"/>
      <c r="R44" s="772">
        <f t="shared" si="10"/>
        <v>0</v>
      </c>
      <c r="S44" s="772"/>
      <c r="T44" s="772">
        <f t="shared" ref="T44:T51" si="17">+M44+AC44</f>
        <v>0</v>
      </c>
      <c r="U44" s="772"/>
      <c r="V44" s="772">
        <f t="shared" si="12"/>
        <v>0</v>
      </c>
      <c r="Y44" s="772">
        <f t="shared" si="13"/>
        <v>577</v>
      </c>
      <c r="Z44" s="772"/>
      <c r="AA44" s="794">
        <f>-I44</f>
        <v>455.83</v>
      </c>
      <c r="AB44" s="772"/>
      <c r="AC44" s="794">
        <f>-M44</f>
        <v>-2923</v>
      </c>
      <c r="AD44" s="779"/>
      <c r="AE44" s="772">
        <f t="shared" si="14"/>
        <v>-854.69899253835058</v>
      </c>
      <c r="AG44" s="753" t="s">
        <v>606</v>
      </c>
      <c r="AI44" s="754"/>
      <c r="AL44" s="785"/>
      <c r="AM44" s="770"/>
      <c r="AV44" s="798"/>
    </row>
    <row r="45" spans="2:48">
      <c r="B45" s="751">
        <f t="shared" ca="1" si="0"/>
        <v>33</v>
      </c>
      <c r="C45" s="750"/>
      <c r="D45" s="771">
        <v>3.1199999999999974</v>
      </c>
      <c r="E45" s="750"/>
      <c r="F45" s="751" t="str" cm="1">
        <f t="array" ref="F45">+TRIM(INDEX('ADJ DETAIL INPUT'!$E$7:$AR$7&amp;" "&amp;'ADJ DETAIL INPUT'!$E$8:$AR$8&amp;" "&amp;'ADJ DETAIL INPUT'!$E$9:$AR$9,1,MATCH(D45,'ADJ DETAIL INPUT'!$E$10:$AR$10,0)))</f>
        <v>Pro Forma 2020 Large &amp; Distinct</v>
      </c>
      <c r="I45" s="772">
        <v>-147.29372790342748</v>
      </c>
      <c r="J45" s="772"/>
      <c r="K45" s="772">
        <f t="shared" si="15"/>
        <v>-110.29648590566346</v>
      </c>
      <c r="L45" s="767"/>
      <c r="M45" s="772">
        <v>7190.9119529181771</v>
      </c>
      <c r="N45" s="767"/>
      <c r="O45" s="772">
        <f t="shared" si="9"/>
        <v>813.24884713775214</v>
      </c>
      <c r="Q45" s="750"/>
      <c r="R45" s="772">
        <f t="shared" si="10"/>
        <v>0</v>
      </c>
      <c r="S45" s="772"/>
      <c r="T45" s="772">
        <f t="shared" si="17"/>
        <v>0</v>
      </c>
      <c r="U45" s="772"/>
      <c r="V45" s="772">
        <f t="shared" si="12"/>
        <v>0</v>
      </c>
      <c r="Y45" s="772">
        <f t="shared" si="13"/>
        <v>186.44775683978162</v>
      </c>
      <c r="Z45" s="772"/>
      <c r="AA45" s="794">
        <f t="shared" ref="AA45:AA47" si="18">-I45</f>
        <v>147.29372790342748</v>
      </c>
      <c r="AB45" s="772"/>
      <c r="AC45" s="794">
        <f t="shared" ref="AC45:AC47" si="19">-M45</f>
        <v>-7190.9119529181771</v>
      </c>
      <c r="AD45" s="779"/>
      <c r="AE45" s="772">
        <f t="shared" si="14"/>
        <v>-813.24884713775214</v>
      </c>
      <c r="AG45" s="753" t="s">
        <v>606</v>
      </c>
      <c r="AI45" s="754"/>
      <c r="AL45" s="785"/>
      <c r="AM45" s="770"/>
      <c r="AV45" s="798"/>
    </row>
    <row r="46" spans="2:48">
      <c r="B46" s="751">
        <f t="shared" ca="1" si="0"/>
        <v>34</v>
      </c>
      <c r="C46" s="750"/>
      <c r="D46" s="771">
        <v>3.1299999999999972</v>
      </c>
      <c r="E46" s="750"/>
      <c r="F46" s="751" t="str" cm="1">
        <f t="array" ref="F46">+TRIM(INDEX('ADJ DETAIL INPUT'!$E$7:$AR$7&amp;" "&amp;'ADJ DETAIL INPUT'!$E$8:$AR$8&amp;" "&amp;'ADJ DETAIL INPUT'!$E$9:$AR$9,1,MATCH(D46,'ADJ DETAIL INPUT'!$E$10:$AR$10,0)))</f>
        <v>Pro Forma 2020 Programmatic</v>
      </c>
      <c r="I46" s="772">
        <v>-180.87745352129076</v>
      </c>
      <c r="J46" s="772"/>
      <c r="K46" s="772">
        <f t="shared" si="15"/>
        <v>-143.86326243584696</v>
      </c>
      <c r="L46" s="767"/>
      <c r="M46" s="772">
        <v>7194.2062362378601</v>
      </c>
      <c r="N46" s="767"/>
      <c r="O46" s="772">
        <f t="shared" si="9"/>
        <v>857.98658517507931</v>
      </c>
      <c r="Q46" s="750"/>
      <c r="R46" s="772">
        <f t="shared" si="10"/>
        <v>0</v>
      </c>
      <c r="S46" s="772"/>
      <c r="T46" s="772">
        <f t="shared" si="17"/>
        <v>0</v>
      </c>
      <c r="U46" s="772"/>
      <c r="V46" s="772">
        <f t="shared" si="12"/>
        <v>0</v>
      </c>
      <c r="Y46" s="772">
        <f t="shared" si="13"/>
        <v>228.9588019256845</v>
      </c>
      <c r="Z46" s="772"/>
      <c r="AA46" s="794">
        <f t="shared" si="18"/>
        <v>180.87745352129076</v>
      </c>
      <c r="AB46" s="772"/>
      <c r="AC46" s="794">
        <f t="shared" si="19"/>
        <v>-7194.2062362378601</v>
      </c>
      <c r="AD46" s="779"/>
      <c r="AE46" s="772">
        <f t="shared" si="14"/>
        <v>-857.98658517507931</v>
      </c>
      <c r="AG46" s="753" t="s">
        <v>606</v>
      </c>
      <c r="AI46" s="754"/>
      <c r="AL46" s="785"/>
      <c r="AM46" s="770"/>
      <c r="AV46" s="798"/>
    </row>
    <row r="47" spans="2:48">
      <c r="B47" s="751">
        <f t="shared" ca="1" si="0"/>
        <v>35</v>
      </c>
      <c r="C47" s="750"/>
      <c r="D47" s="771">
        <v>3.139999999999997</v>
      </c>
      <c r="E47" s="750"/>
      <c r="F47" s="751" t="str" cm="1">
        <f t="array" ref="F47">+TRIM(INDEX('ADJ DETAIL INPUT'!$E$7:$AR$7&amp;" "&amp;'ADJ DETAIL INPUT'!$E$8:$AR$8&amp;" "&amp;'ADJ DETAIL INPUT'!$E$9:$AR$9,1,MATCH(D47,'ADJ DETAIL INPUT'!$E$10:$AR$10,0)))</f>
        <v>Pro Forma 2020 Mandatory &amp; Compliance</v>
      </c>
      <c r="I47" s="772">
        <v>-218.16228142488077</v>
      </c>
      <c r="J47" s="772"/>
      <c r="K47" s="772">
        <f t="shared" si="15"/>
        <v>-150.64439746059412</v>
      </c>
      <c r="L47" s="767"/>
      <c r="M47" s="772">
        <v>13123.009516868151</v>
      </c>
      <c r="N47" s="767"/>
      <c r="O47" s="772">
        <f t="shared" si="9"/>
        <v>1417.1009891855081</v>
      </c>
      <c r="Q47" s="750"/>
      <c r="R47" s="772">
        <f t="shared" si="10"/>
        <v>0</v>
      </c>
      <c r="S47" s="772"/>
      <c r="T47" s="772">
        <f t="shared" si="17"/>
        <v>0</v>
      </c>
      <c r="U47" s="772"/>
      <c r="V47" s="772">
        <f t="shared" si="12"/>
        <v>0</v>
      </c>
      <c r="Y47" s="772">
        <f t="shared" si="13"/>
        <v>276.15478661377313</v>
      </c>
      <c r="Z47" s="772"/>
      <c r="AA47" s="794">
        <f t="shared" si="18"/>
        <v>218.16228142488077</v>
      </c>
      <c r="AB47" s="772"/>
      <c r="AC47" s="794">
        <f t="shared" si="19"/>
        <v>-13123.009516868151</v>
      </c>
      <c r="AD47" s="779"/>
      <c r="AE47" s="772">
        <f t="shared" si="14"/>
        <v>-1417.1009891855081</v>
      </c>
      <c r="AG47" s="753" t="s">
        <v>606</v>
      </c>
      <c r="AI47" s="754"/>
      <c r="AL47" s="785"/>
      <c r="AM47" s="770"/>
      <c r="AV47" s="798"/>
    </row>
    <row r="48" spans="2:48">
      <c r="B48" s="751">
        <f t="shared" ca="1" si="0"/>
        <v>36</v>
      </c>
      <c r="C48" s="750"/>
      <c r="D48" s="771">
        <v>3.1499999999999968</v>
      </c>
      <c r="E48" s="750"/>
      <c r="F48" s="751" t="str" cm="1">
        <f t="array" ref="F48">+TRIM(INDEX('ADJ DETAIL INPUT'!$E$7:$AR$7&amp;" "&amp;'ADJ DETAIL INPUT'!$E$8:$AR$8&amp;" "&amp;'ADJ DETAIL INPUT'!$E$9:$AR$9,1,MATCH(D48,'ADJ DETAIL INPUT'!$E$10:$AR$10,0)))</f>
        <v>Pro Forma 2020 Short Lived</v>
      </c>
      <c r="I48" s="772">
        <v>-507.18000000000006</v>
      </c>
      <c r="J48" s="772"/>
      <c r="K48" s="772">
        <f t="shared" si="15"/>
        <v>-489.64584000000008</v>
      </c>
      <c r="L48" s="767"/>
      <c r="M48" s="772">
        <v>3408</v>
      </c>
      <c r="N48" s="767"/>
      <c r="O48" s="772">
        <f t="shared" si="9"/>
        <v>964.37104133491653</v>
      </c>
      <c r="Q48" s="750"/>
      <c r="R48" s="772">
        <f t="shared" si="10"/>
        <v>0</v>
      </c>
      <c r="S48" s="772"/>
      <c r="T48" s="772">
        <f t="shared" si="17"/>
        <v>0</v>
      </c>
      <c r="U48" s="772"/>
      <c r="V48" s="772">
        <f t="shared" si="12"/>
        <v>0</v>
      </c>
      <c r="Y48" s="772">
        <f t="shared" si="13"/>
        <v>642</v>
      </c>
      <c r="Z48" s="772"/>
      <c r="AA48" s="794">
        <f>-I48</f>
        <v>507.18000000000006</v>
      </c>
      <c r="AB48" s="772"/>
      <c r="AC48" s="794">
        <f>-M48</f>
        <v>-3408</v>
      </c>
      <c r="AD48" s="779"/>
      <c r="AE48" s="772">
        <f t="shared" si="14"/>
        <v>-964.37104133491653</v>
      </c>
      <c r="AG48" s="753" t="s">
        <v>606</v>
      </c>
      <c r="AI48" s="754"/>
      <c r="AL48" s="785"/>
      <c r="AM48" s="770"/>
      <c r="AV48" s="798"/>
    </row>
    <row r="49" spans="2:48">
      <c r="B49" s="751">
        <f t="shared" ca="1" si="0"/>
        <v>37</v>
      </c>
      <c r="C49" s="750"/>
      <c r="D49" s="771">
        <v>3.1599999999999966</v>
      </c>
      <c r="E49" s="750"/>
      <c r="F49" s="751" t="str" cm="1">
        <f t="array" ref="F49">+TRIM(INDEX('ADJ DETAIL INPUT'!$E$7:$AR$7&amp;" "&amp;'ADJ DETAIL INPUT'!$E$8:$AR$8&amp;" "&amp;'ADJ DETAIL INPUT'!$E$9:$AR$9,1,MATCH(D49,'ADJ DETAIL INPUT'!$E$10:$AR$10,0)))</f>
        <v>Pro Forma AMI Capital Adds</v>
      </c>
      <c r="I49" s="772">
        <v>-2734.98</v>
      </c>
      <c r="J49" s="772"/>
      <c r="K49" s="772">
        <f t="shared" si="15"/>
        <v>-2552.6823599999998</v>
      </c>
      <c r="L49" s="767"/>
      <c r="M49" s="772">
        <v>35432</v>
      </c>
      <c r="N49" s="767"/>
      <c r="O49" s="772">
        <f t="shared" si="9"/>
        <v>6666.7269740543215</v>
      </c>
      <c r="Q49" s="750"/>
      <c r="R49" s="772">
        <f t="shared" si="10"/>
        <v>-4390.9941413504785</v>
      </c>
      <c r="S49" s="772"/>
      <c r="T49" s="772">
        <f t="shared" si="17"/>
        <v>-4400.9509099999923</v>
      </c>
      <c r="U49" s="772"/>
      <c r="V49" s="772">
        <f t="shared" si="12"/>
        <v>5403.9542407232102</v>
      </c>
      <c r="Y49" s="794">
        <f>-[13]Adjustment!$F$48/1000</f>
        <v>-2067.5585429348462</v>
      </c>
      <c r="Z49" s="772"/>
      <c r="AA49" s="772">
        <f>+Y49*(1-$AK$5)</f>
        <v>-1633.3712489185286</v>
      </c>
      <c r="AB49" s="772"/>
      <c r="AC49" s="794">
        <f>+([13]Adjustment!$F$26-[13]Adjustment!$C$26)/1000</f>
        <v>-39832.950909999992</v>
      </c>
      <c r="AD49" s="779"/>
      <c r="AE49" s="772">
        <f t="shared" si="14"/>
        <v>-1262.7727333311113</v>
      </c>
      <c r="AG49" s="753" t="s">
        <v>632</v>
      </c>
      <c r="AI49" s="754"/>
      <c r="AL49" s="785"/>
      <c r="AM49" s="770"/>
      <c r="AV49" s="798"/>
    </row>
    <row r="50" spans="2:48">
      <c r="B50" s="751">
        <f t="shared" ca="1" si="0"/>
        <v>38</v>
      </c>
      <c r="C50" s="750"/>
      <c r="D50" s="771">
        <v>3.1699999999999964</v>
      </c>
      <c r="E50" s="750"/>
      <c r="F50" s="751" t="str" cm="1">
        <f t="array" ref="F50">+TRIM(INDEX('ADJ DETAIL INPUT'!$E$7:$AR$7&amp;" "&amp;'ADJ DETAIL INPUT'!$E$8:$AR$8&amp;" "&amp;'ADJ DETAIL INPUT'!$E$9:$AR$9,1,MATCH(D50,'ADJ DETAIL INPUT'!$E$10:$AR$10,0)))</f>
        <v>Pro Forma LEAP Deferral Amortization</v>
      </c>
      <c r="I50" s="772">
        <v>-1224.5</v>
      </c>
      <c r="J50" s="772"/>
      <c r="K50" s="772">
        <f t="shared" si="15"/>
        <v>-1244.8690549999999</v>
      </c>
      <c r="L50" s="767"/>
      <c r="M50" s="772">
        <v>-3959</v>
      </c>
      <c r="N50" s="767"/>
      <c r="O50" s="772">
        <f t="shared" si="9"/>
        <v>1280.4639737485488</v>
      </c>
      <c r="Q50" s="750"/>
      <c r="R50" s="772">
        <f t="shared" si="10"/>
        <v>-1244.8690549999999</v>
      </c>
      <c r="S50" s="772"/>
      <c r="T50" s="772">
        <f>+M50+AC50</f>
        <v>-3959</v>
      </c>
      <c r="U50" s="772"/>
      <c r="V50" s="772">
        <f t="shared" si="12"/>
        <v>1280.4639737485488</v>
      </c>
      <c r="Y50" s="794">
        <v>0</v>
      </c>
      <c r="Z50" s="772"/>
      <c r="AA50" s="772">
        <f>+Y50*(1-$AK$5)</f>
        <v>0</v>
      </c>
      <c r="AB50" s="772"/>
      <c r="AC50" s="794">
        <v>0</v>
      </c>
      <c r="AD50" s="779"/>
      <c r="AE50" s="772">
        <f t="shared" si="14"/>
        <v>0</v>
      </c>
      <c r="AG50" s="812" t="s">
        <v>638</v>
      </c>
      <c r="AI50" s="754"/>
      <c r="AL50" s="785"/>
      <c r="AM50" s="770"/>
      <c r="AV50" s="798"/>
    </row>
    <row r="51" spans="2:48">
      <c r="B51" s="751">
        <f t="shared" ca="1" si="0"/>
        <v>39</v>
      </c>
      <c r="C51" s="750"/>
      <c r="D51" s="771">
        <v>3.1799999999999962</v>
      </c>
      <c r="E51" s="750"/>
      <c r="F51" s="751" t="str" cm="1">
        <f t="array" ref="F51">+TRIM(INDEX('ADJ DETAIL INPUT'!$E$7:$AR$7&amp;" "&amp;'ADJ DETAIL INPUT'!$E$8:$AR$8&amp;" "&amp;'ADJ DETAIL INPUT'!$E$9:$AR$9,1,MATCH(D51,'ADJ DETAIL INPUT'!$E$10:$AR$10,0)))</f>
        <v>Restate 2019 ADFIT</v>
      </c>
      <c r="I51" s="772" cm="1">
        <f t="array" ref="I51">+INDEX('ADJ DETAIL INPUT'!$58:$58+'ADJ DETAIL INPUT'!$54:$54,1,MATCH($D51,'ADJ DETAIL INPUT'!$10:$10,0))</f>
        <v>0</v>
      </c>
      <c r="J51" s="772"/>
      <c r="K51" s="772">
        <f t="shared" si="15"/>
        <v>-78.348060000000004</v>
      </c>
      <c r="L51" s="767"/>
      <c r="M51" s="772">
        <v>-15228</v>
      </c>
      <c r="N51" s="767"/>
      <c r="O51" s="772">
        <f t="shared" si="9"/>
        <v>-1309.3093109788301</v>
      </c>
      <c r="Q51" s="750"/>
      <c r="R51" s="772">
        <f t="shared" si="10"/>
        <v>-78.348060000000004</v>
      </c>
      <c r="S51" s="772"/>
      <c r="T51" s="772">
        <f t="shared" si="17"/>
        <v>-15228</v>
      </c>
      <c r="U51" s="772"/>
      <c r="V51" s="772">
        <f t="shared" si="12"/>
        <v>-1309.3093109788301</v>
      </c>
      <c r="Y51" s="772">
        <f t="shared" si="13"/>
        <v>0</v>
      </c>
      <c r="Z51" s="772"/>
      <c r="AA51" s="794">
        <v>0</v>
      </c>
      <c r="AB51" s="772"/>
      <c r="AC51" s="794">
        <v>0</v>
      </c>
      <c r="AD51" s="779"/>
      <c r="AE51" s="772">
        <f t="shared" si="14"/>
        <v>0</v>
      </c>
      <c r="AG51" s="753" t="s">
        <v>606</v>
      </c>
      <c r="AI51" s="754"/>
      <c r="AL51" s="785"/>
      <c r="AM51" s="770"/>
      <c r="AV51" s="798"/>
    </row>
    <row r="52" spans="2:48">
      <c r="B52" s="751">
        <f t="shared" ca="1" si="0"/>
        <v>40</v>
      </c>
      <c r="C52" s="750"/>
      <c r="D52" s="771">
        <v>7.01</v>
      </c>
      <c r="E52" s="750"/>
      <c r="F52" s="751" t="s">
        <v>613</v>
      </c>
      <c r="I52" s="772">
        <v>0</v>
      </c>
      <c r="J52" s="772"/>
      <c r="K52" s="772">
        <f t="shared" si="15"/>
        <v>0</v>
      </c>
      <c r="L52" s="772"/>
      <c r="M52" s="772">
        <v>0</v>
      </c>
      <c r="N52" s="772"/>
      <c r="O52" s="772">
        <v>0</v>
      </c>
      <c r="Q52" s="750"/>
      <c r="R52" s="772">
        <f>+I52+AA52+$T52*$AK$5*$AM$10</f>
        <v>-1189.0952181901141</v>
      </c>
      <c r="S52" s="772"/>
      <c r="T52" s="772">
        <f t="shared" ref="T52:T53" si="20">+M52+AC52</f>
        <v>5713.2092924948711</v>
      </c>
      <c r="U52" s="772"/>
      <c r="V52" s="772">
        <f>+($T52*$AM$12-$R52)/$AK$4</f>
        <v>2104.1284478445727</v>
      </c>
      <c r="Y52" s="794">
        <f>-[14]Gas!$H$39/1000</f>
        <v>-1542.3920000000001</v>
      </c>
      <c r="Z52" s="772"/>
      <c r="AA52" s="772">
        <f>+Y52*(1-$AK$5)</f>
        <v>-1218.4896800000001</v>
      </c>
      <c r="AB52" s="772"/>
      <c r="AC52" s="794">
        <f>+[14]Gas!$H$30/1000</f>
        <v>5713.2092924948711</v>
      </c>
      <c r="AD52" s="779"/>
      <c r="AE52" s="772">
        <f t="shared" ref="AE52:AE53" si="21">+V52-O52</f>
        <v>2104.1284478445727</v>
      </c>
      <c r="AG52" s="753" t="s">
        <v>144</v>
      </c>
      <c r="AI52" s="754"/>
      <c r="AL52" s="785"/>
      <c r="AM52" s="770"/>
    </row>
    <row r="53" spans="2:48">
      <c r="B53" s="751">
        <f t="shared" ca="1" si="0"/>
        <v>41</v>
      </c>
      <c r="C53" s="750"/>
      <c r="D53" s="771">
        <v>7.02</v>
      </c>
      <c r="E53" s="750"/>
      <c r="F53" s="751" t="s">
        <v>633</v>
      </c>
      <c r="I53" s="772">
        <v>0</v>
      </c>
      <c r="J53" s="772"/>
      <c r="K53" s="772">
        <v>0</v>
      </c>
      <c r="L53" s="772"/>
      <c r="M53" s="772">
        <v>0</v>
      </c>
      <c r="N53" s="772"/>
      <c r="O53" s="772">
        <v>0</v>
      </c>
      <c r="Q53" s="750"/>
      <c r="R53" s="772">
        <f>+I53+AA53+$T53*$AK$5*$AM$10</f>
        <v>0</v>
      </c>
      <c r="S53" s="772"/>
      <c r="T53" s="772">
        <f t="shared" si="20"/>
        <v>0</v>
      </c>
      <c r="U53" s="772"/>
      <c r="V53" s="772">
        <f>+($T53*$AM$12-$R53)/$AK$4</f>
        <v>0</v>
      </c>
      <c r="Y53" s="794">
        <v>0</v>
      </c>
      <c r="Z53" s="772"/>
      <c r="AA53" s="772">
        <f>+Y53*(1-$AK$5)</f>
        <v>0</v>
      </c>
      <c r="AB53" s="772"/>
      <c r="AC53" s="794">
        <v>0</v>
      </c>
      <c r="AD53" s="779"/>
      <c r="AE53" s="772">
        <f t="shared" si="21"/>
        <v>0</v>
      </c>
      <c r="AG53" s="810" t="s">
        <v>637</v>
      </c>
      <c r="AI53" s="754"/>
      <c r="AL53" s="785"/>
      <c r="AM53" s="770"/>
    </row>
    <row r="54" spans="2:48">
      <c r="B54" s="751">
        <f t="shared" ca="1" si="0"/>
        <v>42</v>
      </c>
      <c r="C54" s="750"/>
      <c r="D54" s="771">
        <v>7.03</v>
      </c>
      <c r="E54" s="750"/>
      <c r="F54" s="751" t="s">
        <v>627</v>
      </c>
      <c r="I54" s="772">
        <v>0</v>
      </c>
      <c r="J54" s="772"/>
      <c r="K54" s="772">
        <v>0</v>
      </c>
      <c r="L54" s="772"/>
      <c r="M54" s="772">
        <v>0</v>
      </c>
      <c r="N54" s="772"/>
      <c r="O54" s="772">
        <v>0</v>
      </c>
      <c r="Q54" s="750"/>
      <c r="R54" s="772">
        <f>+I54+AA54+$T54*$AK$5*$AM$10</f>
        <v>12.36745</v>
      </c>
      <c r="S54" s="772"/>
      <c r="T54" s="772">
        <f t="shared" ref="T54" si="22">+M54+AC54</f>
        <v>0</v>
      </c>
      <c r="U54" s="772"/>
      <c r="V54" s="772">
        <f>+($T54*$AM$12-$R54)/$AK$4</f>
        <v>-16.370689232960448</v>
      </c>
      <c r="Y54" s="794">
        <v>15.654999999999999</v>
      </c>
      <c r="Z54" s="772"/>
      <c r="AA54" s="772">
        <f>+Y54*(1-$AK$5)</f>
        <v>12.36745</v>
      </c>
      <c r="AB54" s="772"/>
      <c r="AC54" s="794">
        <v>0</v>
      </c>
      <c r="AD54" s="779"/>
      <c r="AE54" s="772">
        <f t="shared" ref="AE54" si="23">+V54-O54</f>
        <v>-16.370689232960448</v>
      </c>
      <c r="AG54" s="753" t="s">
        <v>144</v>
      </c>
      <c r="AI54" s="754"/>
      <c r="AL54" s="785"/>
      <c r="AM54" s="770"/>
    </row>
    <row r="55" spans="2:48">
      <c r="B55" s="751">
        <f t="shared" ca="1" si="0"/>
        <v>43</v>
      </c>
      <c r="C55" s="750"/>
      <c r="D55" s="771">
        <v>7.04</v>
      </c>
      <c r="E55" s="750"/>
      <c r="F55" s="751" t="s">
        <v>629</v>
      </c>
      <c r="I55" s="772">
        <v>0</v>
      </c>
      <c r="J55" s="772"/>
      <c r="K55" s="772">
        <v>0</v>
      </c>
      <c r="L55" s="772"/>
      <c r="M55" s="772">
        <v>0</v>
      </c>
      <c r="N55" s="772"/>
      <c r="O55" s="772">
        <v>0</v>
      </c>
      <c r="Q55" s="750"/>
      <c r="R55" s="772">
        <f t="shared" ref="R55:R56" si="24">+I55+AA55+$T55*$AK$5*$AM$10</f>
        <v>0</v>
      </c>
      <c r="S55" s="772"/>
      <c r="T55" s="772">
        <f t="shared" ref="T55:T56" si="25">+M55+AC55</f>
        <v>0</v>
      </c>
      <c r="U55" s="772"/>
      <c r="V55" s="772">
        <f t="shared" ref="V55:V56" si="26">+($T55*$AM$12-$R55)/$AK$4</f>
        <v>0</v>
      </c>
      <c r="Y55" s="794">
        <v>0</v>
      </c>
      <c r="Z55" s="772"/>
      <c r="AA55" s="772">
        <f t="shared" ref="AA55:AA56" si="27">+Y55*(1-$AK$5)</f>
        <v>0</v>
      </c>
      <c r="AB55" s="772"/>
      <c r="AC55" s="794">
        <v>0</v>
      </c>
      <c r="AD55" s="779"/>
      <c r="AE55" s="772">
        <f t="shared" ref="AE55:AE56" si="28">+V55-O55</f>
        <v>0</v>
      </c>
      <c r="AG55" s="812" t="s">
        <v>639</v>
      </c>
      <c r="AI55" s="754"/>
      <c r="AL55" s="785"/>
      <c r="AM55" s="770"/>
    </row>
    <row r="56" spans="2:48">
      <c r="B56" s="751">
        <f t="shared" ca="1" si="0"/>
        <v>44</v>
      </c>
      <c r="C56" s="750"/>
      <c r="D56" s="808" t="s">
        <v>574</v>
      </c>
      <c r="E56" s="750"/>
      <c r="F56" s="751" t="s">
        <v>628</v>
      </c>
      <c r="I56" s="772">
        <v>0</v>
      </c>
      <c r="J56" s="772"/>
      <c r="K56" s="772">
        <v>0</v>
      </c>
      <c r="L56" s="772"/>
      <c r="M56" s="772">
        <v>0</v>
      </c>
      <c r="N56" s="772"/>
      <c r="O56" s="772">
        <v>0</v>
      </c>
      <c r="Q56" s="750"/>
      <c r="R56" s="772">
        <f t="shared" si="24"/>
        <v>0</v>
      </c>
      <c r="S56" s="772"/>
      <c r="T56" s="772">
        <f t="shared" si="25"/>
        <v>0</v>
      </c>
      <c r="U56" s="772"/>
      <c r="V56" s="772">
        <f t="shared" si="26"/>
        <v>0</v>
      </c>
      <c r="Y56" s="794">
        <v>0</v>
      </c>
      <c r="Z56" s="772"/>
      <c r="AA56" s="772">
        <f t="shared" si="27"/>
        <v>0</v>
      </c>
      <c r="AB56" s="772"/>
      <c r="AC56" s="794">
        <v>0</v>
      </c>
      <c r="AD56" s="779"/>
      <c r="AE56" s="772">
        <f t="shared" si="28"/>
        <v>0</v>
      </c>
      <c r="AG56" s="812" t="s">
        <v>639</v>
      </c>
      <c r="AI56" s="754"/>
      <c r="AL56" s="785"/>
      <c r="AM56" s="770"/>
    </row>
    <row r="57" spans="2:48">
      <c r="C57" s="750"/>
      <c r="D57" s="771"/>
      <c r="E57" s="750"/>
      <c r="I57" s="772"/>
      <c r="J57" s="772"/>
      <c r="K57" s="772"/>
      <c r="L57" s="772"/>
      <c r="M57" s="772"/>
      <c r="N57" s="772"/>
      <c r="O57" s="772"/>
      <c r="Q57" s="750"/>
      <c r="R57" s="772"/>
      <c r="S57" s="772"/>
      <c r="T57" s="772"/>
      <c r="U57" s="772"/>
      <c r="V57" s="772"/>
      <c r="AG57" s="753"/>
      <c r="AI57" s="754"/>
      <c r="AL57" s="785"/>
      <c r="AM57" s="770"/>
    </row>
    <row r="58" spans="2:48" ht="13.5">
      <c r="C58" s="750"/>
      <c r="D58" s="771"/>
      <c r="E58" s="750"/>
      <c r="I58" s="787"/>
      <c r="J58" s="793"/>
      <c r="K58" s="793"/>
      <c r="L58" s="767"/>
      <c r="M58" s="787"/>
      <c r="N58" s="767"/>
      <c r="O58" s="787"/>
      <c r="Q58" s="750"/>
      <c r="R58" s="787"/>
      <c r="S58" s="767"/>
      <c r="T58" s="787"/>
      <c r="U58" s="767"/>
      <c r="V58" s="787"/>
      <c r="Y58" s="787"/>
      <c r="Z58" s="751"/>
      <c r="AA58" s="787"/>
      <c r="AB58" s="767"/>
      <c r="AC58" s="787"/>
      <c r="AD58" s="767"/>
      <c r="AE58" s="788"/>
      <c r="AG58" s="753"/>
      <c r="AI58" s="754"/>
      <c r="AJ58" s="786"/>
      <c r="AL58" s="785"/>
      <c r="AM58" s="772"/>
    </row>
    <row r="59" spans="2:48" ht="13.5" thickBot="1">
      <c r="B59" s="751">
        <f ca="1">+MAX(OFFSET($B$7,0,0,ROW($B59)-ROW($B$7),1))+1</f>
        <v>45</v>
      </c>
      <c r="D59" s="771"/>
      <c r="F59" s="750" t="s">
        <v>610</v>
      </c>
      <c r="I59" s="789">
        <f>+SUM(I31:I58)</f>
        <v>23419.6565371504</v>
      </c>
      <c r="J59" s="793"/>
      <c r="K59" s="789">
        <f>+SUM(K31:K58)</f>
        <v>23612.149326421084</v>
      </c>
      <c r="L59" s="772"/>
      <c r="M59" s="789">
        <f>+SUM(M31:M58)</f>
        <v>448205.65097583801</v>
      </c>
      <c r="N59" s="772"/>
      <c r="O59" s="789">
        <f>+SUM(O31:O58)</f>
        <v>10334.148471844625</v>
      </c>
      <c r="R59" s="789">
        <f>+SUM(R31:R58)</f>
        <v>22821.754257682594</v>
      </c>
      <c r="S59" s="772"/>
      <c r="T59" s="789">
        <f>+SUM(T31:T58)</f>
        <v>380246.78165230871</v>
      </c>
      <c r="U59" s="772"/>
      <c r="V59" s="789">
        <f>+SUM(V31:V58)</f>
        <v>5074.4313568556499</v>
      </c>
      <c r="Y59" s="789">
        <f>+SUM(Y31:Y58)</f>
        <v>-557.90719755560713</v>
      </c>
      <c r="Z59" s="779"/>
      <c r="AA59" s="789">
        <f>+SUM(AA31:AA58)</f>
        <v>-440.74668606892982</v>
      </c>
      <c r="AB59" s="772"/>
      <c r="AC59" s="789">
        <f>+SUM(AC31:AC58)</f>
        <v>-67958.869323529303</v>
      </c>
      <c r="AD59" s="772"/>
      <c r="AE59" s="789">
        <f>+SUM(AE31:AE58)</f>
        <v>-5259.7171149889755</v>
      </c>
      <c r="AG59" s="753"/>
      <c r="AI59" s="754"/>
    </row>
    <row r="60" spans="2:48" ht="13.5" thickTop="1">
      <c r="D60" s="771"/>
      <c r="AI60" s="754"/>
    </row>
    <row r="61" spans="2:48" ht="13.5" thickBot="1">
      <c r="B61" s="751">
        <f ca="1">+MAX(OFFSET($B$7,0,0,ROW($B61)-ROW($B$7),1))+1</f>
        <v>46</v>
      </c>
      <c r="D61" s="771"/>
      <c r="M61" s="785" t="s">
        <v>611</v>
      </c>
      <c r="O61" s="795">
        <v>12789.33232</v>
      </c>
      <c r="T61" s="785"/>
      <c r="V61" s="795">
        <f>+'RR SUMMARY'!F23</f>
        <v>5074.5358200000001</v>
      </c>
    </row>
    <row r="62" spans="2:48" ht="13.5" thickTop="1">
      <c r="D62" s="771"/>
      <c r="V62" s="772"/>
      <c r="AE62" s="779"/>
    </row>
    <row r="63" spans="2:48" ht="13.5" thickBot="1">
      <c r="B63" s="751">
        <f ca="1">+MAX(OFFSET($B$7,0,0,ROW($B63)-ROW($B$7),1))+1</f>
        <v>47</v>
      </c>
      <c r="D63" s="771"/>
      <c r="M63" s="785" t="s">
        <v>612</v>
      </c>
      <c r="O63" s="789">
        <f>+ROUND(O59-O61,4)</f>
        <v>-2455.1837999999998</v>
      </c>
      <c r="T63" s="785"/>
      <c r="V63" s="789">
        <f>+V59-V61</f>
        <v>-0.10446314435012027</v>
      </c>
    </row>
    <row r="64" spans="2:48" ht="13.5" thickTop="1"/>
    <row r="65" spans="1:51" s="752" customFormat="1">
      <c r="A65" s="751"/>
      <c r="B65" s="750"/>
      <c r="C65" s="751"/>
      <c r="D65" s="751"/>
      <c r="E65" s="751"/>
      <c r="F65" s="751"/>
      <c r="I65" s="751"/>
      <c r="J65" s="751"/>
      <c r="K65" s="751"/>
      <c r="L65" s="751"/>
      <c r="M65" s="751"/>
      <c r="N65" s="751"/>
      <c r="O65" s="751"/>
      <c r="Q65" s="751"/>
      <c r="R65" s="751"/>
      <c r="S65" s="751"/>
      <c r="T65" s="751"/>
      <c r="U65" s="751"/>
      <c r="V65" s="772"/>
      <c r="W65" s="751"/>
      <c r="X65" s="751"/>
      <c r="AE65" s="779"/>
      <c r="AK65" s="751"/>
      <c r="AL65" s="751"/>
      <c r="AM65" s="751"/>
      <c r="AN65" s="751"/>
      <c r="AO65" s="751"/>
      <c r="AP65" s="751"/>
      <c r="AQ65" s="751"/>
      <c r="AR65" s="751"/>
      <c r="AS65" s="751"/>
      <c r="AT65" s="751"/>
      <c r="AU65" s="751"/>
      <c r="AV65" s="751"/>
      <c r="AW65" s="751"/>
      <c r="AX65" s="751"/>
      <c r="AY65" s="751"/>
    </row>
    <row r="66" spans="1:51" s="752" customFormat="1">
      <c r="A66" s="751"/>
      <c r="B66" s="751"/>
      <c r="C66" s="751"/>
      <c r="D66" s="751"/>
      <c r="E66" s="751"/>
      <c r="F66" s="751"/>
      <c r="I66" s="751"/>
      <c r="J66" s="751"/>
      <c r="K66" s="751"/>
      <c r="L66" s="751"/>
      <c r="M66" s="751"/>
      <c r="N66" s="751"/>
      <c r="O66" s="772"/>
      <c r="Q66" s="751"/>
      <c r="R66" s="772"/>
      <c r="S66" s="751"/>
      <c r="T66" s="751"/>
      <c r="U66" s="751"/>
      <c r="V66" s="772"/>
      <c r="W66" s="751"/>
      <c r="X66" s="751"/>
      <c r="AE66" s="779"/>
      <c r="AK66" s="751"/>
      <c r="AL66" s="751"/>
      <c r="AM66" s="751"/>
      <c r="AN66" s="751"/>
      <c r="AO66" s="751"/>
      <c r="AP66" s="751"/>
      <c r="AQ66" s="751"/>
      <c r="AR66" s="751"/>
      <c r="AS66" s="751"/>
      <c r="AT66" s="751"/>
      <c r="AU66" s="751"/>
      <c r="AV66" s="751"/>
      <c r="AW66" s="751"/>
      <c r="AX66" s="751"/>
      <c r="AY66" s="751"/>
    </row>
    <row r="68" spans="1:51" s="752" customFormat="1">
      <c r="A68" s="751"/>
      <c r="B68" s="751"/>
      <c r="C68" s="751"/>
      <c r="D68" s="751"/>
      <c r="E68" s="751"/>
      <c r="F68" s="751"/>
      <c r="I68" s="751"/>
      <c r="J68" s="751"/>
      <c r="K68" s="751"/>
      <c r="L68" s="751"/>
      <c r="M68" s="751"/>
      <c r="N68" s="751"/>
      <c r="O68" s="772"/>
      <c r="Q68" s="751"/>
      <c r="R68" s="751"/>
      <c r="S68" s="751"/>
      <c r="T68" s="751"/>
      <c r="U68" s="751"/>
      <c r="V68" s="772"/>
      <c r="W68" s="751"/>
      <c r="X68" s="751"/>
      <c r="AK68" s="751"/>
      <c r="AL68" s="751"/>
      <c r="AM68" s="751"/>
      <c r="AN68" s="751"/>
      <c r="AO68" s="751"/>
      <c r="AP68" s="751"/>
      <c r="AQ68" s="751"/>
      <c r="AR68" s="751"/>
      <c r="AS68" s="751"/>
      <c r="AT68" s="751"/>
      <c r="AU68" s="751"/>
      <c r="AV68" s="751"/>
      <c r="AW68" s="751"/>
      <c r="AX68" s="751"/>
      <c r="AY68" s="751"/>
    </row>
    <row r="69" spans="1:51" s="752" customFormat="1">
      <c r="A69" s="751"/>
      <c r="B69" s="751"/>
      <c r="C69" s="751"/>
      <c r="D69" s="751"/>
      <c r="E69" s="751"/>
      <c r="F69" s="751"/>
      <c r="I69" s="751"/>
      <c r="J69" s="751"/>
      <c r="K69" s="751"/>
      <c r="L69" s="751"/>
      <c r="M69" s="751"/>
      <c r="N69" s="751"/>
      <c r="O69" s="790"/>
      <c r="Q69" s="751"/>
      <c r="R69" s="751"/>
      <c r="S69" s="751"/>
      <c r="T69" s="751"/>
      <c r="U69" s="751"/>
      <c r="V69" s="751"/>
      <c r="W69" s="751"/>
      <c r="X69" s="751"/>
      <c r="AK69" s="751"/>
      <c r="AL69" s="751"/>
      <c r="AM69" s="751"/>
      <c r="AN69" s="751"/>
      <c r="AO69" s="751"/>
      <c r="AP69" s="751"/>
      <c r="AQ69" s="751"/>
      <c r="AR69" s="751"/>
      <c r="AS69" s="751"/>
      <c r="AT69" s="751"/>
      <c r="AU69" s="751"/>
      <c r="AV69" s="751"/>
      <c r="AW69" s="751"/>
      <c r="AX69" s="751"/>
      <c r="AY69" s="751"/>
    </row>
    <row r="73" spans="1:51" s="752" customFormat="1">
      <c r="A73" s="751"/>
      <c r="B73" s="751"/>
      <c r="C73" s="751"/>
      <c r="D73" s="751"/>
      <c r="E73" s="751"/>
      <c r="F73" s="751"/>
      <c r="I73" s="751"/>
      <c r="J73" s="751"/>
      <c r="K73" s="751"/>
      <c r="L73" s="751"/>
      <c r="M73" s="751"/>
      <c r="N73" s="751"/>
      <c r="O73" s="772"/>
      <c r="Q73" s="751"/>
      <c r="R73" s="751"/>
      <c r="S73" s="751"/>
      <c r="T73" s="751"/>
      <c r="U73" s="751"/>
      <c r="V73" s="751"/>
      <c r="W73" s="751"/>
      <c r="X73" s="751"/>
      <c r="AK73" s="751"/>
      <c r="AL73" s="751"/>
      <c r="AM73" s="751"/>
      <c r="AN73" s="751"/>
      <c r="AO73" s="751"/>
      <c r="AP73" s="751"/>
      <c r="AQ73" s="751"/>
      <c r="AR73" s="751"/>
      <c r="AS73" s="751"/>
      <c r="AT73" s="751"/>
      <c r="AU73" s="751"/>
      <c r="AV73" s="751"/>
      <c r="AW73" s="751"/>
      <c r="AX73" s="751"/>
      <c r="AY73" s="751"/>
    </row>
    <row r="74" spans="1:51" s="752" customFormat="1">
      <c r="A74" s="751"/>
      <c r="B74" s="751"/>
      <c r="C74" s="751"/>
      <c r="D74" s="751"/>
      <c r="E74" s="751"/>
      <c r="F74" s="751"/>
      <c r="I74" s="751"/>
      <c r="J74" s="751"/>
      <c r="K74" s="751"/>
      <c r="L74" s="751"/>
      <c r="M74" s="751"/>
      <c r="N74" s="751"/>
      <c r="O74" s="772"/>
      <c r="Q74" s="751"/>
      <c r="R74" s="751"/>
      <c r="S74" s="751"/>
      <c r="T74" s="751"/>
      <c r="U74" s="751"/>
      <c r="V74" s="751"/>
      <c r="W74" s="751"/>
      <c r="X74" s="751"/>
      <c r="AK74" s="751"/>
      <c r="AL74" s="751"/>
      <c r="AM74" s="751"/>
      <c r="AN74" s="751"/>
      <c r="AO74" s="751"/>
      <c r="AP74" s="751"/>
      <c r="AQ74" s="751"/>
      <c r="AR74" s="751"/>
      <c r="AS74" s="751"/>
      <c r="AT74" s="751"/>
      <c r="AU74" s="751"/>
      <c r="AV74" s="751"/>
      <c r="AW74" s="751"/>
      <c r="AX74" s="751"/>
      <c r="AY74" s="751"/>
    </row>
    <row r="75" spans="1:51" s="752" customFormat="1">
      <c r="A75" s="751"/>
      <c r="B75" s="751"/>
      <c r="C75" s="751"/>
      <c r="D75" s="751"/>
      <c r="E75" s="751"/>
      <c r="F75" s="751"/>
      <c r="I75" s="751"/>
      <c r="J75" s="751"/>
      <c r="K75" s="751"/>
      <c r="L75" s="751"/>
      <c r="M75" s="751"/>
      <c r="N75" s="751"/>
      <c r="O75" s="772"/>
      <c r="Q75" s="751"/>
      <c r="R75" s="751"/>
      <c r="S75" s="751"/>
      <c r="T75" s="751"/>
      <c r="U75" s="751"/>
      <c r="V75" s="751"/>
      <c r="W75" s="751"/>
      <c r="X75" s="751"/>
      <c r="AK75" s="751"/>
      <c r="AL75" s="751"/>
      <c r="AM75" s="751"/>
      <c r="AN75" s="751"/>
      <c r="AO75" s="751"/>
      <c r="AP75" s="751"/>
      <c r="AQ75" s="751"/>
      <c r="AR75" s="751"/>
      <c r="AS75" s="751"/>
      <c r="AT75" s="751"/>
      <c r="AU75" s="751"/>
      <c r="AV75" s="751"/>
      <c r="AW75" s="751"/>
      <c r="AX75" s="751"/>
      <c r="AY75" s="751"/>
    </row>
  </sheetData>
  <phoneticPr fontId="23" type="noConversion"/>
  <pageMargins left="0.25" right="0.25" top="1.5" bottom="0.75" header="0.8" footer="0.3"/>
  <pageSetup scale="75" orientation="portrait" r:id="rId1"/>
  <colBreaks count="1" manualBreakCount="1">
    <brk id="2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37E9A5"/>
  </sheetPr>
  <dimension ref="A1:AJ84"/>
  <sheetViews>
    <sheetView zoomScaleNormal="100" zoomScaleSheetLayoutView="100" workbookViewId="0"/>
  </sheetViews>
  <sheetFormatPr defaultColWidth="9.140625" defaultRowHeight="12.75"/>
  <cols>
    <col min="1" max="1" width="4.5703125" style="46" customWidth="1"/>
    <col min="2" max="3" width="1.5703125" style="45" customWidth="1"/>
    <col min="4" max="4" width="2.5703125" style="45" customWidth="1"/>
    <col min="5" max="5" width="33.5703125" style="15" customWidth="1"/>
    <col min="6" max="6" width="18.85546875" style="15" customWidth="1"/>
    <col min="7" max="7" width="15.5703125" style="15" customWidth="1"/>
    <col min="8" max="8" width="16.42578125" style="15" customWidth="1"/>
    <col min="9" max="9" width="17.42578125" style="15" customWidth="1"/>
    <col min="10" max="10" width="16.42578125" style="12" customWidth="1"/>
    <col min="11" max="12" width="9" style="12" customWidth="1"/>
    <col min="13" max="13" width="9.140625" style="12"/>
    <col min="14" max="14" width="9.85546875" style="12" bestFit="1" customWidth="1"/>
    <col min="15" max="16" width="9.140625" style="12"/>
    <col min="17" max="17" width="11.140625" style="12" bestFit="1" customWidth="1"/>
    <col min="18" max="16384" width="9.140625" style="12"/>
  </cols>
  <sheetData>
    <row r="1" spans="1:36" ht="15">
      <c r="A1" s="453" t="str">
        <f>'ROO INPUT'!A3:C3</f>
        <v>AVISTA UTILITIES - AWEC ADJUSTED</v>
      </c>
      <c r="D1" s="46"/>
      <c r="F1" s="437"/>
      <c r="G1" s="437"/>
    </row>
    <row r="2" spans="1:36" ht="15" customHeight="1">
      <c r="A2" s="453" t="str">
        <f>'ADJ DETAIL INPUT'!A3</f>
        <v>WASHINGTON NATURAL GAS</v>
      </c>
      <c r="D2" s="46"/>
      <c r="G2" s="99"/>
      <c r="H2" s="100"/>
      <c r="I2" s="100"/>
      <c r="J2" s="96"/>
      <c r="K2" s="96"/>
      <c r="L2" s="96"/>
      <c r="M2" s="96"/>
      <c r="N2" s="96"/>
    </row>
    <row r="3" spans="1:36" s="404" customFormat="1" ht="15" customHeight="1">
      <c r="A3" s="453" t="str">
        <f>'ROO INPUT'!A5:C5</f>
        <v>TWELVE MONTHS ENDED DECEMBER 31, 2019</v>
      </c>
      <c r="B3" s="45"/>
      <c r="C3" s="45"/>
      <c r="D3" s="46"/>
      <c r="E3" s="120"/>
      <c r="F3" s="120"/>
      <c r="G3" s="99"/>
      <c r="H3" s="100"/>
      <c r="I3" s="100"/>
      <c r="J3" s="407"/>
      <c r="K3" s="407"/>
      <c r="L3" s="407"/>
      <c r="M3" s="407"/>
      <c r="N3" s="407"/>
    </row>
    <row r="4" spans="1:36" ht="15">
      <c r="A4" s="453" t="str">
        <f>'ROO INPUT'!A6:C6</f>
        <v xml:space="preserve">(000'S OF DOLLARS)   </v>
      </c>
      <c r="D4" s="46"/>
    </row>
    <row r="5" spans="1:36">
      <c r="D5" s="46"/>
    </row>
    <row r="6" spans="1:36" ht="14.25">
      <c r="D6" s="46"/>
      <c r="F6" s="813" t="s">
        <v>551</v>
      </c>
      <c r="G6" s="814"/>
      <c r="H6" s="814"/>
      <c r="I6" s="814"/>
      <c r="J6" s="815"/>
      <c r="AD6" s="96"/>
      <c r="AE6" s="96"/>
      <c r="AF6" s="96"/>
      <c r="AG6" s="96"/>
      <c r="AH6" s="96"/>
      <c r="AI6" s="96"/>
      <c r="AJ6" s="96"/>
    </row>
    <row r="7" spans="1:36">
      <c r="A7" s="47"/>
      <c r="B7" s="47"/>
      <c r="C7" s="48"/>
      <c r="D7" s="48"/>
      <c r="E7" s="47"/>
      <c r="F7" s="49" t="s">
        <v>142</v>
      </c>
      <c r="G7" s="50"/>
      <c r="H7" s="51"/>
      <c r="I7" s="51" t="s">
        <v>553</v>
      </c>
      <c r="J7" s="51"/>
      <c r="P7" s="96"/>
      <c r="Y7" s="96"/>
      <c r="Z7" s="96"/>
      <c r="AD7" s="96"/>
      <c r="AE7" s="96"/>
      <c r="AF7" s="96"/>
      <c r="AG7" s="96"/>
      <c r="AH7" s="96"/>
      <c r="AI7" s="96"/>
      <c r="AJ7" s="96"/>
    </row>
    <row r="8" spans="1:36">
      <c r="A8" s="52"/>
      <c r="B8" s="53"/>
      <c r="C8" s="54"/>
      <c r="D8" s="55"/>
      <c r="E8" s="56"/>
      <c r="F8" s="17" t="s">
        <v>143</v>
      </c>
      <c r="G8" s="17"/>
      <c r="H8" s="431" t="s">
        <v>552</v>
      </c>
      <c r="I8" s="17" t="s">
        <v>144</v>
      </c>
      <c r="J8" s="431" t="s">
        <v>554</v>
      </c>
    </row>
    <row r="9" spans="1:36">
      <c r="A9" s="57" t="s">
        <v>7</v>
      </c>
      <c r="B9" s="58"/>
      <c r="C9" s="59"/>
      <c r="D9" s="60"/>
      <c r="E9" s="61"/>
      <c r="F9" s="19" t="s">
        <v>8</v>
      </c>
      <c r="G9" s="19" t="s">
        <v>25</v>
      </c>
      <c r="H9" s="19" t="s">
        <v>440</v>
      </c>
      <c r="I9" s="19" t="s">
        <v>145</v>
      </c>
      <c r="J9" s="19" t="s">
        <v>144</v>
      </c>
    </row>
    <row r="10" spans="1:36">
      <c r="A10" s="62" t="s">
        <v>16</v>
      </c>
      <c r="B10" s="63"/>
      <c r="C10" s="64"/>
      <c r="D10" s="65"/>
      <c r="E10" s="66" t="s">
        <v>17</v>
      </c>
      <c r="F10" s="21" t="s">
        <v>18</v>
      </c>
      <c r="G10" s="21" t="s">
        <v>117</v>
      </c>
      <c r="H10" s="21" t="s">
        <v>25</v>
      </c>
      <c r="I10" s="21" t="s">
        <v>146</v>
      </c>
      <c r="J10" s="21" t="s">
        <v>25</v>
      </c>
    </row>
    <row r="11" spans="1:36">
      <c r="A11" s="67"/>
      <c r="B11" s="67"/>
      <c r="C11" s="68"/>
      <c r="D11" s="68"/>
      <c r="E11" s="68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</row>
    <row r="12" spans="1:36" ht="3.75" customHeight="1">
      <c r="A12" s="67"/>
      <c r="B12" s="67"/>
      <c r="C12" s="68"/>
      <c r="D12" s="68"/>
      <c r="E12" s="68"/>
      <c r="F12" s="22"/>
      <c r="G12" s="22"/>
      <c r="H12" s="22"/>
      <c r="I12" s="22"/>
      <c r="J12" s="22"/>
    </row>
    <row r="13" spans="1:36" ht="2.25" customHeight="1">
      <c r="A13" s="67"/>
      <c r="B13" s="67"/>
      <c r="C13" s="68"/>
      <c r="D13" s="68"/>
      <c r="E13" s="68"/>
      <c r="F13" s="22"/>
      <c r="G13" s="22"/>
      <c r="H13" s="22"/>
      <c r="I13" s="22"/>
      <c r="J13" s="22"/>
    </row>
    <row r="14" spans="1:36">
      <c r="A14" s="2"/>
      <c r="B14" s="1" t="s">
        <v>32</v>
      </c>
      <c r="C14" s="1"/>
      <c r="D14" s="1"/>
      <c r="E14" s="1"/>
      <c r="F14" s="42"/>
      <c r="G14" s="42"/>
      <c r="J14" s="15"/>
    </row>
    <row r="15" spans="1:36">
      <c r="A15" s="2">
        <v>1</v>
      </c>
      <c r="B15" s="3"/>
      <c r="C15" s="3" t="s">
        <v>33</v>
      </c>
      <c r="D15" s="3"/>
      <c r="E15" s="3"/>
      <c r="F15" s="43">
        <f>'ADJ DETAIL INPUT'!E14</f>
        <v>142552</v>
      </c>
      <c r="G15" s="43">
        <f>H15-F15</f>
        <v>-42721</v>
      </c>
      <c r="H15" s="43">
        <f>'ADJ DETAIL INPUT'!AY14</f>
        <v>99831</v>
      </c>
      <c r="I15" s="368">
        <f>CF!J12</f>
        <v>5074.5358200000001</v>
      </c>
      <c r="J15" s="43">
        <f>H15+I15</f>
        <v>104905.53582</v>
      </c>
      <c r="M15" s="12">
        <f>+G15*1000</f>
        <v>-42721000</v>
      </c>
    </row>
    <row r="16" spans="1:36">
      <c r="A16" s="2">
        <v>2</v>
      </c>
      <c r="B16" s="1"/>
      <c r="C16" s="4" t="s">
        <v>34</v>
      </c>
      <c r="D16" s="4"/>
      <c r="E16" s="4"/>
      <c r="F16" s="262">
        <f>'ADJ DETAIL INPUT'!E15</f>
        <v>5183</v>
      </c>
      <c r="G16" s="262">
        <f>H16-F16</f>
        <v>159</v>
      </c>
      <c r="H16" s="262">
        <f>'ADJ DETAIL INPUT'!AY15</f>
        <v>5342</v>
      </c>
      <c r="I16" s="262"/>
      <c r="J16" s="262">
        <f>H16+I16</f>
        <v>5342</v>
      </c>
    </row>
    <row r="17" spans="1:10">
      <c r="A17" s="2">
        <v>3</v>
      </c>
      <c r="B17" s="1"/>
      <c r="C17" s="4" t="s">
        <v>35</v>
      </c>
      <c r="D17" s="4"/>
      <c r="E17" s="4"/>
      <c r="F17" s="264">
        <f>'ADJ DETAIL INPUT'!E16</f>
        <v>60090</v>
      </c>
      <c r="G17" s="264">
        <f>H17-F17</f>
        <v>-59476</v>
      </c>
      <c r="H17" s="264">
        <f>'ADJ DETAIL INPUT'!AY16</f>
        <v>614</v>
      </c>
      <c r="I17" s="264"/>
      <c r="J17" s="264">
        <f>H17+I17</f>
        <v>614</v>
      </c>
    </row>
    <row r="18" spans="1:10">
      <c r="A18" s="2">
        <v>4</v>
      </c>
      <c r="B18" s="1" t="s">
        <v>36</v>
      </c>
      <c r="C18" s="4"/>
      <c r="D18" s="4"/>
      <c r="E18" s="4"/>
      <c r="F18" s="262">
        <f>SUM(F15:F17)</f>
        <v>207825</v>
      </c>
      <c r="G18" s="262">
        <f>SUM(G15:G17)</f>
        <v>-102038</v>
      </c>
      <c r="H18" s="262">
        <f>SUM(H15:H17)</f>
        <v>105787</v>
      </c>
      <c r="I18" s="262">
        <f>SUM(I15:I17)</f>
        <v>5074.5358200000001</v>
      </c>
      <c r="J18" s="262">
        <f>SUM(J15:J17)</f>
        <v>110861.53582</v>
      </c>
    </row>
    <row r="19" spans="1:10" ht="4.5" customHeight="1">
      <c r="A19" s="2"/>
      <c r="B19" s="1"/>
      <c r="C19" s="4"/>
      <c r="D19" s="4"/>
      <c r="E19" s="4"/>
      <c r="F19" s="262"/>
      <c r="G19" s="262"/>
      <c r="H19" s="262"/>
      <c r="I19" s="262"/>
      <c r="J19" s="262"/>
    </row>
    <row r="20" spans="1:10">
      <c r="A20" s="2"/>
      <c r="B20" s="1" t="s">
        <v>37</v>
      </c>
      <c r="C20" s="4"/>
      <c r="D20" s="4"/>
      <c r="E20" s="4"/>
      <c r="F20" s="262"/>
      <c r="G20" s="262"/>
      <c r="H20" s="262"/>
      <c r="I20" s="262"/>
      <c r="J20" s="262"/>
    </row>
    <row r="21" spans="1:10">
      <c r="A21" s="2"/>
      <c r="B21" s="1"/>
      <c r="C21" s="4" t="s">
        <v>239</v>
      </c>
      <c r="D21" s="4"/>
      <c r="E21" s="4"/>
      <c r="F21" s="262"/>
      <c r="G21" s="262"/>
      <c r="H21" s="262"/>
      <c r="I21" s="262"/>
      <c r="J21" s="262"/>
    </row>
    <row r="22" spans="1:10">
      <c r="A22" s="2">
        <v>5</v>
      </c>
      <c r="B22" s="1"/>
      <c r="C22" s="4"/>
      <c r="D22" s="4" t="s">
        <v>38</v>
      </c>
      <c r="E22" s="4"/>
      <c r="F22" s="262">
        <f>'ADJ DETAIL INPUT'!E21</f>
        <v>100541</v>
      </c>
      <c r="G22" s="262">
        <f>H22-F22</f>
        <v>-100541</v>
      </c>
      <c r="H22" s="262">
        <f>'ADJ DETAIL INPUT'!AY21</f>
        <v>0</v>
      </c>
      <c r="I22" s="262"/>
      <c r="J22" s="262">
        <f>H22+I22</f>
        <v>0</v>
      </c>
    </row>
    <row r="23" spans="1:10">
      <c r="A23" s="2">
        <v>6</v>
      </c>
      <c r="B23" s="1"/>
      <c r="C23" s="4"/>
      <c r="D23" s="4" t="s">
        <v>39</v>
      </c>
      <c r="E23" s="4"/>
      <c r="F23" s="262">
        <f>'ADJ DETAIL INPUT'!E22</f>
        <v>959</v>
      </c>
      <c r="G23" s="262">
        <f>H23-F23</f>
        <v>37</v>
      </c>
      <c r="H23" s="262">
        <f>'ADJ DETAIL INPUT'!AY22</f>
        <v>996</v>
      </c>
      <c r="I23" s="262"/>
      <c r="J23" s="262">
        <f>H23+I23</f>
        <v>996</v>
      </c>
    </row>
    <row r="24" spans="1:10">
      <c r="A24" s="2">
        <v>7</v>
      </c>
      <c r="B24" s="1"/>
      <c r="C24" s="4"/>
      <c r="D24" s="4" t="s">
        <v>40</v>
      </c>
      <c r="E24" s="4"/>
      <c r="F24" s="264">
        <f>'ADJ DETAIL INPUT'!E23</f>
        <v>-1928</v>
      </c>
      <c r="G24" s="264">
        <f>H24-F24</f>
        <v>1928</v>
      </c>
      <c r="H24" s="264">
        <f>'ADJ DETAIL INPUT'!AY23</f>
        <v>0</v>
      </c>
      <c r="I24" s="264"/>
      <c r="J24" s="264">
        <f>H24+I24</f>
        <v>0</v>
      </c>
    </row>
    <row r="25" spans="1:10">
      <c r="A25" s="2">
        <v>8</v>
      </c>
      <c r="B25" s="1"/>
      <c r="C25" s="4"/>
      <c r="D25" s="4"/>
      <c r="E25" s="4" t="s">
        <v>41</v>
      </c>
      <c r="F25" s="262">
        <f>SUM(F22:F24)</f>
        <v>99572</v>
      </c>
      <c r="G25" s="262">
        <f>SUM(G22:G24)</f>
        <v>-98576</v>
      </c>
      <c r="H25" s="262">
        <f>SUM(H22:H24)</f>
        <v>996</v>
      </c>
      <c r="I25" s="262">
        <f>SUM(I22:I24)</f>
        <v>0</v>
      </c>
      <c r="J25" s="262">
        <f>SUM(J22:J24)</f>
        <v>996</v>
      </c>
    </row>
    <row r="26" spans="1:10" ht="5.25" customHeight="1">
      <c r="A26" s="121"/>
      <c r="B26" s="1"/>
      <c r="C26" s="4"/>
      <c r="D26" s="4"/>
      <c r="E26" s="4"/>
      <c r="F26" s="262"/>
      <c r="G26" s="262"/>
      <c r="H26" s="263"/>
      <c r="I26" s="262"/>
      <c r="J26" s="262"/>
    </row>
    <row r="27" spans="1:10">
      <c r="A27" s="2"/>
      <c r="B27" s="1"/>
      <c r="C27" s="4" t="s">
        <v>42</v>
      </c>
      <c r="D27" s="4"/>
      <c r="E27" s="4"/>
      <c r="F27" s="262"/>
      <c r="G27" s="262"/>
      <c r="H27" s="262"/>
      <c r="I27" s="262"/>
      <c r="J27" s="262"/>
    </row>
    <row r="28" spans="1:10">
      <c r="A28" s="2">
        <v>9</v>
      </c>
      <c r="B28" s="1"/>
      <c r="C28" s="4"/>
      <c r="D28" s="4" t="s">
        <v>43</v>
      </c>
      <c r="E28" s="4"/>
      <c r="F28" s="262">
        <f>'ADJ DETAIL INPUT'!E27</f>
        <v>1883</v>
      </c>
      <c r="G28" s="262">
        <f>H28-F28</f>
        <v>0</v>
      </c>
      <c r="H28" s="262">
        <f>'ADJ DETAIL INPUT'!AY27</f>
        <v>1883</v>
      </c>
      <c r="I28" s="262"/>
      <c r="J28" s="262">
        <f>H28+I28</f>
        <v>1883</v>
      </c>
    </row>
    <row r="29" spans="1:10">
      <c r="A29" s="2">
        <v>10</v>
      </c>
      <c r="B29" s="1"/>
      <c r="C29" s="4"/>
      <c r="D29" s="4" t="s">
        <v>44</v>
      </c>
      <c r="E29" s="4"/>
      <c r="F29" s="262">
        <f>'ADJ DETAIL INPUT'!E28</f>
        <v>494</v>
      </c>
      <c r="G29" s="262">
        <f>H29-F29</f>
        <v>-59.067999999999984</v>
      </c>
      <c r="H29" s="262">
        <f>'ADJ DETAIL INPUT'!AY28</f>
        <v>434.93200000000002</v>
      </c>
      <c r="I29" s="262"/>
      <c r="J29" s="262">
        <f>H29+I29</f>
        <v>434.93200000000002</v>
      </c>
    </row>
    <row r="30" spans="1:10">
      <c r="A30" s="299">
        <v>11</v>
      </c>
      <c r="B30" s="1"/>
      <c r="C30" s="4"/>
      <c r="D30" s="4" t="s">
        <v>21</v>
      </c>
      <c r="E30" s="4"/>
      <c r="F30" s="264">
        <f>'ADJ DETAIL INPUT'!E29</f>
        <v>323</v>
      </c>
      <c r="G30" s="264">
        <f>H30-F30</f>
        <v>-31</v>
      </c>
      <c r="H30" s="264">
        <f>'ADJ DETAIL INPUT'!AY29</f>
        <v>292</v>
      </c>
      <c r="I30" s="264"/>
      <c r="J30" s="264">
        <f>H30+I30</f>
        <v>292</v>
      </c>
    </row>
    <row r="31" spans="1:10">
      <c r="A31" s="2">
        <v>12</v>
      </c>
      <c r="B31" s="1"/>
      <c r="C31" s="4"/>
      <c r="D31" s="4"/>
      <c r="E31" s="4" t="s">
        <v>45</v>
      </c>
      <c r="F31" s="262">
        <f>SUM(F28:F30)</f>
        <v>2700</v>
      </c>
      <c r="G31" s="262">
        <f>SUM(G28:G30)</f>
        <v>-90.067999999999984</v>
      </c>
      <c r="H31" s="262">
        <f>SUM(H28:H30)</f>
        <v>2609.9319999999998</v>
      </c>
      <c r="I31" s="262">
        <f>SUM(I28:I30)</f>
        <v>0</v>
      </c>
      <c r="J31" s="262">
        <f>SUM(J28:J30)</f>
        <v>2609.9319999999998</v>
      </c>
    </row>
    <row r="32" spans="1:10" ht="3" customHeight="1">
      <c r="A32" s="121"/>
      <c r="B32" s="1"/>
      <c r="C32" s="4"/>
      <c r="D32" s="4"/>
      <c r="E32" s="4"/>
      <c r="F32" s="262"/>
      <c r="G32" s="262"/>
      <c r="H32" s="263"/>
      <c r="I32" s="262"/>
      <c r="J32" s="262"/>
    </row>
    <row r="33" spans="1:10">
      <c r="A33" s="2"/>
      <c r="B33" s="1"/>
      <c r="C33" s="4" t="s">
        <v>46</v>
      </c>
      <c r="D33" s="4"/>
      <c r="E33" s="4"/>
      <c r="F33" s="262"/>
      <c r="G33" s="262"/>
      <c r="H33" s="262"/>
      <c r="I33" s="262"/>
      <c r="J33" s="262"/>
    </row>
    <row r="34" spans="1:10">
      <c r="A34" s="2">
        <v>13</v>
      </c>
      <c r="B34" s="1"/>
      <c r="C34" s="4"/>
      <c r="D34" s="4" t="s">
        <v>43</v>
      </c>
      <c r="E34" s="4"/>
      <c r="F34" s="262">
        <f>'ADJ DETAIL INPUT'!E33</f>
        <v>13669</v>
      </c>
      <c r="G34" s="262">
        <f>H34-F34</f>
        <v>-420</v>
      </c>
      <c r="H34" s="262">
        <f>'ADJ DETAIL INPUT'!AY33</f>
        <v>13249</v>
      </c>
      <c r="I34" s="262"/>
      <c r="J34" s="262">
        <f>H34+I34</f>
        <v>13249</v>
      </c>
    </row>
    <row r="35" spans="1:10">
      <c r="A35" s="2">
        <v>14</v>
      </c>
      <c r="B35" s="1"/>
      <c r="C35" s="4"/>
      <c r="D35" s="4" t="s">
        <v>44</v>
      </c>
      <c r="E35" s="4"/>
      <c r="F35" s="262">
        <f>'ADJ DETAIL INPUT'!E34</f>
        <v>12469</v>
      </c>
      <c r="G35" s="262">
        <f>H35-F35</f>
        <v>1597.9486504358829</v>
      </c>
      <c r="H35" s="262">
        <f>'ADJ DETAIL INPUT'!AY34</f>
        <v>14066.948650435883</v>
      </c>
      <c r="I35" s="262"/>
      <c r="J35" s="262">
        <f>H35+I35</f>
        <v>14066.948650435883</v>
      </c>
    </row>
    <row r="36" spans="1:10">
      <c r="A36" s="2">
        <v>15</v>
      </c>
      <c r="B36" s="1"/>
      <c r="C36" s="4"/>
      <c r="D36" s="4" t="s">
        <v>21</v>
      </c>
      <c r="E36" s="4"/>
      <c r="F36" s="265">
        <f>'ADJ DETAIL INPUT'!E35</f>
        <v>13739</v>
      </c>
      <c r="G36" s="264">
        <f>H36-F36</f>
        <v>-5934</v>
      </c>
      <c r="H36" s="264">
        <f>'ADJ DETAIL INPUT'!AY35</f>
        <v>7805</v>
      </c>
      <c r="I36" s="264">
        <f>CF!J19</f>
        <v>195</v>
      </c>
      <c r="J36" s="264">
        <f>H36+I36</f>
        <v>8000</v>
      </c>
    </row>
    <row r="37" spans="1:10">
      <c r="A37" s="2">
        <v>16</v>
      </c>
      <c r="B37" s="1"/>
      <c r="C37" s="4"/>
      <c r="D37" s="4"/>
      <c r="E37" s="4" t="s">
        <v>47</v>
      </c>
      <c r="F37" s="262">
        <f>SUM(F34:F36)</f>
        <v>39877</v>
      </c>
      <c r="G37" s="262">
        <f>SUM(G34:G36)</f>
        <v>-4756.0513495641171</v>
      </c>
      <c r="H37" s="262">
        <f>SUM(H34:H36)</f>
        <v>35120.948650435879</v>
      </c>
      <c r="I37" s="262">
        <f>SUM(I34:I36)</f>
        <v>195</v>
      </c>
      <c r="J37" s="262">
        <f>SUM(J34:J36)</f>
        <v>35315.948650435879</v>
      </c>
    </row>
    <row r="38" spans="1:10" ht="5.25" customHeight="1">
      <c r="A38" s="2"/>
      <c r="B38" s="1"/>
      <c r="C38" s="4"/>
      <c r="D38" s="4"/>
      <c r="E38" s="4"/>
      <c r="F38" s="262"/>
      <c r="G38" s="262"/>
      <c r="H38" s="262"/>
      <c r="I38" s="262"/>
      <c r="J38" s="262"/>
    </row>
    <row r="39" spans="1:10">
      <c r="A39" s="2">
        <v>17</v>
      </c>
      <c r="B39" s="1" t="s">
        <v>48</v>
      </c>
      <c r="C39" s="4"/>
      <c r="D39" s="4"/>
      <c r="E39" s="4"/>
      <c r="F39" s="262">
        <f>'ADJ DETAIL INPUT'!E38</f>
        <v>6398</v>
      </c>
      <c r="G39" s="262">
        <f>H39-F39</f>
        <v>399</v>
      </c>
      <c r="H39" s="262">
        <f>'ADJ DETAIL INPUT'!AY38</f>
        <v>6797</v>
      </c>
      <c r="I39" s="262">
        <f>CF!J15</f>
        <v>17</v>
      </c>
      <c r="J39" s="262">
        <f>H39+I39</f>
        <v>6814</v>
      </c>
    </row>
    <row r="40" spans="1:10">
      <c r="A40" s="2">
        <v>18</v>
      </c>
      <c r="B40" s="1" t="s">
        <v>49</v>
      </c>
      <c r="C40" s="4"/>
      <c r="D40" s="4"/>
      <c r="E40" s="4"/>
      <c r="F40" s="262">
        <f>'ADJ DETAIL INPUT'!E39</f>
        <v>9664</v>
      </c>
      <c r="G40" s="262">
        <f>H40-F40</f>
        <v>-8459</v>
      </c>
      <c r="H40" s="262">
        <f>'ADJ DETAIL INPUT'!AY39</f>
        <v>1205</v>
      </c>
      <c r="I40" s="262"/>
      <c r="J40" s="262">
        <f>H40+I40</f>
        <v>1205</v>
      </c>
    </row>
    <row r="41" spans="1:10">
      <c r="A41" s="2">
        <v>19</v>
      </c>
      <c r="B41" s="1" t="s">
        <v>50</v>
      </c>
      <c r="C41" s="4"/>
      <c r="D41" s="4"/>
      <c r="E41" s="4"/>
      <c r="F41" s="262">
        <f>'ADJ DETAIL INPUT'!E40</f>
        <v>0</v>
      </c>
      <c r="G41" s="262">
        <f>H41-F41</f>
        <v>0</v>
      </c>
      <c r="H41" s="262">
        <f>'ADJ DETAIL INPUT'!AY40</f>
        <v>0</v>
      </c>
      <c r="I41" s="262"/>
      <c r="J41" s="262">
        <f>H41+I41</f>
        <v>0</v>
      </c>
    </row>
    <row r="42" spans="1:10" ht="4.5" customHeight="1">
      <c r="A42" s="121"/>
      <c r="B42" s="1"/>
      <c r="C42" s="4"/>
      <c r="D42" s="4"/>
      <c r="E42" s="4"/>
      <c r="F42" s="262"/>
      <c r="G42" s="262"/>
      <c r="H42" s="266"/>
      <c r="I42" s="262"/>
      <c r="J42" s="262"/>
    </row>
    <row r="43" spans="1:10">
      <c r="A43" s="2"/>
      <c r="B43" s="1" t="s">
        <v>51</v>
      </c>
      <c r="C43" s="4"/>
      <c r="D43" s="4"/>
      <c r="E43" s="4"/>
      <c r="F43" s="262"/>
      <c r="G43" s="262"/>
      <c r="H43" s="262"/>
      <c r="I43" s="262"/>
      <c r="J43" s="262"/>
    </row>
    <row r="44" spans="1:10">
      <c r="A44" s="2">
        <v>20</v>
      </c>
      <c r="B44" s="1"/>
      <c r="C44" s="4" t="s">
        <v>43</v>
      </c>
      <c r="D44" s="4"/>
      <c r="E44" s="4"/>
      <c r="F44" s="262">
        <f>'ADJ DETAIL INPUT'!E43</f>
        <v>15696</v>
      </c>
      <c r="G44" s="262">
        <f>H44-F44</f>
        <v>527.58199999999852</v>
      </c>
      <c r="H44" s="262">
        <f>'ADJ DETAIL INPUT'!AY43</f>
        <v>16223.581999999999</v>
      </c>
      <c r="I44" s="262">
        <f>CF!J17</f>
        <v>10</v>
      </c>
      <c r="J44" s="262">
        <f>H44+I44</f>
        <v>16233.581999999999</v>
      </c>
    </row>
    <row r="45" spans="1:10">
      <c r="A45" s="2">
        <v>21</v>
      </c>
      <c r="B45" s="1"/>
      <c r="C45" s="4" t="s">
        <v>199</v>
      </c>
      <c r="D45" s="4"/>
      <c r="E45" s="4"/>
      <c r="F45" s="262">
        <f>'ADJ DETAIL INPUT'!E44</f>
        <v>10678</v>
      </c>
      <c r="G45" s="262">
        <f>H45-F45</f>
        <v>696.51134956411624</v>
      </c>
      <c r="H45" s="262">
        <f>'ADJ DETAIL INPUT'!AY44</f>
        <v>11374.511349564116</v>
      </c>
      <c r="I45" s="262"/>
      <c r="J45" s="262">
        <f>H45+I45</f>
        <v>11374.511349564116</v>
      </c>
    </row>
    <row r="46" spans="1:10">
      <c r="A46" s="121">
        <v>22</v>
      </c>
      <c r="B46" s="1"/>
      <c r="C46" s="8" t="s">
        <v>410</v>
      </c>
      <c r="D46" s="4"/>
      <c r="E46" s="4"/>
      <c r="F46" s="262">
        <f>'ADJ DETAIL INPUT'!E45</f>
        <v>-3003</v>
      </c>
      <c r="G46" s="262">
        <f>H46-F46</f>
        <v>8888.5590000000011</v>
      </c>
      <c r="H46" s="262">
        <f>'ADJ DETAIL INPUT'!AY45</f>
        <v>5885.5590000000002</v>
      </c>
      <c r="I46" s="262"/>
      <c r="J46" s="262">
        <f>H46+I46</f>
        <v>5885.5590000000002</v>
      </c>
    </row>
    <row r="47" spans="1:10">
      <c r="A47" s="2">
        <v>23</v>
      </c>
      <c r="B47" s="1"/>
      <c r="C47" s="4" t="s">
        <v>21</v>
      </c>
      <c r="D47" s="4"/>
      <c r="E47" s="4"/>
      <c r="F47" s="264">
        <f>'ADJ DETAIL INPUT'!E46</f>
        <v>0</v>
      </c>
      <c r="G47" s="264">
        <f>H47-F47</f>
        <v>0</v>
      </c>
      <c r="H47" s="262">
        <f>'ADJ DETAIL INPUT'!AY46</f>
        <v>0</v>
      </c>
      <c r="I47" s="264"/>
      <c r="J47" s="264">
        <f>H47+I47</f>
        <v>0</v>
      </c>
    </row>
    <row r="48" spans="1:10">
      <c r="A48" s="2">
        <v>24</v>
      </c>
      <c r="B48" s="1"/>
      <c r="C48" s="4"/>
      <c r="D48" s="4" t="s">
        <v>52</v>
      </c>
      <c r="E48" s="12"/>
      <c r="F48" s="267">
        <f>SUM(F44:F47)</f>
        <v>23371</v>
      </c>
      <c r="G48" s="267">
        <f>SUM(G44:G47)</f>
        <v>10112.652349564116</v>
      </c>
      <c r="H48" s="267">
        <f>SUM(H44:H47)</f>
        <v>33483.652349564116</v>
      </c>
      <c r="I48" s="267">
        <f>SUM(I44:I47)</f>
        <v>10</v>
      </c>
      <c r="J48" s="267">
        <f>SUM(J44:J47)</f>
        <v>33493.652349564116</v>
      </c>
    </row>
    <row r="49" spans="1:17">
      <c r="A49" s="2">
        <v>25</v>
      </c>
      <c r="B49" s="1" t="s">
        <v>53</v>
      </c>
      <c r="C49" s="4"/>
      <c r="D49" s="4"/>
      <c r="E49" s="4"/>
      <c r="F49" s="264">
        <f>F48+F37+F31+F25+F39+F40+F41</f>
        <v>181582</v>
      </c>
      <c r="G49" s="264">
        <f>G48+G37+G31+G25+G39+G40+G41</f>
        <v>-101369.467</v>
      </c>
      <c r="H49" s="264">
        <f>H48+H37+H31+H25+H39+H40+H41</f>
        <v>80212.532999999996</v>
      </c>
      <c r="I49" s="264">
        <f>I48+I37+I31+I25+I39+I40+I41</f>
        <v>222</v>
      </c>
      <c r="J49" s="264">
        <f>J48+J37+J31+J25+J39+J40+J41</f>
        <v>80434.532999999996</v>
      </c>
    </row>
    <row r="50" spans="1:17" ht="8.25" customHeight="1">
      <c r="A50" s="2"/>
      <c r="B50" s="1"/>
      <c r="C50" s="4"/>
      <c r="D50" s="4"/>
      <c r="E50" s="4"/>
      <c r="F50" s="262"/>
      <c r="G50" s="262"/>
      <c r="H50" s="262"/>
      <c r="I50" s="262"/>
      <c r="J50" s="262"/>
    </row>
    <row r="51" spans="1:17">
      <c r="A51" s="2">
        <v>26</v>
      </c>
      <c r="B51" s="1" t="s">
        <v>54</v>
      </c>
      <c r="C51" s="4"/>
      <c r="D51" s="4"/>
      <c r="E51" s="4"/>
      <c r="F51" s="262">
        <f>F18-F49</f>
        <v>26243</v>
      </c>
      <c r="G51" s="262">
        <f>G18-G49</f>
        <v>-668.53299999999581</v>
      </c>
      <c r="H51" s="262">
        <f>H18-H49</f>
        <v>25574.467000000004</v>
      </c>
      <c r="I51" s="262">
        <f>I18-I49</f>
        <v>4852.5358200000001</v>
      </c>
      <c r="J51" s="262">
        <f>J18-J49</f>
        <v>30427.002820000009</v>
      </c>
    </row>
    <row r="52" spans="1:17" ht="6.75" customHeight="1">
      <c r="A52" s="2"/>
      <c r="B52" s="1"/>
      <c r="C52" s="4"/>
      <c r="D52" s="4"/>
      <c r="E52" s="4"/>
      <c r="F52" s="262"/>
      <c r="G52" s="262"/>
      <c r="H52" s="262"/>
      <c r="I52" s="262"/>
      <c r="J52" s="262"/>
    </row>
    <row r="53" spans="1:17">
      <c r="A53" s="2"/>
      <c r="B53" s="1" t="s">
        <v>55</v>
      </c>
      <c r="C53" s="4"/>
      <c r="D53" s="4"/>
      <c r="E53" s="4"/>
      <c r="F53" s="262"/>
      <c r="G53" s="262"/>
      <c r="H53" s="262"/>
      <c r="I53" s="262"/>
      <c r="J53" s="262"/>
      <c r="N53" s="366"/>
    </row>
    <row r="54" spans="1:17">
      <c r="A54" s="2">
        <v>27</v>
      </c>
      <c r="B54" s="1"/>
      <c r="C54" s="4" t="s">
        <v>56</v>
      </c>
      <c r="D54" s="4"/>
      <c r="E54" s="4"/>
      <c r="F54" s="262">
        <f>'ADJ DETAIL INPUT'!E53</f>
        <v>-4720</v>
      </c>
      <c r="G54" s="262">
        <f>H54-F54</f>
        <v>106.60807000000204</v>
      </c>
      <c r="H54" s="262">
        <f>'ADJ DETAIL INPUT'!AY53</f>
        <v>-4613.391929999998</v>
      </c>
      <c r="I54" s="262">
        <f>CF!J25</f>
        <v>1019</v>
      </c>
      <c r="J54" s="262">
        <f>H54+I54</f>
        <v>-3594.391929999998</v>
      </c>
      <c r="N54" s="82"/>
      <c r="Q54" s="82"/>
    </row>
    <row r="55" spans="1:17">
      <c r="A55" s="121">
        <v>28</v>
      </c>
      <c r="B55" s="1"/>
      <c r="C55" s="164" t="s">
        <v>180</v>
      </c>
      <c r="D55" s="4"/>
      <c r="E55" s="4"/>
      <c r="F55" s="262">
        <f>'ADJ DETAIL INPUT'!E54</f>
        <v>0</v>
      </c>
      <c r="G55" s="262">
        <f>H55-F55</f>
        <v>132.15337577310288</v>
      </c>
      <c r="H55" s="262">
        <f>'ADJ DETAIL INPUT'!AY54</f>
        <v>132.15337577310288</v>
      </c>
      <c r="I55" s="262">
        <f>CF!J26</f>
        <v>0</v>
      </c>
      <c r="J55" s="262">
        <f>H55+I55</f>
        <v>132.15337577310288</v>
      </c>
      <c r="N55" s="366"/>
    </row>
    <row r="56" spans="1:17">
      <c r="A56" s="2">
        <v>29</v>
      </c>
      <c r="B56" s="1"/>
      <c r="C56" s="4" t="s">
        <v>57</v>
      </c>
      <c r="D56" s="4"/>
      <c r="E56" s="4"/>
      <c r="F56" s="262">
        <f>'ADJ DETAIL INPUT'!E55</f>
        <v>6501</v>
      </c>
      <c r="G56" s="262">
        <f>H56-F56</f>
        <v>745</v>
      </c>
      <c r="H56" s="262">
        <f>'ADJ DETAIL INPUT'!AY55</f>
        <v>7246</v>
      </c>
      <c r="I56" s="262"/>
      <c r="J56" s="262">
        <f>H56+I56</f>
        <v>7246</v>
      </c>
    </row>
    <row r="57" spans="1:17">
      <c r="A57" s="2">
        <v>30</v>
      </c>
      <c r="B57" s="1"/>
      <c r="C57" s="4" t="s">
        <v>58</v>
      </c>
      <c r="D57" s="4"/>
      <c r="E57" s="4"/>
      <c r="F57" s="264">
        <f>'ADJ DETAIL INPUT'!E56</f>
        <v>-12</v>
      </c>
      <c r="G57" s="264">
        <f>H57-F57</f>
        <v>0</v>
      </c>
      <c r="H57" s="264">
        <f>'ADJ DETAIL INPUT'!AY56</f>
        <v>-12</v>
      </c>
      <c r="I57" s="264"/>
      <c r="J57" s="264">
        <f>H57+I57</f>
        <v>-12</v>
      </c>
      <c r="N57" s="123"/>
    </row>
    <row r="58" spans="1:17" ht="6" customHeight="1">
      <c r="A58" s="2"/>
      <c r="B58" s="1"/>
      <c r="C58" s="1"/>
      <c r="D58" s="1"/>
      <c r="E58" s="1"/>
      <c r="F58" s="262"/>
      <c r="G58" s="262"/>
      <c r="H58" s="262"/>
      <c r="I58" s="268"/>
      <c r="J58" s="262"/>
    </row>
    <row r="59" spans="1:17" ht="13.5" thickBot="1">
      <c r="A59" s="2">
        <v>31</v>
      </c>
      <c r="B59" s="3" t="s">
        <v>59</v>
      </c>
      <c r="C59" s="3"/>
      <c r="D59" s="3"/>
      <c r="E59" s="3"/>
      <c r="F59" s="269">
        <f>F51-SUM(F54:F57)</f>
        <v>24474</v>
      </c>
      <c r="G59" s="269">
        <f>G51-SUM(G54:G57)</f>
        <v>-1652.2944457731007</v>
      </c>
      <c r="H59" s="269">
        <f>H51-SUM(H54:H57)</f>
        <v>22821.705554226901</v>
      </c>
      <c r="I59" s="269">
        <f>I51-SUM(I54:I57)</f>
        <v>3833.5358200000001</v>
      </c>
      <c r="J59" s="269">
        <f>J51-SUM(J54:J57)</f>
        <v>26655.241374226905</v>
      </c>
      <c r="N59" s="107"/>
    </row>
    <row r="60" spans="1:17" ht="7.5" customHeight="1" thickTop="1">
      <c r="A60" s="2"/>
      <c r="B60" s="1"/>
      <c r="C60" s="1"/>
      <c r="D60" s="1"/>
      <c r="E60" s="1"/>
      <c r="F60" s="262"/>
      <c r="G60" s="262"/>
      <c r="H60" s="262"/>
      <c r="I60" s="262"/>
      <c r="J60" s="262"/>
    </row>
    <row r="61" spans="1:17" hidden="1">
      <c r="A61" s="2"/>
      <c r="B61" s="1"/>
      <c r="C61" s="1"/>
      <c r="D61" s="1"/>
      <c r="E61" s="1"/>
      <c r="F61" s="262"/>
      <c r="G61" s="262"/>
      <c r="H61" s="262"/>
      <c r="I61" s="262"/>
      <c r="J61" s="262"/>
    </row>
    <row r="62" spans="1:17">
      <c r="A62" s="2"/>
      <c r="B62" s="1" t="s">
        <v>60</v>
      </c>
      <c r="C62" s="1"/>
      <c r="D62" s="1"/>
      <c r="E62" s="1"/>
      <c r="F62" s="262"/>
      <c r="G62" s="262"/>
      <c r="H62" s="262"/>
      <c r="I62" s="262"/>
      <c r="J62" s="262"/>
    </row>
    <row r="63" spans="1:17">
      <c r="A63" s="2">
        <v>32</v>
      </c>
      <c r="B63" s="4"/>
      <c r="C63" s="4" t="s">
        <v>42</v>
      </c>
      <c r="D63" s="4"/>
      <c r="E63" s="4"/>
      <c r="F63" s="262">
        <f>'ADJ DETAIL INPUT'!E62</f>
        <v>29714</v>
      </c>
      <c r="G63" s="262">
        <f>H63-F63</f>
        <v>1388.5759999999973</v>
      </c>
      <c r="H63" s="262">
        <f>'ADJ DETAIL INPUT'!AY62</f>
        <v>31102.575999999997</v>
      </c>
      <c r="I63" s="262"/>
      <c r="J63" s="262">
        <f>H63+I63</f>
        <v>31102.575999999997</v>
      </c>
    </row>
    <row r="64" spans="1:17">
      <c r="A64" s="2">
        <v>33</v>
      </c>
      <c r="B64" s="4"/>
      <c r="C64" s="4" t="s">
        <v>61</v>
      </c>
      <c r="D64" s="4"/>
      <c r="E64" s="4"/>
      <c r="F64" s="262">
        <f>'ADJ DETAIL INPUT'!E63</f>
        <v>505864</v>
      </c>
      <c r="G64" s="262">
        <f>H64-F64</f>
        <v>2235.7967719521839</v>
      </c>
      <c r="H64" s="262">
        <f>'ADJ DETAIL INPUT'!AY63</f>
        <v>508099.79677195218</v>
      </c>
      <c r="I64" s="262"/>
      <c r="J64" s="262">
        <f>H64+I64</f>
        <v>508099.79677195218</v>
      </c>
    </row>
    <row r="65" spans="1:10">
      <c r="A65" s="2">
        <v>34</v>
      </c>
      <c r="B65" s="4"/>
      <c r="C65" s="4" t="s">
        <v>62</v>
      </c>
      <c r="D65" s="4"/>
      <c r="E65" s="4"/>
      <c r="F65" s="264">
        <f>'ADJ DETAIL INPUT'!E64</f>
        <v>141661</v>
      </c>
      <c r="G65" s="264">
        <f>H65-F65</f>
        <v>64.870819095289335</v>
      </c>
      <c r="H65" s="264">
        <f>'ADJ DETAIL INPUT'!AY64</f>
        <v>141725.87081909529</v>
      </c>
      <c r="I65" s="264"/>
      <c r="J65" s="264">
        <f>H65+I65</f>
        <v>141725.87081909529</v>
      </c>
    </row>
    <row r="66" spans="1:10">
      <c r="A66" s="2">
        <v>35</v>
      </c>
      <c r="B66" s="4"/>
      <c r="C66" s="4"/>
      <c r="D66" s="4"/>
      <c r="E66" s="4" t="s">
        <v>63</v>
      </c>
      <c r="F66" s="270">
        <f>SUM(F63:F65)</f>
        <v>677239</v>
      </c>
      <c r="G66" s="270">
        <f>SUM(G63:G65)</f>
        <v>3689.2435910474705</v>
      </c>
      <c r="H66" s="270">
        <f>SUM(H63:H65)</f>
        <v>680928.24359104747</v>
      </c>
      <c r="I66" s="270">
        <f>SUM(I63:I65)</f>
        <v>0</v>
      </c>
      <c r="J66" s="270">
        <f>SUM(J63:J65)</f>
        <v>680928.24359104747</v>
      </c>
    </row>
    <row r="67" spans="1:10" ht="5.25" customHeight="1">
      <c r="A67" s="121"/>
      <c r="B67" s="4"/>
      <c r="C67" s="4"/>
      <c r="D67" s="4"/>
      <c r="E67" s="4"/>
      <c r="F67" s="270"/>
      <c r="G67" s="270"/>
      <c r="H67" s="270"/>
      <c r="I67" s="270"/>
      <c r="J67" s="270"/>
    </row>
    <row r="68" spans="1:10">
      <c r="A68" s="2"/>
      <c r="B68" s="4" t="s">
        <v>415</v>
      </c>
      <c r="C68" s="4"/>
      <c r="D68" s="4"/>
      <c r="E68" s="4"/>
      <c r="F68" s="262"/>
      <c r="G68" s="262"/>
      <c r="H68" s="262"/>
      <c r="I68" s="262"/>
      <c r="J68" s="262"/>
    </row>
    <row r="69" spans="1:10">
      <c r="A69" s="2">
        <v>36</v>
      </c>
      <c r="B69" s="4"/>
      <c r="C69" s="4" t="s">
        <v>42</v>
      </c>
      <c r="D69" s="4"/>
      <c r="E69" s="4"/>
      <c r="F69" s="262">
        <f>'ADJ DETAIL INPUT'!E68</f>
        <v>-11566</v>
      </c>
      <c r="G69" s="262">
        <f t="shared" ref="G69:G79" si="0">H69-F69</f>
        <v>408.92371499999899</v>
      </c>
      <c r="H69" s="262">
        <f>'ADJ DETAIL INPUT'!AY68</f>
        <v>-11157.076285000001</v>
      </c>
      <c r="I69" s="262"/>
      <c r="J69" s="262">
        <f t="shared" ref="J69:J79" si="1">H69+I69</f>
        <v>-11157.076285000001</v>
      </c>
    </row>
    <row r="70" spans="1:10">
      <c r="A70" s="2">
        <v>37</v>
      </c>
      <c r="B70" s="4"/>
      <c r="C70" s="4" t="s">
        <v>61</v>
      </c>
      <c r="D70" s="4"/>
      <c r="E70" s="4"/>
      <c r="F70" s="262">
        <f>'ADJ DETAIL INPUT'!E69</f>
        <v>-151240</v>
      </c>
      <c r="G70" s="262">
        <f t="shared" si="0"/>
        <v>-1048.1497371624573</v>
      </c>
      <c r="H70" s="262">
        <f>'ADJ DETAIL INPUT'!AY69</f>
        <v>-152288.14973716246</v>
      </c>
      <c r="I70" s="262"/>
      <c r="J70" s="262">
        <f t="shared" si="1"/>
        <v>-152288.14973716246</v>
      </c>
    </row>
    <row r="71" spans="1:10">
      <c r="A71" s="2">
        <v>38</v>
      </c>
      <c r="B71" s="4"/>
      <c r="C71" s="4" t="s">
        <v>62</v>
      </c>
      <c r="D71" s="4"/>
      <c r="E71" s="4"/>
      <c r="F71" s="264">
        <f>'ADJ DETAIL INPUT'!E70</f>
        <v>-38750</v>
      </c>
      <c r="G71" s="264">
        <f t="shared" si="0"/>
        <v>-5091.9195586545247</v>
      </c>
      <c r="H71" s="262">
        <f>'ADJ DETAIL INPUT'!AY70</f>
        <v>-43841.919558654525</v>
      </c>
      <c r="I71" s="264"/>
      <c r="J71" s="264">
        <f t="shared" si="1"/>
        <v>-43841.919558654525</v>
      </c>
    </row>
    <row r="72" spans="1:10">
      <c r="A72" s="2">
        <v>39</v>
      </c>
      <c r="B72" s="4" t="s">
        <v>416</v>
      </c>
      <c r="C72" s="4"/>
      <c r="D72" s="4"/>
      <c r="E72" s="12"/>
      <c r="F72" s="267">
        <f>SUM(F69:F71)</f>
        <v>-201556</v>
      </c>
      <c r="G72" s="267">
        <f>SUM(G69:G71)</f>
        <v>-5731.1455808169831</v>
      </c>
      <c r="H72" s="267">
        <f>SUM(H69:H71)</f>
        <v>-207287.14558081696</v>
      </c>
      <c r="I72" s="267">
        <f>SUM(I69:I71)</f>
        <v>0</v>
      </c>
      <c r="J72" s="267">
        <f>SUM(J69:J71)</f>
        <v>-207287.14558081696</v>
      </c>
    </row>
    <row r="73" spans="1:10">
      <c r="A73" s="121">
        <v>40</v>
      </c>
      <c r="B73" s="164" t="s">
        <v>172</v>
      </c>
      <c r="C73" s="4"/>
      <c r="D73" s="4"/>
      <c r="E73" s="4"/>
      <c r="F73" s="270">
        <f>F66+F72</f>
        <v>475683</v>
      </c>
      <c r="G73" s="270">
        <f>G66+G72</f>
        <v>-2041.9019897695125</v>
      </c>
      <c r="H73" s="270">
        <f>H66+H72</f>
        <v>473641.09801023052</v>
      </c>
      <c r="I73" s="270">
        <f>I66+I72</f>
        <v>0</v>
      </c>
      <c r="J73" s="270">
        <f>J66+J72</f>
        <v>473641.09801023052</v>
      </c>
    </row>
    <row r="74" spans="1:10">
      <c r="A74" s="5">
        <v>41</v>
      </c>
      <c r="B74" s="6" t="s">
        <v>65</v>
      </c>
      <c r="C74" s="6"/>
      <c r="D74" s="6"/>
      <c r="E74" s="6"/>
      <c r="F74" s="264">
        <f>'ADJ DETAIL INPUT'!E73</f>
        <v>-91014</v>
      </c>
      <c r="G74" s="264">
        <f t="shared" si="0"/>
        <v>-18486.885332505131</v>
      </c>
      <c r="H74" s="264">
        <f>'ADJ DETAIL INPUT'!AY73</f>
        <v>-109500.88533250513</v>
      </c>
      <c r="I74" s="264"/>
      <c r="J74" s="264">
        <f>H74+I74</f>
        <v>-109500.88533250513</v>
      </c>
    </row>
    <row r="75" spans="1:10">
      <c r="A75" s="5">
        <v>42</v>
      </c>
      <c r="B75" s="6"/>
      <c r="C75" s="166" t="s">
        <v>202</v>
      </c>
      <c r="D75" s="6"/>
      <c r="E75" s="6"/>
      <c r="F75" s="262">
        <f>F73+F74</f>
        <v>384669</v>
      </c>
      <c r="G75" s="262">
        <f>G73+G74</f>
        <v>-20528.787322274642</v>
      </c>
      <c r="H75" s="262">
        <f>H73+H74</f>
        <v>364140.21267772536</v>
      </c>
      <c r="I75" s="262">
        <f>I73+I74</f>
        <v>0</v>
      </c>
      <c r="J75" s="262">
        <f>J73+J74</f>
        <v>364140.21267772536</v>
      </c>
    </row>
    <row r="76" spans="1:10" ht="12" customHeight="1">
      <c r="A76" s="2">
        <v>43</v>
      </c>
      <c r="B76" s="310" t="s">
        <v>66</v>
      </c>
      <c r="C76" s="310"/>
      <c r="D76" s="310"/>
      <c r="E76" s="310"/>
      <c r="F76" s="311">
        <f>'ADJ DETAIL INPUT'!E75</f>
        <v>10411</v>
      </c>
      <c r="G76" s="311">
        <f t="shared" si="0"/>
        <v>0</v>
      </c>
      <c r="H76" s="262">
        <f>'ADJ DETAIL INPUT'!AY75</f>
        <v>10411</v>
      </c>
      <c r="I76" s="311"/>
      <c r="J76" s="311">
        <f t="shared" si="1"/>
        <v>10411</v>
      </c>
    </row>
    <row r="77" spans="1:10">
      <c r="A77" s="121">
        <v>44</v>
      </c>
      <c r="B77" s="310" t="s">
        <v>67</v>
      </c>
      <c r="C77" s="310"/>
      <c r="D77" s="310"/>
      <c r="E77" s="310"/>
      <c r="F77" s="311">
        <f>'ADJ DETAIL INPUT'!E76</f>
        <v>0</v>
      </c>
      <c r="G77" s="311">
        <f>H77-F77</f>
        <v>0</v>
      </c>
      <c r="H77" s="262">
        <f>'ADJ DETAIL INPUT'!AY76</f>
        <v>0</v>
      </c>
      <c r="I77" s="311"/>
      <c r="J77" s="311">
        <f>H77+I77</f>
        <v>0</v>
      </c>
    </row>
    <row r="78" spans="1:10">
      <c r="A78" s="121">
        <v>45</v>
      </c>
      <c r="B78" s="310" t="s">
        <v>417</v>
      </c>
      <c r="C78" s="310"/>
      <c r="D78" s="310"/>
      <c r="E78" s="310"/>
      <c r="F78" s="311">
        <f>'ADJ DETAIL INPUT'!E77</f>
        <v>7359</v>
      </c>
      <c r="G78" s="311">
        <f>H78-F78</f>
        <v>-4013</v>
      </c>
      <c r="H78" s="262">
        <f>'ADJ DETAIL INPUT'!AY77</f>
        <v>3346</v>
      </c>
      <c r="I78" s="311"/>
      <c r="J78" s="311">
        <f>H78+I78</f>
        <v>3346</v>
      </c>
    </row>
    <row r="79" spans="1:10">
      <c r="A79" s="2">
        <v>46</v>
      </c>
      <c r="B79" s="310" t="s">
        <v>174</v>
      </c>
      <c r="C79" s="310"/>
      <c r="D79" s="310"/>
      <c r="E79" s="310"/>
      <c r="F79" s="265">
        <f>'ADJ DETAIL INPUT'!E78</f>
        <v>3494</v>
      </c>
      <c r="G79" s="265">
        <f t="shared" si="0"/>
        <v>-1144</v>
      </c>
      <c r="H79" s="264">
        <f>'ADJ DETAIL INPUT'!AY78</f>
        <v>2350</v>
      </c>
      <c r="I79" s="265"/>
      <c r="J79" s="265">
        <f t="shared" si="1"/>
        <v>2350</v>
      </c>
    </row>
    <row r="80" spans="1:10" ht="3" customHeight="1">
      <c r="A80" s="2"/>
      <c r="B80" s="1"/>
      <c r="C80" s="1"/>
      <c r="D80" s="1"/>
      <c r="E80" s="1"/>
      <c r="F80" s="42"/>
      <c r="G80" s="42"/>
      <c r="H80" s="73"/>
      <c r="I80" s="42"/>
      <c r="J80" s="42"/>
    </row>
    <row r="81" spans="1:10" ht="13.5" thickBot="1">
      <c r="A81" s="2">
        <v>47</v>
      </c>
      <c r="B81" s="3" t="s">
        <v>68</v>
      </c>
      <c r="C81" s="3"/>
      <c r="D81" s="3"/>
      <c r="E81" s="3"/>
      <c r="F81" s="72">
        <f>F79+F77+F76+F75+F78</f>
        <v>405933</v>
      </c>
      <c r="G81" s="72">
        <f>G79+G77+G76+G75</f>
        <v>-21672.787322274642</v>
      </c>
      <c r="H81" s="72">
        <f>H79+H77+H76+H75+H78</f>
        <v>380247.21267772536</v>
      </c>
      <c r="I81" s="72">
        <f>I79+I77+I76+I75</f>
        <v>0</v>
      </c>
      <c r="J81" s="72">
        <f>J79+J77+J76+J75+J78</f>
        <v>380247.21267772536</v>
      </c>
    </row>
    <row r="82" spans="1:10" ht="13.5" thickTop="1">
      <c r="A82" s="2">
        <v>48</v>
      </c>
      <c r="B82" s="1" t="s">
        <v>456</v>
      </c>
      <c r="C82" s="1"/>
      <c r="D82" s="1"/>
      <c r="E82" s="1"/>
      <c r="F82" s="354">
        <f>ROUND(F59/F81,4)</f>
        <v>6.0299999999999999E-2</v>
      </c>
      <c r="G82" s="69"/>
      <c r="H82" s="354">
        <f>ROUND(H59/H81,4)</f>
        <v>0.06</v>
      </c>
      <c r="I82" s="7"/>
      <c r="J82" s="354">
        <f>ROUND(J59/J81,4)</f>
        <v>7.0099999999999996E-2</v>
      </c>
    </row>
    <row r="83" spans="1:10" ht="7.5" customHeight="1">
      <c r="A83" s="440"/>
      <c r="B83" s="440"/>
      <c r="C83" s="440"/>
      <c r="D83" s="440"/>
      <c r="E83" s="440"/>
      <c r="F83" s="440"/>
      <c r="G83" s="440"/>
      <c r="H83" s="440"/>
      <c r="I83" s="440"/>
      <c r="J83" s="440"/>
    </row>
    <row r="84" spans="1:10">
      <c r="A84" s="70"/>
      <c r="B84" s="71"/>
      <c r="C84" s="71"/>
      <c r="D84" s="71"/>
      <c r="E84" s="44"/>
      <c r="F84" s="44"/>
      <c r="G84" s="44"/>
      <c r="H84" s="44"/>
      <c r="I84" s="44"/>
      <c r="J84" s="44"/>
    </row>
  </sheetData>
  <mergeCells count="1">
    <mergeCell ref="F6:J6"/>
  </mergeCells>
  <phoneticPr fontId="0" type="noConversion"/>
  <pageMargins left="0.75" right="0.5" top="0.97" bottom="0.84" header="0.5" footer="0.5"/>
  <pageSetup scale="71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37E9A5"/>
    <pageSetUpPr fitToPage="1"/>
  </sheetPr>
  <dimension ref="A1:AG46"/>
  <sheetViews>
    <sheetView zoomScaleNormal="100" zoomScaleSheetLayoutView="85" workbookViewId="0">
      <selection sqref="A1:F1"/>
    </sheetView>
  </sheetViews>
  <sheetFormatPr defaultColWidth="9.140625" defaultRowHeight="15.75"/>
  <cols>
    <col min="1" max="1" width="7.42578125" style="455" customWidth="1"/>
    <col min="2" max="2" width="1.42578125" style="455" customWidth="1"/>
    <col min="3" max="3" width="49.42578125" style="455" customWidth="1"/>
    <col min="4" max="4" width="1.140625" style="455" customWidth="1"/>
    <col min="5" max="5" width="0.5703125" style="455" customWidth="1"/>
    <col min="6" max="6" width="22.42578125" style="455" customWidth="1"/>
    <col min="7" max="7" width="4.85546875" style="455" customWidth="1"/>
    <col min="8" max="8" width="6.85546875" style="455" customWidth="1"/>
    <col min="9" max="9" width="14.140625" style="455" customWidth="1"/>
    <col min="10" max="10" width="12.85546875" style="455" customWidth="1"/>
    <col min="11" max="11" width="15.140625" style="511" customWidth="1"/>
    <col min="12" max="12" width="14.140625" style="455" customWidth="1"/>
    <col min="13" max="13" width="6.140625" style="455" customWidth="1"/>
    <col min="14" max="14" width="14" style="455" customWidth="1"/>
    <col min="15" max="15" width="9.42578125" style="456" customWidth="1"/>
    <col min="16" max="16384" width="9.140625" style="456"/>
  </cols>
  <sheetData>
    <row r="1" spans="1:33">
      <c r="A1" s="816" t="s">
        <v>631</v>
      </c>
      <c r="B1" s="816"/>
      <c r="C1" s="816"/>
      <c r="D1" s="816"/>
      <c r="E1" s="816"/>
      <c r="F1" s="816"/>
      <c r="G1" s="454"/>
      <c r="H1" s="817" t="s">
        <v>631</v>
      </c>
      <c r="I1" s="818"/>
      <c r="J1" s="818"/>
      <c r="K1" s="818"/>
      <c r="L1" s="819"/>
      <c r="M1" s="457"/>
      <c r="N1" s="454"/>
      <c r="O1" s="455"/>
    </row>
    <row r="2" spans="1:33">
      <c r="A2" s="816" t="s">
        <v>494</v>
      </c>
      <c r="B2" s="816"/>
      <c r="C2" s="816"/>
      <c r="D2" s="816"/>
      <c r="E2" s="816"/>
      <c r="F2" s="816"/>
      <c r="G2" s="454"/>
      <c r="H2" s="820" t="s">
        <v>442</v>
      </c>
      <c r="I2" s="821"/>
      <c r="J2" s="821"/>
      <c r="K2" s="821"/>
      <c r="L2" s="822"/>
      <c r="M2" s="458"/>
      <c r="N2" s="457"/>
      <c r="O2" s="455"/>
    </row>
    <row r="3" spans="1:33">
      <c r="A3" s="816" t="s">
        <v>441</v>
      </c>
      <c r="B3" s="816"/>
      <c r="C3" s="816"/>
      <c r="D3" s="816"/>
      <c r="E3" s="816"/>
      <c r="F3" s="816"/>
      <c r="G3" s="458"/>
      <c r="H3" s="820" t="s">
        <v>441</v>
      </c>
      <c r="I3" s="821"/>
      <c r="J3" s="821"/>
      <c r="K3" s="821"/>
      <c r="L3" s="822"/>
      <c r="M3" s="458"/>
      <c r="N3" s="454"/>
      <c r="O3" s="455"/>
    </row>
    <row r="4" spans="1:33">
      <c r="A4" s="832" t="str">
        <f>'PROP0SED RATES'!A3</f>
        <v>TWELVE MONTHS ENDED DECEMBER 31, 2019</v>
      </c>
      <c r="B4" s="832"/>
      <c r="C4" s="832"/>
      <c r="D4" s="832"/>
      <c r="E4" s="832"/>
      <c r="F4" s="832"/>
      <c r="G4" s="459"/>
      <c r="H4" s="825"/>
      <c r="I4" s="826"/>
      <c r="J4" s="826"/>
      <c r="K4" s="826"/>
      <c r="L4" s="827"/>
      <c r="M4" s="464"/>
      <c r="N4" s="552"/>
    </row>
    <row r="5" spans="1:33" ht="16.5" thickBot="1">
      <c r="A5" s="457"/>
      <c r="B5" s="457"/>
      <c r="C5" s="457"/>
      <c r="D5" s="457"/>
      <c r="E5" s="457"/>
      <c r="F5" s="460"/>
      <c r="G5" s="460"/>
      <c r="H5" s="487"/>
      <c r="I5" s="115"/>
      <c r="J5" s="115"/>
      <c r="K5" s="115"/>
      <c r="L5" s="394"/>
      <c r="M5" s="464"/>
      <c r="N5" s="114"/>
      <c r="Q5" s="461"/>
      <c r="R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</row>
    <row r="6" spans="1:33">
      <c r="C6" s="462"/>
      <c r="D6" s="462"/>
      <c r="F6" s="460" t="s">
        <v>491</v>
      </c>
      <c r="G6" s="460"/>
      <c r="H6" s="433" t="s">
        <v>496</v>
      </c>
      <c r="I6" s="488"/>
      <c r="J6" s="488"/>
      <c r="K6" s="488"/>
      <c r="L6" s="489"/>
      <c r="M6" s="115"/>
      <c r="N6" s="175"/>
    </row>
    <row r="7" spans="1:33">
      <c r="F7" s="636">
        <v>44470</v>
      </c>
      <c r="G7" s="486"/>
      <c r="H7" s="490"/>
      <c r="I7" s="491"/>
      <c r="J7" s="492"/>
      <c r="K7" s="493"/>
      <c r="L7" s="494"/>
      <c r="M7" s="115"/>
      <c r="N7" s="176"/>
    </row>
    <row r="8" spans="1:33" ht="15.75" customHeight="1">
      <c r="A8" s="463" t="s">
        <v>131</v>
      </c>
      <c r="B8" s="458"/>
      <c r="C8" s="828" t="s">
        <v>71</v>
      </c>
      <c r="D8" s="829"/>
      <c r="E8" s="464"/>
      <c r="F8" s="460" t="s">
        <v>492</v>
      </c>
      <c r="G8" s="465"/>
      <c r="H8" s="490"/>
      <c r="I8" s="495"/>
      <c r="J8" s="492" t="s">
        <v>132</v>
      </c>
      <c r="K8" s="492"/>
      <c r="L8" s="494" t="s">
        <v>133</v>
      </c>
      <c r="M8" s="115"/>
      <c r="N8" s="176"/>
    </row>
    <row r="9" spans="1:33" ht="16.5" thickBot="1">
      <c r="A9" s="466" t="s">
        <v>16</v>
      </c>
      <c r="B9" s="458"/>
      <c r="C9" s="830"/>
      <c r="D9" s="831"/>
      <c r="E9" s="464"/>
      <c r="F9" s="587" t="s">
        <v>493</v>
      </c>
      <c r="G9" s="465"/>
      <c r="H9" s="490"/>
      <c r="I9" s="496" t="s">
        <v>134</v>
      </c>
      <c r="J9" s="496" t="s">
        <v>135</v>
      </c>
      <c r="K9" s="496" t="s">
        <v>136</v>
      </c>
      <c r="L9" s="497" t="s">
        <v>136</v>
      </c>
      <c r="M9" s="498"/>
      <c r="N9" s="176"/>
    </row>
    <row r="10" spans="1:33">
      <c r="E10" s="467"/>
      <c r="G10" s="114"/>
      <c r="H10" s="490"/>
      <c r="I10" s="491"/>
      <c r="J10" s="491"/>
      <c r="K10" s="493"/>
      <c r="L10" s="499"/>
      <c r="N10" s="823" t="s">
        <v>508</v>
      </c>
    </row>
    <row r="11" spans="1:33">
      <c r="A11" s="468">
        <v>1</v>
      </c>
      <c r="C11" s="455" t="s">
        <v>148</v>
      </c>
      <c r="F11" s="469">
        <f>'ADJ DETAIL INPUT'!AY81</f>
        <v>380247.21267772536</v>
      </c>
      <c r="G11" s="469"/>
      <c r="H11" s="490"/>
      <c r="I11" s="495" t="s">
        <v>13</v>
      </c>
      <c r="J11" s="500">
        <f>+'Exh. No. BGM-4 (1)'!AK10</f>
        <v>0.51500000000000001</v>
      </c>
      <c r="K11" s="670">
        <f>+'Exh. No. BGM-4 (1)'!AL10</f>
        <v>4.7500000000000001E-2</v>
      </c>
      <c r="L11" s="501">
        <f>ROUND(J11*K11,4)</f>
        <v>2.4500000000000001E-2</v>
      </c>
      <c r="N11" s="824"/>
      <c r="O11" s="461"/>
    </row>
    <row r="12" spans="1:33" ht="16.5" thickBot="1">
      <c r="A12" s="468"/>
      <c r="F12" s="470"/>
      <c r="G12" s="470"/>
      <c r="H12" s="490"/>
      <c r="I12" s="495"/>
      <c r="J12" s="500"/>
      <c r="K12" s="502"/>
      <c r="L12" s="501"/>
      <c r="N12" s="596">
        <f>L11+L12</f>
        <v>2.4500000000000001E-2</v>
      </c>
    </row>
    <row r="13" spans="1:33">
      <c r="A13" s="468">
        <v>2</v>
      </c>
      <c r="C13" s="455" t="s">
        <v>137</v>
      </c>
      <c r="F13" s="471">
        <f>L15</f>
        <v>7.0099999999999996E-2</v>
      </c>
      <c r="G13" s="472"/>
      <c r="H13" s="490"/>
      <c r="I13" s="495" t="s">
        <v>495</v>
      </c>
      <c r="J13" s="500">
        <f>+'Exh. No. BGM-4 (1)'!AK11</f>
        <v>0.48499999999999999</v>
      </c>
      <c r="K13" s="670">
        <f>+'Exh. No. BGM-4 (1)'!AL11</f>
        <v>9.4E-2</v>
      </c>
      <c r="L13" s="501">
        <f>ROUND(J13*K13,4)</f>
        <v>4.5600000000000002E-2</v>
      </c>
    </row>
    <row r="14" spans="1:33">
      <c r="A14" s="468"/>
      <c r="F14" s="473"/>
      <c r="G14" s="473"/>
      <c r="H14" s="490"/>
      <c r="I14" s="495"/>
      <c r="J14" s="502"/>
      <c r="K14" s="503"/>
      <c r="L14" s="501"/>
      <c r="N14" s="176"/>
      <c r="O14" s="461"/>
    </row>
    <row r="15" spans="1:33" ht="16.5" thickBot="1">
      <c r="A15" s="468">
        <v>3</v>
      </c>
      <c r="C15" s="455" t="s">
        <v>138</v>
      </c>
      <c r="F15" s="470">
        <f>ROUND(F11*F13,10)</f>
        <v>26655.3296087085</v>
      </c>
      <c r="G15" s="470"/>
      <c r="H15" s="490"/>
      <c r="I15" s="495" t="s">
        <v>25</v>
      </c>
      <c r="J15" s="504">
        <f>SUM(J11:J13)</f>
        <v>1</v>
      </c>
      <c r="K15" s="503"/>
      <c r="L15" s="505">
        <f>SUM(L11:L13)</f>
        <v>7.0099999999999996E-2</v>
      </c>
      <c r="M15" s="175"/>
      <c r="N15" s="176"/>
    </row>
    <row r="16" spans="1:33" ht="17.25" thickTop="1" thickBot="1">
      <c r="A16" s="468"/>
      <c r="F16" s="470"/>
      <c r="G16" s="470"/>
      <c r="H16" s="506"/>
      <c r="I16" s="507"/>
      <c r="J16" s="508"/>
      <c r="K16" s="509"/>
      <c r="L16" s="510"/>
      <c r="M16" s="498"/>
      <c r="N16" s="176"/>
    </row>
    <row r="17" spans="1:17">
      <c r="A17" s="468">
        <v>4</v>
      </c>
      <c r="C17" s="455" t="s">
        <v>139</v>
      </c>
      <c r="F17" s="474">
        <f>'ADJ DETAIL INPUT'!AY58</f>
        <v>22821.705554226901</v>
      </c>
      <c r="G17" s="475"/>
      <c r="H17" s="476"/>
      <c r="I17" s="114"/>
      <c r="J17" s="114"/>
      <c r="K17" s="637"/>
      <c r="L17" s="114"/>
      <c r="M17" s="498"/>
      <c r="N17" s="176"/>
      <c r="O17" s="461"/>
      <c r="P17" s="461"/>
      <c r="Q17" s="461"/>
    </row>
    <row r="18" spans="1:17">
      <c r="A18" s="468"/>
      <c r="I18" s="114"/>
      <c r="J18" s="638"/>
      <c r="K18" s="116"/>
      <c r="L18" s="639"/>
      <c r="M18" s="498"/>
      <c r="N18" s="176"/>
      <c r="O18" s="461"/>
      <c r="P18" s="461"/>
      <c r="Q18" s="461"/>
    </row>
    <row r="19" spans="1:17">
      <c r="A19" s="468">
        <v>5</v>
      </c>
      <c r="C19" s="455" t="s">
        <v>140</v>
      </c>
      <c r="F19" s="470">
        <f>F15-F17</f>
        <v>3833.6240544815992</v>
      </c>
      <c r="G19" s="470"/>
      <c r="I19" s="114"/>
      <c r="J19" s="597"/>
      <c r="K19" s="597"/>
      <c r="L19" s="599"/>
      <c r="M19" s="498"/>
      <c r="N19" s="175"/>
      <c r="O19" s="461"/>
      <c r="P19" s="461"/>
      <c r="Q19" s="461"/>
    </row>
    <row r="20" spans="1:17">
      <c r="A20" s="468"/>
      <c r="I20" s="114"/>
      <c r="J20" s="116"/>
      <c r="K20" s="598"/>
      <c r="L20" s="660"/>
      <c r="M20" s="175"/>
      <c r="N20" s="175"/>
      <c r="O20" s="461"/>
      <c r="P20" s="461"/>
      <c r="Q20" s="461"/>
    </row>
    <row r="21" spans="1:17">
      <c r="A21" s="468">
        <v>6</v>
      </c>
      <c r="C21" s="455" t="s">
        <v>141</v>
      </c>
      <c r="F21" s="477">
        <f>CF!E27</f>
        <v>0.755463</v>
      </c>
      <c r="G21" s="477"/>
      <c r="H21" s="175"/>
      <c r="I21" s="175"/>
      <c r="J21" s="116"/>
      <c r="K21" s="515"/>
      <c r="L21" s="116"/>
      <c r="M21" s="175"/>
      <c r="N21" s="176"/>
      <c r="O21" s="461"/>
      <c r="P21" s="461"/>
      <c r="Q21" s="461"/>
    </row>
    <row r="22" spans="1:17" ht="16.5" thickBot="1">
      <c r="A22" s="468"/>
      <c r="H22" s="175"/>
      <c r="I22" s="513"/>
      <c r="J22" s="116"/>
      <c r="K22" s="116"/>
      <c r="L22" s="116"/>
      <c r="M22" s="175"/>
      <c r="N22" s="176"/>
      <c r="O22" s="461"/>
      <c r="P22" s="461"/>
      <c r="Q22" s="461"/>
    </row>
    <row r="23" spans="1:17" ht="16.5" thickBot="1">
      <c r="A23" s="468">
        <v>7</v>
      </c>
      <c r="C23" s="455" t="s">
        <v>550</v>
      </c>
      <c r="E23" s="478"/>
      <c r="F23" s="479">
        <f>ROUND(F19/F21,5)</f>
        <v>5074.5358200000001</v>
      </c>
      <c r="G23" s="480"/>
      <c r="I23" s="116"/>
      <c r="J23" s="791"/>
      <c r="K23" s="792"/>
      <c r="L23" s="599"/>
      <c r="M23" s="513"/>
      <c r="N23" s="176"/>
      <c r="O23" s="796"/>
      <c r="P23" s="461"/>
      <c r="Q23" s="461"/>
    </row>
    <row r="24" spans="1:17">
      <c r="E24" s="478"/>
      <c r="H24" s="175"/>
      <c r="I24" s="116"/>
      <c r="J24" s="116"/>
      <c r="K24" s="514"/>
      <c r="L24" s="175"/>
      <c r="M24" s="640"/>
      <c r="N24" s="176"/>
      <c r="O24" s="461"/>
      <c r="P24" s="461"/>
      <c r="Q24" s="461"/>
    </row>
    <row r="25" spans="1:17">
      <c r="A25" s="468">
        <v>8</v>
      </c>
      <c r="C25" s="455" t="s">
        <v>464</v>
      </c>
      <c r="F25" s="475">
        <f>'PROP0SED RATES'!H15+'PROP0SED RATES'!H16</f>
        <v>105173</v>
      </c>
      <c r="G25" s="475"/>
      <c r="H25" s="117"/>
      <c r="I25" s="116"/>
      <c r="J25" s="797"/>
      <c r="K25" s="515"/>
      <c r="L25" s="797"/>
      <c r="M25" s="515"/>
      <c r="N25" s="176"/>
      <c r="O25" s="461"/>
      <c r="P25" s="461"/>
      <c r="Q25" s="461"/>
    </row>
    <row r="26" spans="1:17">
      <c r="H26" s="175"/>
      <c r="I26" s="116"/>
      <c r="J26" s="116"/>
      <c r="K26" s="515"/>
      <c r="L26" s="116"/>
      <c r="M26" s="515"/>
      <c r="N26" s="177"/>
      <c r="O26" s="461"/>
      <c r="P26" s="461"/>
      <c r="Q26" s="461"/>
    </row>
    <row r="27" spans="1:17" ht="16.5" thickBot="1">
      <c r="A27" s="468">
        <v>9</v>
      </c>
      <c r="C27" s="455" t="s">
        <v>467</v>
      </c>
      <c r="F27" s="481">
        <f>ROUND(F23/F25,4)</f>
        <v>4.82E-2</v>
      </c>
      <c r="G27" s="482"/>
      <c r="H27" s="516"/>
      <c r="I27" s="599"/>
      <c r="J27" s="599"/>
      <c r="K27" s="599"/>
      <c r="L27" s="599"/>
      <c r="M27" s="599"/>
      <c r="N27" s="174"/>
      <c r="O27" s="461"/>
      <c r="P27" s="461"/>
      <c r="Q27" s="461"/>
    </row>
    <row r="28" spans="1:17" ht="9.75" customHeight="1" thickTop="1">
      <c r="C28" s="483"/>
      <c r="D28" s="483"/>
      <c r="E28" s="483"/>
      <c r="F28" s="483"/>
      <c r="G28" s="483"/>
      <c r="H28" s="516"/>
      <c r="I28" s="498"/>
      <c r="J28" s="599"/>
      <c r="K28" s="517"/>
      <c r="L28" s="599"/>
      <c r="M28" s="517"/>
      <c r="N28" s="176"/>
      <c r="O28" s="461"/>
      <c r="P28" s="461"/>
      <c r="Q28" s="461"/>
    </row>
    <row r="29" spans="1:17">
      <c r="A29" s="468">
        <v>10</v>
      </c>
      <c r="C29" s="455" t="s">
        <v>465</v>
      </c>
      <c r="F29" s="484">
        <v>161345</v>
      </c>
      <c r="G29" s="484"/>
      <c r="H29" s="516"/>
      <c r="I29" s="175"/>
      <c r="J29" s="518"/>
      <c r="K29" s="599"/>
      <c r="L29" s="518"/>
      <c r="M29" s="599"/>
      <c r="N29" s="176"/>
      <c r="O29" s="461"/>
      <c r="P29" s="461"/>
      <c r="Q29" s="461"/>
    </row>
    <row r="30" spans="1:17" ht="9" customHeight="1">
      <c r="H30" s="516"/>
      <c r="I30" s="599"/>
      <c r="J30" s="498"/>
      <c r="K30" s="517"/>
      <c r="L30" s="498"/>
      <c r="M30" s="517"/>
      <c r="N30" s="176"/>
      <c r="O30" s="461"/>
      <c r="P30" s="461"/>
      <c r="Q30" s="461"/>
    </row>
    <row r="31" spans="1:17" ht="15.75" customHeight="1" thickBot="1">
      <c r="A31" s="468">
        <v>11</v>
      </c>
      <c r="C31" s="455" t="s">
        <v>466</v>
      </c>
      <c r="F31" s="481">
        <f>ROUND(F23/F29,4)</f>
        <v>3.15E-2</v>
      </c>
      <c r="G31" s="482"/>
      <c r="H31" s="498"/>
      <c r="I31" s="498"/>
      <c r="J31" s="519"/>
      <c r="K31" s="515"/>
      <c r="L31" s="519"/>
      <c r="M31" s="515"/>
      <c r="N31" s="176"/>
      <c r="O31" s="461"/>
      <c r="P31" s="461"/>
      <c r="Q31" s="461"/>
    </row>
    <row r="32" spans="1:17" ht="15.75" customHeight="1" thickTop="1">
      <c r="A32" s="485" t="s">
        <v>439</v>
      </c>
      <c r="F32" s="482"/>
      <c r="G32" s="482"/>
      <c r="H32" s="498"/>
      <c r="I32" s="175"/>
      <c r="J32" s="467"/>
      <c r="K32" s="512"/>
      <c r="L32" s="467"/>
      <c r="M32" s="467"/>
      <c r="N32" s="176"/>
      <c r="O32" s="461"/>
    </row>
    <row r="33" spans="1:26">
      <c r="H33" s="498"/>
      <c r="I33" s="175"/>
      <c r="J33" s="174"/>
      <c r="K33" s="512"/>
      <c r="L33" s="174"/>
      <c r="M33" s="175"/>
      <c r="N33" s="176"/>
      <c r="O33" s="461"/>
    </row>
    <row r="34" spans="1:26">
      <c r="A34" s="114"/>
      <c r="B34" s="114"/>
      <c r="C34" s="114"/>
      <c r="D34" s="114"/>
      <c r="E34" s="114"/>
      <c r="F34" s="114"/>
      <c r="G34" s="114"/>
      <c r="H34" s="175"/>
      <c r="I34" s="175"/>
      <c r="J34" s="175"/>
      <c r="K34" s="514"/>
      <c r="L34" s="175"/>
      <c r="M34" s="175"/>
    </row>
    <row r="35" spans="1:26">
      <c r="A35" s="114"/>
      <c r="B35" s="114"/>
      <c r="C35" s="114"/>
      <c r="D35" s="114"/>
      <c r="E35" s="114"/>
      <c r="F35" s="114"/>
      <c r="G35" s="114"/>
      <c r="H35" s="175"/>
      <c r="I35" s="175"/>
      <c r="J35" s="175"/>
      <c r="K35" s="514"/>
      <c r="L35" s="175"/>
      <c r="M35" s="175"/>
    </row>
    <row r="36" spans="1:26">
      <c r="H36" s="175"/>
      <c r="I36" s="175"/>
      <c r="J36" s="175"/>
      <c r="K36" s="514"/>
      <c r="L36" s="175"/>
      <c r="M36" s="175"/>
    </row>
    <row r="37" spans="1:26">
      <c r="H37" s="175"/>
      <c r="I37" s="175"/>
      <c r="J37" s="175"/>
      <c r="K37" s="514"/>
      <c r="L37" s="175"/>
      <c r="M37" s="175"/>
      <c r="Z37" s="456">
        <f>Z43</f>
        <v>0</v>
      </c>
    </row>
    <row r="38" spans="1:26">
      <c r="H38" s="175"/>
      <c r="I38" s="175"/>
      <c r="J38" s="175"/>
      <c r="K38" s="514"/>
      <c r="L38" s="175"/>
      <c r="M38" s="175"/>
    </row>
    <row r="39" spans="1:26">
      <c r="H39" s="175"/>
      <c r="I39" s="175"/>
      <c r="J39" s="175"/>
      <c r="K39" s="514"/>
      <c r="L39" s="175"/>
      <c r="M39" s="175"/>
    </row>
    <row r="40" spans="1:26">
      <c r="H40" s="175"/>
      <c r="I40" s="175"/>
      <c r="J40" s="175"/>
      <c r="K40" s="514"/>
      <c r="L40" s="175"/>
      <c r="M40" s="175"/>
    </row>
    <row r="41" spans="1:26">
      <c r="H41" s="175"/>
      <c r="I41" s="175"/>
      <c r="J41" s="175"/>
      <c r="K41" s="514"/>
      <c r="L41" s="175"/>
      <c r="M41" s="175"/>
    </row>
    <row r="42" spans="1:26">
      <c r="H42" s="175"/>
      <c r="I42" s="175"/>
      <c r="J42" s="175"/>
      <c r="K42" s="514"/>
      <c r="L42" s="175"/>
      <c r="M42" s="175"/>
    </row>
    <row r="43" spans="1:26">
      <c r="H43" s="175"/>
      <c r="I43" s="175"/>
      <c r="J43" s="175"/>
      <c r="K43" s="514"/>
      <c r="L43" s="175"/>
      <c r="M43" s="175"/>
    </row>
    <row r="44" spans="1:26">
      <c r="H44" s="175"/>
      <c r="I44" s="175"/>
      <c r="J44" s="175"/>
      <c r="K44" s="514"/>
      <c r="L44" s="175"/>
      <c r="M44" s="175"/>
    </row>
    <row r="45" spans="1:26">
      <c r="M45" s="175"/>
    </row>
    <row r="46" spans="1:26">
      <c r="M46" s="175"/>
    </row>
  </sheetData>
  <mergeCells count="10">
    <mergeCell ref="N10:N11"/>
    <mergeCell ref="H4:L4"/>
    <mergeCell ref="C8:D9"/>
    <mergeCell ref="A4:F4"/>
    <mergeCell ref="A3:F3"/>
    <mergeCell ref="A1:F1"/>
    <mergeCell ref="A2:F2"/>
    <mergeCell ref="H1:L1"/>
    <mergeCell ref="H2:L2"/>
    <mergeCell ref="H3:L3"/>
  </mergeCells>
  <phoneticPr fontId="0" type="noConversion"/>
  <printOptions horizontalCentered="1"/>
  <pageMargins left="0.75" right="0.5" top="0.97" bottom="0.84" header="0.5" footer="0.5"/>
  <pageSetup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37E9A5"/>
  </sheetPr>
  <dimension ref="A1:Y32"/>
  <sheetViews>
    <sheetView zoomScale="130" zoomScaleNormal="130" zoomScaleSheetLayoutView="130" workbookViewId="0"/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2.85546875" style="12" customWidth="1"/>
    <col min="5" max="5" width="20.140625" style="87" customWidth="1"/>
    <col min="6" max="6" width="2.5703125" style="12" customWidth="1"/>
    <col min="7" max="9" width="9.140625" style="12"/>
    <col min="10" max="10" width="19.85546875" style="12" bestFit="1" customWidth="1"/>
    <col min="11" max="11" width="11.85546875" style="12" customWidth="1"/>
    <col min="12" max="16384" width="9.140625" style="12"/>
  </cols>
  <sheetData>
    <row r="1" spans="1:25" s="77" customFormat="1">
      <c r="A1" s="12"/>
      <c r="B1" s="12"/>
      <c r="C1" s="74" t="s">
        <v>631</v>
      </c>
      <c r="D1" s="75"/>
      <c r="E1" s="76"/>
      <c r="G1" s="312"/>
      <c r="H1" s="313"/>
      <c r="I1" s="313"/>
      <c r="J1" s="12"/>
    </row>
    <row r="2" spans="1:25" s="77" customFormat="1">
      <c r="B2" s="12"/>
      <c r="C2" s="271" t="s">
        <v>157</v>
      </c>
      <c r="D2" s="75"/>
      <c r="E2" s="78"/>
      <c r="J2" s="12"/>
    </row>
    <row r="3" spans="1:25" s="77" customFormat="1">
      <c r="B3" s="12"/>
      <c r="C3" s="113" t="s">
        <v>441</v>
      </c>
      <c r="D3" s="75"/>
      <c r="E3" s="78"/>
      <c r="J3" s="12"/>
    </row>
    <row r="4" spans="1:25">
      <c r="B4" s="112"/>
      <c r="C4" s="271" t="str">
        <f>'PROP0SED RATES'!A3</f>
        <v>TWELVE MONTHS ENDED DECEMBER 31, 2019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74"/>
      <c r="O4" s="74"/>
      <c r="P4" s="74"/>
    </row>
    <row r="5" spans="1:25">
      <c r="C5" s="18"/>
      <c r="D5" s="79"/>
      <c r="Q5" s="96"/>
      <c r="R5" s="96"/>
      <c r="S5" s="96"/>
      <c r="T5" s="96"/>
      <c r="U5" s="96"/>
      <c r="V5" s="96"/>
      <c r="W5" s="96"/>
      <c r="X5" s="96"/>
      <c r="Y5" s="96"/>
    </row>
    <row r="6" spans="1:25" hidden="1">
      <c r="A6" s="18"/>
      <c r="C6" s="80"/>
      <c r="D6" s="79"/>
      <c r="E6" s="75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hidden="1">
      <c r="A7" s="18"/>
      <c r="C7" s="80"/>
      <c r="D7" s="79"/>
      <c r="E7" s="75"/>
    </row>
    <row r="8" spans="1:25" hidden="1">
      <c r="A8" s="18"/>
      <c r="C8" s="79"/>
      <c r="D8" s="79"/>
      <c r="E8" s="124"/>
      <c r="F8" s="125"/>
      <c r="G8" s="125"/>
    </row>
    <row r="9" spans="1:25">
      <c r="A9" s="18" t="s">
        <v>131</v>
      </c>
      <c r="C9" s="18"/>
      <c r="D9" s="79"/>
      <c r="E9" s="18"/>
      <c r="J9" s="88" t="s">
        <v>158</v>
      </c>
      <c r="M9" s="24"/>
      <c r="N9" s="24"/>
      <c r="O9" s="24"/>
      <c r="P9" s="24"/>
    </row>
    <row r="10" spans="1:25">
      <c r="A10" s="20" t="s">
        <v>16</v>
      </c>
      <c r="C10" s="20" t="s">
        <v>71</v>
      </c>
      <c r="D10" s="79"/>
      <c r="E10" s="20" t="s">
        <v>149</v>
      </c>
      <c r="F10" s="87"/>
      <c r="M10" s="24"/>
      <c r="N10" s="24"/>
      <c r="O10" s="24"/>
      <c r="P10" s="24"/>
    </row>
    <row r="11" spans="1:25" ht="9" customHeight="1">
      <c r="A11" s="18"/>
      <c r="C11" s="79"/>
      <c r="D11" s="79"/>
      <c r="E11" s="79"/>
      <c r="M11" s="24"/>
      <c r="N11" s="24"/>
      <c r="O11" s="24"/>
      <c r="P11" s="24"/>
    </row>
    <row r="12" spans="1:25">
      <c r="A12" s="13">
        <v>1</v>
      </c>
      <c r="C12" s="520" t="s">
        <v>150</v>
      </c>
      <c r="D12" s="521"/>
      <c r="E12" s="521">
        <v>1</v>
      </c>
      <c r="J12" s="81">
        <f>'RR SUMMARY'!F23</f>
        <v>5074.5358200000001</v>
      </c>
      <c r="K12" s="81"/>
      <c r="M12" s="24"/>
      <c r="N12" s="314"/>
      <c r="O12" s="24"/>
      <c r="P12" s="24"/>
    </row>
    <row r="13" spans="1:25" ht="9" customHeight="1">
      <c r="A13" s="13"/>
      <c r="C13" s="520"/>
      <c r="D13" s="521"/>
      <c r="E13" s="521"/>
      <c r="K13" s="404"/>
      <c r="M13" s="24"/>
      <c r="N13" s="24"/>
      <c r="O13" s="24"/>
      <c r="P13" s="24"/>
    </row>
    <row r="14" spans="1:25">
      <c r="A14" s="13"/>
      <c r="C14" s="520" t="s">
        <v>151</v>
      </c>
      <c r="D14" s="521"/>
      <c r="E14" s="521"/>
      <c r="K14" s="404"/>
      <c r="M14" s="24"/>
      <c r="N14" s="24"/>
      <c r="O14" s="24"/>
      <c r="P14" s="24"/>
    </row>
    <row r="15" spans="1:25">
      <c r="A15" s="13">
        <v>2</v>
      </c>
      <c r="B15" s="16"/>
      <c r="C15" s="521" t="s">
        <v>152</v>
      </c>
      <c r="D15" s="521"/>
      <c r="E15" s="522">
        <v>3.3260504272441039E-3</v>
      </c>
      <c r="F15" s="389"/>
      <c r="J15" s="82">
        <f>ROUND($J$12*E15,0)</f>
        <v>17</v>
      </c>
      <c r="K15" s="82"/>
      <c r="M15" s="24"/>
      <c r="N15" s="84"/>
      <c r="O15" s="24"/>
      <c r="P15" s="24"/>
    </row>
    <row r="16" spans="1:25" ht="9" customHeight="1">
      <c r="A16" s="13"/>
      <c r="C16" s="521"/>
      <c r="D16" s="521"/>
      <c r="E16" s="522"/>
      <c r="K16" s="404"/>
      <c r="M16" s="24"/>
      <c r="N16" s="24"/>
      <c r="O16" s="24"/>
      <c r="P16" s="24"/>
    </row>
    <row r="17" spans="1:16">
      <c r="A17" s="13">
        <v>3</v>
      </c>
      <c r="C17" s="521" t="s">
        <v>153</v>
      </c>
      <c r="D17" s="521"/>
      <c r="E17" s="522">
        <v>2E-3</v>
      </c>
      <c r="J17" s="82">
        <f>ROUND($J$12*E17,0)</f>
        <v>10</v>
      </c>
      <c r="K17" s="82"/>
      <c r="M17" s="24"/>
      <c r="N17" s="84"/>
      <c r="O17" s="24"/>
      <c r="P17" s="24"/>
    </row>
    <row r="18" spans="1:16" ht="9" customHeight="1">
      <c r="A18" s="13"/>
      <c r="C18" s="521"/>
      <c r="D18" s="521"/>
      <c r="E18" s="522"/>
      <c r="K18" s="404"/>
      <c r="M18" s="24"/>
      <c r="N18" s="24"/>
      <c r="O18" s="24"/>
      <c r="P18" s="24"/>
    </row>
    <row r="19" spans="1:16">
      <c r="A19" s="13">
        <v>4</v>
      </c>
      <c r="C19" s="521" t="s">
        <v>154</v>
      </c>
      <c r="D19" s="521"/>
      <c r="E19" s="522">
        <v>3.8391880537542555E-2</v>
      </c>
      <c r="F19" s="389"/>
      <c r="J19" s="82">
        <f>ROUND($J$12*E19,0)</f>
        <v>195</v>
      </c>
      <c r="K19" s="82"/>
      <c r="M19" s="24"/>
      <c r="N19" s="84"/>
      <c r="O19" s="24"/>
      <c r="P19" s="24"/>
    </row>
    <row r="20" spans="1:16" ht="9" customHeight="1">
      <c r="A20" s="13"/>
      <c r="C20" s="521"/>
      <c r="D20" s="521"/>
      <c r="E20" s="523"/>
      <c r="K20" s="404"/>
      <c r="M20" s="24"/>
      <c r="N20" s="24"/>
      <c r="O20" s="24"/>
      <c r="P20" s="24"/>
    </row>
    <row r="21" spans="1:16">
      <c r="A21" s="13">
        <v>6</v>
      </c>
      <c r="C21" s="521" t="s">
        <v>155</v>
      </c>
      <c r="D21" s="521"/>
      <c r="E21" s="524">
        <f>SUM(E15:E19)</f>
        <v>4.3717930964786655E-2</v>
      </c>
      <c r="J21" s="83">
        <f>SUM(J15:J20)</f>
        <v>222</v>
      </c>
      <c r="K21" s="83"/>
      <c r="M21" s="24"/>
      <c r="N21" s="84"/>
      <c r="O21" s="24"/>
      <c r="P21" s="24"/>
    </row>
    <row r="22" spans="1:16" ht="9.75" customHeight="1">
      <c r="A22" s="13"/>
      <c r="C22" s="521"/>
      <c r="D22" s="521"/>
      <c r="E22" s="521"/>
      <c r="J22" s="84"/>
      <c r="K22" s="84"/>
      <c r="M22" s="24"/>
      <c r="N22" s="84"/>
      <c r="O22" s="24"/>
      <c r="P22" s="24"/>
    </row>
    <row r="23" spans="1:16">
      <c r="A23" s="13">
        <v>7</v>
      </c>
      <c r="C23" s="521" t="s">
        <v>156</v>
      </c>
      <c r="D23" s="521"/>
      <c r="E23" s="521">
        <f>E12-E21</f>
        <v>0.9562820690352134</v>
      </c>
      <c r="J23" s="84">
        <f>J12-J21</f>
        <v>4852.5358200000001</v>
      </c>
      <c r="K23" s="84"/>
      <c r="M23" s="24"/>
      <c r="N23" s="84"/>
      <c r="O23" s="24"/>
      <c r="P23" s="24"/>
    </row>
    <row r="24" spans="1:16" ht="9.75" customHeight="1">
      <c r="A24" s="13"/>
      <c r="C24" s="521"/>
      <c r="D24" s="521"/>
      <c r="E24" s="521"/>
      <c r="K24" s="404"/>
      <c r="M24" s="24"/>
      <c r="N24" s="24"/>
      <c r="O24" s="24"/>
      <c r="P24" s="24"/>
    </row>
    <row r="25" spans="1:16">
      <c r="A25" s="13">
        <v>8</v>
      </c>
      <c r="C25" s="521" t="s">
        <v>490</v>
      </c>
      <c r="D25" s="525"/>
      <c r="E25" s="710">
        <f>E23*0.21</f>
        <v>0.20081923449739481</v>
      </c>
      <c r="J25" s="85">
        <f>ROUND(J23*0.21,0)</f>
        <v>1019</v>
      </c>
      <c r="K25" s="85"/>
      <c r="M25" s="24"/>
      <c r="N25" s="84"/>
      <c r="O25" s="24"/>
      <c r="P25" s="24"/>
    </row>
    <row r="26" spans="1:16" ht="9" customHeight="1">
      <c r="C26" s="521"/>
      <c r="D26" s="521"/>
      <c r="E26" s="521"/>
      <c r="K26" s="404"/>
      <c r="M26" s="24"/>
      <c r="N26" s="24"/>
      <c r="O26" s="24"/>
      <c r="P26" s="24"/>
    </row>
    <row r="27" spans="1:16" ht="13.5" thickBot="1">
      <c r="A27" s="13">
        <v>9</v>
      </c>
      <c r="C27" s="521" t="s">
        <v>157</v>
      </c>
      <c r="D27" s="521"/>
      <c r="E27" s="711">
        <f>ROUND(E23-E25,6)</f>
        <v>0.755463</v>
      </c>
      <c r="J27" s="86">
        <f>J23-J25</f>
        <v>3833.5358200000001</v>
      </c>
      <c r="K27" s="86"/>
      <c r="M27" s="24"/>
      <c r="N27" s="315"/>
      <c r="O27" s="24"/>
      <c r="P27" s="24"/>
    </row>
    <row r="28" spans="1:16" ht="13.5" customHeight="1" thickTop="1">
      <c r="C28" s="79"/>
      <c r="D28" s="79"/>
      <c r="F28" s="448"/>
      <c r="G28" s="448"/>
      <c r="H28" s="448"/>
      <c r="K28" s="404"/>
      <c r="M28" s="24"/>
      <c r="N28" s="24"/>
      <c r="O28" s="24"/>
      <c r="P28" s="24"/>
    </row>
    <row r="29" spans="1:16">
      <c r="A29" s="448"/>
      <c r="B29" s="448"/>
      <c r="C29" s="448"/>
      <c r="D29" s="448"/>
      <c r="E29" s="448"/>
      <c r="F29" s="448"/>
      <c r="G29" s="448"/>
      <c r="H29" s="448"/>
      <c r="J29" s="82">
        <f>J27/E27</f>
        <v>5074.4190251541113</v>
      </c>
      <c r="K29" s="82"/>
      <c r="L29" s="12" t="s">
        <v>428</v>
      </c>
      <c r="M29" s="24"/>
      <c r="N29" s="24"/>
      <c r="O29" s="24"/>
      <c r="P29" s="24"/>
    </row>
    <row r="30" spans="1:16" ht="15.75" customHeight="1">
      <c r="A30" s="448"/>
      <c r="B30" s="448"/>
      <c r="C30" s="448"/>
      <c r="D30" s="448"/>
      <c r="E30" s="448"/>
      <c r="F30" s="448"/>
      <c r="G30" s="448"/>
      <c r="H30" s="448"/>
      <c r="J30" s="432">
        <f>J29-'RR SUMMARY'!F23</f>
        <v>-0.11679484588876221</v>
      </c>
      <c r="K30" s="432"/>
      <c r="L30" s="12" t="s">
        <v>83</v>
      </c>
      <c r="M30" s="24"/>
      <c r="N30" s="24"/>
      <c r="O30" s="24"/>
      <c r="P30" s="24"/>
    </row>
    <row r="31" spans="1:16" ht="4.5" customHeight="1">
      <c r="C31" s="79"/>
      <c r="D31" s="79"/>
      <c r="M31" s="24"/>
      <c r="N31" s="24"/>
      <c r="O31" s="24"/>
      <c r="P31" s="24"/>
    </row>
    <row r="32" spans="1:16">
      <c r="C32" s="79"/>
      <c r="D32" s="79"/>
      <c r="M32" s="24"/>
      <c r="N32" s="24"/>
      <c r="O32" s="24"/>
      <c r="P32" s="24"/>
    </row>
  </sheetData>
  <phoneticPr fontId="0" type="noConversion"/>
  <pageMargins left="0.75" right="0.5" top="0.97" bottom="0.84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37E9A5"/>
  </sheetPr>
  <dimension ref="A1:BF98"/>
  <sheetViews>
    <sheetView zoomScaleNormal="100" zoomScaleSheetLayoutView="100" workbookViewId="0">
      <pane xSplit="5" ySplit="12" topLeftCell="F13" activePane="bottomRight" state="frozen"/>
      <selection activeCell="R58" sqref="R58"/>
      <selection pane="topRight" activeCell="R58" sqref="R58"/>
      <selection pane="bottomLeft" activeCell="R58" sqref="R58"/>
      <selection pane="bottomRight" activeCell="F13" sqref="F13"/>
    </sheetView>
  </sheetViews>
  <sheetFormatPr defaultColWidth="10.5703125" defaultRowHeight="12"/>
  <cols>
    <col min="1" max="1" width="5.5703125" style="121" customWidth="1"/>
    <col min="2" max="3" width="1.5703125" style="1" customWidth="1"/>
    <col min="4" max="4" width="30.42578125" style="1" customWidth="1"/>
    <col min="5" max="5" width="8.5703125" style="42" bestFit="1" customWidth="1"/>
    <col min="6" max="7" width="10.5703125" style="42" customWidth="1"/>
    <col min="8" max="8" width="10.85546875" style="42" customWidth="1"/>
    <col min="9" max="13" width="10.5703125" style="42" customWidth="1"/>
    <col min="14" max="14" width="10.85546875" style="42" customWidth="1"/>
    <col min="15" max="15" width="8.5703125" style="42" customWidth="1"/>
    <col min="16" max="16" width="12.5703125" style="42" customWidth="1"/>
    <col min="17" max="17" width="9.5703125" style="42" customWidth="1"/>
    <col min="18" max="18" width="10.42578125" style="42" customWidth="1"/>
    <col min="19" max="19" width="14.42578125" style="42" customWidth="1"/>
    <col min="20" max="20" width="11.42578125" style="42" customWidth="1"/>
    <col min="21" max="21" width="16.85546875" style="42" customWidth="1"/>
    <col min="22" max="22" width="15.5703125" style="360" customWidth="1"/>
    <col min="23" max="23" width="15" style="563" customWidth="1"/>
    <col min="24" max="24" width="16" style="563" customWidth="1"/>
    <col min="25" max="25" width="18.5703125" style="321" customWidth="1"/>
    <col min="26" max="26" width="14.140625" style="321" customWidth="1"/>
    <col min="27" max="27" width="15.42578125" style="563" customWidth="1"/>
    <col min="28" max="28" width="19.140625" style="563" bestFit="1" customWidth="1"/>
    <col min="29" max="29" width="13.85546875" style="563" customWidth="1"/>
    <col min="30" max="32" width="13.85546875" style="360" customWidth="1"/>
    <col min="33" max="33" width="11.42578125" style="563" customWidth="1"/>
    <col min="34" max="34" width="13" style="563" customWidth="1"/>
    <col min="35" max="35" width="11.5703125" style="563" customWidth="1"/>
    <col min="36" max="36" width="11" style="563" bestFit="1" customWidth="1"/>
    <col min="37" max="37" width="12.85546875" style="563" customWidth="1"/>
    <col min="38" max="38" width="14" style="563" customWidth="1"/>
    <col min="39" max="39" width="14.5703125" style="563" customWidth="1"/>
    <col min="40" max="44" width="16.85546875" style="563" customWidth="1"/>
    <col min="45" max="49" width="12.42578125" style="645" customWidth="1"/>
    <col min="50" max="50" width="8.85546875" style="531" customWidth="1"/>
    <col min="51" max="51" width="15.85546875" style="321" customWidth="1"/>
    <col min="52" max="16384" width="10.5703125" style="1"/>
  </cols>
  <sheetData>
    <row r="1" spans="1:51" ht="8.25" customHeight="1"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51" ht="12.75" customHeight="1">
      <c r="A2" s="322" t="str">
        <f>'ROO INPUT'!A3:C3</f>
        <v>AVISTA UTILITIES - AWEC ADJUSTED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04"/>
      <c r="T2" s="404"/>
      <c r="U2" s="404"/>
      <c r="V2" s="407"/>
      <c r="W2" s="407"/>
      <c r="X2" s="407"/>
      <c r="AA2" s="407"/>
      <c r="AB2" s="323"/>
      <c r="AC2" s="407"/>
      <c r="AD2" s="570"/>
      <c r="AE2" s="407"/>
      <c r="AG2" s="323"/>
      <c r="AH2" s="407"/>
      <c r="AI2" s="407"/>
      <c r="AJ2" s="407"/>
      <c r="AP2" s="407"/>
      <c r="AQ2" s="323"/>
      <c r="AR2" s="407"/>
      <c r="AS2" s="644"/>
      <c r="AT2" s="644"/>
      <c r="AU2" s="644"/>
      <c r="AV2" s="644"/>
      <c r="AW2" s="644"/>
      <c r="AX2" s="532"/>
    </row>
    <row r="3" spans="1:51" ht="15" customHeight="1">
      <c r="A3" s="322" t="s">
        <v>441</v>
      </c>
      <c r="F3" s="555" t="s">
        <v>459</v>
      </c>
      <c r="I3" s="563"/>
      <c r="J3" s="563"/>
      <c r="K3" s="323"/>
      <c r="L3" s="563"/>
      <c r="M3" s="563"/>
      <c r="N3" s="563"/>
      <c r="O3" s="563"/>
      <c r="P3" s="563"/>
      <c r="Q3" s="563"/>
      <c r="R3" s="323"/>
      <c r="S3" s="407"/>
      <c r="T3" s="407"/>
      <c r="U3" s="407"/>
      <c r="V3" s="407"/>
      <c r="W3" s="571"/>
      <c r="X3" s="312"/>
      <c r="Y3" s="360"/>
      <c r="Z3" s="360"/>
      <c r="AA3" s="708" t="s">
        <v>460</v>
      </c>
      <c r="AC3" s="407"/>
      <c r="AD3" s="570"/>
      <c r="AE3" s="407"/>
      <c r="AF3" s="323"/>
      <c r="AH3" s="407"/>
      <c r="AI3" s="323"/>
      <c r="AJ3" s="407"/>
      <c r="AK3" s="693"/>
      <c r="AL3" s="693"/>
      <c r="AM3" s="693"/>
      <c r="AN3" s="693"/>
      <c r="AO3" s="693"/>
      <c r="AP3" s="691"/>
      <c r="AR3" s="717" t="s">
        <v>568</v>
      </c>
      <c r="AS3" s="667"/>
      <c r="AT3" s="667"/>
      <c r="AU3" s="667"/>
      <c r="AV3" s="667"/>
      <c r="AW3" s="667"/>
    </row>
    <row r="4" spans="1:51" ht="12.75" customHeight="1">
      <c r="A4" s="322" t="str">
        <f>'ROO INPUT'!A5:C5</f>
        <v>TWELVE MONTHS ENDED DECEMBER 31, 2019</v>
      </c>
      <c r="E4" s="325" t="s">
        <v>482</v>
      </c>
      <c r="F4" s="321"/>
      <c r="G4" s="321"/>
      <c r="H4" s="680"/>
      <c r="I4" s="563"/>
      <c r="J4" s="360"/>
      <c r="K4" s="564"/>
      <c r="L4" s="564"/>
      <c r="M4" s="360"/>
      <c r="N4" s="360"/>
      <c r="O4" s="360"/>
      <c r="P4" s="360"/>
      <c r="Q4" s="360"/>
      <c r="R4" s="580"/>
      <c r="S4" s="407"/>
      <c r="T4" s="407"/>
      <c r="U4" s="602"/>
      <c r="V4" s="588"/>
      <c r="W4" s="571"/>
      <c r="X4" s="662"/>
      <c r="Y4" s="360"/>
      <c r="Z4" s="371"/>
      <c r="AA4" s="407"/>
      <c r="AC4" s="407"/>
      <c r="AD4" s="570"/>
      <c r="AE4" s="407"/>
      <c r="AF4" s="653"/>
      <c r="AG4" s="653"/>
      <c r="AH4" s="407"/>
      <c r="AI4" s="564"/>
      <c r="AJ4" s="564"/>
      <c r="AK4" s="694"/>
      <c r="AL4" s="694"/>
      <c r="AM4" s="694"/>
      <c r="AN4" s="694"/>
      <c r="AO4" s="694"/>
      <c r="AP4" s="691"/>
      <c r="AR4" s="718" t="s">
        <v>569</v>
      </c>
      <c r="AS4" s="667"/>
      <c r="AT4" s="667"/>
      <c r="AU4" s="667"/>
      <c r="AV4" s="667"/>
      <c r="AW4" s="667"/>
    </row>
    <row r="5" spans="1:51" s="326" customFormat="1" ht="14.25" customHeight="1">
      <c r="A5" s="322" t="str">
        <f>'ROO INPUT'!A6:C6</f>
        <v xml:space="preserve">(000'S OF DOLLARS)   </v>
      </c>
      <c r="B5" s="121"/>
      <c r="C5" s="121"/>
      <c r="D5" s="121"/>
      <c r="E5" s="447" t="s">
        <v>489</v>
      </c>
      <c r="F5" s="324"/>
      <c r="G5" s="324"/>
      <c r="H5" s="680"/>
      <c r="I5" s="564"/>
      <c r="J5" s="324"/>
      <c r="K5" s="564"/>
      <c r="L5" s="564"/>
      <c r="M5" s="324"/>
      <c r="N5" s="324"/>
      <c r="O5" s="324"/>
      <c r="P5" s="324"/>
      <c r="Q5" s="324"/>
      <c r="R5" s="580"/>
      <c r="S5" s="580"/>
      <c r="T5" s="581"/>
      <c r="U5" s="690"/>
      <c r="V5" s="581"/>
      <c r="W5" s="690"/>
      <c r="X5" s="690"/>
      <c r="Y5" s="324"/>
      <c r="Z5" s="582"/>
      <c r="AA5" s="653"/>
      <c r="AB5" s="570"/>
      <c r="AC5" s="690"/>
      <c r="AD5" s="809" t="s">
        <v>637</v>
      </c>
      <c r="AE5" s="407"/>
      <c r="AF5" s="692"/>
      <c r="AG5" s="802" t="s">
        <v>632</v>
      </c>
      <c r="AH5" s="802" t="s">
        <v>632</v>
      </c>
      <c r="AI5" s="564"/>
      <c r="AJ5" s="564"/>
      <c r="AK5" s="802" t="s">
        <v>632</v>
      </c>
      <c r="AL5" s="802" t="s">
        <v>632</v>
      </c>
      <c r="AM5" s="802" t="s">
        <v>632</v>
      </c>
      <c r="AN5" s="802" t="s">
        <v>632</v>
      </c>
      <c r="AO5" s="802" t="s">
        <v>632</v>
      </c>
      <c r="AP5" s="802" t="s">
        <v>632</v>
      </c>
      <c r="AQ5" s="811" t="s">
        <v>640</v>
      </c>
      <c r="AR5" s="717" t="s">
        <v>570</v>
      </c>
      <c r="AS5" s="802" t="s">
        <v>144</v>
      </c>
      <c r="AT5" s="809" t="s">
        <v>637</v>
      </c>
      <c r="AU5" s="802" t="s">
        <v>144</v>
      </c>
      <c r="AV5" s="811" t="s">
        <v>639</v>
      </c>
      <c r="AW5" s="811" t="s">
        <v>639</v>
      </c>
      <c r="AX5" s="533"/>
      <c r="AY5" s="324"/>
    </row>
    <row r="6" spans="1:51" s="329" customFormat="1" ht="6" customHeight="1">
      <c r="A6" s="328"/>
      <c r="D6" s="437"/>
      <c r="E6" s="437"/>
      <c r="F6" s="325"/>
      <c r="G6" s="325"/>
      <c r="H6" s="681"/>
      <c r="I6" s="323"/>
      <c r="J6" s="323"/>
      <c r="K6" s="570"/>
      <c r="L6" s="323"/>
      <c r="M6" s="323"/>
      <c r="N6" s="323"/>
      <c r="O6" s="323"/>
      <c r="P6" s="323"/>
      <c r="Q6" s="323"/>
      <c r="R6" s="570"/>
      <c r="S6" s="323"/>
      <c r="T6" s="323"/>
      <c r="U6" s="323"/>
      <c r="V6" s="589"/>
      <c r="W6" s="572"/>
      <c r="X6" s="663"/>
      <c r="Y6" s="323"/>
      <c r="Z6" s="327"/>
      <c r="AA6" s="323"/>
      <c r="AB6" s="323"/>
      <c r="AC6" s="658"/>
      <c r="AD6" s="661"/>
      <c r="AE6" s="661"/>
      <c r="AF6" s="661"/>
      <c r="AG6" s="323"/>
      <c r="AH6" s="658"/>
      <c r="AI6" s="657"/>
      <c r="AJ6" s="658"/>
      <c r="AK6" s="695"/>
      <c r="AL6" s="695"/>
      <c r="AM6" s="695"/>
      <c r="AN6" s="695"/>
      <c r="AO6" s="695"/>
      <c r="AP6" s="658"/>
      <c r="AQ6" s="323"/>
      <c r="AR6" s="719"/>
      <c r="AS6" s="652"/>
      <c r="AT6" s="652"/>
      <c r="AU6" s="652"/>
      <c r="AV6" s="652"/>
      <c r="AW6" s="652"/>
      <c r="AX6" s="532"/>
      <c r="AY6" s="323"/>
    </row>
    <row r="7" spans="1:51" s="329" customFormat="1" ht="12" customHeight="1">
      <c r="A7" s="330"/>
      <c r="B7" s="331"/>
      <c r="C7" s="332"/>
      <c r="D7" s="333"/>
      <c r="E7" s="334" t="s">
        <v>0</v>
      </c>
      <c r="F7" s="556" t="s">
        <v>1</v>
      </c>
      <c r="G7" s="556" t="s">
        <v>473</v>
      </c>
      <c r="H7" s="556" t="s">
        <v>432</v>
      </c>
      <c r="I7" s="566" t="s">
        <v>497</v>
      </c>
      <c r="J7" s="556" t="s">
        <v>2</v>
      </c>
      <c r="K7" s="556" t="s">
        <v>5</v>
      </c>
      <c r="L7" s="556" t="s">
        <v>113</v>
      </c>
      <c r="M7" s="556" t="s">
        <v>3</v>
      </c>
      <c r="N7" s="556" t="s">
        <v>4</v>
      </c>
      <c r="O7" s="556" t="s">
        <v>426</v>
      </c>
      <c r="P7" s="556" t="s">
        <v>6</v>
      </c>
      <c r="Q7" s="556" t="s">
        <v>5</v>
      </c>
      <c r="R7" s="556" t="s">
        <v>129</v>
      </c>
      <c r="S7" s="556" t="s">
        <v>444</v>
      </c>
      <c r="T7" s="573" t="s">
        <v>446</v>
      </c>
      <c r="U7" s="573" t="s">
        <v>478</v>
      </c>
      <c r="V7" s="556" t="s">
        <v>161</v>
      </c>
      <c r="W7" s="573" t="s">
        <v>5</v>
      </c>
      <c r="X7" s="317" t="s">
        <v>531</v>
      </c>
      <c r="Y7" s="317" t="s">
        <v>436</v>
      </c>
      <c r="Z7" s="583"/>
      <c r="AA7" s="654" t="s">
        <v>15</v>
      </c>
      <c r="AB7" s="705" t="s">
        <v>435</v>
      </c>
      <c r="AC7" s="556" t="s">
        <v>15</v>
      </c>
      <c r="AD7" s="556" t="s">
        <v>15</v>
      </c>
      <c r="AE7" s="556" t="s">
        <v>15</v>
      </c>
      <c r="AF7" s="556" t="s">
        <v>15</v>
      </c>
      <c r="AG7" s="556" t="s">
        <v>15</v>
      </c>
      <c r="AH7" s="556" t="s">
        <v>15</v>
      </c>
      <c r="AI7" s="556" t="s">
        <v>15</v>
      </c>
      <c r="AJ7" s="556" t="s">
        <v>15</v>
      </c>
      <c r="AK7" s="696" t="s">
        <v>435</v>
      </c>
      <c r="AL7" s="696" t="s">
        <v>435</v>
      </c>
      <c r="AM7" s="696" t="s">
        <v>435</v>
      </c>
      <c r="AN7" s="696" t="s">
        <v>435</v>
      </c>
      <c r="AO7" s="696" t="s">
        <v>435</v>
      </c>
      <c r="AP7" s="556" t="s">
        <v>15</v>
      </c>
      <c r="AQ7" s="556" t="s">
        <v>15</v>
      </c>
      <c r="AR7" s="705" t="s">
        <v>5</v>
      </c>
      <c r="AS7" s="556" t="s">
        <v>621</v>
      </c>
      <c r="AT7" s="804" t="s">
        <v>435</v>
      </c>
      <c r="AU7" s="804" t="s">
        <v>622</v>
      </c>
      <c r="AV7" s="804" t="s">
        <v>624</v>
      </c>
      <c r="AW7" s="804" t="s">
        <v>586</v>
      </c>
      <c r="AX7" s="534" t="s">
        <v>15</v>
      </c>
      <c r="AY7" s="438" t="s">
        <v>435</v>
      </c>
    </row>
    <row r="8" spans="1:51" s="329" customFormat="1">
      <c r="A8" s="335" t="s">
        <v>7</v>
      </c>
      <c r="B8" s="336"/>
      <c r="C8" s="337"/>
      <c r="D8" s="338"/>
      <c r="E8" s="414" t="s">
        <v>8</v>
      </c>
      <c r="F8" s="557" t="s">
        <v>9</v>
      </c>
      <c r="G8" s="557" t="s">
        <v>474</v>
      </c>
      <c r="H8" s="557" t="s">
        <v>132</v>
      </c>
      <c r="I8" s="567" t="s">
        <v>498</v>
      </c>
      <c r="J8" s="557" t="s">
        <v>10</v>
      </c>
      <c r="K8" s="557" t="s">
        <v>11</v>
      </c>
      <c r="L8" s="557" t="s">
        <v>12</v>
      </c>
      <c r="M8" s="557" t="s">
        <v>12</v>
      </c>
      <c r="N8" s="557" t="s">
        <v>477</v>
      </c>
      <c r="O8" s="557" t="s">
        <v>427</v>
      </c>
      <c r="P8" s="557" t="s">
        <v>14</v>
      </c>
      <c r="Q8" s="557" t="s">
        <v>130</v>
      </c>
      <c r="R8" s="557" t="s">
        <v>475</v>
      </c>
      <c r="S8" s="557" t="s">
        <v>445</v>
      </c>
      <c r="T8" s="574" t="s">
        <v>447</v>
      </c>
      <c r="U8" s="574" t="s">
        <v>479</v>
      </c>
      <c r="V8" s="590" t="s">
        <v>472</v>
      </c>
      <c r="W8" s="574" t="s">
        <v>13</v>
      </c>
      <c r="X8" s="664" t="s">
        <v>484</v>
      </c>
      <c r="Y8" s="386" t="s">
        <v>210</v>
      </c>
      <c r="Z8" s="583"/>
      <c r="AA8" s="655" t="s">
        <v>443</v>
      </c>
      <c r="AB8" s="706" t="s">
        <v>534</v>
      </c>
      <c r="AC8" s="590" t="s">
        <v>536</v>
      </c>
      <c r="AD8" s="590" t="s">
        <v>125</v>
      </c>
      <c r="AE8" s="590" t="s">
        <v>125</v>
      </c>
      <c r="AF8" s="590" t="s">
        <v>481</v>
      </c>
      <c r="AG8" s="557" t="s">
        <v>503</v>
      </c>
      <c r="AH8" s="590" t="s">
        <v>480</v>
      </c>
      <c r="AI8" s="557" t="s">
        <v>11</v>
      </c>
      <c r="AJ8" s="590" t="s">
        <v>502</v>
      </c>
      <c r="AK8" s="697" t="s">
        <v>540</v>
      </c>
      <c r="AL8" s="697" t="s">
        <v>559</v>
      </c>
      <c r="AM8" s="704" t="s">
        <v>541</v>
      </c>
      <c r="AN8" s="704" t="s">
        <v>561</v>
      </c>
      <c r="AO8" s="704" t="s">
        <v>541</v>
      </c>
      <c r="AP8" s="590" t="s">
        <v>498</v>
      </c>
      <c r="AQ8" s="557" t="s">
        <v>483</v>
      </c>
      <c r="AR8" s="720" t="s">
        <v>571</v>
      </c>
      <c r="AS8" s="590" t="s">
        <v>435</v>
      </c>
      <c r="AT8" s="805" t="s">
        <v>634</v>
      </c>
      <c r="AU8" s="805" t="s">
        <v>136</v>
      </c>
      <c r="AV8" s="805" t="s">
        <v>625</v>
      </c>
      <c r="AW8" s="805" t="s">
        <v>587</v>
      </c>
      <c r="AX8" s="535" t="s">
        <v>504</v>
      </c>
      <c r="AY8" s="723" t="s">
        <v>25</v>
      </c>
    </row>
    <row r="9" spans="1:51" s="329" customFormat="1">
      <c r="A9" s="339" t="s">
        <v>16</v>
      </c>
      <c r="B9" s="340"/>
      <c r="C9" s="341"/>
      <c r="D9" s="342" t="s">
        <v>17</v>
      </c>
      <c r="E9" s="415" t="s">
        <v>18</v>
      </c>
      <c r="F9" s="558" t="s">
        <v>19</v>
      </c>
      <c r="G9" s="558" t="s">
        <v>238</v>
      </c>
      <c r="H9" s="558"/>
      <c r="I9" s="568" t="s">
        <v>19</v>
      </c>
      <c r="J9" s="558" t="s">
        <v>21</v>
      </c>
      <c r="K9" s="558" t="s">
        <v>22</v>
      </c>
      <c r="L9" s="558"/>
      <c r="M9" s="558"/>
      <c r="N9" s="558" t="s">
        <v>23</v>
      </c>
      <c r="O9" s="558" t="s">
        <v>12</v>
      </c>
      <c r="P9" s="558" t="s">
        <v>500</v>
      </c>
      <c r="Q9" s="558" t="s">
        <v>21</v>
      </c>
      <c r="R9" s="558" t="s">
        <v>476</v>
      </c>
      <c r="S9" s="558" t="s">
        <v>114</v>
      </c>
      <c r="T9" s="575" t="s">
        <v>448</v>
      </c>
      <c r="U9" s="575" t="s">
        <v>501</v>
      </c>
      <c r="V9" s="591" t="s">
        <v>12</v>
      </c>
      <c r="W9" s="575" t="s">
        <v>24</v>
      </c>
      <c r="X9" s="665" t="s">
        <v>485</v>
      </c>
      <c r="Y9" s="527"/>
      <c r="Z9" s="584"/>
      <c r="AA9" s="656" t="s">
        <v>438</v>
      </c>
      <c r="AB9" s="707" t="s">
        <v>535</v>
      </c>
      <c r="AC9" s="558" t="s">
        <v>537</v>
      </c>
      <c r="AD9" s="591" t="s">
        <v>126</v>
      </c>
      <c r="AE9" s="591" t="s">
        <v>127</v>
      </c>
      <c r="AF9" s="591" t="s">
        <v>160</v>
      </c>
      <c r="AG9" s="558" t="s">
        <v>12</v>
      </c>
      <c r="AH9" s="558" t="s">
        <v>12</v>
      </c>
      <c r="AI9" s="558" t="s">
        <v>22</v>
      </c>
      <c r="AJ9" s="558" t="s">
        <v>452</v>
      </c>
      <c r="AK9" s="698" t="s">
        <v>542</v>
      </c>
      <c r="AL9" s="698" t="s">
        <v>560</v>
      </c>
      <c r="AM9" s="698" t="s">
        <v>543</v>
      </c>
      <c r="AN9" s="698" t="s">
        <v>562</v>
      </c>
      <c r="AO9" s="698" t="s">
        <v>549</v>
      </c>
      <c r="AP9" s="568" t="s">
        <v>461</v>
      </c>
      <c r="AQ9" s="558" t="s">
        <v>452</v>
      </c>
      <c r="AR9" s="707" t="s">
        <v>572</v>
      </c>
      <c r="AS9" s="568" t="s">
        <v>132</v>
      </c>
      <c r="AT9" s="806"/>
      <c r="AU9" s="806" t="s">
        <v>623</v>
      </c>
      <c r="AV9" s="806" t="s">
        <v>626</v>
      </c>
      <c r="AW9" s="806"/>
      <c r="AX9" s="536"/>
      <c r="AY9" s="724"/>
    </row>
    <row r="10" spans="1:51" s="329" customFormat="1">
      <c r="A10" s="328"/>
      <c r="B10" s="343" t="s">
        <v>181</v>
      </c>
      <c r="E10" s="391">
        <v>1</v>
      </c>
      <c r="F10" s="391">
        <f>E10+0.01</f>
        <v>1.01</v>
      </c>
      <c r="G10" s="391">
        <f>F10+0.01</f>
        <v>1.02</v>
      </c>
      <c r="H10" s="565">
        <f>G10+0.01</f>
        <v>1.03</v>
      </c>
      <c r="I10" s="569">
        <f>H10+0.01</f>
        <v>1.04</v>
      </c>
      <c r="J10" s="565">
        <v>2.0099999999999998</v>
      </c>
      <c r="K10" s="565">
        <f>J10+0.01</f>
        <v>2.0199999999999996</v>
      </c>
      <c r="L10" s="565">
        <f t="shared" ref="L10:S10" si="0">K10+0.01</f>
        <v>2.0299999999999994</v>
      </c>
      <c r="M10" s="565">
        <f t="shared" si="0"/>
        <v>2.0399999999999991</v>
      </c>
      <c r="N10" s="565">
        <f t="shared" si="0"/>
        <v>2.0499999999999989</v>
      </c>
      <c r="O10" s="565">
        <f t="shared" si="0"/>
        <v>2.0599999999999987</v>
      </c>
      <c r="P10" s="565">
        <f t="shared" si="0"/>
        <v>2.0699999999999985</v>
      </c>
      <c r="Q10" s="565">
        <f t="shared" si="0"/>
        <v>2.0799999999999983</v>
      </c>
      <c r="R10" s="565">
        <f t="shared" si="0"/>
        <v>2.0899999999999981</v>
      </c>
      <c r="S10" s="344">
        <f t="shared" si="0"/>
        <v>2.0999999999999979</v>
      </c>
      <c r="T10" s="344">
        <f>S10+0.01</f>
        <v>2.1099999999999977</v>
      </c>
      <c r="U10" s="344">
        <f>T10+0.01</f>
        <v>2.1199999999999974</v>
      </c>
      <c r="V10" s="344">
        <f>U10+0.01</f>
        <v>2.1299999999999972</v>
      </c>
      <c r="W10" s="344">
        <f>V10+0.01</f>
        <v>2.139999999999997</v>
      </c>
      <c r="X10" s="344">
        <f>W10+0.01</f>
        <v>2.1499999999999968</v>
      </c>
      <c r="Y10" s="323"/>
      <c r="Z10" s="327"/>
      <c r="AA10" s="344">
        <v>3.01</v>
      </c>
      <c r="AB10" s="344">
        <f>AA10+0.01</f>
        <v>3.0199999999999996</v>
      </c>
      <c r="AC10" s="344">
        <f>AB10+0.01</f>
        <v>3.0299999999999994</v>
      </c>
      <c r="AD10" s="344">
        <f>AC10+0.01</f>
        <v>3.0399999999999991</v>
      </c>
      <c r="AE10" s="344">
        <f t="shared" ref="AE10:AM10" si="1">AD10+0.01</f>
        <v>3.0499999999999989</v>
      </c>
      <c r="AF10" s="344">
        <f t="shared" si="1"/>
        <v>3.0599999999999987</v>
      </c>
      <c r="AG10" s="344">
        <f t="shared" si="1"/>
        <v>3.0699999999999985</v>
      </c>
      <c r="AH10" s="344">
        <f t="shared" si="1"/>
        <v>3.0799999999999983</v>
      </c>
      <c r="AI10" s="344">
        <f t="shared" si="1"/>
        <v>3.0899999999999981</v>
      </c>
      <c r="AJ10" s="344">
        <f t="shared" si="1"/>
        <v>3.0999999999999979</v>
      </c>
      <c r="AK10" s="344">
        <f t="shared" si="1"/>
        <v>3.1099999999999977</v>
      </c>
      <c r="AL10" s="344">
        <f t="shared" si="1"/>
        <v>3.1199999999999974</v>
      </c>
      <c r="AM10" s="344">
        <f t="shared" si="1"/>
        <v>3.1299999999999972</v>
      </c>
      <c r="AN10" s="344">
        <f>AM10+0.01</f>
        <v>3.139999999999997</v>
      </c>
      <c r="AO10" s="344">
        <f>AN10+0.01</f>
        <v>3.1499999999999968</v>
      </c>
      <c r="AP10" s="344">
        <f>AO10+0.01</f>
        <v>3.1599999999999966</v>
      </c>
      <c r="AQ10" s="344">
        <f>AP10+0.01</f>
        <v>3.1699999999999964</v>
      </c>
      <c r="AR10" s="721">
        <f>AQ10+0.01</f>
        <v>3.1799999999999962</v>
      </c>
      <c r="AS10" s="344">
        <v>7.01</v>
      </c>
      <c r="AT10" s="807">
        <v>7.02</v>
      </c>
      <c r="AU10" s="807">
        <v>7.03</v>
      </c>
      <c r="AV10" s="807">
        <v>7.04</v>
      </c>
      <c r="AW10" s="807" t="s">
        <v>574</v>
      </c>
      <c r="AX10" s="344">
        <f>AS10+0.01</f>
        <v>7.02</v>
      </c>
      <c r="AY10" s="725"/>
    </row>
    <row r="11" spans="1:51" s="329" customFormat="1">
      <c r="A11" s="328"/>
      <c r="B11" s="343" t="s">
        <v>182</v>
      </c>
      <c r="E11" s="325" t="s">
        <v>183</v>
      </c>
      <c r="F11" s="325" t="s">
        <v>184</v>
      </c>
      <c r="G11" s="325" t="s">
        <v>185</v>
      </c>
      <c r="H11" s="323" t="s">
        <v>433</v>
      </c>
      <c r="I11" s="569" t="s">
        <v>499</v>
      </c>
      <c r="J11" s="323" t="s">
        <v>186</v>
      </c>
      <c r="K11" s="323" t="s">
        <v>430</v>
      </c>
      <c r="L11" s="323" t="s">
        <v>187</v>
      </c>
      <c r="M11" s="323" t="s">
        <v>188</v>
      </c>
      <c r="N11" s="323" t="s">
        <v>189</v>
      </c>
      <c r="O11" s="323" t="s">
        <v>190</v>
      </c>
      <c r="P11" s="323" t="s">
        <v>192</v>
      </c>
      <c r="Q11" s="323" t="s">
        <v>423</v>
      </c>
      <c r="R11" s="323" t="s">
        <v>191</v>
      </c>
      <c r="S11" s="323" t="s">
        <v>463</v>
      </c>
      <c r="T11" s="323" t="s">
        <v>449</v>
      </c>
      <c r="U11" s="325" t="s">
        <v>193</v>
      </c>
      <c r="V11" s="323" t="s">
        <v>194</v>
      </c>
      <c r="W11" s="323" t="s">
        <v>195</v>
      </c>
      <c r="X11" s="666" t="s">
        <v>532</v>
      </c>
      <c r="Y11" s="323" t="s">
        <v>424</v>
      </c>
      <c r="Z11" s="327"/>
      <c r="AA11" s="323" t="s">
        <v>451</v>
      </c>
      <c r="AB11" s="323" t="s">
        <v>539</v>
      </c>
      <c r="AC11" s="323" t="s">
        <v>538</v>
      </c>
      <c r="AD11" s="323" t="s">
        <v>196</v>
      </c>
      <c r="AE11" s="323" t="s">
        <v>197</v>
      </c>
      <c r="AF11" s="323" t="s">
        <v>198</v>
      </c>
      <c r="AG11" s="323" t="s">
        <v>507</v>
      </c>
      <c r="AH11" s="323" t="s">
        <v>505</v>
      </c>
      <c r="AI11" s="323" t="s">
        <v>431</v>
      </c>
      <c r="AJ11" s="323" t="s">
        <v>506</v>
      </c>
      <c r="AK11" s="327" t="s">
        <v>544</v>
      </c>
      <c r="AL11" s="327" t="s">
        <v>545</v>
      </c>
      <c r="AM11" s="327" t="s">
        <v>546</v>
      </c>
      <c r="AN11" s="327" t="s">
        <v>547</v>
      </c>
      <c r="AO11" s="327" t="s">
        <v>548</v>
      </c>
      <c r="AP11" s="323" t="s">
        <v>533</v>
      </c>
      <c r="AQ11" s="323" t="s">
        <v>470</v>
      </c>
      <c r="AR11" s="721" t="s">
        <v>573</v>
      </c>
      <c r="AS11" s="323"/>
      <c r="AT11" s="323"/>
      <c r="AU11" s="323"/>
      <c r="AV11" s="323"/>
      <c r="AW11" s="323"/>
      <c r="AX11" s="532"/>
      <c r="AY11" s="725" t="s">
        <v>425</v>
      </c>
    </row>
    <row r="12" spans="1:51" ht="6" customHeight="1"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V12" s="563"/>
      <c r="Z12" s="421"/>
      <c r="AD12" s="563"/>
      <c r="AE12" s="563"/>
      <c r="AF12" s="563"/>
      <c r="AK12" s="345"/>
      <c r="AL12" s="345"/>
      <c r="AM12" s="345"/>
      <c r="AN12" s="345"/>
      <c r="AO12" s="345"/>
      <c r="AS12" s="563"/>
      <c r="AT12" s="563"/>
      <c r="AU12" s="563"/>
      <c r="AV12" s="563"/>
      <c r="AW12" s="563"/>
      <c r="AY12" s="726"/>
    </row>
    <row r="13" spans="1:51">
      <c r="B13" s="1" t="s">
        <v>32</v>
      </c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V13" s="563"/>
      <c r="Z13" s="421"/>
      <c r="AD13" s="563"/>
      <c r="AE13" s="563"/>
      <c r="AF13" s="563"/>
      <c r="AK13" s="345"/>
      <c r="AL13" s="345"/>
      <c r="AM13" s="345"/>
      <c r="AN13" s="345"/>
      <c r="AO13" s="345"/>
      <c r="AS13" s="563"/>
      <c r="AT13" s="563"/>
      <c r="AU13" s="563"/>
      <c r="AV13" s="563"/>
      <c r="AW13" s="563"/>
      <c r="AY13" s="726"/>
    </row>
    <row r="14" spans="1:51" s="3" customFormat="1">
      <c r="A14" s="121">
        <v>1</v>
      </c>
      <c r="B14" s="3" t="s">
        <v>33</v>
      </c>
      <c r="E14" s="416">
        <f>'ROO INPUT'!$F15</f>
        <v>142552</v>
      </c>
      <c r="F14" s="559">
        <v>0</v>
      </c>
      <c r="G14" s="559">
        <v>0</v>
      </c>
      <c r="H14" s="559">
        <v>0</v>
      </c>
      <c r="I14" s="559">
        <v>0</v>
      </c>
      <c r="J14" s="559">
        <v>-5116</v>
      </c>
      <c r="K14" s="559">
        <v>0</v>
      </c>
      <c r="L14" s="559">
        <v>0</v>
      </c>
      <c r="M14" s="559">
        <v>0</v>
      </c>
      <c r="N14" s="559">
        <v>0</v>
      </c>
      <c r="O14" s="559">
        <v>0</v>
      </c>
      <c r="P14" s="559">
        <v>0</v>
      </c>
      <c r="Q14" s="559">
        <v>0</v>
      </c>
      <c r="R14" s="559">
        <v>0</v>
      </c>
      <c r="S14" s="559">
        <v>-3931</v>
      </c>
      <c r="T14" s="559">
        <v>8060</v>
      </c>
      <c r="U14" s="559">
        <v>0</v>
      </c>
      <c r="V14" s="559">
        <v>0</v>
      </c>
      <c r="W14" s="559">
        <v>0</v>
      </c>
      <c r="X14" s="559">
        <v>0</v>
      </c>
      <c r="Y14" s="346">
        <f>SUM(E14:X14)</f>
        <v>141565</v>
      </c>
      <c r="Z14" s="585"/>
      <c r="AA14" s="559">
        <v>-41734</v>
      </c>
      <c r="AB14" s="559">
        <v>0</v>
      </c>
      <c r="AC14" s="559">
        <v>0</v>
      </c>
      <c r="AD14" s="559">
        <v>0</v>
      </c>
      <c r="AE14" s="559">
        <v>0</v>
      </c>
      <c r="AF14" s="559">
        <v>0</v>
      </c>
      <c r="AG14" s="559">
        <v>0</v>
      </c>
      <c r="AH14" s="559">
        <v>0</v>
      </c>
      <c r="AI14" s="559">
        <v>0</v>
      </c>
      <c r="AJ14" s="559">
        <v>0</v>
      </c>
      <c r="AK14" s="699">
        <v>0</v>
      </c>
      <c r="AL14" s="699">
        <v>0</v>
      </c>
      <c r="AM14" s="699">
        <v>0</v>
      </c>
      <c r="AN14" s="699">
        <v>0</v>
      </c>
      <c r="AO14" s="699">
        <v>0</v>
      </c>
      <c r="AP14" s="559">
        <v>0</v>
      </c>
      <c r="AQ14" s="559">
        <v>0</v>
      </c>
      <c r="AR14" s="559">
        <v>0</v>
      </c>
      <c r="AS14" s="559">
        <v>0</v>
      </c>
      <c r="AT14" s="559">
        <v>0</v>
      </c>
      <c r="AU14" s="559">
        <v>0</v>
      </c>
      <c r="AV14" s="559">
        <v>0</v>
      </c>
      <c r="AW14" s="559">
        <v>0</v>
      </c>
      <c r="AX14" s="537">
        <v>0</v>
      </c>
      <c r="AY14" s="727">
        <f>SUM(Y14:AX14)</f>
        <v>99831</v>
      </c>
    </row>
    <row r="15" spans="1:51">
      <c r="A15" s="121">
        <v>2</v>
      </c>
      <c r="B15" s="4" t="s">
        <v>34</v>
      </c>
      <c r="D15" s="4"/>
      <c r="E15" s="262">
        <f>'ROO INPUT'!$F16</f>
        <v>5183</v>
      </c>
      <c r="F15" s="560">
        <v>0</v>
      </c>
      <c r="G15" s="560">
        <v>0</v>
      </c>
      <c r="H15" s="560">
        <v>0</v>
      </c>
      <c r="I15" s="560">
        <v>0</v>
      </c>
      <c r="J15" s="560">
        <v>-131</v>
      </c>
      <c r="K15" s="560">
        <v>0</v>
      </c>
      <c r="L15" s="560">
        <v>0</v>
      </c>
      <c r="M15" s="560">
        <v>0</v>
      </c>
      <c r="N15" s="560">
        <v>0</v>
      </c>
      <c r="O15" s="560">
        <v>0</v>
      </c>
      <c r="P15" s="560">
        <v>0</v>
      </c>
      <c r="Q15" s="560">
        <v>0</v>
      </c>
      <c r="R15" s="560">
        <v>0</v>
      </c>
      <c r="S15" s="560"/>
      <c r="T15" s="560">
        <v>0</v>
      </c>
      <c r="U15" s="560">
        <v>0</v>
      </c>
      <c r="V15" s="560">
        <v>0</v>
      </c>
      <c r="W15" s="560">
        <v>0</v>
      </c>
      <c r="X15" s="560">
        <v>0</v>
      </c>
      <c r="Y15" s="347">
        <f>SUM(E15:X15)</f>
        <v>5052</v>
      </c>
      <c r="Z15" s="352"/>
      <c r="AA15" s="560">
        <v>290</v>
      </c>
      <c r="AB15" s="560">
        <v>0</v>
      </c>
      <c r="AC15" s="560">
        <v>0</v>
      </c>
      <c r="AD15" s="560">
        <v>0</v>
      </c>
      <c r="AE15" s="560">
        <v>0</v>
      </c>
      <c r="AF15" s="560">
        <v>0</v>
      </c>
      <c r="AG15" s="560">
        <v>0</v>
      </c>
      <c r="AH15" s="560">
        <v>0</v>
      </c>
      <c r="AI15" s="560">
        <v>0</v>
      </c>
      <c r="AJ15" s="560">
        <v>0</v>
      </c>
      <c r="AK15" s="562">
        <v>0</v>
      </c>
      <c r="AL15" s="562">
        <v>0</v>
      </c>
      <c r="AM15" s="562">
        <v>0</v>
      </c>
      <c r="AN15" s="562">
        <v>0</v>
      </c>
      <c r="AO15" s="562">
        <v>0</v>
      </c>
      <c r="AP15" s="560">
        <v>0</v>
      </c>
      <c r="AQ15" s="560">
        <v>0</v>
      </c>
      <c r="AR15" s="560">
        <v>0</v>
      </c>
      <c r="AS15" s="560">
        <v>0</v>
      </c>
      <c r="AT15" s="560">
        <v>0</v>
      </c>
      <c r="AU15" s="560">
        <v>0</v>
      </c>
      <c r="AV15" s="560">
        <v>0</v>
      </c>
      <c r="AW15" s="560">
        <v>0</v>
      </c>
      <c r="AX15" s="538">
        <v>0</v>
      </c>
      <c r="AY15" s="728">
        <f>SUM(Y15:AX15)</f>
        <v>5342</v>
      </c>
    </row>
    <row r="16" spans="1:51">
      <c r="A16" s="121">
        <v>3</v>
      </c>
      <c r="B16" s="4" t="s">
        <v>35</v>
      </c>
      <c r="D16" s="4"/>
      <c r="E16" s="264">
        <f>'ROO INPUT'!$F17</f>
        <v>60090</v>
      </c>
      <c r="F16" s="561">
        <v>0</v>
      </c>
      <c r="G16" s="561">
        <v>0</v>
      </c>
      <c r="H16" s="561">
        <v>0</v>
      </c>
      <c r="I16" s="561">
        <v>0</v>
      </c>
      <c r="J16" s="561">
        <v>0</v>
      </c>
      <c r="K16" s="561">
        <v>0</v>
      </c>
      <c r="L16" s="561">
        <v>0</v>
      </c>
      <c r="M16" s="561">
        <v>0</v>
      </c>
      <c r="N16" s="561">
        <v>0</v>
      </c>
      <c r="O16" s="561">
        <v>0</v>
      </c>
      <c r="P16" s="561">
        <v>0</v>
      </c>
      <c r="Q16" s="561">
        <v>0</v>
      </c>
      <c r="R16" s="561">
        <v>0</v>
      </c>
      <c r="S16" s="561">
        <v>2095</v>
      </c>
      <c r="T16" s="561">
        <v>-59974</v>
      </c>
      <c r="U16" s="561">
        <v>-444</v>
      </c>
      <c r="V16" s="561">
        <v>0</v>
      </c>
      <c r="W16" s="561">
        <v>0</v>
      </c>
      <c r="X16" s="561">
        <v>0</v>
      </c>
      <c r="Y16" s="348">
        <f>SUM(E16:X16)</f>
        <v>1767</v>
      </c>
      <c r="Z16" s="352"/>
      <c r="AA16" s="561">
        <f>-1188+35</f>
        <v>-1153</v>
      </c>
      <c r="AB16" s="561">
        <v>0</v>
      </c>
      <c r="AC16" s="561">
        <v>0</v>
      </c>
      <c r="AD16" s="561">
        <v>0</v>
      </c>
      <c r="AE16" s="561">
        <v>0</v>
      </c>
      <c r="AF16" s="561">
        <v>0</v>
      </c>
      <c r="AG16" s="561">
        <v>0</v>
      </c>
      <c r="AH16" s="561">
        <v>0</v>
      </c>
      <c r="AI16" s="561">
        <v>0</v>
      </c>
      <c r="AJ16" s="561">
        <v>0</v>
      </c>
      <c r="AK16" s="561">
        <v>0</v>
      </c>
      <c r="AL16" s="561">
        <v>0</v>
      </c>
      <c r="AM16" s="561">
        <v>0</v>
      </c>
      <c r="AN16" s="561">
        <v>0</v>
      </c>
      <c r="AO16" s="561">
        <v>0</v>
      </c>
      <c r="AP16" s="561">
        <v>0</v>
      </c>
      <c r="AQ16" s="561">
        <v>0</v>
      </c>
      <c r="AR16" s="561">
        <v>0</v>
      </c>
      <c r="AS16" s="561">
        <v>0</v>
      </c>
      <c r="AT16" s="561">
        <v>0</v>
      </c>
      <c r="AU16" s="561">
        <v>0</v>
      </c>
      <c r="AV16" s="561">
        <v>0</v>
      </c>
      <c r="AW16" s="561">
        <v>0</v>
      </c>
      <c r="AX16" s="539">
        <v>0</v>
      </c>
      <c r="AY16" s="729">
        <f>SUM(Y16:AX16)</f>
        <v>614</v>
      </c>
    </row>
    <row r="17" spans="1:51">
      <c r="A17" s="121">
        <v>4</v>
      </c>
      <c r="B17" s="1" t="s">
        <v>36</v>
      </c>
      <c r="C17" s="4"/>
      <c r="D17" s="4"/>
      <c r="E17" s="262">
        <f>SUM(E14:E16)</f>
        <v>207825</v>
      </c>
      <c r="F17" s="262">
        <f t="shared" ref="F17:O17" si="2">SUM(F14:F16)</f>
        <v>0</v>
      </c>
      <c r="G17" s="262">
        <f t="shared" si="2"/>
        <v>0</v>
      </c>
      <c r="H17" s="311">
        <f t="shared" si="2"/>
        <v>0</v>
      </c>
      <c r="I17" s="311">
        <f>SUM(I14:I16)</f>
        <v>0</v>
      </c>
      <c r="J17" s="311">
        <f t="shared" si="2"/>
        <v>-5247</v>
      </c>
      <c r="K17" s="311">
        <f>SUM(K14:K16)</f>
        <v>0</v>
      </c>
      <c r="L17" s="311">
        <f t="shared" si="2"/>
        <v>0</v>
      </c>
      <c r="M17" s="311">
        <f t="shared" si="2"/>
        <v>0</v>
      </c>
      <c r="N17" s="311">
        <f t="shared" si="2"/>
        <v>0</v>
      </c>
      <c r="O17" s="311">
        <f t="shared" si="2"/>
        <v>0</v>
      </c>
      <c r="P17" s="311">
        <f t="shared" ref="P17:Y17" si="3">SUM(P14:P16)</f>
        <v>0</v>
      </c>
      <c r="Q17" s="311">
        <f t="shared" si="3"/>
        <v>0</v>
      </c>
      <c r="R17" s="311">
        <f t="shared" si="3"/>
        <v>0</v>
      </c>
      <c r="S17" s="311">
        <f t="shared" si="3"/>
        <v>-1836</v>
      </c>
      <c r="T17" s="311">
        <f t="shared" si="3"/>
        <v>-51914</v>
      </c>
      <c r="U17" s="262">
        <f t="shared" si="3"/>
        <v>-444</v>
      </c>
      <c r="V17" s="311">
        <f t="shared" si="3"/>
        <v>0</v>
      </c>
      <c r="W17" s="311">
        <f t="shared" si="3"/>
        <v>0</v>
      </c>
      <c r="X17" s="311">
        <f t="shared" si="3"/>
        <v>0</v>
      </c>
      <c r="Y17" s="347">
        <f t="shared" si="3"/>
        <v>148384</v>
      </c>
      <c r="Z17" s="352"/>
      <c r="AA17" s="311">
        <f t="shared" ref="AA17:AY17" si="4">SUM(AA14:AA16)</f>
        <v>-42597</v>
      </c>
      <c r="AB17" s="311">
        <f t="shared" si="4"/>
        <v>0</v>
      </c>
      <c r="AC17" s="311">
        <f t="shared" si="4"/>
        <v>0</v>
      </c>
      <c r="AD17" s="311">
        <f t="shared" si="4"/>
        <v>0</v>
      </c>
      <c r="AE17" s="311">
        <f t="shared" si="4"/>
        <v>0</v>
      </c>
      <c r="AF17" s="311">
        <f t="shared" si="4"/>
        <v>0</v>
      </c>
      <c r="AG17" s="311">
        <f t="shared" si="4"/>
        <v>0</v>
      </c>
      <c r="AH17" s="311">
        <f t="shared" si="4"/>
        <v>0</v>
      </c>
      <c r="AI17" s="311">
        <f t="shared" si="4"/>
        <v>0</v>
      </c>
      <c r="AJ17" s="311">
        <f t="shared" si="4"/>
        <v>0</v>
      </c>
      <c r="AK17" s="578">
        <f t="shared" si="4"/>
        <v>0</v>
      </c>
      <c r="AL17" s="578">
        <f t="shared" si="4"/>
        <v>0</v>
      </c>
      <c r="AM17" s="578">
        <f t="shared" si="4"/>
        <v>0</v>
      </c>
      <c r="AN17" s="578">
        <f t="shared" si="4"/>
        <v>0</v>
      </c>
      <c r="AO17" s="578">
        <f t="shared" si="4"/>
        <v>0</v>
      </c>
      <c r="AP17" s="311">
        <f t="shared" si="4"/>
        <v>0</v>
      </c>
      <c r="AQ17" s="311">
        <f t="shared" si="4"/>
        <v>0</v>
      </c>
      <c r="AR17" s="311">
        <f t="shared" si="4"/>
        <v>0</v>
      </c>
      <c r="AS17" s="311">
        <f t="shared" si="4"/>
        <v>0</v>
      </c>
      <c r="AT17" s="311">
        <f t="shared" ref="AT17" si="5">SUM(AT14:AT16)</f>
        <v>0</v>
      </c>
      <c r="AU17" s="311">
        <f t="shared" ref="AU17:AV17" si="6">SUM(AU14:AU16)</f>
        <v>0</v>
      </c>
      <c r="AV17" s="311">
        <f t="shared" si="6"/>
        <v>0</v>
      </c>
      <c r="AW17" s="311">
        <f t="shared" ref="AW17" si="7">SUM(AW14:AW16)</f>
        <v>0</v>
      </c>
      <c r="AX17" s="540">
        <f t="shared" si="4"/>
        <v>0</v>
      </c>
      <c r="AY17" s="728">
        <f t="shared" si="4"/>
        <v>105787</v>
      </c>
    </row>
    <row r="18" spans="1:51" ht="7.5" customHeight="1">
      <c r="C18" s="4"/>
      <c r="D18" s="4"/>
      <c r="E18" s="262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347"/>
      <c r="Z18" s="352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2"/>
      <c r="AL18" s="562"/>
      <c r="AM18" s="562"/>
      <c r="AN18" s="562"/>
      <c r="AO18" s="562"/>
      <c r="AP18" s="560"/>
      <c r="AQ18" s="560"/>
      <c r="AR18" s="560"/>
      <c r="AS18" s="560"/>
      <c r="AT18" s="560"/>
      <c r="AU18" s="560"/>
      <c r="AV18" s="560"/>
      <c r="AW18" s="560"/>
      <c r="AX18" s="538"/>
      <c r="AY18" s="728"/>
    </row>
    <row r="19" spans="1:51">
      <c r="B19" s="1" t="s">
        <v>37</v>
      </c>
      <c r="C19" s="4"/>
      <c r="D19" s="4"/>
      <c r="E19" s="262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347"/>
      <c r="Z19" s="352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2"/>
      <c r="AL19" s="562"/>
      <c r="AM19" s="562"/>
      <c r="AN19" s="562"/>
      <c r="AO19" s="562"/>
      <c r="AP19" s="560"/>
      <c r="AQ19" s="560"/>
      <c r="AR19" s="560"/>
      <c r="AS19" s="560"/>
      <c r="AT19" s="560"/>
      <c r="AU19" s="560"/>
      <c r="AV19" s="560"/>
      <c r="AW19" s="560"/>
      <c r="AX19" s="538"/>
      <c r="AY19" s="728"/>
    </row>
    <row r="20" spans="1:51">
      <c r="B20" s="4" t="s">
        <v>203</v>
      </c>
      <c r="D20" s="4"/>
      <c r="E20" s="262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347"/>
      <c r="Z20" s="352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2"/>
      <c r="AL20" s="562"/>
      <c r="AM20" s="562"/>
      <c r="AN20" s="562"/>
      <c r="AO20" s="562"/>
      <c r="AP20" s="560"/>
      <c r="AQ20" s="560"/>
      <c r="AR20" s="560"/>
      <c r="AS20" s="560"/>
      <c r="AT20" s="560"/>
      <c r="AU20" s="560"/>
      <c r="AV20" s="560"/>
      <c r="AW20" s="560"/>
      <c r="AX20" s="538"/>
      <c r="AY20" s="728"/>
    </row>
    <row r="21" spans="1:51">
      <c r="A21" s="121">
        <v>5</v>
      </c>
      <c r="C21" s="4" t="s">
        <v>38</v>
      </c>
      <c r="D21" s="4"/>
      <c r="E21" s="262">
        <f>'ROO INPUT'!$F22</f>
        <v>100541</v>
      </c>
      <c r="F21" s="560">
        <v>0</v>
      </c>
      <c r="G21" s="560">
        <v>0</v>
      </c>
      <c r="H21" s="560">
        <v>0</v>
      </c>
      <c r="I21" s="560">
        <v>0</v>
      </c>
      <c r="J21" s="560">
        <v>0</v>
      </c>
      <c r="K21" s="560">
        <v>0</v>
      </c>
      <c r="L21" s="560">
        <v>0</v>
      </c>
      <c r="M21" s="560">
        <v>0</v>
      </c>
      <c r="N21" s="560">
        <v>0</v>
      </c>
      <c r="O21" s="560">
        <v>0</v>
      </c>
      <c r="P21" s="560">
        <v>0</v>
      </c>
      <c r="Q21" s="560">
        <v>0</v>
      </c>
      <c r="R21" s="560">
        <v>0</v>
      </c>
      <c r="S21" s="560">
        <v>-1655</v>
      </c>
      <c r="T21" s="560">
        <v>-47738</v>
      </c>
      <c r="U21" s="560">
        <v>0</v>
      </c>
      <c r="V21" s="560">
        <v>0</v>
      </c>
      <c r="W21" s="560">
        <v>0</v>
      </c>
      <c r="X21" s="560">
        <v>0</v>
      </c>
      <c r="Y21" s="347">
        <f>SUM(E21:X21)</f>
        <v>51148</v>
      </c>
      <c r="Z21" s="352"/>
      <c r="AA21" s="560">
        <v>-51148</v>
      </c>
      <c r="AB21" s="560">
        <v>0</v>
      </c>
      <c r="AC21" s="560">
        <v>0</v>
      </c>
      <c r="AD21" s="560">
        <v>0</v>
      </c>
      <c r="AE21" s="560">
        <v>0</v>
      </c>
      <c r="AF21" s="560">
        <v>0</v>
      </c>
      <c r="AG21" s="560">
        <v>0</v>
      </c>
      <c r="AH21" s="560">
        <v>0</v>
      </c>
      <c r="AI21" s="560">
        <v>0</v>
      </c>
      <c r="AJ21" s="560">
        <v>0</v>
      </c>
      <c r="AK21" s="562">
        <v>0</v>
      </c>
      <c r="AL21" s="562">
        <v>0</v>
      </c>
      <c r="AM21" s="562">
        <v>0</v>
      </c>
      <c r="AN21" s="562">
        <v>0</v>
      </c>
      <c r="AO21" s="562">
        <v>0</v>
      </c>
      <c r="AP21" s="560">
        <v>0</v>
      </c>
      <c r="AQ21" s="560">
        <v>0</v>
      </c>
      <c r="AR21" s="560">
        <v>0</v>
      </c>
      <c r="AS21" s="560">
        <v>0</v>
      </c>
      <c r="AT21" s="560">
        <v>0</v>
      </c>
      <c r="AU21" s="560">
        <v>0</v>
      </c>
      <c r="AV21" s="560">
        <v>0</v>
      </c>
      <c r="AW21" s="560">
        <v>0</v>
      </c>
      <c r="AX21" s="538">
        <v>0</v>
      </c>
      <c r="AY21" s="728">
        <f>SUM(Y21:AX21)</f>
        <v>0</v>
      </c>
    </row>
    <row r="22" spans="1:51">
      <c r="A22" s="121">
        <v>6</v>
      </c>
      <c r="C22" s="4" t="s">
        <v>39</v>
      </c>
      <c r="D22" s="4"/>
      <c r="E22" s="262">
        <f>'ROO INPUT'!$F23</f>
        <v>959</v>
      </c>
      <c r="F22" s="560">
        <v>0</v>
      </c>
      <c r="G22" s="560">
        <v>0</v>
      </c>
      <c r="H22" s="560">
        <v>0</v>
      </c>
      <c r="I22" s="560">
        <v>0</v>
      </c>
      <c r="J22" s="560">
        <v>0</v>
      </c>
      <c r="K22" s="560">
        <v>0</v>
      </c>
      <c r="L22" s="560">
        <v>0</v>
      </c>
      <c r="M22" s="560">
        <v>0</v>
      </c>
      <c r="N22" s="560">
        <v>0</v>
      </c>
      <c r="O22" s="560">
        <v>0</v>
      </c>
      <c r="P22" s="560">
        <v>0</v>
      </c>
      <c r="Q22" s="560">
        <v>0</v>
      </c>
      <c r="R22" s="560">
        <v>0</v>
      </c>
      <c r="S22" s="560">
        <v>-3</v>
      </c>
      <c r="T22" s="560">
        <v>0</v>
      </c>
      <c r="U22" s="560">
        <v>0</v>
      </c>
      <c r="V22" s="560">
        <v>0</v>
      </c>
      <c r="W22" s="560">
        <v>0</v>
      </c>
      <c r="X22" s="560">
        <v>0</v>
      </c>
      <c r="Y22" s="347">
        <f>SUM(E22:X22)</f>
        <v>956</v>
      </c>
      <c r="Z22" s="352"/>
      <c r="AA22" s="560">
        <v>0</v>
      </c>
      <c r="AB22" s="560">
        <v>0</v>
      </c>
      <c r="AC22" s="560">
        <v>0</v>
      </c>
      <c r="AD22" s="560">
        <f>+'[15]ADJ DETAIL INPUT'!$AD$22</f>
        <v>30</v>
      </c>
      <c r="AE22" s="560">
        <v>0</v>
      </c>
      <c r="AF22" s="560">
        <v>10</v>
      </c>
      <c r="AG22" s="560">
        <v>0</v>
      </c>
      <c r="AH22" s="560">
        <v>0</v>
      </c>
      <c r="AI22" s="560">
        <v>0</v>
      </c>
      <c r="AJ22" s="560">
        <v>0</v>
      </c>
      <c r="AK22" s="562">
        <v>0</v>
      </c>
      <c r="AL22" s="562">
        <v>0</v>
      </c>
      <c r="AM22" s="562">
        <v>0</v>
      </c>
      <c r="AN22" s="562">
        <v>0</v>
      </c>
      <c r="AO22" s="562">
        <v>0</v>
      </c>
      <c r="AP22" s="560">
        <v>0</v>
      </c>
      <c r="AQ22" s="560">
        <v>0</v>
      </c>
      <c r="AR22" s="560">
        <v>0</v>
      </c>
      <c r="AS22" s="560">
        <v>0</v>
      </c>
      <c r="AT22" s="560">
        <v>0</v>
      </c>
      <c r="AU22" s="560">
        <v>0</v>
      </c>
      <c r="AV22" s="560">
        <v>0</v>
      </c>
      <c r="AW22" s="560">
        <v>0</v>
      </c>
      <c r="AX22" s="538">
        <v>0</v>
      </c>
      <c r="AY22" s="728">
        <f>SUM(Y22:AX22)</f>
        <v>996</v>
      </c>
    </row>
    <row r="23" spans="1:51">
      <c r="A23" s="121">
        <v>7</v>
      </c>
      <c r="C23" s="4" t="s">
        <v>40</v>
      </c>
      <c r="D23" s="4"/>
      <c r="E23" s="264">
        <f>'ROO INPUT'!$F24</f>
        <v>-1928</v>
      </c>
      <c r="F23" s="561">
        <v>0</v>
      </c>
      <c r="G23" s="561">
        <v>0</v>
      </c>
      <c r="H23" s="561">
        <v>0</v>
      </c>
      <c r="I23" s="561">
        <v>0</v>
      </c>
      <c r="J23" s="561">
        <v>0</v>
      </c>
      <c r="K23" s="561">
        <v>0</v>
      </c>
      <c r="L23" s="561">
        <v>0</v>
      </c>
      <c r="M23" s="561">
        <v>0</v>
      </c>
      <c r="N23" s="561">
        <v>0</v>
      </c>
      <c r="O23" s="561">
        <v>0</v>
      </c>
      <c r="P23" s="561">
        <v>0</v>
      </c>
      <c r="Q23" s="561">
        <v>0</v>
      </c>
      <c r="R23" s="561">
        <v>0</v>
      </c>
      <c r="S23" s="561">
        <v>0</v>
      </c>
      <c r="T23" s="561">
        <v>1928</v>
      </c>
      <c r="U23" s="561">
        <v>0</v>
      </c>
      <c r="V23" s="561">
        <v>0</v>
      </c>
      <c r="W23" s="561">
        <v>0</v>
      </c>
      <c r="X23" s="561">
        <v>0</v>
      </c>
      <c r="Y23" s="348">
        <f>SUM(E23:X23)</f>
        <v>0</v>
      </c>
      <c r="Z23" s="352"/>
      <c r="AA23" s="561">
        <v>0</v>
      </c>
      <c r="AB23" s="561">
        <v>0</v>
      </c>
      <c r="AC23" s="561">
        <v>0</v>
      </c>
      <c r="AD23" s="561"/>
      <c r="AE23" s="561">
        <v>0</v>
      </c>
      <c r="AF23" s="561">
        <v>0</v>
      </c>
      <c r="AG23" s="561">
        <v>0</v>
      </c>
      <c r="AH23" s="561">
        <v>0</v>
      </c>
      <c r="AI23" s="561">
        <v>0</v>
      </c>
      <c r="AJ23" s="561">
        <v>0</v>
      </c>
      <c r="AK23" s="561">
        <v>0</v>
      </c>
      <c r="AL23" s="561">
        <v>0</v>
      </c>
      <c r="AM23" s="561">
        <v>0</v>
      </c>
      <c r="AN23" s="561">
        <v>0</v>
      </c>
      <c r="AO23" s="561">
        <v>0</v>
      </c>
      <c r="AP23" s="561">
        <v>0</v>
      </c>
      <c r="AQ23" s="561">
        <v>0</v>
      </c>
      <c r="AR23" s="561">
        <v>0</v>
      </c>
      <c r="AS23" s="561">
        <v>0</v>
      </c>
      <c r="AT23" s="561">
        <v>0</v>
      </c>
      <c r="AU23" s="561">
        <v>0</v>
      </c>
      <c r="AV23" s="561">
        <v>0</v>
      </c>
      <c r="AW23" s="561">
        <v>0</v>
      </c>
      <c r="AX23" s="539">
        <v>0</v>
      </c>
      <c r="AY23" s="729">
        <f>SUM(Y23:AX23)</f>
        <v>0</v>
      </c>
    </row>
    <row r="24" spans="1:51">
      <c r="A24" s="121">
        <v>8</v>
      </c>
      <c r="B24" s="4" t="s">
        <v>41</v>
      </c>
      <c r="C24" s="4"/>
      <c r="E24" s="311">
        <f>SUM(E21:E23)</f>
        <v>99572</v>
      </c>
      <c r="F24" s="311">
        <f t="shared" ref="F24:O24" si="8">SUM(F21:F23)</f>
        <v>0</v>
      </c>
      <c r="G24" s="311">
        <f t="shared" si="8"/>
        <v>0</v>
      </c>
      <c r="H24" s="311">
        <f t="shared" si="8"/>
        <v>0</v>
      </c>
      <c r="I24" s="311">
        <f>SUM(I21:I23)</f>
        <v>0</v>
      </c>
      <c r="J24" s="311">
        <f t="shared" si="8"/>
        <v>0</v>
      </c>
      <c r="K24" s="311">
        <f>SUM(K21:K23)</f>
        <v>0</v>
      </c>
      <c r="L24" s="311">
        <f t="shared" si="8"/>
        <v>0</v>
      </c>
      <c r="M24" s="311">
        <f t="shared" si="8"/>
        <v>0</v>
      </c>
      <c r="N24" s="311">
        <f t="shared" si="8"/>
        <v>0</v>
      </c>
      <c r="O24" s="311">
        <f t="shared" si="8"/>
        <v>0</v>
      </c>
      <c r="P24" s="311">
        <f t="shared" ref="P24:U24" si="9">SUM(P21:P23)</f>
        <v>0</v>
      </c>
      <c r="Q24" s="311">
        <f t="shared" si="9"/>
        <v>0</v>
      </c>
      <c r="R24" s="311">
        <f t="shared" si="9"/>
        <v>0</v>
      </c>
      <c r="S24" s="311">
        <f t="shared" si="9"/>
        <v>-1658</v>
      </c>
      <c r="T24" s="311">
        <f t="shared" si="9"/>
        <v>-45810</v>
      </c>
      <c r="U24" s="311">
        <f t="shared" si="9"/>
        <v>0</v>
      </c>
      <c r="V24" s="311">
        <f t="shared" ref="V24:AA24" si="10">SUM(V21:V23)</f>
        <v>0</v>
      </c>
      <c r="W24" s="311">
        <f t="shared" si="10"/>
        <v>0</v>
      </c>
      <c r="X24" s="311">
        <f t="shared" si="10"/>
        <v>0</v>
      </c>
      <c r="Y24" s="347">
        <f t="shared" si="10"/>
        <v>52104</v>
      </c>
      <c r="Z24" s="352"/>
      <c r="AA24" s="311">
        <f t="shared" si="10"/>
        <v>-51148</v>
      </c>
      <c r="AB24" s="311">
        <f t="shared" ref="AB24:AY24" si="11">SUM(AB21:AB23)</f>
        <v>0</v>
      </c>
      <c r="AC24" s="311">
        <f t="shared" si="11"/>
        <v>0</v>
      </c>
      <c r="AD24" s="311">
        <f t="shared" si="11"/>
        <v>30</v>
      </c>
      <c r="AE24" s="311">
        <f t="shared" si="11"/>
        <v>0</v>
      </c>
      <c r="AF24" s="311">
        <f t="shared" si="11"/>
        <v>10</v>
      </c>
      <c r="AG24" s="311">
        <f t="shared" si="11"/>
        <v>0</v>
      </c>
      <c r="AH24" s="311">
        <f t="shared" si="11"/>
        <v>0</v>
      </c>
      <c r="AI24" s="311">
        <f t="shared" si="11"/>
        <v>0</v>
      </c>
      <c r="AJ24" s="311">
        <f t="shared" si="11"/>
        <v>0</v>
      </c>
      <c r="AK24" s="578">
        <f t="shared" si="11"/>
        <v>0</v>
      </c>
      <c r="AL24" s="578">
        <f t="shared" si="11"/>
        <v>0</v>
      </c>
      <c r="AM24" s="578">
        <f t="shared" si="11"/>
        <v>0</v>
      </c>
      <c r="AN24" s="578">
        <f t="shared" si="11"/>
        <v>0</v>
      </c>
      <c r="AO24" s="578">
        <f t="shared" si="11"/>
        <v>0</v>
      </c>
      <c r="AP24" s="311">
        <f t="shared" si="11"/>
        <v>0</v>
      </c>
      <c r="AQ24" s="311">
        <f t="shared" si="11"/>
        <v>0</v>
      </c>
      <c r="AR24" s="311">
        <f t="shared" si="11"/>
        <v>0</v>
      </c>
      <c r="AS24" s="311">
        <f t="shared" si="11"/>
        <v>0</v>
      </c>
      <c r="AT24" s="311">
        <f t="shared" si="11"/>
        <v>0</v>
      </c>
      <c r="AU24" s="311">
        <f t="shared" ref="AU24:AV24" si="12">SUM(AU21:AU23)</f>
        <v>0</v>
      </c>
      <c r="AV24" s="311">
        <f t="shared" si="12"/>
        <v>0</v>
      </c>
      <c r="AW24" s="311">
        <f t="shared" ref="AW24" si="13">SUM(AW21:AW23)</f>
        <v>0</v>
      </c>
      <c r="AX24" s="540">
        <f t="shared" si="11"/>
        <v>0</v>
      </c>
      <c r="AY24" s="728">
        <f t="shared" si="11"/>
        <v>996</v>
      </c>
    </row>
    <row r="25" spans="1:51" ht="9" customHeight="1">
      <c r="B25" s="4"/>
      <c r="C25" s="4"/>
      <c r="E25" s="262"/>
      <c r="F25" s="262"/>
      <c r="G25" s="26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262"/>
      <c r="V25" s="311"/>
      <c r="W25" s="311"/>
      <c r="X25" s="311"/>
      <c r="Y25" s="347"/>
      <c r="Z25" s="352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578"/>
      <c r="AL25" s="578"/>
      <c r="AM25" s="578"/>
      <c r="AN25" s="578"/>
      <c r="AO25" s="578"/>
      <c r="AP25" s="311"/>
      <c r="AQ25" s="311"/>
      <c r="AR25" s="311"/>
      <c r="AS25" s="311"/>
      <c r="AT25" s="311"/>
      <c r="AU25" s="311"/>
      <c r="AV25" s="311"/>
      <c r="AW25" s="311"/>
      <c r="AX25" s="540"/>
      <c r="AY25" s="728"/>
    </row>
    <row r="26" spans="1:51">
      <c r="B26" s="4" t="s">
        <v>42</v>
      </c>
      <c r="D26" s="4"/>
      <c r="E26" s="262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347"/>
      <c r="Z26" s="352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2"/>
      <c r="AL26" s="562"/>
      <c r="AM26" s="562"/>
      <c r="AN26" s="562"/>
      <c r="AO26" s="562"/>
      <c r="AP26" s="560"/>
      <c r="AQ26" s="560"/>
      <c r="AR26" s="560"/>
      <c r="AS26" s="560"/>
      <c r="AT26" s="560"/>
      <c r="AU26" s="560"/>
      <c r="AV26" s="560"/>
      <c r="AW26" s="560"/>
      <c r="AX26" s="538"/>
      <c r="AY26" s="728"/>
    </row>
    <row r="27" spans="1:51">
      <c r="A27" s="121">
        <v>9</v>
      </c>
      <c r="C27" s="4" t="s">
        <v>43</v>
      </c>
      <c r="D27" s="4"/>
      <c r="E27" s="262">
        <f>'ROO INPUT'!$F28</f>
        <v>1883</v>
      </c>
      <c r="F27" s="560">
        <v>0</v>
      </c>
      <c r="G27" s="560">
        <v>0</v>
      </c>
      <c r="H27" s="560">
        <v>0</v>
      </c>
      <c r="I27" s="560">
        <v>0</v>
      </c>
      <c r="J27" s="560">
        <v>0</v>
      </c>
      <c r="K27" s="560">
        <v>0</v>
      </c>
      <c r="L27" s="560">
        <v>0</v>
      </c>
      <c r="M27" s="560">
        <v>0</v>
      </c>
      <c r="N27" s="560">
        <v>0</v>
      </c>
      <c r="O27" s="560">
        <v>0</v>
      </c>
      <c r="P27" s="560">
        <v>0</v>
      </c>
      <c r="Q27" s="560">
        <v>0</v>
      </c>
      <c r="R27" s="560">
        <v>0</v>
      </c>
      <c r="S27" s="560">
        <v>0</v>
      </c>
      <c r="T27" s="560">
        <v>0</v>
      </c>
      <c r="U27" s="560">
        <v>0</v>
      </c>
      <c r="V27" s="560">
        <v>0</v>
      </c>
      <c r="W27" s="560">
        <v>0</v>
      </c>
      <c r="X27" s="560">
        <v>0</v>
      </c>
      <c r="Y27" s="347">
        <f>SUM(E27:X27)</f>
        <v>1883</v>
      </c>
      <c r="Z27" s="352"/>
      <c r="AA27" s="560">
        <v>0</v>
      </c>
      <c r="AB27" s="560">
        <v>0</v>
      </c>
      <c r="AC27" s="560">
        <v>0</v>
      </c>
      <c r="AD27" s="560">
        <v>0</v>
      </c>
      <c r="AE27" s="560">
        <v>0</v>
      </c>
      <c r="AF27" s="560">
        <v>0</v>
      </c>
      <c r="AG27" s="560">
        <v>0</v>
      </c>
      <c r="AH27" s="560">
        <v>0</v>
      </c>
      <c r="AI27" s="560">
        <v>0</v>
      </c>
      <c r="AJ27" s="560">
        <v>0</v>
      </c>
      <c r="AK27" s="562">
        <v>0</v>
      </c>
      <c r="AL27" s="562">
        <v>0</v>
      </c>
      <c r="AM27" s="562">
        <v>0</v>
      </c>
      <c r="AN27" s="562">
        <v>0</v>
      </c>
      <c r="AO27" s="562">
        <v>0</v>
      </c>
      <c r="AP27" s="560">
        <v>0</v>
      </c>
      <c r="AQ27" s="560">
        <v>0</v>
      </c>
      <c r="AR27" s="560">
        <v>0</v>
      </c>
      <c r="AS27" s="560">
        <v>0</v>
      </c>
      <c r="AT27" s="560">
        <v>0</v>
      </c>
      <c r="AU27" s="560">
        <v>0</v>
      </c>
      <c r="AV27" s="560">
        <v>0</v>
      </c>
      <c r="AW27" s="560">
        <v>0</v>
      </c>
      <c r="AX27" s="538">
        <v>0</v>
      </c>
      <c r="AY27" s="728">
        <f>SUM(Y27:AX27)</f>
        <v>1883</v>
      </c>
    </row>
    <row r="28" spans="1:51">
      <c r="A28" s="121">
        <v>10</v>
      </c>
      <c r="C28" s="4" t="s">
        <v>199</v>
      </c>
      <c r="D28" s="4"/>
      <c r="E28" s="262">
        <f>'ROO INPUT'!$F29</f>
        <v>494</v>
      </c>
      <c r="F28" s="560">
        <v>0</v>
      </c>
      <c r="G28" s="560">
        <v>0</v>
      </c>
      <c r="H28" s="560">
        <v>0</v>
      </c>
      <c r="I28" s="560">
        <v>0</v>
      </c>
      <c r="J28" s="560">
        <v>0</v>
      </c>
      <c r="K28" s="560">
        <v>0</v>
      </c>
      <c r="L28" s="560">
        <v>0</v>
      </c>
      <c r="M28" s="560">
        <v>0</v>
      </c>
      <c r="N28" s="560">
        <v>0</v>
      </c>
      <c r="O28" s="560">
        <v>0</v>
      </c>
      <c r="P28" s="560">
        <v>0</v>
      </c>
      <c r="Q28" s="560">
        <v>0</v>
      </c>
      <c r="R28" s="560">
        <v>0</v>
      </c>
      <c r="S28" s="560">
        <v>0</v>
      </c>
      <c r="T28" s="560">
        <v>0</v>
      </c>
      <c r="U28" s="560">
        <v>0</v>
      </c>
      <c r="V28" s="560">
        <v>0</v>
      </c>
      <c r="W28" s="560">
        <v>0</v>
      </c>
      <c r="X28" s="560">
        <v>-164</v>
      </c>
      <c r="Y28" s="347">
        <f>SUM(E28:X28)</f>
        <v>330</v>
      </c>
      <c r="Z28" s="352"/>
      <c r="AA28" s="560">
        <v>0</v>
      </c>
      <c r="AB28" s="560">
        <v>0</v>
      </c>
      <c r="AC28" s="560">
        <v>0</v>
      </c>
      <c r="AD28" s="560">
        <v>0</v>
      </c>
      <c r="AE28" s="560">
        <v>0</v>
      </c>
      <c r="AF28" s="560">
        <v>0</v>
      </c>
      <c r="AG28" s="560">
        <v>0</v>
      </c>
      <c r="AH28" s="560">
        <v>0</v>
      </c>
      <c r="AI28" s="560">
        <v>0</v>
      </c>
      <c r="AJ28" s="560">
        <v>0</v>
      </c>
      <c r="AK28" s="562">
        <v>0</v>
      </c>
      <c r="AL28" s="562">
        <v>0</v>
      </c>
      <c r="AM28" s="562">
        <v>0</v>
      </c>
      <c r="AN28" s="562">
        <v>0</v>
      </c>
      <c r="AO28" s="562">
        <v>0</v>
      </c>
      <c r="AP28" s="560">
        <v>0</v>
      </c>
      <c r="AQ28" s="560">
        <v>0</v>
      </c>
      <c r="AR28" s="560">
        <v>0</v>
      </c>
      <c r="AS28" s="560">
        <f>+[14]Gas!$L$34</f>
        <v>104.932</v>
      </c>
      <c r="AT28" s="560">
        <v>0</v>
      </c>
      <c r="AU28" s="560">
        <v>0</v>
      </c>
      <c r="AV28" s="560">
        <v>0</v>
      </c>
      <c r="AW28" s="560">
        <v>0</v>
      </c>
      <c r="AX28" s="538">
        <v>0</v>
      </c>
      <c r="AY28" s="728">
        <f>SUM(Y28:AX28)</f>
        <v>434.93200000000002</v>
      </c>
    </row>
    <row r="29" spans="1:51">
      <c r="A29" s="121">
        <v>11</v>
      </c>
      <c r="C29" s="4" t="s">
        <v>21</v>
      </c>
      <c r="D29" s="4"/>
      <c r="E29" s="264">
        <f>'ROO INPUT'!$F30</f>
        <v>323</v>
      </c>
      <c r="F29" s="561">
        <v>0</v>
      </c>
      <c r="G29" s="561">
        <v>0</v>
      </c>
      <c r="H29" s="561">
        <v>0</v>
      </c>
      <c r="I29" s="561">
        <v>0</v>
      </c>
      <c r="J29" s="561">
        <v>0</v>
      </c>
      <c r="K29" s="561">
        <v>-66</v>
      </c>
      <c r="L29" s="561">
        <v>0</v>
      </c>
      <c r="M29" s="561">
        <v>0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1">
        <v>0</v>
      </c>
      <c r="Y29" s="348">
        <f>SUM(E29:X29)</f>
        <v>257</v>
      </c>
      <c r="Z29" s="352"/>
      <c r="AA29" s="561">
        <v>0</v>
      </c>
      <c r="AB29" s="561">
        <v>0</v>
      </c>
      <c r="AC29" s="561">
        <v>0</v>
      </c>
      <c r="AD29" s="561">
        <v>0</v>
      </c>
      <c r="AE29" s="561">
        <v>0</v>
      </c>
      <c r="AF29" s="561">
        <v>0</v>
      </c>
      <c r="AG29" s="561">
        <v>0</v>
      </c>
      <c r="AH29" s="561">
        <v>0</v>
      </c>
      <c r="AI29" s="561">
        <v>35</v>
      </c>
      <c r="AJ29" s="561">
        <v>0</v>
      </c>
      <c r="AK29" s="561">
        <v>0</v>
      </c>
      <c r="AL29" s="561">
        <v>0</v>
      </c>
      <c r="AM29" s="561">
        <v>0</v>
      </c>
      <c r="AN29" s="561">
        <v>0</v>
      </c>
      <c r="AO29" s="561">
        <v>0</v>
      </c>
      <c r="AP29" s="561">
        <v>0</v>
      </c>
      <c r="AQ29" s="561">
        <v>0</v>
      </c>
      <c r="AR29" s="561">
        <v>0</v>
      </c>
      <c r="AS29" s="561">
        <v>0</v>
      </c>
      <c r="AT29" s="561">
        <v>0</v>
      </c>
      <c r="AU29" s="561">
        <v>0</v>
      </c>
      <c r="AV29" s="561">
        <v>0</v>
      </c>
      <c r="AW29" s="561">
        <v>0</v>
      </c>
      <c r="AX29" s="539">
        <v>0</v>
      </c>
      <c r="AY29" s="729">
        <f>SUM(Y29:AX29)</f>
        <v>292</v>
      </c>
    </row>
    <row r="30" spans="1:51">
      <c r="A30" s="121">
        <v>12</v>
      </c>
      <c r="B30" s="4" t="s">
        <v>45</v>
      </c>
      <c r="C30" s="4"/>
      <c r="E30" s="262">
        <f t="shared" ref="E30:Y30" si="14">SUM(E27:E29)</f>
        <v>2700</v>
      </c>
      <c r="F30" s="262">
        <f t="shared" si="14"/>
        <v>0</v>
      </c>
      <c r="G30" s="262">
        <f t="shared" si="14"/>
        <v>0</v>
      </c>
      <c r="H30" s="311">
        <f t="shared" si="14"/>
        <v>0</v>
      </c>
      <c r="I30" s="311">
        <f t="shared" si="14"/>
        <v>0</v>
      </c>
      <c r="J30" s="311">
        <f t="shared" si="14"/>
        <v>0</v>
      </c>
      <c r="K30" s="311">
        <f t="shared" si="14"/>
        <v>-66</v>
      </c>
      <c r="L30" s="311">
        <f t="shared" si="14"/>
        <v>0</v>
      </c>
      <c r="M30" s="311">
        <f t="shared" si="14"/>
        <v>0</v>
      </c>
      <c r="N30" s="311">
        <f t="shared" si="14"/>
        <v>0</v>
      </c>
      <c r="O30" s="311">
        <f t="shared" si="14"/>
        <v>0</v>
      </c>
      <c r="P30" s="311">
        <f t="shared" si="14"/>
        <v>0</v>
      </c>
      <c r="Q30" s="311">
        <f t="shared" si="14"/>
        <v>0</v>
      </c>
      <c r="R30" s="311">
        <f t="shared" si="14"/>
        <v>0</v>
      </c>
      <c r="S30" s="311">
        <f t="shared" si="14"/>
        <v>0</v>
      </c>
      <c r="T30" s="311">
        <f t="shared" si="14"/>
        <v>0</v>
      </c>
      <c r="U30" s="262">
        <f t="shared" si="14"/>
        <v>0</v>
      </c>
      <c r="V30" s="311">
        <f t="shared" si="14"/>
        <v>0</v>
      </c>
      <c r="W30" s="311">
        <f t="shared" si="14"/>
        <v>0</v>
      </c>
      <c r="X30" s="311">
        <f t="shared" si="14"/>
        <v>-164</v>
      </c>
      <c r="Y30" s="347">
        <f t="shared" si="14"/>
        <v>2470</v>
      </c>
      <c r="Z30" s="352"/>
      <c r="AA30" s="311">
        <f t="shared" ref="AA30:AY30" si="15">SUM(AA27:AA29)</f>
        <v>0</v>
      </c>
      <c r="AB30" s="311">
        <f t="shared" si="15"/>
        <v>0</v>
      </c>
      <c r="AC30" s="311">
        <f t="shared" si="15"/>
        <v>0</v>
      </c>
      <c r="AD30" s="311">
        <f t="shared" si="15"/>
        <v>0</v>
      </c>
      <c r="AE30" s="311">
        <f t="shared" si="15"/>
        <v>0</v>
      </c>
      <c r="AF30" s="311">
        <f t="shared" si="15"/>
        <v>0</v>
      </c>
      <c r="AG30" s="311">
        <f t="shared" si="15"/>
        <v>0</v>
      </c>
      <c r="AH30" s="311">
        <f t="shared" si="15"/>
        <v>0</v>
      </c>
      <c r="AI30" s="311">
        <f t="shared" si="15"/>
        <v>35</v>
      </c>
      <c r="AJ30" s="311">
        <f t="shared" si="15"/>
        <v>0</v>
      </c>
      <c r="AK30" s="578">
        <f t="shared" si="15"/>
        <v>0</v>
      </c>
      <c r="AL30" s="578">
        <f t="shared" si="15"/>
        <v>0</v>
      </c>
      <c r="AM30" s="578">
        <f t="shared" si="15"/>
        <v>0</v>
      </c>
      <c r="AN30" s="578">
        <f t="shared" si="15"/>
        <v>0</v>
      </c>
      <c r="AO30" s="578">
        <f t="shared" si="15"/>
        <v>0</v>
      </c>
      <c r="AP30" s="311">
        <f t="shared" si="15"/>
        <v>0</v>
      </c>
      <c r="AQ30" s="311">
        <f t="shared" si="15"/>
        <v>0</v>
      </c>
      <c r="AR30" s="311">
        <f t="shared" si="15"/>
        <v>0</v>
      </c>
      <c r="AS30" s="311">
        <f t="shared" si="15"/>
        <v>104.932</v>
      </c>
      <c r="AT30" s="311">
        <f t="shared" si="15"/>
        <v>0</v>
      </c>
      <c r="AU30" s="311">
        <f t="shared" ref="AU30:AV30" si="16">SUM(AU27:AU29)</f>
        <v>0</v>
      </c>
      <c r="AV30" s="311">
        <f t="shared" si="16"/>
        <v>0</v>
      </c>
      <c r="AW30" s="311">
        <f t="shared" ref="AW30" si="17">SUM(AW27:AW29)</f>
        <v>0</v>
      </c>
      <c r="AX30" s="540">
        <f t="shared" si="15"/>
        <v>0</v>
      </c>
      <c r="AY30" s="728">
        <f t="shared" si="15"/>
        <v>2609.9319999999998</v>
      </c>
    </row>
    <row r="31" spans="1:51" ht="9" customHeight="1">
      <c r="B31" s="4"/>
      <c r="C31" s="4"/>
      <c r="E31" s="262"/>
      <c r="F31" s="262"/>
      <c r="G31" s="262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262"/>
      <c r="V31" s="311"/>
      <c r="W31" s="311"/>
      <c r="X31" s="311"/>
      <c r="Y31" s="347"/>
      <c r="Z31" s="352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578"/>
      <c r="AL31" s="578"/>
      <c r="AM31" s="578"/>
      <c r="AN31" s="578"/>
      <c r="AO31" s="578"/>
      <c r="AP31" s="311"/>
      <c r="AQ31" s="311"/>
      <c r="AR31" s="311"/>
      <c r="AS31" s="311"/>
      <c r="AT31" s="311"/>
      <c r="AU31" s="311"/>
      <c r="AV31" s="311"/>
      <c r="AW31" s="311"/>
      <c r="AX31" s="540"/>
      <c r="AY31" s="728"/>
    </row>
    <row r="32" spans="1:51">
      <c r="B32" s="4" t="s">
        <v>46</v>
      </c>
      <c r="D32" s="4"/>
      <c r="E32" s="262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347"/>
      <c r="Z32" s="352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2"/>
      <c r="AL32" s="562"/>
      <c r="AM32" s="562"/>
      <c r="AN32" s="562"/>
      <c r="AO32" s="562"/>
      <c r="AP32" s="560"/>
      <c r="AQ32" s="560"/>
      <c r="AR32" s="560"/>
      <c r="AS32" s="560"/>
      <c r="AT32" s="560"/>
      <c r="AU32" s="560"/>
      <c r="AV32" s="560"/>
      <c r="AW32" s="560"/>
      <c r="AX32" s="538"/>
      <c r="AY32" s="728"/>
    </row>
    <row r="33" spans="1:56">
      <c r="A33" s="121">
        <v>13</v>
      </c>
      <c r="C33" s="4" t="s">
        <v>43</v>
      </c>
      <c r="D33" s="4"/>
      <c r="E33" s="262">
        <f>'ROO INPUT'!$F34</f>
        <v>13669</v>
      </c>
      <c r="F33" s="560">
        <v>0</v>
      </c>
      <c r="G33" s="560">
        <v>0</v>
      </c>
      <c r="H33" s="560">
        <v>0</v>
      </c>
      <c r="I33" s="560">
        <v>0</v>
      </c>
      <c r="J33" s="560">
        <v>0</v>
      </c>
      <c r="K33" s="560">
        <v>0</v>
      </c>
      <c r="L33" s="560">
        <v>0</v>
      </c>
      <c r="M33" s="560">
        <v>0</v>
      </c>
      <c r="N33" s="560">
        <v>0</v>
      </c>
      <c r="O33" s="560">
        <v>0</v>
      </c>
      <c r="P33" s="560">
        <v>0</v>
      </c>
      <c r="Q33" s="560">
        <v>0</v>
      </c>
      <c r="R33" s="560">
        <v>0</v>
      </c>
      <c r="S33" s="560">
        <v>0</v>
      </c>
      <c r="T33" s="560">
        <v>0</v>
      </c>
      <c r="U33" s="560">
        <v>-2</v>
      </c>
      <c r="V33" s="560">
        <v>0</v>
      </c>
      <c r="W33" s="560">
        <v>0</v>
      </c>
      <c r="X33" s="560">
        <v>0</v>
      </c>
      <c r="Y33" s="347">
        <f>SUM(E33:X33)</f>
        <v>13667</v>
      </c>
      <c r="Z33" s="352"/>
      <c r="AA33" s="560">
        <v>0</v>
      </c>
      <c r="AB33" s="560">
        <v>0</v>
      </c>
      <c r="AC33" s="560">
        <v>0</v>
      </c>
      <c r="AD33" s="560">
        <f>+'[15]ADJ DETAIL INPUT'!AD33</f>
        <v>424</v>
      </c>
      <c r="AE33" s="560"/>
      <c r="AF33" s="560">
        <v>153</v>
      </c>
      <c r="AG33" s="560">
        <v>0</v>
      </c>
      <c r="AH33" s="560">
        <v>0</v>
      </c>
      <c r="AI33" s="560">
        <v>0</v>
      </c>
      <c r="AJ33" s="560">
        <v>0</v>
      </c>
      <c r="AK33" s="562">
        <v>0</v>
      </c>
      <c r="AL33" s="562">
        <v>0</v>
      </c>
      <c r="AM33" s="562">
        <v>0</v>
      </c>
      <c r="AN33" s="562">
        <v>0</v>
      </c>
      <c r="AO33" s="562">
        <v>0</v>
      </c>
      <c r="AP33" s="560">
        <f>-1063+68</f>
        <v>-995</v>
      </c>
      <c r="AQ33" s="560">
        <v>0</v>
      </c>
      <c r="AR33" s="560">
        <v>0</v>
      </c>
      <c r="AS33" s="560">
        <v>0</v>
      </c>
      <c r="AT33" s="560">
        <v>0</v>
      </c>
      <c r="AU33" s="560">
        <v>0</v>
      </c>
      <c r="AV33" s="560">
        <v>0</v>
      </c>
      <c r="AW33" s="560">
        <v>0</v>
      </c>
      <c r="AX33" s="538">
        <v>0</v>
      </c>
      <c r="AY33" s="728">
        <f>SUM(Y33:AX33)</f>
        <v>13249</v>
      </c>
    </row>
    <row r="34" spans="1:56">
      <c r="A34" s="121">
        <v>14</v>
      </c>
      <c r="C34" s="4" t="s">
        <v>199</v>
      </c>
      <c r="D34" s="4"/>
      <c r="E34" s="311">
        <f>'ROO INPUT'!$F35</f>
        <v>12469</v>
      </c>
      <c r="F34" s="560">
        <v>0</v>
      </c>
      <c r="G34" s="560">
        <v>0</v>
      </c>
      <c r="H34" s="560">
        <v>0</v>
      </c>
      <c r="I34" s="560">
        <v>0</v>
      </c>
      <c r="J34" s="560">
        <v>0</v>
      </c>
      <c r="K34" s="560">
        <v>0</v>
      </c>
      <c r="L34" s="560">
        <v>0</v>
      </c>
      <c r="M34" s="560">
        <v>0</v>
      </c>
      <c r="N34" s="560">
        <v>0</v>
      </c>
      <c r="O34" s="560">
        <v>0</v>
      </c>
      <c r="P34" s="560">
        <v>0</v>
      </c>
      <c r="Q34" s="560">
        <v>0</v>
      </c>
      <c r="R34" s="560">
        <v>-11</v>
      </c>
      <c r="S34" s="560">
        <v>0</v>
      </c>
      <c r="T34" s="560">
        <v>0</v>
      </c>
      <c r="U34" s="560">
        <v>0</v>
      </c>
      <c r="V34" s="560">
        <v>0</v>
      </c>
      <c r="W34" s="560">
        <v>0</v>
      </c>
      <c r="X34" s="560">
        <v>-112</v>
      </c>
      <c r="Y34" s="347">
        <f>SUM(E34:X34)</f>
        <v>12346</v>
      </c>
      <c r="Z34" s="352"/>
      <c r="AA34" s="560">
        <v>0</v>
      </c>
      <c r="AB34" s="560">
        <v>0</v>
      </c>
      <c r="AC34" s="560">
        <v>0</v>
      </c>
      <c r="AD34" s="560">
        <v>0</v>
      </c>
      <c r="AE34" s="560">
        <v>0</v>
      </c>
      <c r="AF34" s="560">
        <v>0</v>
      </c>
      <c r="AG34" s="560">
        <v>0</v>
      </c>
      <c r="AH34" s="560">
        <v>0</v>
      </c>
      <c r="AI34" s="560">
        <v>0</v>
      </c>
      <c r="AJ34" s="560">
        <v>0</v>
      </c>
      <c r="AK34" s="562">
        <v>0</v>
      </c>
      <c r="AL34" s="562">
        <v>0</v>
      </c>
      <c r="AM34" s="562">
        <v>0</v>
      </c>
      <c r="AN34" s="562">
        <v>0</v>
      </c>
      <c r="AO34" s="562">
        <v>0</v>
      </c>
      <c r="AP34" s="560">
        <f>1026-161</f>
        <v>865</v>
      </c>
      <c r="AQ34" s="560">
        <v>0</v>
      </c>
      <c r="AR34" s="560">
        <v>0</v>
      </c>
      <c r="AS34" s="560">
        <f>+[14]Gas!$L$35</f>
        <v>855.94865043588322</v>
      </c>
      <c r="AT34" s="560">
        <v>0</v>
      </c>
      <c r="AU34" s="560">
        <v>0</v>
      </c>
      <c r="AV34" s="560">
        <v>0</v>
      </c>
      <c r="AW34" s="560">
        <v>0</v>
      </c>
      <c r="AX34" s="538">
        <v>0</v>
      </c>
      <c r="AY34" s="728">
        <f>SUM(Y34:AX34)</f>
        <v>14066.948650435883</v>
      </c>
    </row>
    <row r="35" spans="1:56">
      <c r="A35" s="121">
        <v>15</v>
      </c>
      <c r="C35" s="4" t="s">
        <v>21</v>
      </c>
      <c r="D35" s="4"/>
      <c r="E35" s="264">
        <f>'ROO INPUT'!$F36</f>
        <v>13739</v>
      </c>
      <c r="F35" s="561">
        <v>0</v>
      </c>
      <c r="G35" s="561">
        <v>0</v>
      </c>
      <c r="H35" s="561">
        <v>0</v>
      </c>
      <c r="I35" s="561">
        <v>0</v>
      </c>
      <c r="J35" s="561">
        <v>-5235</v>
      </c>
      <c r="K35" s="561">
        <v>305</v>
      </c>
      <c r="L35" s="561">
        <v>0</v>
      </c>
      <c r="M35" s="561">
        <v>0</v>
      </c>
      <c r="N35" s="561">
        <v>0</v>
      </c>
      <c r="O35" s="561">
        <v>0</v>
      </c>
      <c r="P35" s="561">
        <v>0</v>
      </c>
      <c r="Q35" s="561">
        <v>1</v>
      </c>
      <c r="R35" s="561">
        <v>0</v>
      </c>
      <c r="S35" s="561">
        <f>ROUND((S$14+S$15)*CF!$E$19,0)</f>
        <v>-151</v>
      </c>
      <c r="T35" s="561">
        <f>ROUND((T$14+T$15)*CF!$E$19,0)</f>
        <v>309</v>
      </c>
      <c r="U35" s="561">
        <v>0</v>
      </c>
      <c r="V35" s="561">
        <v>0</v>
      </c>
      <c r="W35" s="561">
        <v>0</v>
      </c>
      <c r="X35" s="561">
        <v>0</v>
      </c>
      <c r="Y35" s="348">
        <f>SUM(E35:X35)</f>
        <v>8968</v>
      </c>
      <c r="Z35" s="352"/>
      <c r="AA35" s="561">
        <f>ROUND((AA$14+AA$15)*CF!$E$19,0)</f>
        <v>-1591</v>
      </c>
      <c r="AB35" s="561">
        <v>0</v>
      </c>
      <c r="AC35" s="561">
        <v>0</v>
      </c>
      <c r="AD35" s="561">
        <v>0</v>
      </c>
      <c r="AE35" s="561">
        <v>0</v>
      </c>
      <c r="AF35" s="561">
        <v>0</v>
      </c>
      <c r="AG35" s="561">
        <v>0</v>
      </c>
      <c r="AH35" s="561">
        <v>0</v>
      </c>
      <c r="AI35" s="561">
        <v>428</v>
      </c>
      <c r="AJ35" s="561">
        <v>0</v>
      </c>
      <c r="AK35" s="561">
        <v>0</v>
      </c>
      <c r="AL35" s="561">
        <v>0</v>
      </c>
      <c r="AM35" s="561">
        <v>0</v>
      </c>
      <c r="AN35" s="561">
        <v>0</v>
      </c>
      <c r="AO35" s="561">
        <v>0</v>
      </c>
      <c r="AP35" s="561">
        <v>0</v>
      </c>
      <c r="AQ35" s="561">
        <v>0</v>
      </c>
      <c r="AR35" s="561">
        <v>0</v>
      </c>
      <c r="AS35" s="561">
        <v>0</v>
      </c>
      <c r="AT35" s="561">
        <v>0</v>
      </c>
      <c r="AU35" s="561">
        <v>0</v>
      </c>
      <c r="AV35" s="561">
        <v>0</v>
      </c>
      <c r="AW35" s="561">
        <v>0</v>
      </c>
      <c r="AX35" s="539">
        <v>0</v>
      </c>
      <c r="AY35" s="729">
        <f>SUM(Y35:AX35)</f>
        <v>7805</v>
      </c>
    </row>
    <row r="36" spans="1:56" ht="12.95" customHeight="1">
      <c r="A36" s="121">
        <v>16</v>
      </c>
      <c r="B36" s="4" t="s">
        <v>47</v>
      </c>
      <c r="C36" s="4"/>
      <c r="E36" s="262">
        <f t="shared" ref="E36:O36" si="18">SUM(E33:E35)</f>
        <v>39877</v>
      </c>
      <c r="F36" s="262">
        <f t="shared" si="18"/>
        <v>0</v>
      </c>
      <c r="G36" s="262">
        <f t="shared" si="18"/>
        <v>0</v>
      </c>
      <c r="H36" s="311">
        <f t="shared" si="18"/>
        <v>0</v>
      </c>
      <c r="I36" s="311">
        <f>SUM(I33:I35)</f>
        <v>0</v>
      </c>
      <c r="J36" s="311">
        <f t="shared" si="18"/>
        <v>-5235</v>
      </c>
      <c r="K36" s="311">
        <f>SUM(K33:K35)</f>
        <v>305</v>
      </c>
      <c r="L36" s="311">
        <f t="shared" si="18"/>
        <v>0</v>
      </c>
      <c r="M36" s="311">
        <f t="shared" si="18"/>
        <v>0</v>
      </c>
      <c r="N36" s="311">
        <f t="shared" si="18"/>
        <v>0</v>
      </c>
      <c r="O36" s="311">
        <f t="shared" si="18"/>
        <v>0</v>
      </c>
      <c r="P36" s="311">
        <f t="shared" ref="P36:Y36" si="19">SUM(P33:P35)</f>
        <v>0</v>
      </c>
      <c r="Q36" s="311">
        <f t="shared" si="19"/>
        <v>1</v>
      </c>
      <c r="R36" s="311">
        <f t="shared" si="19"/>
        <v>-11</v>
      </c>
      <c r="S36" s="311">
        <f t="shared" si="19"/>
        <v>-151</v>
      </c>
      <c r="T36" s="311">
        <f t="shared" si="19"/>
        <v>309</v>
      </c>
      <c r="U36" s="311">
        <f t="shared" si="19"/>
        <v>-2</v>
      </c>
      <c r="V36" s="311">
        <f t="shared" si="19"/>
        <v>0</v>
      </c>
      <c r="W36" s="311">
        <f t="shared" si="19"/>
        <v>0</v>
      </c>
      <c r="X36" s="311">
        <f t="shared" si="19"/>
        <v>-112</v>
      </c>
      <c r="Y36" s="347">
        <f t="shared" si="19"/>
        <v>34981</v>
      </c>
      <c r="Z36" s="352"/>
      <c r="AA36" s="311">
        <f t="shared" ref="AA36:AY36" si="20">SUM(AA33:AA35)</f>
        <v>-1591</v>
      </c>
      <c r="AB36" s="311">
        <f t="shared" si="20"/>
        <v>0</v>
      </c>
      <c r="AC36" s="311">
        <f t="shared" si="20"/>
        <v>0</v>
      </c>
      <c r="AD36" s="311">
        <f t="shared" si="20"/>
        <v>424</v>
      </c>
      <c r="AE36" s="311">
        <f t="shared" si="20"/>
        <v>0</v>
      </c>
      <c r="AF36" s="311">
        <f t="shared" si="20"/>
        <v>153</v>
      </c>
      <c r="AG36" s="311">
        <f t="shared" si="20"/>
        <v>0</v>
      </c>
      <c r="AH36" s="311">
        <f t="shared" si="20"/>
        <v>0</v>
      </c>
      <c r="AI36" s="311">
        <f t="shared" si="20"/>
        <v>428</v>
      </c>
      <c r="AJ36" s="311">
        <f t="shared" si="20"/>
        <v>0</v>
      </c>
      <c r="AK36" s="578">
        <f t="shared" si="20"/>
        <v>0</v>
      </c>
      <c r="AL36" s="578">
        <f t="shared" si="20"/>
        <v>0</v>
      </c>
      <c r="AM36" s="578">
        <f t="shared" si="20"/>
        <v>0</v>
      </c>
      <c r="AN36" s="578">
        <f t="shared" si="20"/>
        <v>0</v>
      </c>
      <c r="AO36" s="578">
        <f t="shared" si="20"/>
        <v>0</v>
      </c>
      <c r="AP36" s="311">
        <f t="shared" si="20"/>
        <v>-130</v>
      </c>
      <c r="AQ36" s="311">
        <f t="shared" si="20"/>
        <v>0</v>
      </c>
      <c r="AR36" s="311">
        <f t="shared" si="20"/>
        <v>0</v>
      </c>
      <c r="AS36" s="311">
        <f t="shared" si="20"/>
        <v>855.94865043588322</v>
      </c>
      <c r="AT36" s="311">
        <f t="shared" si="20"/>
        <v>0</v>
      </c>
      <c r="AU36" s="311">
        <f t="shared" ref="AU36:AV36" si="21">SUM(AU33:AU35)</f>
        <v>0</v>
      </c>
      <c r="AV36" s="311">
        <f t="shared" si="21"/>
        <v>0</v>
      </c>
      <c r="AW36" s="311">
        <f t="shared" ref="AW36" si="22">SUM(AW33:AW35)</f>
        <v>0</v>
      </c>
      <c r="AX36" s="540">
        <f t="shared" si="20"/>
        <v>0</v>
      </c>
      <c r="AY36" s="728">
        <f t="shared" si="20"/>
        <v>35120.948650435879</v>
      </c>
    </row>
    <row r="37" spans="1:56" ht="9.75" customHeight="1" thickBot="1">
      <c r="C37" s="4"/>
      <c r="D37" s="4"/>
      <c r="E37" s="262"/>
      <c r="F37" s="262"/>
      <c r="G37" s="262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47"/>
      <c r="Z37" s="352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578"/>
      <c r="AL37" s="578"/>
      <c r="AM37" s="578"/>
      <c r="AN37" s="578"/>
      <c r="AO37" s="578"/>
      <c r="AP37" s="311"/>
      <c r="AQ37" s="311"/>
      <c r="AR37" s="311"/>
      <c r="AS37" s="311"/>
      <c r="AT37" s="311"/>
      <c r="AU37" s="311"/>
      <c r="AV37" s="311"/>
      <c r="AW37" s="311"/>
      <c r="AX37" s="540"/>
      <c r="AY37" s="728"/>
    </row>
    <row r="38" spans="1:56" ht="12.95" customHeight="1">
      <c r="A38" s="121">
        <v>17</v>
      </c>
      <c r="B38" s="1" t="s">
        <v>48</v>
      </c>
      <c r="C38" s="4"/>
      <c r="D38" s="4"/>
      <c r="E38" s="262">
        <f>'ROO INPUT'!$F39</f>
        <v>6398</v>
      </c>
      <c r="F38" s="562">
        <v>0</v>
      </c>
      <c r="G38" s="562">
        <v>15</v>
      </c>
      <c r="H38" s="562">
        <v>0</v>
      </c>
      <c r="I38" s="562">
        <v>0</v>
      </c>
      <c r="J38" s="562">
        <v>0</v>
      </c>
      <c r="K38" s="562"/>
      <c r="L38" s="562">
        <v>166</v>
      </c>
      <c r="M38" s="562">
        <v>0</v>
      </c>
      <c r="N38" s="562">
        <v>0</v>
      </c>
      <c r="O38" s="562">
        <v>0</v>
      </c>
      <c r="P38" s="562">
        <v>0</v>
      </c>
      <c r="Q38" s="562">
        <v>0</v>
      </c>
      <c r="R38" s="562">
        <v>0</v>
      </c>
      <c r="S38" s="560">
        <f>ROUND((S$14+S$15)*CF!$E$15,0)</f>
        <v>-13</v>
      </c>
      <c r="T38" s="560">
        <f>ROUND((T$14+T$15)*CF!$E$15,0)</f>
        <v>27</v>
      </c>
      <c r="U38" s="560">
        <v>0</v>
      </c>
      <c r="V38" s="311">
        <v>0</v>
      </c>
      <c r="W38" s="560">
        <v>0</v>
      </c>
      <c r="X38" s="311">
        <v>0</v>
      </c>
      <c r="Y38" s="347">
        <f>SUM(E38:X38)</f>
        <v>6593</v>
      </c>
      <c r="Z38" s="352"/>
      <c r="AA38" s="560">
        <f>ROUND((AA$14+AA$15)*CF!$E$15,0)</f>
        <v>-138</v>
      </c>
      <c r="AB38" s="562">
        <v>0</v>
      </c>
      <c r="AC38" s="560"/>
      <c r="AD38" s="560">
        <f>+'[15]ADJ DETAIL INPUT'!AD38</f>
        <v>203</v>
      </c>
      <c r="AE38" s="311">
        <v>0</v>
      </c>
      <c r="AF38" s="311">
        <v>72</v>
      </c>
      <c r="AG38" s="562">
        <v>0</v>
      </c>
      <c r="AH38" s="560"/>
      <c r="AI38" s="560"/>
      <c r="AJ38" s="560">
        <v>67</v>
      </c>
      <c r="AK38" s="562">
        <v>0</v>
      </c>
      <c r="AL38" s="562">
        <v>0</v>
      </c>
      <c r="AM38" s="562">
        <v>0</v>
      </c>
      <c r="AN38" s="562">
        <v>0</v>
      </c>
      <c r="AO38" s="562">
        <v>0</v>
      </c>
      <c r="AP38" s="560"/>
      <c r="AQ38" s="562">
        <v>0</v>
      </c>
      <c r="AR38" s="560">
        <v>0</v>
      </c>
      <c r="AS38" s="560"/>
      <c r="AT38" s="560">
        <v>0</v>
      </c>
      <c r="AU38" s="560"/>
      <c r="AV38" s="560"/>
      <c r="AW38" s="560"/>
      <c r="AX38" s="541">
        <v>0</v>
      </c>
      <c r="AY38" s="728">
        <f>SUM(Y38:AX38)</f>
        <v>6797</v>
      </c>
      <c r="BB38" s="834" t="s">
        <v>578</v>
      </c>
      <c r="BC38" s="736"/>
      <c r="BD38" s="734"/>
    </row>
    <row r="39" spans="1:56">
      <c r="A39" s="121">
        <v>18</v>
      </c>
      <c r="B39" s="1" t="s">
        <v>49</v>
      </c>
      <c r="C39" s="4"/>
      <c r="D39" s="4"/>
      <c r="E39" s="262">
        <f>'ROO INPUT'!$F40</f>
        <v>9664</v>
      </c>
      <c r="F39" s="560">
        <v>0</v>
      </c>
      <c r="G39" s="560">
        <v>0</v>
      </c>
      <c r="H39" s="560">
        <v>0</v>
      </c>
      <c r="I39" s="560">
        <v>0</v>
      </c>
      <c r="J39" s="560">
        <v>0</v>
      </c>
      <c r="K39" s="560">
        <v>0</v>
      </c>
      <c r="L39" s="560">
        <v>0</v>
      </c>
      <c r="M39" s="560">
        <v>0</v>
      </c>
      <c r="N39" s="560">
        <v>0</v>
      </c>
      <c r="O39" s="560">
        <v>0</v>
      </c>
      <c r="P39" s="560">
        <v>0</v>
      </c>
      <c r="Q39" s="560">
        <v>0</v>
      </c>
      <c r="R39" s="560">
        <v>0</v>
      </c>
      <c r="S39" s="560">
        <v>0</v>
      </c>
      <c r="T39" s="560">
        <v>-8485</v>
      </c>
      <c r="U39" s="560">
        <v>1</v>
      </c>
      <c r="V39" s="560">
        <v>0</v>
      </c>
      <c r="W39" s="560">
        <v>0</v>
      </c>
      <c r="X39" s="560">
        <v>0</v>
      </c>
      <c r="Y39" s="347">
        <f>SUM(E39:X39)</f>
        <v>1180</v>
      </c>
      <c r="Z39" s="352"/>
      <c r="AA39" s="560">
        <v>0</v>
      </c>
      <c r="AB39" s="560">
        <v>0</v>
      </c>
      <c r="AC39" s="560">
        <v>0</v>
      </c>
      <c r="AD39" s="560">
        <f>+'[15]ADJ DETAIL INPUT'!AD39</f>
        <v>18</v>
      </c>
      <c r="AE39" s="560">
        <v>0</v>
      </c>
      <c r="AF39" s="560">
        <v>7</v>
      </c>
      <c r="AG39" s="560">
        <v>0</v>
      </c>
      <c r="AH39" s="560">
        <v>0</v>
      </c>
      <c r="AI39" s="560">
        <v>0</v>
      </c>
      <c r="AJ39" s="560">
        <v>0</v>
      </c>
      <c r="AK39" s="562">
        <v>0</v>
      </c>
      <c r="AL39" s="562">
        <v>0</v>
      </c>
      <c r="AM39" s="562">
        <v>0</v>
      </c>
      <c r="AN39" s="562">
        <v>0</v>
      </c>
      <c r="AO39" s="562">
        <v>0</v>
      </c>
      <c r="AP39" s="560">
        <v>0</v>
      </c>
      <c r="AQ39" s="560">
        <v>0</v>
      </c>
      <c r="AR39" s="560">
        <v>0</v>
      </c>
      <c r="AS39" s="560">
        <v>0</v>
      </c>
      <c r="AT39" s="560">
        <v>0</v>
      </c>
      <c r="AU39" s="560">
        <v>0</v>
      </c>
      <c r="AV39" s="560">
        <v>0</v>
      </c>
      <c r="AW39" s="560">
        <v>0</v>
      </c>
      <c r="AX39" s="538">
        <v>0</v>
      </c>
      <c r="AY39" s="728">
        <f>SUM(Y39:AX39)</f>
        <v>1205</v>
      </c>
      <c r="BB39" s="835"/>
      <c r="BC39" s="737" t="e">
        <f>-#REF!/CF!E27</f>
        <v>#REF!</v>
      </c>
      <c r="BD39" s="738" t="s">
        <v>579</v>
      </c>
    </row>
    <row r="40" spans="1:56" ht="12.75" thickBot="1">
      <c r="A40" s="121">
        <v>19</v>
      </c>
      <c r="B40" s="1" t="s">
        <v>50</v>
      </c>
      <c r="C40" s="4"/>
      <c r="D40" s="4"/>
      <c r="E40" s="262">
        <f>'ROO INPUT'!$F41</f>
        <v>0</v>
      </c>
      <c r="F40" s="560">
        <v>0</v>
      </c>
      <c r="G40" s="560">
        <v>0</v>
      </c>
      <c r="H40" s="560">
        <v>0</v>
      </c>
      <c r="I40" s="560">
        <v>0</v>
      </c>
      <c r="J40" s="560">
        <v>0</v>
      </c>
      <c r="K40" s="560">
        <v>0</v>
      </c>
      <c r="L40" s="560">
        <v>0</v>
      </c>
      <c r="M40" s="560">
        <v>0</v>
      </c>
      <c r="N40" s="560">
        <v>0</v>
      </c>
      <c r="O40" s="560">
        <v>0</v>
      </c>
      <c r="P40" s="560">
        <v>0</v>
      </c>
      <c r="Q40" s="560">
        <v>0</v>
      </c>
      <c r="R40" s="560">
        <v>0</v>
      </c>
      <c r="S40" s="560">
        <v>0</v>
      </c>
      <c r="T40" s="560">
        <v>0</v>
      </c>
      <c r="U40" s="560">
        <v>0</v>
      </c>
      <c r="V40" s="560">
        <v>0</v>
      </c>
      <c r="W40" s="560">
        <v>0</v>
      </c>
      <c r="X40" s="560">
        <v>0</v>
      </c>
      <c r="Y40" s="347">
        <f>SUM(E40:X40)</f>
        <v>0</v>
      </c>
      <c r="Z40" s="352"/>
      <c r="AA40" s="560">
        <v>0</v>
      </c>
      <c r="AB40" s="560">
        <v>0</v>
      </c>
      <c r="AC40" s="560">
        <v>0</v>
      </c>
      <c r="AD40" s="560">
        <v>0</v>
      </c>
      <c r="AE40" s="560">
        <v>0</v>
      </c>
      <c r="AF40" s="560">
        <v>0</v>
      </c>
      <c r="AG40" s="560">
        <v>0</v>
      </c>
      <c r="AH40" s="560">
        <v>0</v>
      </c>
      <c r="AI40" s="560">
        <v>0</v>
      </c>
      <c r="AJ40" s="560">
        <v>0</v>
      </c>
      <c r="AK40" s="562">
        <v>0</v>
      </c>
      <c r="AL40" s="562">
        <v>0</v>
      </c>
      <c r="AM40" s="562">
        <v>0</v>
      </c>
      <c r="AN40" s="562">
        <v>0</v>
      </c>
      <c r="AO40" s="562">
        <v>0</v>
      </c>
      <c r="AP40" s="560">
        <v>0</v>
      </c>
      <c r="AQ40" s="560">
        <v>0</v>
      </c>
      <c r="AR40" s="560">
        <v>0</v>
      </c>
      <c r="AS40" s="560">
        <v>0</v>
      </c>
      <c r="AT40" s="560">
        <v>0</v>
      </c>
      <c r="AU40" s="560">
        <v>0</v>
      </c>
      <c r="AV40" s="560">
        <v>0</v>
      </c>
      <c r="AW40" s="560">
        <v>0</v>
      </c>
      <c r="AX40" s="538">
        <v>0</v>
      </c>
      <c r="AY40" s="728">
        <f>SUM(Y40:AX40)</f>
        <v>0</v>
      </c>
      <c r="BB40" s="739" t="e">
        <f>BC39+BC40</f>
        <v>#REF!</v>
      </c>
      <c r="BC40" s="745" t="e">
        <f>-#REF!*'RR SUMMARY'!L15/CF!E27</f>
        <v>#REF!</v>
      </c>
      <c r="BD40" s="740" t="s">
        <v>580</v>
      </c>
    </row>
    <row r="41" spans="1:56" ht="7.5" customHeight="1">
      <c r="C41" s="4"/>
      <c r="D41" s="4"/>
      <c r="E41" s="262"/>
      <c r="F41" s="560"/>
      <c r="G41" s="560"/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347"/>
      <c r="Z41" s="352"/>
      <c r="AA41" s="560"/>
      <c r="AB41" s="560"/>
      <c r="AC41" s="560"/>
      <c r="AD41" s="560"/>
      <c r="AE41" s="560"/>
      <c r="AF41" s="560"/>
      <c r="AG41" s="560"/>
      <c r="AH41" s="560"/>
      <c r="AI41" s="560"/>
      <c r="AJ41" s="560"/>
      <c r="AK41" s="562"/>
      <c r="AL41" s="562"/>
      <c r="AM41" s="562"/>
      <c r="AN41" s="562"/>
      <c r="AO41" s="562"/>
      <c r="AP41" s="560"/>
      <c r="AQ41" s="560"/>
      <c r="AR41" s="560"/>
      <c r="AS41" s="560"/>
      <c r="AT41" s="560"/>
      <c r="AU41" s="560"/>
      <c r="AV41" s="560"/>
      <c r="AW41" s="560"/>
      <c r="AX41" s="538"/>
      <c r="AY41" s="728"/>
    </row>
    <row r="42" spans="1:56">
      <c r="B42" s="1" t="s">
        <v>51</v>
      </c>
      <c r="C42" s="4"/>
      <c r="D42" s="4"/>
      <c r="E42" s="262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347">
        <f>SUM(E42:X42)</f>
        <v>0</v>
      </c>
      <c r="Z42" s="352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2"/>
      <c r="AL42" s="562"/>
      <c r="AM42" s="562"/>
      <c r="AN42" s="562"/>
      <c r="AO42" s="562"/>
      <c r="AP42" s="560"/>
      <c r="AQ42" s="560"/>
      <c r="AR42" s="560"/>
      <c r="AS42" s="560"/>
      <c r="AT42" s="560"/>
      <c r="AU42" s="560"/>
      <c r="AV42" s="560"/>
      <c r="AW42" s="560"/>
      <c r="AX42" s="538"/>
      <c r="AY42" s="728"/>
      <c r="BC42" s="740">
        <f>-AY83</f>
        <v>-5075.0358203931182</v>
      </c>
      <c r="BD42" s="740" t="s">
        <v>583</v>
      </c>
    </row>
    <row r="43" spans="1:56">
      <c r="A43" s="121">
        <v>20</v>
      </c>
      <c r="C43" s="4" t="s">
        <v>43</v>
      </c>
      <c r="D43" s="4"/>
      <c r="E43" s="262">
        <f>'ROO INPUT'!$F44</f>
        <v>15696</v>
      </c>
      <c r="F43" s="560">
        <v>0</v>
      </c>
      <c r="G43" s="560">
        <v>0</v>
      </c>
      <c r="H43" s="560">
        <v>0</v>
      </c>
      <c r="I43" s="560">
        <v>0</v>
      </c>
      <c r="J43" s="560">
        <v>0</v>
      </c>
      <c r="K43" s="560">
        <v>0</v>
      </c>
      <c r="L43" s="560">
        <v>0</v>
      </c>
      <c r="M43" s="560">
        <v>-58</v>
      </c>
      <c r="N43" s="560">
        <v>-9</v>
      </c>
      <c r="O43" s="560">
        <v>0</v>
      </c>
      <c r="P43" s="560">
        <v>-16</v>
      </c>
      <c r="Q43" s="560">
        <v>0</v>
      </c>
      <c r="R43" s="560">
        <v>0</v>
      </c>
      <c r="S43" s="560">
        <f>ROUND((S$14+S$15)*CF!$E$17,0)</f>
        <v>-8</v>
      </c>
      <c r="T43" s="560">
        <f>ROUND((T$14+T$15)*CF!$E$17,0)</f>
        <v>16</v>
      </c>
      <c r="U43" s="560">
        <v>-399</v>
      </c>
      <c r="V43" s="560">
        <v>219</v>
      </c>
      <c r="W43" s="560">
        <v>0</v>
      </c>
      <c r="X43" s="560">
        <v>0</v>
      </c>
      <c r="Y43" s="347">
        <f>SUM(E43:X43)</f>
        <v>15441</v>
      </c>
      <c r="Z43" s="352"/>
      <c r="AA43" s="560">
        <f>ROUND((AA$14+AA$15)*CF!$E$17,0)</f>
        <v>-83</v>
      </c>
      <c r="AB43" s="560">
        <v>0</v>
      </c>
      <c r="AC43" s="659">
        <v>0</v>
      </c>
      <c r="AD43" s="560">
        <f>+'[15]ADJ DETAIL INPUT'!AD43</f>
        <v>302</v>
      </c>
      <c r="AE43" s="659">
        <v>-97</v>
      </c>
      <c r="AF43" s="560">
        <v>99</v>
      </c>
      <c r="AG43" s="560">
        <f>1079-785</f>
        <v>294</v>
      </c>
      <c r="AH43" s="659">
        <f>+'[12]ISIT-1 (Adj. 3.07) 2020'!$S$20/1000</f>
        <v>283.23700000000002</v>
      </c>
      <c r="AI43" s="560">
        <v>0</v>
      </c>
      <c r="AJ43" s="659">
        <v>0</v>
      </c>
      <c r="AK43" s="562">
        <v>0</v>
      </c>
      <c r="AL43" s="562">
        <v>0</v>
      </c>
      <c r="AM43" s="562">
        <v>0</v>
      </c>
      <c r="AN43" s="562">
        <v>0</v>
      </c>
      <c r="AO43" s="562">
        <v>0</v>
      </c>
      <c r="AP43" s="659">
        <v>0</v>
      </c>
      <c r="AQ43" s="560">
        <v>0</v>
      </c>
      <c r="AR43" s="560"/>
      <c r="AS43" s="659">
        <v>0</v>
      </c>
      <c r="AT43" s="659">
        <v>0</v>
      </c>
      <c r="AU43" s="659">
        <f>-15.655</f>
        <v>-15.654999999999999</v>
      </c>
      <c r="AV43" s="659">
        <v>0</v>
      </c>
      <c r="AW43" s="659">
        <v>0</v>
      </c>
      <c r="AX43" s="538">
        <v>0</v>
      </c>
      <c r="AY43" s="728">
        <f>SUM(Y43:AX43)</f>
        <v>16223.581999999999</v>
      </c>
      <c r="BC43" s="743" t="e">
        <f>BB40</f>
        <v>#REF!</v>
      </c>
      <c r="BD43" s="740" t="s">
        <v>581</v>
      </c>
    </row>
    <row r="44" spans="1:56">
      <c r="A44" s="121">
        <v>21</v>
      </c>
      <c r="C44" s="4" t="s">
        <v>199</v>
      </c>
      <c r="D44" s="4"/>
      <c r="E44" s="262">
        <f>'ROO INPUT'!$F45</f>
        <v>10678</v>
      </c>
      <c r="F44" s="560">
        <v>0</v>
      </c>
      <c r="G44" s="560">
        <v>0</v>
      </c>
      <c r="H44" s="560">
        <v>0</v>
      </c>
      <c r="I44" s="560">
        <v>0</v>
      </c>
      <c r="J44" s="560">
        <v>0</v>
      </c>
      <c r="K44" s="560">
        <v>0</v>
      </c>
      <c r="L44" s="560">
        <v>0</v>
      </c>
      <c r="M44" s="560">
        <v>0</v>
      </c>
      <c r="N44" s="560">
        <v>0</v>
      </c>
      <c r="O44" s="560">
        <v>0</v>
      </c>
      <c r="P44" s="560">
        <v>0</v>
      </c>
      <c r="Q44" s="560">
        <v>0</v>
      </c>
      <c r="R44" s="560">
        <v>0</v>
      </c>
      <c r="S44" s="560"/>
      <c r="T44" s="560"/>
      <c r="U44" s="560">
        <v>0</v>
      </c>
      <c r="V44" s="560">
        <v>0</v>
      </c>
      <c r="W44" s="560">
        <v>0</v>
      </c>
      <c r="X44" s="560">
        <f>299-285</f>
        <v>14</v>
      </c>
      <c r="Y44" s="347">
        <f>SUM(E44:X44)</f>
        <v>10692</v>
      </c>
      <c r="Z44" s="352"/>
      <c r="AA44" s="560">
        <v>0</v>
      </c>
      <c r="AB44" s="560">
        <v>0</v>
      </c>
      <c r="AC44" s="560">
        <v>0</v>
      </c>
      <c r="AD44" s="560">
        <v>0</v>
      </c>
      <c r="AE44" s="560"/>
      <c r="AF44" s="560">
        <v>0</v>
      </c>
      <c r="AG44" s="560">
        <v>0</v>
      </c>
      <c r="AH44" s="560">
        <v>0</v>
      </c>
      <c r="AI44" s="560">
        <v>0</v>
      </c>
      <c r="AJ44" s="560"/>
      <c r="AK44" s="562">
        <v>0</v>
      </c>
      <c r="AL44" s="562">
        <v>0</v>
      </c>
      <c r="AM44" s="562">
        <v>0</v>
      </c>
      <c r="AN44" s="562">
        <v>0</v>
      </c>
      <c r="AO44" s="562">
        <v>0</v>
      </c>
      <c r="AP44" s="560">
        <v>101</v>
      </c>
      <c r="AQ44" s="560">
        <v>0</v>
      </c>
      <c r="AR44" s="560">
        <v>0</v>
      </c>
      <c r="AS44" s="560">
        <f>+[14]Gas!$L$36</f>
        <v>581.51134956411681</v>
      </c>
      <c r="AT44" s="560">
        <v>0</v>
      </c>
      <c r="AU44" s="560">
        <v>0</v>
      </c>
      <c r="AV44" s="560">
        <v>0</v>
      </c>
      <c r="AW44" s="560">
        <v>0</v>
      </c>
      <c r="AX44" s="538">
        <v>0</v>
      </c>
      <c r="AY44" s="728">
        <f>SUM(Y44:AX44)</f>
        <v>11374.511349564116</v>
      </c>
      <c r="BC44" s="740" t="e">
        <f>BC42+BC43</f>
        <v>#REF!</v>
      </c>
      <c r="BD44" s="740" t="s">
        <v>584</v>
      </c>
    </row>
    <row r="45" spans="1:56">
      <c r="A45" s="121">
        <v>22</v>
      </c>
      <c r="C45" s="372" t="s">
        <v>410</v>
      </c>
      <c r="D45" s="4"/>
      <c r="E45" s="262">
        <f>'ROO INPUT'!$F46</f>
        <v>-3003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>
        <v>0</v>
      </c>
      <c r="T45" s="560">
        <v>1205</v>
      </c>
      <c r="U45" s="560">
        <v>0</v>
      </c>
      <c r="V45" s="560">
        <v>0</v>
      </c>
      <c r="W45" s="560">
        <v>0</v>
      </c>
      <c r="X45" s="560">
        <v>0</v>
      </c>
      <c r="Y45" s="347">
        <f>SUM(E45:X45)</f>
        <v>-1798</v>
      </c>
      <c r="Z45" s="352"/>
      <c r="AA45" s="560">
        <v>0</v>
      </c>
      <c r="AB45" s="560">
        <v>-230</v>
      </c>
      <c r="AC45" s="560"/>
      <c r="AD45" s="560"/>
      <c r="AE45" s="560"/>
      <c r="AF45" s="560"/>
      <c r="AG45" s="560">
        <v>0</v>
      </c>
      <c r="AH45" s="560"/>
      <c r="AI45" s="560"/>
      <c r="AJ45" s="560">
        <v>805</v>
      </c>
      <c r="AK45" s="562"/>
      <c r="AL45" s="562"/>
      <c r="AM45" s="562"/>
      <c r="AN45" s="562"/>
      <c r="AO45" s="562"/>
      <c r="AP45" s="803">
        <f>3491+2067.559</f>
        <v>5558.5590000000002</v>
      </c>
      <c r="AQ45" s="560">
        <f>+'[15]ADJ DETAIL INPUT'!AQ45</f>
        <v>1550</v>
      </c>
      <c r="AR45" s="560"/>
      <c r="AS45" s="560"/>
      <c r="AT45" s="560"/>
      <c r="AU45" s="560"/>
      <c r="AV45" s="560">
        <f>-'Exh. No. BGM-4 (1)'!Y55</f>
        <v>0</v>
      </c>
      <c r="AW45" s="560">
        <f>-'Exh. No. BGM-4 (1)'!Y56</f>
        <v>0</v>
      </c>
      <c r="AX45" s="538">
        <v>0</v>
      </c>
      <c r="AY45" s="728">
        <f>SUM(Y45:AX45)</f>
        <v>5885.5590000000002</v>
      </c>
      <c r="BC45" s="744" t="e">
        <f>-BC44*CF!E21</f>
        <v>#REF!</v>
      </c>
      <c r="BD45" s="740" t="s">
        <v>582</v>
      </c>
    </row>
    <row r="46" spans="1:56">
      <c r="A46" s="121">
        <v>23</v>
      </c>
      <c r="C46" s="4" t="s">
        <v>21</v>
      </c>
      <c r="D46" s="4"/>
      <c r="E46" s="264">
        <f>'ROO INPUT'!$F47</f>
        <v>0</v>
      </c>
      <c r="F46" s="561">
        <v>0</v>
      </c>
      <c r="G46" s="561">
        <v>0</v>
      </c>
      <c r="H46" s="561">
        <v>0</v>
      </c>
      <c r="I46" s="561">
        <v>0</v>
      </c>
      <c r="J46" s="561">
        <v>0</v>
      </c>
      <c r="K46" s="561">
        <v>0</v>
      </c>
      <c r="L46" s="561">
        <v>0</v>
      </c>
      <c r="M46" s="561">
        <v>0</v>
      </c>
      <c r="N46" s="561">
        <v>0</v>
      </c>
      <c r="O46" s="561">
        <v>0</v>
      </c>
      <c r="P46" s="561">
        <v>0</v>
      </c>
      <c r="Q46" s="561">
        <v>0</v>
      </c>
      <c r="R46" s="561">
        <v>0</v>
      </c>
      <c r="S46" s="561">
        <v>0</v>
      </c>
      <c r="T46" s="561">
        <v>0</v>
      </c>
      <c r="U46" s="561">
        <v>0</v>
      </c>
      <c r="V46" s="561">
        <v>0</v>
      </c>
      <c r="W46" s="561">
        <v>0</v>
      </c>
      <c r="X46" s="561">
        <v>0</v>
      </c>
      <c r="Y46" s="348">
        <f>SUM(E46:X46)</f>
        <v>0</v>
      </c>
      <c r="Z46" s="352"/>
      <c r="AA46" s="561">
        <v>0</v>
      </c>
      <c r="AB46" s="561">
        <v>0</v>
      </c>
      <c r="AC46" s="561">
        <v>0</v>
      </c>
      <c r="AD46" s="561">
        <v>0</v>
      </c>
      <c r="AE46" s="561">
        <v>0</v>
      </c>
      <c r="AF46" s="561">
        <v>0</v>
      </c>
      <c r="AG46" s="561">
        <v>0</v>
      </c>
      <c r="AH46" s="561">
        <v>0</v>
      </c>
      <c r="AI46" s="561">
        <v>0</v>
      </c>
      <c r="AJ46" s="561">
        <v>0</v>
      </c>
      <c r="AK46" s="561">
        <v>0</v>
      </c>
      <c r="AL46" s="561">
        <v>0</v>
      </c>
      <c r="AM46" s="561">
        <v>0</v>
      </c>
      <c r="AN46" s="561">
        <v>0</v>
      </c>
      <c r="AO46" s="561">
        <v>0</v>
      </c>
      <c r="AP46" s="561">
        <v>0</v>
      </c>
      <c r="AQ46" s="561">
        <v>0</v>
      </c>
      <c r="AR46" s="561">
        <v>0</v>
      </c>
      <c r="AS46" s="561">
        <v>0</v>
      </c>
      <c r="AT46" s="561">
        <v>0</v>
      </c>
      <c r="AU46" s="561">
        <v>0</v>
      </c>
      <c r="AV46" s="561">
        <v>0</v>
      </c>
      <c r="AW46" s="561">
        <v>0</v>
      </c>
      <c r="AX46" s="539">
        <v>0</v>
      </c>
      <c r="AY46" s="729">
        <f>SUM(Y46:AX46)</f>
        <v>0</v>
      </c>
      <c r="BC46" s="741" t="e">
        <f>SUM(BC44:BC45)</f>
        <v>#REF!</v>
      </c>
      <c r="BD46" s="740"/>
    </row>
    <row r="47" spans="1:56">
      <c r="A47" s="121">
        <v>24</v>
      </c>
      <c r="B47" s="4" t="s">
        <v>52</v>
      </c>
      <c r="C47" s="4"/>
      <c r="E47" s="264">
        <f>SUM(E43:E46)</f>
        <v>23371</v>
      </c>
      <c r="F47" s="264">
        <f t="shared" ref="F47:O47" si="23">SUM(F43:F46)</f>
        <v>0</v>
      </c>
      <c r="G47" s="264">
        <f t="shared" si="23"/>
        <v>0</v>
      </c>
      <c r="H47" s="265">
        <f t="shared" si="23"/>
        <v>0</v>
      </c>
      <c r="I47" s="265">
        <f>SUM(I43:I46)</f>
        <v>0</v>
      </c>
      <c r="J47" s="265">
        <f t="shared" si="23"/>
        <v>0</v>
      </c>
      <c r="K47" s="265">
        <f>SUM(K43:K46)</f>
        <v>0</v>
      </c>
      <c r="L47" s="265">
        <f t="shared" si="23"/>
        <v>0</v>
      </c>
      <c r="M47" s="265">
        <f t="shared" si="23"/>
        <v>-58</v>
      </c>
      <c r="N47" s="265">
        <f t="shared" si="23"/>
        <v>-9</v>
      </c>
      <c r="O47" s="265">
        <f t="shared" si="23"/>
        <v>0</v>
      </c>
      <c r="P47" s="265">
        <f t="shared" ref="P47:Y47" si="24">SUM(P43:P46)</f>
        <v>-16</v>
      </c>
      <c r="Q47" s="265">
        <f t="shared" si="24"/>
        <v>0</v>
      </c>
      <c r="R47" s="265">
        <f t="shared" si="24"/>
        <v>0</v>
      </c>
      <c r="S47" s="265">
        <f t="shared" si="24"/>
        <v>-8</v>
      </c>
      <c r="T47" s="265">
        <f t="shared" si="24"/>
        <v>1221</v>
      </c>
      <c r="U47" s="265">
        <f t="shared" si="24"/>
        <v>-399</v>
      </c>
      <c r="V47" s="265">
        <f t="shared" si="24"/>
        <v>219</v>
      </c>
      <c r="W47" s="265">
        <f t="shared" si="24"/>
        <v>0</v>
      </c>
      <c r="X47" s="265">
        <f t="shared" si="24"/>
        <v>14</v>
      </c>
      <c r="Y47" s="348">
        <f t="shared" si="24"/>
        <v>24335</v>
      </c>
      <c r="Z47" s="352"/>
      <c r="AA47" s="265">
        <f t="shared" ref="AA47:AY47" si="25">SUM(AA43:AA46)</f>
        <v>-83</v>
      </c>
      <c r="AB47" s="265">
        <f t="shared" si="25"/>
        <v>-230</v>
      </c>
      <c r="AC47" s="265">
        <f t="shared" si="25"/>
        <v>0</v>
      </c>
      <c r="AD47" s="265">
        <f t="shared" si="25"/>
        <v>302</v>
      </c>
      <c r="AE47" s="265">
        <f t="shared" si="25"/>
        <v>-97</v>
      </c>
      <c r="AF47" s="265">
        <f t="shared" si="25"/>
        <v>99</v>
      </c>
      <c r="AG47" s="265">
        <f t="shared" si="25"/>
        <v>294</v>
      </c>
      <c r="AH47" s="265">
        <f t="shared" si="25"/>
        <v>283.23700000000002</v>
      </c>
      <c r="AI47" s="265">
        <f t="shared" si="25"/>
        <v>0</v>
      </c>
      <c r="AJ47" s="265">
        <f t="shared" si="25"/>
        <v>805</v>
      </c>
      <c r="AK47" s="265">
        <f t="shared" si="25"/>
        <v>0</v>
      </c>
      <c r="AL47" s="265">
        <f t="shared" si="25"/>
        <v>0</v>
      </c>
      <c r="AM47" s="265">
        <f t="shared" si="25"/>
        <v>0</v>
      </c>
      <c r="AN47" s="265">
        <f t="shared" si="25"/>
        <v>0</v>
      </c>
      <c r="AO47" s="265">
        <f t="shared" si="25"/>
        <v>0</v>
      </c>
      <c r="AP47" s="265">
        <f t="shared" si="25"/>
        <v>5659.5590000000002</v>
      </c>
      <c r="AQ47" s="265">
        <f t="shared" si="25"/>
        <v>1550</v>
      </c>
      <c r="AR47" s="265">
        <f t="shared" si="25"/>
        <v>0</v>
      </c>
      <c r="AS47" s="265">
        <f t="shared" si="25"/>
        <v>581.51134956411681</v>
      </c>
      <c r="AT47" s="265">
        <f t="shared" si="25"/>
        <v>0</v>
      </c>
      <c r="AU47" s="265">
        <f t="shared" ref="AU47:AV47" si="26">SUM(AU43:AU46)</f>
        <v>-15.654999999999999</v>
      </c>
      <c r="AV47" s="265">
        <f t="shared" si="26"/>
        <v>0</v>
      </c>
      <c r="AW47" s="265">
        <f t="shared" ref="AW47" si="27">SUM(AW43:AW46)</f>
        <v>0</v>
      </c>
      <c r="AX47" s="542">
        <f t="shared" si="25"/>
        <v>0</v>
      </c>
      <c r="AY47" s="729">
        <f t="shared" si="25"/>
        <v>33483.652349564116</v>
      </c>
    </row>
    <row r="48" spans="1:56" ht="19.5" customHeight="1">
      <c r="A48" s="121">
        <v>25</v>
      </c>
      <c r="B48" s="1" t="s">
        <v>53</v>
      </c>
      <c r="C48" s="4"/>
      <c r="D48" s="4"/>
      <c r="E48" s="264">
        <f t="shared" ref="E48:AG48" si="28">E20+E24+E30+E36+E38+E39+E40+E47</f>
        <v>181582</v>
      </c>
      <c r="F48" s="264">
        <f t="shared" si="28"/>
        <v>0</v>
      </c>
      <c r="G48" s="264">
        <f t="shared" si="28"/>
        <v>15</v>
      </c>
      <c r="H48" s="265">
        <f t="shared" si="28"/>
        <v>0</v>
      </c>
      <c r="I48" s="265">
        <f>I20+I24+I30+I36+I38+I39+I40+I47</f>
        <v>0</v>
      </c>
      <c r="J48" s="265">
        <f t="shared" si="28"/>
        <v>-5235</v>
      </c>
      <c r="K48" s="265">
        <f>K20+K24+K30+K36+K38+K39+K40+K47</f>
        <v>239</v>
      </c>
      <c r="L48" s="265">
        <f t="shared" si="28"/>
        <v>166</v>
      </c>
      <c r="M48" s="265">
        <f t="shared" si="28"/>
        <v>-58</v>
      </c>
      <c r="N48" s="265">
        <f t="shared" si="28"/>
        <v>-9</v>
      </c>
      <c r="O48" s="265">
        <f t="shared" si="28"/>
        <v>0</v>
      </c>
      <c r="P48" s="265">
        <f t="shared" si="28"/>
        <v>-16</v>
      </c>
      <c r="Q48" s="265">
        <f t="shared" si="28"/>
        <v>1</v>
      </c>
      <c r="R48" s="265">
        <f t="shared" ref="R48:X48" si="29">R20+R24+R30+R36+R38+R39+R40+R47</f>
        <v>-11</v>
      </c>
      <c r="S48" s="265">
        <f t="shared" si="29"/>
        <v>-1830</v>
      </c>
      <c r="T48" s="265">
        <f t="shared" si="29"/>
        <v>-52738</v>
      </c>
      <c r="U48" s="265">
        <f t="shared" si="29"/>
        <v>-400</v>
      </c>
      <c r="V48" s="265">
        <f t="shared" si="29"/>
        <v>219</v>
      </c>
      <c r="W48" s="265">
        <f t="shared" si="29"/>
        <v>0</v>
      </c>
      <c r="X48" s="265">
        <f t="shared" si="29"/>
        <v>-262</v>
      </c>
      <c r="Y48" s="348">
        <f t="shared" si="28"/>
        <v>121663</v>
      </c>
      <c r="Z48" s="352"/>
      <c r="AA48" s="265">
        <f>AA20+AA24+AA30+AA36+AA38+AA39+AA40+AA47</f>
        <v>-52960</v>
      </c>
      <c r="AB48" s="265">
        <f>AB20+AB24+AB30+AB36+AB38+AB39+AB40+AB47</f>
        <v>-230</v>
      </c>
      <c r="AC48" s="265">
        <f>AC20+AC24+AC30+AC36+AC38+AC39+AC40+AC47</f>
        <v>0</v>
      </c>
      <c r="AD48" s="265">
        <f>AD20+AD24+AD30+AD36+AD38+AD39+AD40+AD47</f>
        <v>977</v>
      </c>
      <c r="AE48" s="265">
        <f t="shared" si="28"/>
        <v>-97</v>
      </c>
      <c r="AF48" s="265">
        <f t="shared" si="28"/>
        <v>341</v>
      </c>
      <c r="AG48" s="265">
        <f t="shared" si="28"/>
        <v>294</v>
      </c>
      <c r="AH48" s="265">
        <f>AH20+AH24+AH30+AH36+AH38+AH39+AH40+AH47</f>
        <v>283.23700000000002</v>
      </c>
      <c r="AI48" s="265">
        <f>AI20+AI24+AI30+AI36+AI38+AI39+AI40+AI47</f>
        <v>463</v>
      </c>
      <c r="AJ48" s="265">
        <f t="shared" ref="AJ48:AT48" si="30">AJ20+AJ24+AJ30+AJ36+AJ38+AJ39+AJ40+AJ47</f>
        <v>872</v>
      </c>
      <c r="AK48" s="265">
        <f t="shared" si="30"/>
        <v>0</v>
      </c>
      <c r="AL48" s="265">
        <f t="shared" si="30"/>
        <v>0</v>
      </c>
      <c r="AM48" s="265">
        <f t="shared" si="30"/>
        <v>0</v>
      </c>
      <c r="AN48" s="265">
        <f>AN20+AN24+AN30+AN36+AN38+AN39+AN40+AN47</f>
        <v>0</v>
      </c>
      <c r="AO48" s="265">
        <f>AO20+AO24+AO30+AO36+AO38+AO39+AO40+AO47</f>
        <v>0</v>
      </c>
      <c r="AP48" s="265">
        <f t="shared" si="30"/>
        <v>5529.5590000000002</v>
      </c>
      <c r="AQ48" s="265">
        <f>AQ20+AQ24+AQ30+AQ36+AQ38+AQ39+AQ40+AQ47</f>
        <v>1550</v>
      </c>
      <c r="AR48" s="265">
        <f>AR20+AR24+AR30+AR36+AR38+AR39+AR40+AR47</f>
        <v>0</v>
      </c>
      <c r="AS48" s="265">
        <f t="shared" si="30"/>
        <v>1542.3920000000001</v>
      </c>
      <c r="AT48" s="265">
        <f t="shared" si="30"/>
        <v>0</v>
      </c>
      <c r="AU48" s="265">
        <f t="shared" ref="AU48:AV48" si="31">AU20+AU24+AU30+AU36+AU38+AU39+AU40+AU47</f>
        <v>-15.654999999999999</v>
      </c>
      <c r="AV48" s="265">
        <f t="shared" si="31"/>
        <v>0</v>
      </c>
      <c r="AW48" s="265">
        <f t="shared" ref="AW48" si="32">AW20+AW24+AW30+AW36+AW38+AW39+AW40+AW47</f>
        <v>0</v>
      </c>
      <c r="AX48" s="542">
        <f>AX20+AX24+AX30+AX36+AX38+AX39+AX40+AX47</f>
        <v>0</v>
      </c>
      <c r="AY48" s="729">
        <f>AY20+AY24+AY30+AY36+AY38+AY39+AY40+AY47</f>
        <v>80212.532999999996</v>
      </c>
    </row>
    <row r="49" spans="1:58" ht="9" customHeight="1">
      <c r="C49" s="4"/>
      <c r="D49" s="4"/>
      <c r="E49" s="262"/>
      <c r="F49" s="262"/>
      <c r="G49" s="262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47"/>
      <c r="Z49" s="352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578"/>
      <c r="AL49" s="578"/>
      <c r="AM49" s="578"/>
      <c r="AN49" s="578"/>
      <c r="AO49" s="578"/>
      <c r="AP49" s="311"/>
      <c r="AQ49" s="311"/>
      <c r="AR49" s="311"/>
      <c r="AS49" s="311"/>
      <c r="AT49" s="311"/>
      <c r="AU49" s="311"/>
      <c r="AV49" s="311"/>
      <c r="AW49" s="311"/>
      <c r="AX49" s="540"/>
      <c r="AY49" s="728"/>
    </row>
    <row r="50" spans="1:58" ht="12.95" customHeight="1">
      <c r="A50" s="121">
        <v>26</v>
      </c>
      <c r="B50" s="1" t="s">
        <v>54</v>
      </c>
      <c r="C50" s="4"/>
      <c r="D50" s="4"/>
      <c r="E50" s="262">
        <f t="shared" ref="E50:Q50" si="33">E17-E48</f>
        <v>26243</v>
      </c>
      <c r="F50" s="262">
        <f t="shared" si="33"/>
        <v>0</v>
      </c>
      <c r="G50" s="262">
        <f t="shared" si="33"/>
        <v>-15</v>
      </c>
      <c r="H50" s="311">
        <f t="shared" si="33"/>
        <v>0</v>
      </c>
      <c r="I50" s="311">
        <f>I17-I48</f>
        <v>0</v>
      </c>
      <c r="J50" s="311">
        <f t="shared" si="33"/>
        <v>-12</v>
      </c>
      <c r="K50" s="311">
        <f>K17-K48</f>
        <v>-239</v>
      </c>
      <c r="L50" s="311">
        <f t="shared" si="33"/>
        <v>-166</v>
      </c>
      <c r="M50" s="311">
        <f t="shared" si="33"/>
        <v>58</v>
      </c>
      <c r="N50" s="311">
        <f t="shared" si="33"/>
        <v>9</v>
      </c>
      <c r="O50" s="311">
        <f t="shared" si="33"/>
        <v>0</v>
      </c>
      <c r="P50" s="311">
        <f t="shared" si="33"/>
        <v>16</v>
      </c>
      <c r="Q50" s="311">
        <f t="shared" si="33"/>
        <v>-1</v>
      </c>
      <c r="R50" s="311">
        <f t="shared" ref="R50:X50" si="34">R17-R48</f>
        <v>11</v>
      </c>
      <c r="S50" s="311">
        <f t="shared" si="34"/>
        <v>-6</v>
      </c>
      <c r="T50" s="311">
        <f t="shared" si="34"/>
        <v>824</v>
      </c>
      <c r="U50" s="311">
        <f t="shared" si="34"/>
        <v>-44</v>
      </c>
      <c r="V50" s="311">
        <f t="shared" si="34"/>
        <v>-219</v>
      </c>
      <c r="W50" s="311">
        <f t="shared" si="34"/>
        <v>0</v>
      </c>
      <c r="X50" s="311">
        <f t="shared" si="34"/>
        <v>262</v>
      </c>
      <c r="Y50" s="347">
        <f>SUM(E50:X50)</f>
        <v>26721</v>
      </c>
      <c r="Z50" s="352"/>
      <c r="AA50" s="311">
        <f t="shared" ref="AA50:AY50" si="35">AA17-AA48</f>
        <v>10363</v>
      </c>
      <c r="AB50" s="311">
        <f t="shared" si="35"/>
        <v>230</v>
      </c>
      <c r="AC50" s="311">
        <f t="shared" si="35"/>
        <v>0</v>
      </c>
      <c r="AD50" s="311">
        <f t="shared" si="35"/>
        <v>-977</v>
      </c>
      <c r="AE50" s="311">
        <f t="shared" si="35"/>
        <v>97</v>
      </c>
      <c r="AF50" s="311">
        <f t="shared" si="35"/>
        <v>-341</v>
      </c>
      <c r="AG50" s="311">
        <f t="shared" si="35"/>
        <v>-294</v>
      </c>
      <c r="AH50" s="311">
        <f t="shared" si="35"/>
        <v>-283.23700000000002</v>
      </c>
      <c r="AI50" s="311">
        <f t="shared" si="35"/>
        <v>-463</v>
      </c>
      <c r="AJ50" s="311">
        <f t="shared" si="35"/>
        <v>-872</v>
      </c>
      <c r="AK50" s="578">
        <f t="shared" si="35"/>
        <v>0</v>
      </c>
      <c r="AL50" s="578">
        <f t="shared" si="35"/>
        <v>0</v>
      </c>
      <c r="AM50" s="578">
        <f t="shared" si="35"/>
        <v>0</v>
      </c>
      <c r="AN50" s="578">
        <f t="shared" si="35"/>
        <v>0</v>
      </c>
      <c r="AO50" s="578">
        <f t="shared" si="35"/>
        <v>0</v>
      </c>
      <c r="AP50" s="311">
        <f t="shared" si="35"/>
        <v>-5529.5590000000002</v>
      </c>
      <c r="AQ50" s="311">
        <f t="shared" si="35"/>
        <v>-1550</v>
      </c>
      <c r="AR50" s="311">
        <f t="shared" si="35"/>
        <v>0</v>
      </c>
      <c r="AS50" s="311">
        <f t="shared" si="35"/>
        <v>-1542.3920000000001</v>
      </c>
      <c r="AT50" s="311">
        <f t="shared" si="35"/>
        <v>0</v>
      </c>
      <c r="AU50" s="311">
        <f t="shared" ref="AU50:AV50" si="36">AU17-AU48</f>
        <v>15.654999999999999</v>
      </c>
      <c r="AV50" s="311">
        <f t="shared" si="36"/>
        <v>0</v>
      </c>
      <c r="AW50" s="311">
        <f t="shared" ref="AW50" si="37">AW17-AW48</f>
        <v>0</v>
      </c>
      <c r="AX50" s="540">
        <f t="shared" si="35"/>
        <v>0</v>
      </c>
      <c r="AY50" s="728">
        <f t="shared" si="35"/>
        <v>25574.467000000004</v>
      </c>
    </row>
    <row r="51" spans="1:58" ht="6" customHeight="1">
      <c r="C51" s="4"/>
      <c r="D51" s="4"/>
      <c r="E51" s="262"/>
      <c r="F51" s="262"/>
      <c r="G51" s="262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262"/>
      <c r="V51" s="311"/>
      <c r="W51" s="311"/>
      <c r="X51" s="311"/>
      <c r="Y51" s="347"/>
      <c r="Z51" s="352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578"/>
      <c r="AL51" s="578"/>
      <c r="AM51" s="578"/>
      <c r="AN51" s="578"/>
      <c r="AO51" s="578"/>
      <c r="AP51" s="311"/>
      <c r="AQ51" s="311"/>
      <c r="AR51" s="311"/>
      <c r="AS51" s="311"/>
      <c r="AT51" s="311"/>
      <c r="AU51" s="311"/>
      <c r="AV51" s="311"/>
      <c r="AW51" s="311"/>
      <c r="AX51" s="540"/>
      <c r="AY51" s="728"/>
    </row>
    <row r="52" spans="1:58" ht="12.95" customHeight="1">
      <c r="B52" s="1" t="s">
        <v>55</v>
      </c>
      <c r="C52" s="4"/>
      <c r="D52" s="4"/>
      <c r="E52" s="262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347"/>
      <c r="Z52" s="352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2"/>
      <c r="AL52" s="562"/>
      <c r="AM52" s="562"/>
      <c r="AN52" s="562"/>
      <c r="AO52" s="562"/>
      <c r="AP52" s="560"/>
      <c r="AQ52" s="560"/>
      <c r="AR52" s="560"/>
      <c r="AS52" s="560"/>
      <c r="AT52" s="560"/>
      <c r="AU52" s="560"/>
      <c r="AV52" s="560"/>
      <c r="AW52" s="560"/>
      <c r="AX52" s="538"/>
      <c r="AY52" s="728"/>
    </row>
    <row r="53" spans="1:58">
      <c r="A53" s="121">
        <v>27</v>
      </c>
      <c r="B53" s="4" t="s">
        <v>56</v>
      </c>
      <c r="D53" s="4"/>
      <c r="E53" s="262">
        <f>'ROO INPUT'!$F54</f>
        <v>-4720</v>
      </c>
      <c r="F53" s="560">
        <f t="shared" ref="F53:N53" si="38">F50*0.21</f>
        <v>0</v>
      </c>
      <c r="G53" s="560">
        <f t="shared" si="38"/>
        <v>-3.15</v>
      </c>
      <c r="H53" s="560">
        <f t="shared" si="38"/>
        <v>0</v>
      </c>
      <c r="I53" s="560">
        <f t="shared" si="38"/>
        <v>0</v>
      </c>
      <c r="J53" s="560">
        <f t="shared" si="38"/>
        <v>-2.52</v>
      </c>
      <c r="K53" s="560">
        <f t="shared" si="38"/>
        <v>-50.19</v>
      </c>
      <c r="L53" s="560">
        <f t="shared" si="38"/>
        <v>-34.86</v>
      </c>
      <c r="M53" s="560">
        <f t="shared" si="38"/>
        <v>12.18</v>
      </c>
      <c r="N53" s="560">
        <f t="shared" si="38"/>
        <v>1.89</v>
      </c>
      <c r="O53" s="560">
        <v>0</v>
      </c>
      <c r="P53" s="560">
        <f t="shared" ref="P53:V53" si="39">P50*0.21</f>
        <v>3.36</v>
      </c>
      <c r="Q53" s="560">
        <f t="shared" si="39"/>
        <v>-0.21</v>
      </c>
      <c r="R53" s="560">
        <f t="shared" si="39"/>
        <v>2.31</v>
      </c>
      <c r="S53" s="560">
        <f t="shared" si="39"/>
        <v>-1.26</v>
      </c>
      <c r="T53" s="560">
        <f t="shared" si="39"/>
        <v>173.04</v>
      </c>
      <c r="U53" s="560">
        <f t="shared" si="39"/>
        <v>-9.24</v>
      </c>
      <c r="V53" s="560">
        <f t="shared" si="39"/>
        <v>-45.989999999999995</v>
      </c>
      <c r="W53" s="560">
        <f>'DEBT CALC'!E67</f>
        <v>247</v>
      </c>
      <c r="X53" s="560">
        <f>X50*0.21</f>
        <v>55.019999999999996</v>
      </c>
      <c r="Y53" s="347">
        <f>SUM(E53:X53)</f>
        <v>-4372.6199999999981</v>
      </c>
      <c r="Z53" s="352"/>
      <c r="AA53" s="560">
        <f t="shared" ref="AA53:AX53" si="40">AA50*0.21</f>
        <v>2176.23</v>
      </c>
      <c r="AB53" s="560">
        <f t="shared" si="40"/>
        <v>48.3</v>
      </c>
      <c r="AC53" s="560">
        <f t="shared" si="40"/>
        <v>0</v>
      </c>
      <c r="AD53" s="560">
        <f t="shared" si="40"/>
        <v>-205.17</v>
      </c>
      <c r="AE53" s="560">
        <f t="shared" si="40"/>
        <v>20.37</v>
      </c>
      <c r="AF53" s="560">
        <f>AF50*0.21</f>
        <v>-71.61</v>
      </c>
      <c r="AG53" s="560">
        <f t="shared" si="40"/>
        <v>-61.739999999999995</v>
      </c>
      <c r="AH53" s="560">
        <f t="shared" si="40"/>
        <v>-59.479770000000002</v>
      </c>
      <c r="AI53" s="560">
        <f t="shared" si="40"/>
        <v>-97.22999999999999</v>
      </c>
      <c r="AJ53" s="560">
        <f t="shared" si="40"/>
        <v>-183.12</v>
      </c>
      <c r="AK53" s="560">
        <f t="shared" si="40"/>
        <v>0</v>
      </c>
      <c r="AL53" s="560">
        <f t="shared" si="40"/>
        <v>0</v>
      </c>
      <c r="AM53" s="560">
        <f t="shared" si="40"/>
        <v>0</v>
      </c>
      <c r="AN53" s="560">
        <f t="shared" si="40"/>
        <v>0</v>
      </c>
      <c r="AO53" s="560">
        <f t="shared" si="40"/>
        <v>0</v>
      </c>
      <c r="AP53" s="560">
        <f t="shared" si="40"/>
        <v>-1161.20739</v>
      </c>
      <c r="AQ53" s="560">
        <f t="shared" si="40"/>
        <v>-325.5</v>
      </c>
      <c r="AR53" s="560">
        <f t="shared" si="40"/>
        <v>0</v>
      </c>
      <c r="AS53" s="560">
        <f t="shared" si="40"/>
        <v>-323.90231999999997</v>
      </c>
      <c r="AT53" s="560">
        <f t="shared" si="40"/>
        <v>0</v>
      </c>
      <c r="AU53" s="560">
        <f t="shared" ref="AU53:AV53" si="41">AU50*0.21</f>
        <v>3.2875499999999995</v>
      </c>
      <c r="AV53" s="560">
        <f t="shared" si="41"/>
        <v>0</v>
      </c>
      <c r="AW53" s="560">
        <f t="shared" ref="AW53" si="42">AW50*0.21</f>
        <v>0</v>
      </c>
      <c r="AX53" s="538">
        <f t="shared" si="40"/>
        <v>0</v>
      </c>
      <c r="AY53" s="728">
        <f>SUM(Y53:AX53)</f>
        <v>-4613.391929999998</v>
      </c>
    </row>
    <row r="54" spans="1:58">
      <c r="A54" s="121">
        <v>28</v>
      </c>
      <c r="B54" s="4" t="s">
        <v>180</v>
      </c>
      <c r="D54" s="4"/>
      <c r="E54" s="262">
        <f>'ROO INPUT'!$F55</f>
        <v>0</v>
      </c>
      <c r="F54" s="560">
        <f>(F81*'RR SUMMARY'!$N$12)*-0.21</f>
        <v>5.1141300000000003</v>
      </c>
      <c r="G54" s="560">
        <f>(G81*'RR SUMMARY'!$N$12)*-0.21</f>
        <v>5.1450000000000003E-3</v>
      </c>
      <c r="H54" s="560">
        <f>(H81*'RR SUMMARY'!$N$12)*-0.21</f>
        <v>5.8858800000000002</v>
      </c>
      <c r="I54" s="560">
        <f>(I81*'RR SUMMARY'!$N$12)*-0.21</f>
        <v>94.683435000000003</v>
      </c>
      <c r="J54" s="560">
        <f>(J81*'RR SUMMARY'!$N$12)*-0.21</f>
        <v>0</v>
      </c>
      <c r="K54" s="560">
        <f>(K81*'RR SUMMARY'!$N$12)*-0.21</f>
        <v>0</v>
      </c>
      <c r="L54" s="560">
        <f>(L81*'RR SUMMARY'!$N$12)*-0.21</f>
        <v>0</v>
      </c>
      <c r="M54" s="560">
        <f>(M81*'RR SUMMARY'!$N$12)*-0.21</f>
        <v>0</v>
      </c>
      <c r="N54" s="560">
        <f>(N81*'RR SUMMARY'!$N$12)*-0.21</f>
        <v>0</v>
      </c>
      <c r="O54" s="560"/>
      <c r="P54" s="560">
        <f>(P81*'RR SUMMARY'!$N$12)*-0.21</f>
        <v>0</v>
      </c>
      <c r="Q54" s="560">
        <f>(Q81*'RR SUMMARY'!$N$12)*-0.21</f>
        <v>0</v>
      </c>
      <c r="R54" s="560">
        <f>(R81*'RR SUMMARY'!$N$12)*-0.21</f>
        <v>0</v>
      </c>
      <c r="S54" s="560">
        <f>(S81*'RR SUMMARY'!$N$12)*-0.21</f>
        <v>0</v>
      </c>
      <c r="T54" s="560">
        <f>(T81*'RR SUMMARY'!$N$12)*-0.21</f>
        <v>0</v>
      </c>
      <c r="U54" s="560">
        <f>(U81*'RR SUMMARY'!$N$12)*-0.21</f>
        <v>0</v>
      </c>
      <c r="V54" s="560">
        <f>(V81*'RR SUMMARY'!$N$12)*-0.21</f>
        <v>0</v>
      </c>
      <c r="W54" s="560"/>
      <c r="X54" s="560">
        <f>(X81*'RR SUMMARY'!$N$12)*-0.21</f>
        <v>-65.498542223192274</v>
      </c>
      <c r="Y54" s="347">
        <f>SUM(E54:X54)</f>
        <v>40.190047776807731</v>
      </c>
      <c r="Z54" s="352"/>
      <c r="AA54" s="560">
        <f>(AA81*'RR SUMMARY'!$N$12)*-0.21</f>
        <v>0</v>
      </c>
      <c r="AB54" s="560">
        <f>(AB81*'RR SUMMARY'!$N$12)*-0.21</f>
        <v>0</v>
      </c>
      <c r="AC54" s="560">
        <f>(AC81*'RR SUMMARY'!$N$12)*-0.21</f>
        <v>0</v>
      </c>
      <c r="AD54" s="560">
        <f>(AD81*'RR SUMMARY'!$N$12)*-0.21</f>
        <v>0</v>
      </c>
      <c r="AE54" s="560">
        <f>(AE81*'RR SUMMARY'!$N$12)*-0.21</f>
        <v>0</v>
      </c>
      <c r="AF54" s="560">
        <f>(AF81*'RR SUMMARY'!$N$12)*-0.21</f>
        <v>0</v>
      </c>
      <c r="AG54" s="560">
        <f>(AG81*'RR SUMMARY'!$N$12)*-0.21</f>
        <v>0</v>
      </c>
      <c r="AH54" s="560">
        <f>(AH81*'RR SUMMARY'!$N$12)*-0.21</f>
        <v>0</v>
      </c>
      <c r="AI54" s="560">
        <f>(AI81*'RR SUMMARY'!$N$12)*-0.21</f>
        <v>0</v>
      </c>
      <c r="AJ54" s="560">
        <f>(AJ81*'RR SUMMARY'!$N$12)*-0.21</f>
        <v>0</v>
      </c>
      <c r="AK54" s="560">
        <f>(AK81*'RR SUMMARY'!$N$12)*-0.21</f>
        <v>0</v>
      </c>
      <c r="AL54" s="560">
        <f>(AL81*'RR SUMMARY'!$N$12)*-0.21</f>
        <v>0</v>
      </c>
      <c r="AM54" s="560">
        <f>(AM81*'RR SUMMARY'!$N$12)*-0.21</f>
        <v>0</v>
      </c>
      <c r="AN54" s="560">
        <f>(AN81*'RR SUMMARY'!$N$12)*-0.21</f>
        <v>0</v>
      </c>
      <c r="AO54" s="560">
        <f>(AO81*'RR SUMMARY'!$N$12)*-0.21</f>
        <v>0</v>
      </c>
      <c r="AP54" s="560">
        <f>(AP81*'RR SUMMARY'!$N$12)*-0.21</f>
        <v>22.640674806181249</v>
      </c>
      <c r="AQ54" s="560">
        <f>(AQ81*'RR SUMMARY'!$N$12)*-0.21</f>
        <v>20.369054999999999</v>
      </c>
      <c r="AR54" s="560">
        <f>(AR81*'RR SUMMARY'!$N$12)*-0.21</f>
        <v>78.348060000000004</v>
      </c>
      <c r="AS54" s="560">
        <f>(AS81*'RR SUMMARY'!$N$12)*-0.21</f>
        <v>-29.394461809886099</v>
      </c>
      <c r="AT54" s="560">
        <f>(AT81*'RR SUMMARY'!$N$12)*-0.21</f>
        <v>0</v>
      </c>
      <c r="AU54" s="560">
        <f>(AU81*'RR SUMMARY'!$N$12)*-0.21</f>
        <v>0</v>
      </c>
      <c r="AV54" s="560">
        <f>(AV81*'RR SUMMARY'!$N$12)*-0.21</f>
        <v>0</v>
      </c>
      <c r="AW54" s="560">
        <f>(AW81*'RR SUMMARY'!$N$12)*-0.21</f>
        <v>0</v>
      </c>
      <c r="AX54" s="538">
        <f>(AX81*'RR SUMMARY'!$N$12)*-0.21</f>
        <v>0</v>
      </c>
      <c r="AY54" s="728">
        <f>SUM(Y54:AX54)</f>
        <v>132.15337577310288</v>
      </c>
    </row>
    <row r="55" spans="1:58">
      <c r="A55" s="121">
        <v>29</v>
      </c>
      <c r="B55" s="4" t="s">
        <v>57</v>
      </c>
      <c r="D55" s="4"/>
      <c r="E55" s="262">
        <f>'ROO INPUT'!$F56</f>
        <v>6501</v>
      </c>
      <c r="F55" s="560">
        <v>0</v>
      </c>
      <c r="G55" s="560">
        <v>0</v>
      </c>
      <c r="H55" s="560">
        <v>0</v>
      </c>
      <c r="I55" s="560">
        <v>0</v>
      </c>
      <c r="J55" s="560">
        <v>0</v>
      </c>
      <c r="K55" s="560">
        <v>0</v>
      </c>
      <c r="L55" s="560">
        <v>0</v>
      </c>
      <c r="M55" s="560">
        <v>0</v>
      </c>
      <c r="N55" s="560">
        <v>0</v>
      </c>
      <c r="O55" s="560">
        <v>53</v>
      </c>
      <c r="P55" s="560">
        <v>0</v>
      </c>
      <c r="Q55" s="560">
        <v>0</v>
      </c>
      <c r="R55" s="560">
        <v>0</v>
      </c>
      <c r="S55" s="560">
        <v>0</v>
      </c>
      <c r="T55" s="560">
        <v>651</v>
      </c>
      <c r="U55" s="560">
        <v>0</v>
      </c>
      <c r="V55" s="560">
        <v>0</v>
      </c>
      <c r="W55" s="560">
        <v>0</v>
      </c>
      <c r="X55" s="560">
        <v>0</v>
      </c>
      <c r="Y55" s="347">
        <f>SUM(E55:X55)</f>
        <v>7205</v>
      </c>
      <c r="Z55" s="352"/>
      <c r="AA55" s="560">
        <v>0</v>
      </c>
      <c r="AB55" s="560">
        <v>0</v>
      </c>
      <c r="AC55" s="560">
        <v>41</v>
      </c>
      <c r="AD55" s="560">
        <v>0</v>
      </c>
      <c r="AE55" s="560">
        <v>0</v>
      </c>
      <c r="AF55" s="560">
        <v>0</v>
      </c>
      <c r="AG55" s="560">
        <v>0</v>
      </c>
      <c r="AH55" s="560">
        <v>0</v>
      </c>
      <c r="AI55" s="560">
        <v>0</v>
      </c>
      <c r="AJ55" s="560">
        <v>0</v>
      </c>
      <c r="AK55" s="562">
        <v>0</v>
      </c>
      <c r="AL55" s="562">
        <v>0</v>
      </c>
      <c r="AM55" s="562">
        <v>0</v>
      </c>
      <c r="AN55" s="562">
        <v>0</v>
      </c>
      <c r="AO55" s="562">
        <v>0</v>
      </c>
      <c r="AP55" s="560">
        <v>0</v>
      </c>
      <c r="AQ55" s="560">
        <v>0</v>
      </c>
      <c r="AR55" s="560">
        <v>0</v>
      </c>
      <c r="AS55" s="560">
        <v>0</v>
      </c>
      <c r="AT55" s="560">
        <v>0</v>
      </c>
      <c r="AU55" s="560">
        <v>0</v>
      </c>
      <c r="AV55" s="560">
        <v>0</v>
      </c>
      <c r="AW55" s="560">
        <v>0</v>
      </c>
      <c r="AX55" s="538">
        <v>0</v>
      </c>
      <c r="AY55" s="728">
        <f>SUM(Y55:AX55)</f>
        <v>7246</v>
      </c>
    </row>
    <row r="56" spans="1:58">
      <c r="A56" s="121">
        <v>30</v>
      </c>
      <c r="B56" s="4" t="s">
        <v>58</v>
      </c>
      <c r="D56" s="4"/>
      <c r="E56" s="264">
        <f>'ROO INPUT'!$F57</f>
        <v>-12</v>
      </c>
      <c r="F56" s="561"/>
      <c r="G56" s="561"/>
      <c r="H56" s="561"/>
      <c r="I56" s="561"/>
      <c r="J56" s="561">
        <v>0</v>
      </c>
      <c r="K56" s="561">
        <v>0</v>
      </c>
      <c r="L56" s="561">
        <v>0</v>
      </c>
      <c r="M56" s="561">
        <v>0</v>
      </c>
      <c r="N56" s="561">
        <v>0</v>
      </c>
      <c r="O56" s="561">
        <v>0</v>
      </c>
      <c r="P56" s="561">
        <v>0</v>
      </c>
      <c r="Q56" s="561">
        <v>0</v>
      </c>
      <c r="R56" s="561">
        <v>0</v>
      </c>
      <c r="S56" s="561">
        <v>0</v>
      </c>
      <c r="T56" s="561">
        <v>0</v>
      </c>
      <c r="U56" s="561">
        <v>0</v>
      </c>
      <c r="V56" s="561">
        <v>0</v>
      </c>
      <c r="W56" s="561">
        <v>0</v>
      </c>
      <c r="X56" s="561">
        <v>0</v>
      </c>
      <c r="Y56" s="348">
        <f>SUM(E56:X56)</f>
        <v>-12</v>
      </c>
      <c r="Z56" s="352"/>
      <c r="AA56" s="561">
        <v>0</v>
      </c>
      <c r="AB56" s="561">
        <v>0</v>
      </c>
      <c r="AC56" s="561">
        <v>0</v>
      </c>
      <c r="AD56" s="561">
        <v>0</v>
      </c>
      <c r="AE56" s="561">
        <v>0</v>
      </c>
      <c r="AF56" s="561">
        <v>0</v>
      </c>
      <c r="AG56" s="561">
        <v>0</v>
      </c>
      <c r="AH56" s="561">
        <v>0</v>
      </c>
      <c r="AI56" s="561">
        <v>0</v>
      </c>
      <c r="AJ56" s="561">
        <v>0</v>
      </c>
      <c r="AK56" s="561">
        <v>0</v>
      </c>
      <c r="AL56" s="561">
        <v>0</v>
      </c>
      <c r="AM56" s="561">
        <v>0</v>
      </c>
      <c r="AN56" s="561">
        <v>0</v>
      </c>
      <c r="AO56" s="561">
        <v>0</v>
      </c>
      <c r="AP56" s="561">
        <v>0</v>
      </c>
      <c r="AQ56" s="561">
        <v>0</v>
      </c>
      <c r="AR56" s="561">
        <v>0</v>
      </c>
      <c r="AS56" s="561">
        <v>0</v>
      </c>
      <c r="AT56" s="561">
        <v>0</v>
      </c>
      <c r="AU56" s="561">
        <v>0</v>
      </c>
      <c r="AV56" s="561">
        <v>0</v>
      </c>
      <c r="AW56" s="561">
        <v>0</v>
      </c>
      <c r="AX56" s="539">
        <v>0</v>
      </c>
      <c r="AY56" s="729">
        <f>SUM(Y56:AX56)</f>
        <v>-12</v>
      </c>
    </row>
    <row r="57" spans="1:58" ht="9.75" customHeight="1">
      <c r="E57" s="262"/>
      <c r="F57" s="262"/>
      <c r="G57" s="262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262"/>
      <c r="V57" s="311"/>
      <c r="W57" s="311"/>
      <c r="X57" s="311"/>
      <c r="Y57" s="347"/>
      <c r="Z57" s="352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578"/>
      <c r="AL57" s="578"/>
      <c r="AM57" s="578"/>
      <c r="AN57" s="578"/>
      <c r="AO57" s="578"/>
      <c r="AP57" s="311"/>
      <c r="AQ57" s="311"/>
      <c r="AR57" s="311"/>
      <c r="AS57" s="311"/>
      <c r="AT57" s="311"/>
      <c r="AU57" s="311"/>
      <c r="AV57" s="311"/>
      <c r="AW57" s="311"/>
      <c r="AX57" s="540"/>
      <c r="AY57" s="728"/>
    </row>
    <row r="58" spans="1:58" s="3" customFormat="1" ht="12.75" thickBot="1">
      <c r="A58" s="121">
        <v>31</v>
      </c>
      <c r="B58" s="3" t="s">
        <v>59</v>
      </c>
      <c r="E58" s="392">
        <f>E50-SUM(E53:E56)</f>
        <v>24474</v>
      </c>
      <c r="F58" s="392">
        <f t="shared" ref="F58:P58" si="43">F50-SUM(F53:F56)</f>
        <v>-5.1141300000000003</v>
      </c>
      <c r="G58" s="392">
        <f>G50-SUM(G53:G56)</f>
        <v>-11.855145</v>
      </c>
      <c r="H58" s="576">
        <f t="shared" si="43"/>
        <v>-5.8858800000000002</v>
      </c>
      <c r="I58" s="576">
        <f>I50-SUM(I53:I56)</f>
        <v>-94.683435000000003</v>
      </c>
      <c r="J58" s="576">
        <f t="shared" si="43"/>
        <v>-9.48</v>
      </c>
      <c r="K58" s="576">
        <f>K50-SUM(K53:K56)</f>
        <v>-188.81</v>
      </c>
      <c r="L58" s="576">
        <f t="shared" si="43"/>
        <v>-131.13999999999999</v>
      </c>
      <c r="M58" s="576">
        <f t="shared" si="43"/>
        <v>45.82</v>
      </c>
      <c r="N58" s="576">
        <f t="shared" si="43"/>
        <v>7.11</v>
      </c>
      <c r="O58" s="576">
        <f t="shared" si="43"/>
        <v>-53</v>
      </c>
      <c r="P58" s="576">
        <f t="shared" si="43"/>
        <v>12.64</v>
      </c>
      <c r="Q58" s="576">
        <f t="shared" ref="Q58:X58" si="44">Q50-SUM(Q53:Q56)</f>
        <v>-0.79</v>
      </c>
      <c r="R58" s="576">
        <f t="shared" si="44"/>
        <v>8.69</v>
      </c>
      <c r="S58" s="576">
        <f t="shared" si="44"/>
        <v>-4.74</v>
      </c>
      <c r="T58" s="576">
        <f t="shared" si="44"/>
        <v>-3.999999999996362E-2</v>
      </c>
      <c r="U58" s="392">
        <f t="shared" si="44"/>
        <v>-34.76</v>
      </c>
      <c r="V58" s="576">
        <f t="shared" si="44"/>
        <v>-173.01</v>
      </c>
      <c r="W58" s="576">
        <f t="shared" si="44"/>
        <v>-247</v>
      </c>
      <c r="X58" s="576">
        <f t="shared" si="44"/>
        <v>272.47854222319228</v>
      </c>
      <c r="Y58" s="350">
        <f>Y50-SUM(Y53:Y56)+Y57</f>
        <v>23860.429952223189</v>
      </c>
      <c r="Z58" s="585"/>
      <c r="AA58" s="576">
        <f t="shared" ref="AA58:AX58" si="45">AA50-SUM(AA53:AA56)</f>
        <v>8186.77</v>
      </c>
      <c r="AB58" s="576">
        <f t="shared" si="45"/>
        <v>181.7</v>
      </c>
      <c r="AC58" s="576">
        <f t="shared" si="45"/>
        <v>-41</v>
      </c>
      <c r="AD58" s="576">
        <f t="shared" si="45"/>
        <v>-771.83</v>
      </c>
      <c r="AE58" s="576">
        <f t="shared" si="45"/>
        <v>76.63</v>
      </c>
      <c r="AF58" s="576">
        <f t="shared" si="45"/>
        <v>-269.39</v>
      </c>
      <c r="AG58" s="576">
        <f t="shared" si="45"/>
        <v>-232.26</v>
      </c>
      <c r="AH58" s="576">
        <f t="shared" si="45"/>
        <v>-223.75723000000002</v>
      </c>
      <c r="AI58" s="576">
        <f t="shared" si="45"/>
        <v>-365.77</v>
      </c>
      <c r="AJ58" s="576">
        <f t="shared" si="45"/>
        <v>-688.88</v>
      </c>
      <c r="AK58" s="576">
        <f t="shared" si="45"/>
        <v>0</v>
      </c>
      <c r="AL58" s="576">
        <f t="shared" si="45"/>
        <v>0</v>
      </c>
      <c r="AM58" s="576">
        <f t="shared" si="45"/>
        <v>0</v>
      </c>
      <c r="AN58" s="576">
        <f t="shared" si="45"/>
        <v>0</v>
      </c>
      <c r="AO58" s="576">
        <f t="shared" si="45"/>
        <v>0</v>
      </c>
      <c r="AP58" s="576">
        <f t="shared" si="45"/>
        <v>-4390.9922848061815</v>
      </c>
      <c r="AQ58" s="576">
        <f t="shared" si="45"/>
        <v>-1244.8690550000001</v>
      </c>
      <c r="AR58" s="576">
        <f t="shared" si="45"/>
        <v>-78.348060000000004</v>
      </c>
      <c r="AS58" s="576">
        <f t="shared" si="45"/>
        <v>-1189.0952181901139</v>
      </c>
      <c r="AT58" s="576">
        <f t="shared" si="45"/>
        <v>0</v>
      </c>
      <c r="AU58" s="576">
        <f t="shared" ref="AU58:AV58" si="46">AU50-SUM(AU53:AU56)</f>
        <v>12.36745</v>
      </c>
      <c r="AV58" s="576">
        <f t="shared" si="46"/>
        <v>0</v>
      </c>
      <c r="AW58" s="576">
        <f t="shared" ref="AW58" si="47">AW50-SUM(AW53:AW56)</f>
        <v>0</v>
      </c>
      <c r="AX58" s="543">
        <f t="shared" si="45"/>
        <v>0</v>
      </c>
      <c r="AY58" s="730">
        <f>AY50-SUM(AY53:AY56)+AY57</f>
        <v>22821.705554226901</v>
      </c>
    </row>
    <row r="59" spans="1:58" ht="6" customHeight="1" thickTop="1">
      <c r="E59" s="262"/>
      <c r="F59" s="262"/>
      <c r="G59" s="262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262"/>
      <c r="V59" s="358"/>
      <c r="W59" s="311"/>
      <c r="X59" s="311"/>
      <c r="Y59" s="347"/>
      <c r="Z59" s="352"/>
      <c r="AA59" s="311"/>
      <c r="AB59" s="311"/>
      <c r="AC59" s="311"/>
      <c r="AD59" s="358"/>
      <c r="AE59" s="358"/>
      <c r="AF59" s="358"/>
      <c r="AG59" s="311"/>
      <c r="AH59" s="311"/>
      <c r="AI59" s="311"/>
      <c r="AJ59" s="311"/>
      <c r="AK59" s="578"/>
      <c r="AL59" s="578"/>
      <c r="AM59" s="578"/>
      <c r="AN59" s="578"/>
      <c r="AO59" s="578"/>
      <c r="AP59" s="311"/>
      <c r="AQ59" s="311"/>
      <c r="AR59" s="311"/>
      <c r="AS59" s="311"/>
      <c r="AT59" s="311"/>
      <c r="AU59" s="311"/>
      <c r="AV59" s="311"/>
      <c r="AW59" s="311"/>
      <c r="AX59" s="540"/>
      <c r="AY59" s="728"/>
    </row>
    <row r="60" spans="1:58">
      <c r="B60" s="1" t="s">
        <v>104</v>
      </c>
      <c r="E60" s="262"/>
      <c r="F60" s="262"/>
      <c r="G60" s="262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262"/>
      <c r="V60" s="358"/>
      <c r="W60" s="311"/>
      <c r="X60" s="311"/>
      <c r="Y60" s="347"/>
      <c r="Z60" s="352"/>
      <c r="AA60" s="311"/>
      <c r="AB60" s="311"/>
      <c r="AC60" s="311"/>
      <c r="AD60" s="358"/>
      <c r="AE60" s="358"/>
      <c r="AF60" s="358"/>
      <c r="AG60" s="311"/>
      <c r="AH60" s="311"/>
      <c r="AI60" s="311"/>
      <c r="AJ60" s="311"/>
      <c r="AK60" s="578"/>
      <c r="AL60" s="578"/>
      <c r="AM60" s="578"/>
      <c r="AN60" s="578"/>
      <c r="AO60" s="578"/>
      <c r="AP60" s="311"/>
      <c r="AQ60" s="311"/>
      <c r="AR60" s="311"/>
      <c r="AS60" s="311"/>
      <c r="AT60" s="311"/>
      <c r="AU60" s="311"/>
      <c r="AV60" s="311"/>
      <c r="AW60" s="311"/>
      <c r="AX60" s="540"/>
      <c r="AY60" s="728"/>
      <c r="BB60" s="734"/>
      <c r="BC60" s="735"/>
      <c r="BD60" s="734"/>
      <c r="BE60" s="734"/>
      <c r="BF60" s="734"/>
    </row>
    <row r="61" spans="1:58">
      <c r="B61" s="1" t="s">
        <v>105</v>
      </c>
      <c r="E61" s="262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92"/>
      <c r="W61" s="560"/>
      <c r="X61" s="560"/>
      <c r="Y61" s="347"/>
      <c r="Z61" s="352"/>
      <c r="AA61" s="560"/>
      <c r="AB61" s="560"/>
      <c r="AC61" s="560"/>
      <c r="AD61" s="592"/>
      <c r="AE61" s="592"/>
      <c r="AF61" s="592"/>
      <c r="AG61" s="560"/>
      <c r="AH61" s="560"/>
      <c r="AI61" s="560"/>
      <c r="AJ61" s="560"/>
      <c r="AK61" s="562"/>
      <c r="AL61" s="562"/>
      <c r="AM61" s="562"/>
      <c r="AN61" s="562"/>
      <c r="AO61" s="562"/>
      <c r="AP61" s="560"/>
      <c r="AQ61" s="560"/>
      <c r="AR61" s="560"/>
      <c r="AS61" s="560"/>
      <c r="AT61" s="560"/>
      <c r="AU61" s="560"/>
      <c r="AV61" s="560"/>
      <c r="AW61" s="560"/>
      <c r="AX61" s="538"/>
      <c r="AY61" s="728"/>
      <c r="BE61" s="734"/>
      <c r="BF61" s="734"/>
    </row>
    <row r="62" spans="1:58">
      <c r="A62" s="121">
        <v>32</v>
      </c>
      <c r="B62" s="4"/>
      <c r="C62" s="4" t="s">
        <v>42</v>
      </c>
      <c r="D62" s="4"/>
      <c r="E62" s="416">
        <f>'ROO INPUT'!$F63</f>
        <v>29714</v>
      </c>
      <c r="F62" s="559">
        <v>0</v>
      </c>
      <c r="G62" s="559">
        <v>0</v>
      </c>
      <c r="H62" s="559">
        <v>0</v>
      </c>
      <c r="I62" s="559">
        <v>0</v>
      </c>
      <c r="J62" s="559">
        <v>0</v>
      </c>
      <c r="K62" s="559">
        <v>0</v>
      </c>
      <c r="L62" s="559">
        <v>0</v>
      </c>
      <c r="M62" s="559">
        <v>0</v>
      </c>
      <c r="N62" s="559">
        <v>0</v>
      </c>
      <c r="O62" s="559">
        <v>0</v>
      </c>
      <c r="P62" s="559">
        <v>0</v>
      </c>
      <c r="Q62" s="559">
        <v>0</v>
      </c>
      <c r="R62" s="559">
        <v>0</v>
      </c>
      <c r="S62" s="559">
        <v>0</v>
      </c>
      <c r="T62" s="559">
        <v>0</v>
      </c>
      <c r="U62" s="559">
        <v>0</v>
      </c>
      <c r="V62" s="593">
        <v>0</v>
      </c>
      <c r="W62" s="559">
        <v>0</v>
      </c>
      <c r="X62" s="559">
        <v>700.36999999999898</v>
      </c>
      <c r="Y62" s="346">
        <f>SUM(E62:X62)</f>
        <v>30414.37</v>
      </c>
      <c r="Z62" s="585"/>
      <c r="AA62" s="559">
        <v>0</v>
      </c>
      <c r="AB62" s="559">
        <v>0</v>
      </c>
      <c r="AC62" s="559">
        <v>0</v>
      </c>
      <c r="AD62" s="593">
        <v>0</v>
      </c>
      <c r="AE62" s="593">
        <v>0</v>
      </c>
      <c r="AF62" s="593">
        <v>0</v>
      </c>
      <c r="AG62" s="559">
        <v>0</v>
      </c>
      <c r="AH62" s="559">
        <v>0</v>
      </c>
      <c r="AI62" s="559">
        <v>0</v>
      </c>
      <c r="AJ62" s="559">
        <v>0</v>
      </c>
      <c r="AK62" s="699">
        <v>0</v>
      </c>
      <c r="AL62" s="699">
        <v>0</v>
      </c>
      <c r="AM62" s="699">
        <v>0</v>
      </c>
      <c r="AN62" s="699">
        <v>0</v>
      </c>
      <c r="AO62" s="699">
        <v>0</v>
      </c>
      <c r="AP62" s="559">
        <v>0</v>
      </c>
      <c r="AQ62" s="559">
        <v>0</v>
      </c>
      <c r="AR62" s="559">
        <v>0</v>
      </c>
      <c r="AS62" s="559">
        <f>+[14]Gas!$L$6</f>
        <v>688.20600000000002</v>
      </c>
      <c r="AT62" s="559">
        <v>0</v>
      </c>
      <c r="AU62" s="559">
        <v>0</v>
      </c>
      <c r="AV62" s="559">
        <v>0</v>
      </c>
      <c r="AW62" s="559">
        <v>0</v>
      </c>
      <c r="AX62" s="537">
        <v>0</v>
      </c>
      <c r="AY62" s="727">
        <f>SUM(Y62:AX62)</f>
        <v>31102.575999999997</v>
      </c>
      <c r="BE62" s="738"/>
      <c r="BF62" s="738"/>
    </row>
    <row r="63" spans="1:58">
      <c r="A63" s="121">
        <v>33</v>
      </c>
      <c r="B63" s="4"/>
      <c r="C63" s="4" t="s">
        <v>61</v>
      </c>
      <c r="D63" s="4"/>
      <c r="E63" s="262">
        <f>'ROO INPUT'!$F64</f>
        <v>505864</v>
      </c>
      <c r="F63" s="560">
        <v>0</v>
      </c>
      <c r="G63" s="560">
        <v>0</v>
      </c>
      <c r="H63" s="560">
        <v>0</v>
      </c>
      <c r="I63" s="560">
        <v>-10036</v>
      </c>
      <c r="J63" s="560">
        <v>0</v>
      </c>
      <c r="K63" s="560">
        <v>0</v>
      </c>
      <c r="L63" s="560">
        <v>0</v>
      </c>
      <c r="M63" s="560">
        <v>0</v>
      </c>
      <c r="N63" s="560">
        <v>0</v>
      </c>
      <c r="O63" s="560">
        <v>0</v>
      </c>
      <c r="P63" s="560">
        <v>0</v>
      </c>
      <c r="Q63" s="560">
        <v>0</v>
      </c>
      <c r="R63" s="560">
        <v>0</v>
      </c>
      <c r="S63" s="560">
        <v>0</v>
      </c>
      <c r="T63" s="560">
        <v>0</v>
      </c>
      <c r="U63" s="560">
        <v>0</v>
      </c>
      <c r="V63" s="592">
        <v>0</v>
      </c>
      <c r="W63" s="560">
        <v>0</v>
      </c>
      <c r="X63" s="560">
        <v>4408.7749406308112</v>
      </c>
      <c r="Y63" s="347">
        <f>SUM(E63:X63)</f>
        <v>500236.77494063083</v>
      </c>
      <c r="Z63" s="352"/>
      <c r="AA63" s="560">
        <v>0</v>
      </c>
      <c r="AB63" s="560">
        <v>0</v>
      </c>
      <c r="AC63" s="560"/>
      <c r="AD63" s="592">
        <v>0</v>
      </c>
      <c r="AE63" s="592">
        <v>0</v>
      </c>
      <c r="AF63" s="592">
        <v>0</v>
      </c>
      <c r="AG63" s="560">
        <v>0</v>
      </c>
      <c r="AH63" s="560"/>
      <c r="AI63" s="560">
        <v>0</v>
      </c>
      <c r="AJ63" s="560"/>
      <c r="AK63" s="562">
        <v>0</v>
      </c>
      <c r="AL63" s="562">
        <v>0</v>
      </c>
      <c r="AM63" s="562">
        <v>0</v>
      </c>
      <c r="AN63" s="562">
        <v>0</v>
      </c>
      <c r="AO63" s="562">
        <v>0</v>
      </c>
      <c r="AP63" s="560">
        <f>+[13]Adjustment!$F$3/1000</f>
        <v>-5267.7265995833332</v>
      </c>
      <c r="AQ63" s="560">
        <v>0</v>
      </c>
      <c r="AR63" s="560">
        <v>0</v>
      </c>
      <c r="AS63" s="560">
        <f>+[14]Gas!$L$7</f>
        <v>13130.748430904723</v>
      </c>
      <c r="AT63" s="560">
        <v>0</v>
      </c>
      <c r="AU63" s="560">
        <v>0</v>
      </c>
      <c r="AV63" s="560">
        <v>0</v>
      </c>
      <c r="AW63" s="560">
        <v>0</v>
      </c>
      <c r="AX63" s="538">
        <v>0</v>
      </c>
      <c r="AY63" s="728">
        <f>SUM(Y63:AX63)</f>
        <v>508099.79677195218</v>
      </c>
      <c r="BE63" s="740"/>
      <c r="BF63" s="740"/>
    </row>
    <row r="64" spans="1:58">
      <c r="A64" s="121">
        <v>34</v>
      </c>
      <c r="B64" s="4"/>
      <c r="C64" s="4" t="s">
        <v>62</v>
      </c>
      <c r="D64" s="4"/>
      <c r="E64" s="264">
        <f>'ROO INPUT'!$F65</f>
        <v>141661</v>
      </c>
      <c r="F64" s="561">
        <v>0</v>
      </c>
      <c r="G64" s="561">
        <v>0</v>
      </c>
      <c r="H64" s="561">
        <v>0</v>
      </c>
      <c r="I64" s="561">
        <v>-11292</v>
      </c>
      <c r="J64" s="561">
        <v>0</v>
      </c>
      <c r="K64" s="561">
        <v>0</v>
      </c>
      <c r="L64" s="561">
        <v>0</v>
      </c>
      <c r="M64" s="561">
        <v>0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94">
        <v>0</v>
      </c>
      <c r="W64" s="561">
        <v>0</v>
      </c>
      <c r="X64" s="561">
        <f>1277+7215</f>
        <v>8492</v>
      </c>
      <c r="Y64" s="348">
        <f>SUM(E64:X64)</f>
        <v>138861</v>
      </c>
      <c r="Z64" s="352"/>
      <c r="AA64" s="561">
        <v>0</v>
      </c>
      <c r="AB64" s="561">
        <v>0</v>
      </c>
      <c r="AC64" s="561"/>
      <c r="AD64" s="594">
        <v>0</v>
      </c>
      <c r="AE64" s="594">
        <v>0</v>
      </c>
      <c r="AF64" s="594">
        <v>0</v>
      </c>
      <c r="AG64" s="561">
        <v>0</v>
      </c>
      <c r="AH64" s="561"/>
      <c r="AI64" s="561">
        <v>0</v>
      </c>
      <c r="AJ64" s="561"/>
      <c r="AK64" s="561">
        <v>0</v>
      </c>
      <c r="AL64" s="561">
        <v>0</v>
      </c>
      <c r="AM64" s="561">
        <v>0</v>
      </c>
      <c r="AN64" s="561">
        <v>0</v>
      </c>
      <c r="AO64" s="561">
        <v>0</v>
      </c>
      <c r="AP64" s="561">
        <v>0</v>
      </c>
      <c r="AQ64" s="561">
        <v>0</v>
      </c>
      <c r="AR64" s="561">
        <v>0</v>
      </c>
      <c r="AS64" s="561">
        <f>+[14]Gas!$L$8</f>
        <v>2864.8708190952752</v>
      </c>
      <c r="AT64" s="561">
        <v>0</v>
      </c>
      <c r="AU64" s="561">
        <v>0</v>
      </c>
      <c r="AV64" s="561">
        <v>0</v>
      </c>
      <c r="AW64" s="561">
        <v>0</v>
      </c>
      <c r="AX64" s="539">
        <v>0</v>
      </c>
      <c r="AY64" s="729">
        <f>SUM(Y64:AX64)</f>
        <v>141725.87081909529</v>
      </c>
      <c r="BB64" s="740"/>
      <c r="BC64" s="746"/>
      <c r="BD64" s="740"/>
      <c r="BE64" s="740"/>
      <c r="BF64" s="740"/>
    </row>
    <row r="65" spans="1:58" ht="15.75" customHeight="1">
      <c r="A65" s="121">
        <v>35</v>
      </c>
      <c r="B65" s="4" t="s">
        <v>63</v>
      </c>
      <c r="C65" s="4"/>
      <c r="E65" s="262">
        <f>SUM(E62:E64)</f>
        <v>677239</v>
      </c>
      <c r="F65" s="262">
        <f t="shared" ref="F65:O65" si="48">SUM(F62:F64)</f>
        <v>0</v>
      </c>
      <c r="G65" s="262">
        <f t="shared" si="48"/>
        <v>0</v>
      </c>
      <c r="H65" s="311">
        <f t="shared" si="48"/>
        <v>0</v>
      </c>
      <c r="I65" s="311">
        <f>SUM(I62:I64)</f>
        <v>-21328</v>
      </c>
      <c r="J65" s="311">
        <f t="shared" si="48"/>
        <v>0</v>
      </c>
      <c r="K65" s="311">
        <f>SUM(K62:K64)</f>
        <v>0</v>
      </c>
      <c r="L65" s="311">
        <f t="shared" si="48"/>
        <v>0</v>
      </c>
      <c r="M65" s="311">
        <f t="shared" si="48"/>
        <v>0</v>
      </c>
      <c r="N65" s="311">
        <f t="shared" si="48"/>
        <v>0</v>
      </c>
      <c r="O65" s="311">
        <f t="shared" si="48"/>
        <v>0</v>
      </c>
      <c r="P65" s="311">
        <f t="shared" ref="P65:Y65" si="49">SUM(P62:P64)</f>
        <v>0</v>
      </c>
      <c r="Q65" s="311">
        <f t="shared" si="49"/>
        <v>0</v>
      </c>
      <c r="R65" s="311">
        <f t="shared" si="49"/>
        <v>0</v>
      </c>
      <c r="S65" s="311">
        <f t="shared" si="49"/>
        <v>0</v>
      </c>
      <c r="T65" s="311">
        <f t="shared" si="49"/>
        <v>0</v>
      </c>
      <c r="U65" s="262">
        <f t="shared" si="49"/>
        <v>0</v>
      </c>
      <c r="V65" s="311">
        <f t="shared" si="49"/>
        <v>0</v>
      </c>
      <c r="W65" s="311">
        <f t="shared" si="49"/>
        <v>0</v>
      </c>
      <c r="X65" s="311">
        <f t="shared" si="49"/>
        <v>13601.144940630809</v>
      </c>
      <c r="Y65" s="347">
        <f t="shared" si="49"/>
        <v>669512.14494063088</v>
      </c>
      <c r="Z65" s="352"/>
      <c r="AA65" s="311">
        <f t="shared" ref="AA65:AY65" si="50">SUM(AA62:AA64)</f>
        <v>0</v>
      </c>
      <c r="AB65" s="311">
        <f t="shared" si="50"/>
        <v>0</v>
      </c>
      <c r="AC65" s="311">
        <f t="shared" si="50"/>
        <v>0</v>
      </c>
      <c r="AD65" s="311">
        <f t="shared" si="50"/>
        <v>0</v>
      </c>
      <c r="AE65" s="311">
        <f t="shared" si="50"/>
        <v>0</v>
      </c>
      <c r="AF65" s="311">
        <f t="shared" si="50"/>
        <v>0</v>
      </c>
      <c r="AG65" s="311">
        <f t="shared" si="50"/>
        <v>0</v>
      </c>
      <c r="AH65" s="311">
        <f t="shared" si="50"/>
        <v>0</v>
      </c>
      <c r="AI65" s="311">
        <f t="shared" si="50"/>
        <v>0</v>
      </c>
      <c r="AJ65" s="311">
        <f t="shared" si="50"/>
        <v>0</v>
      </c>
      <c r="AK65" s="578">
        <f t="shared" si="50"/>
        <v>0</v>
      </c>
      <c r="AL65" s="578">
        <f t="shared" si="50"/>
        <v>0</v>
      </c>
      <c r="AM65" s="578">
        <f t="shared" si="50"/>
        <v>0</v>
      </c>
      <c r="AN65" s="578">
        <f t="shared" si="50"/>
        <v>0</v>
      </c>
      <c r="AO65" s="578">
        <f t="shared" si="50"/>
        <v>0</v>
      </c>
      <c r="AP65" s="311">
        <f t="shared" si="50"/>
        <v>-5267.7265995833332</v>
      </c>
      <c r="AQ65" s="311">
        <f t="shared" si="50"/>
        <v>0</v>
      </c>
      <c r="AR65" s="311">
        <f t="shared" si="50"/>
        <v>0</v>
      </c>
      <c r="AS65" s="311">
        <f t="shared" si="50"/>
        <v>16683.825249999998</v>
      </c>
      <c r="AT65" s="311">
        <f t="shared" si="50"/>
        <v>0</v>
      </c>
      <c r="AU65" s="311">
        <f t="shared" ref="AU65:AV65" si="51">SUM(AU62:AU64)</f>
        <v>0</v>
      </c>
      <c r="AV65" s="311">
        <f t="shared" si="51"/>
        <v>0</v>
      </c>
      <c r="AW65" s="311">
        <f t="shared" ref="AW65" si="52">SUM(AW62:AW64)</f>
        <v>0</v>
      </c>
      <c r="AX65" s="540">
        <f t="shared" si="50"/>
        <v>0</v>
      </c>
      <c r="AY65" s="728">
        <f t="shared" si="50"/>
        <v>680928.24359104747</v>
      </c>
      <c r="BB65" s="740"/>
      <c r="BC65" s="740"/>
      <c r="BD65" s="740"/>
      <c r="BE65" s="740"/>
      <c r="BF65" s="740"/>
    </row>
    <row r="66" spans="1:58" ht="3.75" customHeight="1">
      <c r="B66" s="4"/>
      <c r="C66" s="4"/>
      <c r="E66" s="262"/>
      <c r="F66" s="262"/>
      <c r="G66" s="262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262"/>
      <c r="V66" s="311"/>
      <c r="W66" s="311"/>
      <c r="X66" s="311"/>
      <c r="Y66" s="347"/>
      <c r="Z66" s="352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578"/>
      <c r="AL66" s="578"/>
      <c r="AM66" s="578"/>
      <c r="AN66" s="578"/>
      <c r="AO66" s="578"/>
      <c r="AP66" s="311"/>
      <c r="AQ66" s="311"/>
      <c r="AR66" s="311"/>
      <c r="AS66" s="311"/>
      <c r="AT66" s="311"/>
      <c r="AU66" s="311"/>
      <c r="AV66" s="311"/>
      <c r="AW66" s="311"/>
      <c r="AX66" s="540"/>
      <c r="AY66" s="728"/>
      <c r="BB66" s="740"/>
      <c r="BD66" s="742"/>
      <c r="BE66" s="742"/>
      <c r="BF66" s="742"/>
    </row>
    <row r="67" spans="1:58">
      <c r="B67" s="4" t="s">
        <v>201</v>
      </c>
      <c r="C67" s="4"/>
      <c r="D67" s="4"/>
      <c r="E67" s="262"/>
      <c r="F67" s="560"/>
      <c r="G67" s="560"/>
      <c r="H67" s="560"/>
      <c r="I67" s="560"/>
      <c r="J67" s="560"/>
      <c r="K67" s="560"/>
      <c r="L67" s="560"/>
      <c r="M67" s="560"/>
      <c r="N67" s="560"/>
      <c r="O67" s="560"/>
      <c r="P67" s="560"/>
      <c r="Q67" s="560"/>
      <c r="R67" s="560"/>
      <c r="S67" s="560"/>
      <c r="T67" s="560"/>
      <c r="U67" s="560"/>
      <c r="V67" s="560"/>
      <c r="W67" s="560"/>
      <c r="X67" s="560"/>
      <c r="Y67" s="347"/>
      <c r="Z67" s="352"/>
      <c r="AA67" s="560"/>
      <c r="AB67" s="560"/>
      <c r="AC67" s="560"/>
      <c r="AD67" s="560"/>
      <c r="AE67" s="560"/>
      <c r="AF67" s="560"/>
      <c r="AG67" s="560"/>
      <c r="AH67" s="560"/>
      <c r="AI67" s="560"/>
      <c r="AJ67" s="560"/>
      <c r="AK67" s="562"/>
      <c r="AL67" s="562"/>
      <c r="AM67" s="562"/>
      <c r="AN67" s="562"/>
      <c r="AO67" s="562"/>
      <c r="AP67" s="560"/>
      <c r="AQ67" s="560"/>
      <c r="AR67" s="560"/>
      <c r="AS67" s="560"/>
      <c r="AT67" s="560"/>
      <c r="AU67" s="560"/>
      <c r="AV67" s="560"/>
      <c r="AW67" s="560"/>
      <c r="AX67" s="538"/>
      <c r="AY67" s="728"/>
      <c r="BB67" s="740"/>
      <c r="BC67" s="746"/>
      <c r="BD67" s="742"/>
      <c r="BE67" s="742"/>
      <c r="BF67" s="742"/>
    </row>
    <row r="68" spans="1:58">
      <c r="A68" s="121">
        <v>36</v>
      </c>
      <c r="B68" s="4"/>
      <c r="C68" s="4" t="s">
        <v>42</v>
      </c>
      <c r="D68" s="4"/>
      <c r="E68" s="262">
        <f>'ROO INPUT'!$F69</f>
        <v>-11566</v>
      </c>
      <c r="F68" s="560">
        <v>0</v>
      </c>
      <c r="G68" s="560">
        <v>0</v>
      </c>
      <c r="H68" s="560">
        <v>0</v>
      </c>
      <c r="I68" s="560">
        <v>0</v>
      </c>
      <c r="J68" s="560">
        <v>0</v>
      </c>
      <c r="K68" s="560">
        <v>0</v>
      </c>
      <c r="L68" s="560">
        <v>0</v>
      </c>
      <c r="M68" s="560">
        <v>0</v>
      </c>
      <c r="N68" s="560">
        <v>0</v>
      </c>
      <c r="O68" s="560">
        <v>0</v>
      </c>
      <c r="P68" s="560">
        <v>0</v>
      </c>
      <c r="Q68" s="560">
        <v>0</v>
      </c>
      <c r="R68" s="560">
        <v>0</v>
      </c>
      <c r="S68" s="560">
        <v>0</v>
      </c>
      <c r="T68" s="560">
        <v>0</v>
      </c>
      <c r="U68" s="560">
        <v>0</v>
      </c>
      <c r="V68" s="560">
        <v>0</v>
      </c>
      <c r="W68" s="560">
        <v>0</v>
      </c>
      <c r="X68" s="560">
        <v>-223.28800000000047</v>
      </c>
      <c r="Y68" s="347">
        <f>SUM(E68:X68)</f>
        <v>-11789.288</v>
      </c>
      <c r="Z68" s="352"/>
      <c r="AA68" s="560">
        <v>0</v>
      </c>
      <c r="AB68" s="560">
        <v>0</v>
      </c>
      <c r="AC68" s="560">
        <v>0</v>
      </c>
      <c r="AD68" s="560">
        <v>0</v>
      </c>
      <c r="AE68" s="560">
        <v>0</v>
      </c>
      <c r="AF68" s="560">
        <v>0</v>
      </c>
      <c r="AG68" s="560">
        <v>0</v>
      </c>
      <c r="AH68" s="560">
        <v>0</v>
      </c>
      <c r="AI68" s="560">
        <v>0</v>
      </c>
      <c r="AJ68" s="560">
        <v>0</v>
      </c>
      <c r="AK68" s="700">
        <v>0</v>
      </c>
      <c r="AL68" s="700">
        <v>0</v>
      </c>
      <c r="AM68" s="700">
        <v>0</v>
      </c>
      <c r="AN68" s="700">
        <v>0</v>
      </c>
      <c r="AO68" s="700">
        <v>0</v>
      </c>
      <c r="AP68" s="560">
        <f>+[13]Adjustment!$F$8/1000</f>
        <v>867.20671500000014</v>
      </c>
      <c r="AQ68" s="560">
        <v>0</v>
      </c>
      <c r="AR68" s="560">
        <v>0</v>
      </c>
      <c r="AS68" s="560">
        <f>+[14]Gas!$L$16</f>
        <v>-234.995</v>
      </c>
      <c r="AT68" s="560">
        <v>0</v>
      </c>
      <c r="AU68" s="560">
        <v>0</v>
      </c>
      <c r="AV68" s="560">
        <v>0</v>
      </c>
      <c r="AW68" s="560">
        <v>0</v>
      </c>
      <c r="AX68" s="538">
        <v>0</v>
      </c>
      <c r="AY68" s="728">
        <f>SUM(Y68:AX68)</f>
        <v>-11157.076285000001</v>
      </c>
      <c r="BB68" s="740"/>
      <c r="BC68" s="740"/>
      <c r="BD68" s="742"/>
      <c r="BE68" s="742"/>
      <c r="BF68" s="742"/>
    </row>
    <row r="69" spans="1:58">
      <c r="A69" s="121">
        <v>37</v>
      </c>
      <c r="B69" s="4"/>
      <c r="C69" s="4" t="s">
        <v>61</v>
      </c>
      <c r="D69" s="4"/>
      <c r="E69" s="262">
        <f>'ROO INPUT'!$F70</f>
        <v>-151240</v>
      </c>
      <c r="F69" s="560">
        <v>0</v>
      </c>
      <c r="G69" s="560">
        <v>0</v>
      </c>
      <c r="H69" s="560">
        <v>0</v>
      </c>
      <c r="I69" s="560">
        <v>301</v>
      </c>
      <c r="J69" s="560">
        <v>0</v>
      </c>
      <c r="K69" s="560">
        <v>0</v>
      </c>
      <c r="L69" s="560">
        <v>0</v>
      </c>
      <c r="M69" s="560">
        <v>0</v>
      </c>
      <c r="N69" s="560">
        <v>0</v>
      </c>
      <c r="O69" s="560">
        <v>0</v>
      </c>
      <c r="P69" s="560">
        <v>0</v>
      </c>
      <c r="Q69" s="560">
        <v>0</v>
      </c>
      <c r="R69" s="560">
        <v>0</v>
      </c>
      <c r="S69" s="560">
        <v>0</v>
      </c>
      <c r="T69" s="560">
        <v>0</v>
      </c>
      <c r="U69" s="560">
        <v>0</v>
      </c>
      <c r="V69" s="560">
        <v>0</v>
      </c>
      <c r="W69" s="560">
        <v>0</v>
      </c>
      <c r="X69" s="560">
        <v>2028.6663291830437</v>
      </c>
      <c r="Y69" s="347">
        <f>SUM(E69:X69)</f>
        <v>-148910.33367081697</v>
      </c>
      <c r="Z69" s="352"/>
      <c r="AA69" s="560">
        <v>0</v>
      </c>
      <c r="AB69" s="560">
        <v>0</v>
      </c>
      <c r="AC69" s="560"/>
      <c r="AD69" s="560">
        <v>0</v>
      </c>
      <c r="AE69" s="560">
        <v>0</v>
      </c>
      <c r="AF69" s="560">
        <v>0</v>
      </c>
      <c r="AG69" s="560">
        <v>0</v>
      </c>
      <c r="AH69" s="560"/>
      <c r="AI69" s="560">
        <v>0</v>
      </c>
      <c r="AJ69" s="560"/>
      <c r="AK69" s="562">
        <v>0</v>
      </c>
      <c r="AL69" s="562">
        <v>0</v>
      </c>
      <c r="AM69" s="562">
        <v>0</v>
      </c>
      <c r="AN69" s="562">
        <v>0</v>
      </c>
      <c r="AO69" s="562">
        <v>0</v>
      </c>
      <c r="AP69" s="560">
        <v>0</v>
      </c>
      <c r="AQ69" s="560">
        <v>0</v>
      </c>
      <c r="AR69" s="560">
        <v>0</v>
      </c>
      <c r="AS69" s="560">
        <f>+[14]Gas!$L$17</f>
        <v>-3377.8160663454787</v>
      </c>
      <c r="AT69" s="560">
        <v>0</v>
      </c>
      <c r="AU69" s="560">
        <v>0</v>
      </c>
      <c r="AV69" s="560">
        <v>0</v>
      </c>
      <c r="AW69" s="560">
        <v>0</v>
      </c>
      <c r="AX69" s="538">
        <v>0</v>
      </c>
      <c r="AY69" s="728">
        <f>SUM(Y69:AX69)</f>
        <v>-152288.14973716246</v>
      </c>
      <c r="BB69" s="740"/>
      <c r="BE69" s="740"/>
      <c r="BF69" s="740"/>
    </row>
    <row r="70" spans="1:58">
      <c r="A70" s="121">
        <v>38</v>
      </c>
      <c r="B70" s="4"/>
      <c r="C70" s="4" t="s">
        <v>62</v>
      </c>
      <c r="D70" s="4"/>
      <c r="E70" s="262">
        <f>'ROO INPUT'!$F71</f>
        <v>-38750</v>
      </c>
      <c r="F70" s="560">
        <v>0</v>
      </c>
      <c r="G70" s="560">
        <v>0</v>
      </c>
      <c r="H70" s="560">
        <v>0</v>
      </c>
      <c r="I70" s="560">
        <v>1658</v>
      </c>
      <c r="J70" s="560">
        <v>0</v>
      </c>
      <c r="K70" s="560">
        <v>0</v>
      </c>
      <c r="L70" s="560">
        <v>0</v>
      </c>
      <c r="M70" s="560">
        <v>0</v>
      </c>
      <c r="N70" s="560">
        <v>0</v>
      </c>
      <c r="O70" s="560">
        <v>0</v>
      </c>
      <c r="P70" s="560">
        <v>0</v>
      </c>
      <c r="Q70" s="560">
        <v>0</v>
      </c>
      <c r="R70" s="560">
        <v>0</v>
      </c>
      <c r="S70" s="560">
        <v>0</v>
      </c>
      <c r="T70" s="560">
        <v>0</v>
      </c>
      <c r="U70" s="560">
        <v>0</v>
      </c>
      <c r="V70" s="560">
        <v>0</v>
      </c>
      <c r="W70" s="560">
        <v>0</v>
      </c>
      <c r="X70" s="560">
        <f>-1784-1015</f>
        <v>-2799</v>
      </c>
      <c r="Y70" s="347">
        <f>SUM(E70:X70)</f>
        <v>-39891</v>
      </c>
      <c r="Z70" s="352"/>
      <c r="AA70" s="560">
        <v>0</v>
      </c>
      <c r="AB70" s="560">
        <v>0</v>
      </c>
      <c r="AC70" s="560"/>
      <c r="AD70" s="560">
        <v>0</v>
      </c>
      <c r="AE70" s="560">
        <v>0</v>
      </c>
      <c r="AF70" s="560">
        <v>0</v>
      </c>
      <c r="AG70" s="560">
        <v>0</v>
      </c>
      <c r="AH70" s="560"/>
      <c r="AI70" s="560">
        <v>0</v>
      </c>
      <c r="AJ70" s="560"/>
      <c r="AK70" s="561">
        <v>0</v>
      </c>
      <c r="AL70" s="561">
        <v>0</v>
      </c>
      <c r="AM70" s="561">
        <v>0</v>
      </c>
      <c r="AN70" s="561">
        <v>0</v>
      </c>
      <c r="AO70" s="561">
        <v>0</v>
      </c>
      <c r="AP70" s="560">
        <v>0</v>
      </c>
      <c r="AQ70" s="560">
        <v>0</v>
      </c>
      <c r="AR70" s="560">
        <v>0</v>
      </c>
      <c r="AS70" s="560">
        <f>+[14]Gas!$L$18</f>
        <v>-3950.9195586545211</v>
      </c>
      <c r="AT70" s="560">
        <v>0</v>
      </c>
      <c r="AU70" s="560">
        <v>0</v>
      </c>
      <c r="AV70" s="560">
        <v>0</v>
      </c>
      <c r="AW70" s="560">
        <v>0</v>
      </c>
      <c r="AX70" s="538">
        <v>0</v>
      </c>
      <c r="AY70" s="728">
        <f>SUM(Y70:AX70)</f>
        <v>-43841.919558654525</v>
      </c>
      <c r="BB70" s="740"/>
      <c r="BE70" s="740"/>
      <c r="BF70" s="740"/>
    </row>
    <row r="71" spans="1:58">
      <c r="A71" s="121">
        <v>39</v>
      </c>
      <c r="B71" s="4" t="s">
        <v>414</v>
      </c>
      <c r="C71" s="4"/>
      <c r="E71" s="267">
        <f>SUM(E68:E70)</f>
        <v>-201556</v>
      </c>
      <c r="F71" s="267">
        <f t="shared" ref="F71:O71" si="53">SUM(F68:F70)</f>
        <v>0</v>
      </c>
      <c r="G71" s="267">
        <f t="shared" si="53"/>
        <v>0</v>
      </c>
      <c r="H71" s="577">
        <f t="shared" si="53"/>
        <v>0</v>
      </c>
      <c r="I71" s="577">
        <f>SUM(I68:I70)</f>
        <v>1959</v>
      </c>
      <c r="J71" s="577">
        <f t="shared" si="53"/>
        <v>0</v>
      </c>
      <c r="K71" s="577">
        <f>SUM(K68:K70)</f>
        <v>0</v>
      </c>
      <c r="L71" s="577">
        <f t="shared" si="53"/>
        <v>0</v>
      </c>
      <c r="M71" s="577">
        <f t="shared" si="53"/>
        <v>0</v>
      </c>
      <c r="N71" s="577">
        <f t="shared" si="53"/>
        <v>0</v>
      </c>
      <c r="O71" s="577">
        <f t="shared" si="53"/>
        <v>0</v>
      </c>
      <c r="P71" s="577">
        <f t="shared" ref="P71:X71" si="54">SUM(P68:P70)</f>
        <v>0</v>
      </c>
      <c r="Q71" s="577">
        <f t="shared" si="54"/>
        <v>0</v>
      </c>
      <c r="R71" s="577">
        <f t="shared" si="54"/>
        <v>0</v>
      </c>
      <c r="S71" s="577">
        <f t="shared" si="54"/>
        <v>0</v>
      </c>
      <c r="T71" s="577">
        <f t="shared" si="54"/>
        <v>0</v>
      </c>
      <c r="U71" s="267">
        <f t="shared" si="54"/>
        <v>0</v>
      </c>
      <c r="V71" s="577">
        <f t="shared" si="54"/>
        <v>0</v>
      </c>
      <c r="W71" s="577">
        <f t="shared" si="54"/>
        <v>0</v>
      </c>
      <c r="X71" s="577">
        <f t="shared" si="54"/>
        <v>-993.62167081695679</v>
      </c>
      <c r="Y71" s="351">
        <f t="shared" ref="Y71:AG71" si="55">SUM(Y68:Y70)</f>
        <v>-200590.62167081697</v>
      </c>
      <c r="Z71" s="352"/>
      <c r="AA71" s="577">
        <f>SUM(AA68:AA70)</f>
        <v>0</v>
      </c>
      <c r="AB71" s="577">
        <f>SUM(AB68:AB70)</f>
        <v>0</v>
      </c>
      <c r="AC71" s="577">
        <f>SUM(AC68:AC70)</f>
        <v>0</v>
      </c>
      <c r="AD71" s="577">
        <f>SUM(AD68:AD70)</f>
        <v>0</v>
      </c>
      <c r="AE71" s="577">
        <f t="shared" si="55"/>
        <v>0</v>
      </c>
      <c r="AF71" s="577">
        <f t="shared" si="55"/>
        <v>0</v>
      </c>
      <c r="AG71" s="577">
        <f t="shared" si="55"/>
        <v>0</v>
      </c>
      <c r="AH71" s="577">
        <f t="shared" ref="AH71:AY71" si="56">SUM(AH68:AH70)</f>
        <v>0</v>
      </c>
      <c r="AI71" s="577">
        <f t="shared" si="56"/>
        <v>0</v>
      </c>
      <c r="AJ71" s="577">
        <f t="shared" si="56"/>
        <v>0</v>
      </c>
      <c r="AK71" s="577">
        <f t="shared" si="56"/>
        <v>0</v>
      </c>
      <c r="AL71" s="577">
        <f t="shared" si="56"/>
        <v>0</v>
      </c>
      <c r="AM71" s="577">
        <f t="shared" si="56"/>
        <v>0</v>
      </c>
      <c r="AN71" s="577">
        <f t="shared" si="56"/>
        <v>0</v>
      </c>
      <c r="AO71" s="577">
        <f t="shared" si="56"/>
        <v>0</v>
      </c>
      <c r="AP71" s="577">
        <f t="shared" si="56"/>
        <v>867.20671500000014</v>
      </c>
      <c r="AQ71" s="577">
        <f t="shared" si="56"/>
        <v>0</v>
      </c>
      <c r="AR71" s="577">
        <f t="shared" si="56"/>
        <v>0</v>
      </c>
      <c r="AS71" s="577">
        <f t="shared" si="56"/>
        <v>-7563.7306250000001</v>
      </c>
      <c r="AT71" s="577">
        <f t="shared" si="56"/>
        <v>0</v>
      </c>
      <c r="AU71" s="577">
        <f t="shared" ref="AU71:AV71" si="57">SUM(AU68:AU70)</f>
        <v>0</v>
      </c>
      <c r="AV71" s="577">
        <f t="shared" si="57"/>
        <v>0</v>
      </c>
      <c r="AW71" s="577">
        <f t="shared" ref="AW71" si="58">SUM(AW68:AW70)</f>
        <v>0</v>
      </c>
      <c r="AX71" s="544">
        <f t="shared" si="56"/>
        <v>0</v>
      </c>
      <c r="AY71" s="731">
        <f t="shared" si="56"/>
        <v>-207287.14558081696</v>
      </c>
      <c r="BB71" s="740"/>
      <c r="BE71" s="740"/>
      <c r="BF71" s="740"/>
    </row>
    <row r="72" spans="1:58">
      <c r="A72" s="121">
        <v>40</v>
      </c>
      <c r="B72" s="4" t="s">
        <v>172</v>
      </c>
      <c r="C72" s="4"/>
      <c r="D72" s="4"/>
      <c r="E72" s="270">
        <f t="shared" ref="E72:Y72" si="59">E65+E71</f>
        <v>475683</v>
      </c>
      <c r="F72" s="270">
        <f t="shared" si="59"/>
        <v>0</v>
      </c>
      <c r="G72" s="270">
        <f t="shared" si="59"/>
        <v>0</v>
      </c>
      <c r="H72" s="578">
        <f t="shared" si="59"/>
        <v>0</v>
      </c>
      <c r="I72" s="578">
        <f t="shared" si="59"/>
        <v>-19369</v>
      </c>
      <c r="J72" s="578">
        <f t="shared" si="59"/>
        <v>0</v>
      </c>
      <c r="K72" s="578">
        <f t="shared" si="59"/>
        <v>0</v>
      </c>
      <c r="L72" s="578">
        <f t="shared" si="59"/>
        <v>0</v>
      </c>
      <c r="M72" s="578">
        <f t="shared" si="59"/>
        <v>0</v>
      </c>
      <c r="N72" s="578">
        <f t="shared" si="59"/>
        <v>0</v>
      </c>
      <c r="O72" s="578">
        <f t="shared" si="59"/>
        <v>0</v>
      </c>
      <c r="P72" s="578">
        <f t="shared" si="59"/>
        <v>0</v>
      </c>
      <c r="Q72" s="578">
        <f t="shared" si="59"/>
        <v>0</v>
      </c>
      <c r="R72" s="578">
        <f t="shared" si="59"/>
        <v>0</v>
      </c>
      <c r="S72" s="578">
        <f t="shared" si="59"/>
        <v>0</v>
      </c>
      <c r="T72" s="578">
        <f t="shared" si="59"/>
        <v>0</v>
      </c>
      <c r="U72" s="270">
        <f t="shared" si="59"/>
        <v>0</v>
      </c>
      <c r="V72" s="578">
        <f t="shared" si="59"/>
        <v>0</v>
      </c>
      <c r="W72" s="578">
        <f t="shared" si="59"/>
        <v>0</v>
      </c>
      <c r="X72" s="578">
        <f t="shared" si="59"/>
        <v>12607.523269813853</v>
      </c>
      <c r="Y72" s="352">
        <f t="shared" si="59"/>
        <v>468921.52326981392</v>
      </c>
      <c r="Z72" s="352"/>
      <c r="AA72" s="578">
        <f t="shared" ref="AA72:AY72" si="60">AA65+AA71</f>
        <v>0</v>
      </c>
      <c r="AB72" s="578">
        <f t="shared" si="60"/>
        <v>0</v>
      </c>
      <c r="AC72" s="578">
        <f t="shared" si="60"/>
        <v>0</v>
      </c>
      <c r="AD72" s="578">
        <f t="shared" si="60"/>
        <v>0</v>
      </c>
      <c r="AE72" s="578">
        <f t="shared" si="60"/>
        <v>0</v>
      </c>
      <c r="AF72" s="578">
        <f t="shared" si="60"/>
        <v>0</v>
      </c>
      <c r="AG72" s="578">
        <f t="shared" si="60"/>
        <v>0</v>
      </c>
      <c r="AH72" s="578">
        <f t="shared" si="60"/>
        <v>0</v>
      </c>
      <c r="AI72" s="578">
        <f t="shared" si="60"/>
        <v>0</v>
      </c>
      <c r="AJ72" s="578">
        <f t="shared" si="60"/>
        <v>0</v>
      </c>
      <c r="AK72" s="578">
        <f t="shared" si="60"/>
        <v>0</v>
      </c>
      <c r="AL72" s="578">
        <f t="shared" si="60"/>
        <v>0</v>
      </c>
      <c r="AM72" s="578">
        <f t="shared" si="60"/>
        <v>0</v>
      </c>
      <c r="AN72" s="578">
        <f t="shared" si="60"/>
        <v>0</v>
      </c>
      <c r="AO72" s="578">
        <f t="shared" si="60"/>
        <v>0</v>
      </c>
      <c r="AP72" s="578">
        <f t="shared" si="60"/>
        <v>-4400.5198845833329</v>
      </c>
      <c r="AQ72" s="578">
        <f t="shared" si="60"/>
        <v>0</v>
      </c>
      <c r="AR72" s="578">
        <f t="shared" si="60"/>
        <v>0</v>
      </c>
      <c r="AS72" s="578">
        <f t="shared" si="60"/>
        <v>9120.0946249999979</v>
      </c>
      <c r="AT72" s="578">
        <f t="shared" si="60"/>
        <v>0</v>
      </c>
      <c r="AU72" s="578">
        <f t="shared" ref="AU72:AV72" si="61">AU65+AU71</f>
        <v>0</v>
      </c>
      <c r="AV72" s="578">
        <f t="shared" si="61"/>
        <v>0</v>
      </c>
      <c r="AW72" s="578">
        <f t="shared" ref="AW72" si="62">AW65+AW71</f>
        <v>0</v>
      </c>
      <c r="AX72" s="545">
        <f t="shared" si="60"/>
        <v>0</v>
      </c>
      <c r="AY72" s="728">
        <f t="shared" si="60"/>
        <v>473641.09801023052</v>
      </c>
      <c r="BB72" s="740"/>
      <c r="BE72" s="740"/>
      <c r="BF72" s="740"/>
    </row>
    <row r="73" spans="1:58" s="349" customFormat="1" ht="13.5" customHeight="1">
      <c r="A73" s="5">
        <v>41</v>
      </c>
      <c r="B73" s="6" t="s">
        <v>110</v>
      </c>
      <c r="C73" s="6"/>
      <c r="D73" s="6"/>
      <c r="E73" s="264">
        <f>'ROO INPUT'!$F74</f>
        <v>-91014</v>
      </c>
      <c r="F73" s="561">
        <v>-994</v>
      </c>
      <c r="G73" s="561">
        <v>0</v>
      </c>
      <c r="H73" s="561">
        <v>0</v>
      </c>
      <c r="I73" s="561">
        <v>1019</v>
      </c>
      <c r="J73" s="561">
        <v>0</v>
      </c>
      <c r="K73" s="561">
        <v>0</v>
      </c>
      <c r="L73" s="561">
        <v>0</v>
      </c>
      <c r="M73" s="561">
        <v>0</v>
      </c>
      <c r="N73" s="561">
        <v>0</v>
      </c>
      <c r="O73" s="561">
        <v>0</v>
      </c>
      <c r="P73" s="561">
        <v>0</v>
      </c>
      <c r="Q73" s="561">
        <v>0</v>
      </c>
      <c r="R73" s="561">
        <v>0</v>
      </c>
      <c r="S73" s="561">
        <v>0</v>
      </c>
      <c r="T73" s="561">
        <v>0</v>
      </c>
      <c r="U73" s="561">
        <v>0</v>
      </c>
      <c r="V73" s="561">
        <v>0</v>
      </c>
      <c r="W73" s="561">
        <v>0</v>
      </c>
      <c r="X73" s="561">
        <v>123</v>
      </c>
      <c r="Y73" s="348">
        <f>SUM(E73:X73)</f>
        <v>-90866</v>
      </c>
      <c r="Z73" s="352"/>
      <c r="AA73" s="561">
        <v>0</v>
      </c>
      <c r="AB73" s="561"/>
      <c r="AC73" s="561"/>
      <c r="AD73" s="561"/>
      <c r="AE73" s="561"/>
      <c r="AF73" s="561"/>
      <c r="AG73" s="561"/>
      <c r="AH73" s="561"/>
      <c r="AI73" s="561">
        <v>0</v>
      </c>
      <c r="AJ73" s="561"/>
      <c r="AK73" s="561">
        <v>0</v>
      </c>
      <c r="AL73" s="561">
        <v>0</v>
      </c>
      <c r="AM73" s="561">
        <v>0</v>
      </c>
      <c r="AN73" s="561">
        <v>0</v>
      </c>
      <c r="AO73" s="561">
        <v>0</v>
      </c>
      <c r="AP73" s="561">
        <v>0</v>
      </c>
      <c r="AQ73" s="561"/>
      <c r="AR73" s="561">
        <v>-15228</v>
      </c>
      <c r="AS73" s="561">
        <f>+[14]Gas!$L$26</f>
        <v>-3406.8853325051291</v>
      </c>
      <c r="AT73" s="561">
        <v>0</v>
      </c>
      <c r="AU73" s="561">
        <v>0</v>
      </c>
      <c r="AV73" s="561">
        <v>0</v>
      </c>
      <c r="AW73" s="561">
        <v>0</v>
      </c>
      <c r="AX73" s="539"/>
      <c r="AY73" s="729">
        <f>SUM(Y73:AX73)</f>
        <v>-109500.88533250513</v>
      </c>
      <c r="BB73" s="740"/>
      <c r="BE73" s="740"/>
      <c r="BF73" s="740"/>
    </row>
    <row r="74" spans="1:58" s="349" customFormat="1" ht="18.95" customHeight="1">
      <c r="A74" s="5">
        <v>42</v>
      </c>
      <c r="B74" s="6" t="s">
        <v>202</v>
      </c>
      <c r="C74" s="6"/>
      <c r="D74" s="6"/>
      <c r="E74" s="270">
        <f t="shared" ref="E74:Q74" si="63">E72+E73</f>
        <v>384669</v>
      </c>
      <c r="F74" s="270">
        <f t="shared" si="63"/>
        <v>-994</v>
      </c>
      <c r="G74" s="270">
        <f t="shared" si="63"/>
        <v>0</v>
      </c>
      <c r="H74" s="578">
        <f t="shared" si="63"/>
        <v>0</v>
      </c>
      <c r="I74" s="578">
        <f t="shared" si="63"/>
        <v>-18350</v>
      </c>
      <c r="J74" s="578">
        <f t="shared" si="63"/>
        <v>0</v>
      </c>
      <c r="K74" s="578">
        <f t="shared" si="63"/>
        <v>0</v>
      </c>
      <c r="L74" s="578">
        <f t="shared" si="63"/>
        <v>0</v>
      </c>
      <c r="M74" s="578">
        <f t="shared" si="63"/>
        <v>0</v>
      </c>
      <c r="N74" s="578">
        <f t="shared" si="63"/>
        <v>0</v>
      </c>
      <c r="O74" s="578">
        <f t="shared" si="63"/>
        <v>0</v>
      </c>
      <c r="P74" s="578">
        <f t="shared" si="63"/>
        <v>0</v>
      </c>
      <c r="Q74" s="578">
        <f t="shared" si="63"/>
        <v>0</v>
      </c>
      <c r="R74" s="578">
        <f t="shared" ref="R74:Y74" si="64">R72+R73</f>
        <v>0</v>
      </c>
      <c r="S74" s="578">
        <f t="shared" si="64"/>
        <v>0</v>
      </c>
      <c r="T74" s="578">
        <f t="shared" si="64"/>
        <v>0</v>
      </c>
      <c r="U74" s="270">
        <f t="shared" si="64"/>
        <v>0</v>
      </c>
      <c r="V74" s="578">
        <f>V72+V73</f>
        <v>0</v>
      </c>
      <c r="W74" s="578">
        <f>W72+W73</f>
        <v>0</v>
      </c>
      <c r="X74" s="578">
        <f>X72+X73</f>
        <v>12730.523269813853</v>
      </c>
      <c r="Y74" s="352">
        <f t="shared" si="64"/>
        <v>378055.52326981392</v>
      </c>
      <c r="Z74" s="352"/>
      <c r="AA74" s="578">
        <f t="shared" ref="AA74:AY74" si="65">AA72+AA73</f>
        <v>0</v>
      </c>
      <c r="AB74" s="578">
        <f t="shared" si="65"/>
        <v>0</v>
      </c>
      <c r="AC74" s="578">
        <f t="shared" si="65"/>
        <v>0</v>
      </c>
      <c r="AD74" s="578">
        <f t="shared" si="65"/>
        <v>0</v>
      </c>
      <c r="AE74" s="578">
        <f t="shared" si="65"/>
        <v>0</v>
      </c>
      <c r="AF74" s="578">
        <f t="shared" si="65"/>
        <v>0</v>
      </c>
      <c r="AG74" s="578">
        <f t="shared" si="65"/>
        <v>0</v>
      </c>
      <c r="AH74" s="578">
        <f t="shared" si="65"/>
        <v>0</v>
      </c>
      <c r="AI74" s="578">
        <f t="shared" si="65"/>
        <v>0</v>
      </c>
      <c r="AJ74" s="578">
        <f t="shared" si="65"/>
        <v>0</v>
      </c>
      <c r="AK74" s="578">
        <f t="shared" si="65"/>
        <v>0</v>
      </c>
      <c r="AL74" s="578">
        <f t="shared" si="65"/>
        <v>0</v>
      </c>
      <c r="AM74" s="578">
        <f t="shared" si="65"/>
        <v>0</v>
      </c>
      <c r="AN74" s="578">
        <f t="shared" si="65"/>
        <v>0</v>
      </c>
      <c r="AO74" s="578">
        <f t="shared" si="65"/>
        <v>0</v>
      </c>
      <c r="AP74" s="578">
        <f t="shared" si="65"/>
        <v>-4400.5198845833329</v>
      </c>
      <c r="AQ74" s="578">
        <f t="shared" si="65"/>
        <v>0</v>
      </c>
      <c r="AR74" s="578">
        <f t="shared" si="65"/>
        <v>-15228</v>
      </c>
      <c r="AS74" s="578">
        <f t="shared" si="65"/>
        <v>5713.2092924948684</v>
      </c>
      <c r="AT74" s="578">
        <f t="shared" si="65"/>
        <v>0</v>
      </c>
      <c r="AU74" s="578">
        <f t="shared" ref="AU74:AV74" si="66">AU72+AU73</f>
        <v>0</v>
      </c>
      <c r="AV74" s="578">
        <f t="shared" si="66"/>
        <v>0</v>
      </c>
      <c r="AW74" s="578">
        <f t="shared" ref="AW74" si="67">AW72+AW73</f>
        <v>0</v>
      </c>
      <c r="AX74" s="545">
        <f t="shared" si="65"/>
        <v>0</v>
      </c>
      <c r="AY74" s="728">
        <f t="shared" si="65"/>
        <v>364140.21267772536</v>
      </c>
    </row>
    <row r="75" spans="1:58">
      <c r="A75" s="121">
        <v>43</v>
      </c>
      <c r="B75" s="4" t="s">
        <v>66</v>
      </c>
      <c r="C75" s="4"/>
      <c r="D75" s="4"/>
      <c r="E75" s="262">
        <f>'ROO INPUT'!$F76</f>
        <v>10411</v>
      </c>
      <c r="F75" s="560">
        <v>0</v>
      </c>
      <c r="G75" s="560">
        <v>0</v>
      </c>
      <c r="H75" s="560">
        <v>0</v>
      </c>
      <c r="I75" s="560">
        <v>0</v>
      </c>
      <c r="J75" s="560">
        <v>0</v>
      </c>
      <c r="K75" s="560">
        <v>0</v>
      </c>
      <c r="L75" s="560">
        <v>0</v>
      </c>
      <c r="M75" s="560">
        <v>0</v>
      </c>
      <c r="N75" s="560">
        <v>0</v>
      </c>
      <c r="O75" s="560">
        <v>0</v>
      </c>
      <c r="P75" s="560">
        <v>0</v>
      </c>
      <c r="Q75" s="560">
        <v>0</v>
      </c>
      <c r="R75" s="560">
        <v>0</v>
      </c>
      <c r="S75" s="560">
        <v>0</v>
      </c>
      <c r="T75" s="560">
        <v>0</v>
      </c>
      <c r="U75" s="560">
        <v>0</v>
      </c>
      <c r="V75" s="560">
        <v>0</v>
      </c>
      <c r="W75" s="560">
        <v>0</v>
      </c>
      <c r="X75" s="560">
        <v>0</v>
      </c>
      <c r="Y75" s="347">
        <f>SUM(E75:X75)</f>
        <v>10411</v>
      </c>
      <c r="Z75" s="352"/>
      <c r="AA75" s="560">
        <v>0</v>
      </c>
      <c r="AB75" s="560"/>
      <c r="AC75" s="560">
        <v>0</v>
      </c>
      <c r="AD75" s="560"/>
      <c r="AE75" s="560"/>
      <c r="AF75" s="560"/>
      <c r="AG75" s="560"/>
      <c r="AH75" s="560">
        <v>0</v>
      </c>
      <c r="AI75" s="560">
        <v>0</v>
      </c>
      <c r="AJ75" s="560">
        <v>0</v>
      </c>
      <c r="AK75" s="562">
        <v>0</v>
      </c>
      <c r="AL75" s="562">
        <v>0</v>
      </c>
      <c r="AM75" s="562">
        <v>0</v>
      </c>
      <c r="AN75" s="562">
        <v>0</v>
      </c>
      <c r="AO75" s="562">
        <v>0</v>
      </c>
      <c r="AP75" s="560">
        <v>0</v>
      </c>
      <c r="AQ75" s="560"/>
      <c r="AR75" s="560"/>
      <c r="AS75" s="560">
        <v>0</v>
      </c>
      <c r="AT75" s="560">
        <v>0</v>
      </c>
      <c r="AU75" s="560">
        <v>0</v>
      </c>
      <c r="AV75" s="560">
        <v>0</v>
      </c>
      <c r="AW75" s="560">
        <v>0</v>
      </c>
      <c r="AX75" s="538"/>
      <c r="AY75" s="728">
        <f>SUM(Y75:AX75)</f>
        <v>10411</v>
      </c>
    </row>
    <row r="76" spans="1:58" s="349" customFormat="1">
      <c r="A76" s="5">
        <v>44</v>
      </c>
      <c r="B76" s="6" t="s">
        <v>67</v>
      </c>
      <c r="C76" s="6"/>
      <c r="D76" s="6"/>
      <c r="E76" s="262">
        <f>'ROO INPUT'!$F77</f>
        <v>0</v>
      </c>
      <c r="F76" s="562">
        <v>0</v>
      </c>
      <c r="G76" s="562">
        <v>0</v>
      </c>
      <c r="H76" s="562">
        <v>0</v>
      </c>
      <c r="I76" s="562">
        <v>0</v>
      </c>
      <c r="J76" s="562">
        <v>0</v>
      </c>
      <c r="K76" s="562">
        <v>0</v>
      </c>
      <c r="L76" s="562">
        <v>0</v>
      </c>
      <c r="M76" s="562">
        <v>0</v>
      </c>
      <c r="N76" s="562">
        <v>0</v>
      </c>
      <c r="O76" s="562">
        <v>0</v>
      </c>
      <c r="P76" s="562">
        <v>0</v>
      </c>
      <c r="Q76" s="562">
        <v>0</v>
      </c>
      <c r="R76" s="562">
        <v>0</v>
      </c>
      <c r="S76" s="562">
        <v>0</v>
      </c>
      <c r="T76" s="562">
        <v>0</v>
      </c>
      <c r="U76" s="562">
        <v>0</v>
      </c>
      <c r="V76" s="562">
        <v>0</v>
      </c>
      <c r="W76" s="562">
        <v>0</v>
      </c>
      <c r="X76" s="562">
        <v>0</v>
      </c>
      <c r="Y76" s="352">
        <f>SUM(E76:X76)</f>
        <v>0</v>
      </c>
      <c r="Z76" s="352"/>
      <c r="AA76" s="562">
        <v>0</v>
      </c>
      <c r="AB76" s="562"/>
      <c r="AC76" s="562">
        <v>0</v>
      </c>
      <c r="AD76" s="562"/>
      <c r="AE76" s="562"/>
      <c r="AF76" s="562"/>
      <c r="AG76" s="562"/>
      <c r="AH76" s="562">
        <v>0</v>
      </c>
      <c r="AI76" s="562">
        <v>0</v>
      </c>
      <c r="AJ76" s="562">
        <v>0</v>
      </c>
      <c r="AK76" s="562"/>
      <c r="AL76" s="562"/>
      <c r="AM76" s="562"/>
      <c r="AN76" s="562"/>
      <c r="AO76" s="562"/>
      <c r="AP76" s="562">
        <v>0</v>
      </c>
      <c r="AQ76" s="562"/>
      <c r="AR76" s="562"/>
      <c r="AS76" s="562">
        <v>0</v>
      </c>
      <c r="AT76" s="562">
        <v>0</v>
      </c>
      <c r="AU76" s="562">
        <v>0</v>
      </c>
      <c r="AV76" s="562">
        <v>0</v>
      </c>
      <c r="AW76" s="562">
        <v>0</v>
      </c>
      <c r="AX76" s="541"/>
      <c r="AY76" s="728">
        <f>SUM(Y76:AX76)</f>
        <v>0</v>
      </c>
    </row>
    <row r="77" spans="1:58" s="349" customFormat="1">
      <c r="A77" s="5">
        <v>45</v>
      </c>
      <c r="B77" s="6" t="s">
        <v>417</v>
      </c>
      <c r="C77" s="6"/>
      <c r="D77" s="6"/>
      <c r="E77" s="262">
        <f>'ROO INPUT'!$F78</f>
        <v>7359</v>
      </c>
      <c r="F77" s="562"/>
      <c r="G77" s="562">
        <v>-1</v>
      </c>
      <c r="H77" s="562"/>
      <c r="I77" s="562">
        <v>-53</v>
      </c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352">
        <f>SUM(E77:X77)</f>
        <v>7305</v>
      </c>
      <c r="Z77" s="352"/>
      <c r="AA77" s="562"/>
      <c r="AB77" s="562">
        <v>0</v>
      </c>
      <c r="AC77" s="562"/>
      <c r="AD77" s="562"/>
      <c r="AE77" s="562"/>
      <c r="AF77" s="562"/>
      <c r="AG77" s="562"/>
      <c r="AH77" s="562"/>
      <c r="AI77" s="562"/>
      <c r="AJ77" s="562"/>
      <c r="AK77" s="562"/>
      <c r="AL77" s="562"/>
      <c r="AM77" s="562"/>
      <c r="AN77" s="562"/>
      <c r="AO77" s="562"/>
      <c r="AP77" s="562">
        <v>0</v>
      </c>
      <c r="AQ77" s="560">
        <f>+'[15]ADJ DETAIL INPUT'!AQ77</f>
        <v>-3959</v>
      </c>
      <c r="AR77" s="562"/>
      <c r="AS77" s="562"/>
      <c r="AT77" s="562"/>
      <c r="AU77" s="562"/>
      <c r="AV77" s="562"/>
      <c r="AW77" s="562"/>
      <c r="AX77" s="541"/>
      <c r="AY77" s="728">
        <f>SUM(Y77:AX77)</f>
        <v>3346</v>
      </c>
    </row>
    <row r="78" spans="1:58">
      <c r="A78" s="121">
        <v>46</v>
      </c>
      <c r="B78" s="4" t="s">
        <v>173</v>
      </c>
      <c r="C78" s="4"/>
      <c r="D78" s="4"/>
      <c r="E78" s="264">
        <f>'ROO INPUT'!$F79</f>
        <v>3494</v>
      </c>
      <c r="F78" s="561">
        <v>0</v>
      </c>
      <c r="G78" s="561">
        <v>0</v>
      </c>
      <c r="H78" s="561">
        <v>-1144</v>
      </c>
      <c r="I78" s="561">
        <v>0</v>
      </c>
      <c r="J78" s="561">
        <v>0</v>
      </c>
      <c r="K78" s="561">
        <v>0</v>
      </c>
      <c r="L78" s="561">
        <v>0</v>
      </c>
      <c r="M78" s="561">
        <v>0</v>
      </c>
      <c r="N78" s="561">
        <v>0</v>
      </c>
      <c r="O78" s="561">
        <v>0</v>
      </c>
      <c r="P78" s="561">
        <v>0</v>
      </c>
      <c r="Q78" s="561">
        <v>0</v>
      </c>
      <c r="R78" s="561">
        <v>0</v>
      </c>
      <c r="S78" s="561">
        <v>0</v>
      </c>
      <c r="T78" s="561">
        <v>0</v>
      </c>
      <c r="U78" s="561">
        <v>0</v>
      </c>
      <c r="V78" s="561">
        <v>0</v>
      </c>
      <c r="W78" s="561">
        <v>0</v>
      </c>
      <c r="X78" s="561">
        <v>0</v>
      </c>
      <c r="Y78" s="348">
        <f>SUM(E78:X78)</f>
        <v>2350</v>
      </c>
      <c r="Z78" s="352"/>
      <c r="AA78" s="561">
        <v>0</v>
      </c>
      <c r="AB78" s="561"/>
      <c r="AC78" s="561">
        <v>0</v>
      </c>
      <c r="AD78" s="561"/>
      <c r="AE78" s="561"/>
      <c r="AF78" s="561"/>
      <c r="AG78" s="561"/>
      <c r="AH78" s="561">
        <v>0</v>
      </c>
      <c r="AI78" s="561">
        <v>0</v>
      </c>
      <c r="AJ78" s="561">
        <v>0</v>
      </c>
      <c r="AK78" s="561"/>
      <c r="AL78" s="561"/>
      <c r="AM78" s="561"/>
      <c r="AN78" s="561"/>
      <c r="AO78" s="561"/>
      <c r="AP78" s="561">
        <v>0</v>
      </c>
      <c r="AQ78" s="561"/>
      <c r="AR78" s="561"/>
      <c r="AS78" s="561">
        <v>0</v>
      </c>
      <c r="AT78" s="561">
        <v>0</v>
      </c>
      <c r="AU78" s="561">
        <v>0</v>
      </c>
      <c r="AV78" s="561">
        <v>0</v>
      </c>
      <c r="AW78" s="561">
        <v>0</v>
      </c>
      <c r="AX78" s="539"/>
      <c r="AY78" s="729">
        <f>SUM(Y78:AX78)</f>
        <v>2350</v>
      </c>
    </row>
    <row r="79" spans="1:58" ht="6" customHeight="1"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Z79" s="421"/>
      <c r="AK79" s="345"/>
      <c r="AL79" s="345"/>
      <c r="AM79" s="345"/>
      <c r="AN79" s="345"/>
      <c r="AO79" s="345"/>
      <c r="AS79" s="563"/>
      <c r="AT79" s="563"/>
      <c r="AU79" s="563"/>
      <c r="AV79" s="563"/>
      <c r="AW79" s="563"/>
      <c r="AY79" s="726"/>
    </row>
    <row r="80" spans="1:58" ht="2.25" customHeight="1">
      <c r="E80" s="262"/>
      <c r="F80" s="262"/>
      <c r="G80" s="262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262"/>
      <c r="V80" s="311"/>
      <c r="W80" s="311"/>
      <c r="X80" s="311"/>
      <c r="Y80" s="347"/>
      <c r="Z80" s="352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578"/>
      <c r="AL80" s="578"/>
      <c r="AM80" s="578"/>
      <c r="AN80" s="578"/>
      <c r="AO80" s="578"/>
      <c r="AP80" s="311"/>
      <c r="AQ80" s="311"/>
      <c r="AR80" s="311"/>
      <c r="AS80" s="311"/>
      <c r="AT80" s="311"/>
      <c r="AU80" s="311"/>
      <c r="AV80" s="311"/>
      <c r="AW80" s="311"/>
      <c r="AX80" s="540"/>
      <c r="AY80" s="728"/>
    </row>
    <row r="81" spans="1:51" s="353" customFormat="1" ht="12.75" thickBot="1">
      <c r="A81" s="328">
        <v>47</v>
      </c>
      <c r="B81" s="353" t="s">
        <v>68</v>
      </c>
      <c r="E81" s="350">
        <f t="shared" ref="E81:Y81" si="68">E74+E75+E76+E78+E77</f>
        <v>405933</v>
      </c>
      <c r="F81" s="350">
        <f t="shared" si="68"/>
        <v>-994</v>
      </c>
      <c r="G81" s="350">
        <f t="shared" si="68"/>
        <v>-1</v>
      </c>
      <c r="H81" s="579">
        <f t="shared" si="68"/>
        <v>-1144</v>
      </c>
      <c r="I81" s="579">
        <f t="shared" si="68"/>
        <v>-18403</v>
      </c>
      <c r="J81" s="579">
        <f t="shared" si="68"/>
        <v>0</v>
      </c>
      <c r="K81" s="579">
        <f t="shared" si="68"/>
        <v>0</v>
      </c>
      <c r="L81" s="579">
        <f t="shared" si="68"/>
        <v>0</v>
      </c>
      <c r="M81" s="579">
        <f t="shared" si="68"/>
        <v>0</v>
      </c>
      <c r="N81" s="579">
        <f t="shared" si="68"/>
        <v>0</v>
      </c>
      <c r="O81" s="579">
        <f t="shared" si="68"/>
        <v>0</v>
      </c>
      <c r="P81" s="579">
        <f t="shared" si="68"/>
        <v>0</v>
      </c>
      <c r="Q81" s="579">
        <f t="shared" si="68"/>
        <v>0</v>
      </c>
      <c r="R81" s="579">
        <f t="shared" si="68"/>
        <v>0</v>
      </c>
      <c r="S81" s="579">
        <f t="shared" si="68"/>
        <v>0</v>
      </c>
      <c r="T81" s="579">
        <f t="shared" si="68"/>
        <v>0</v>
      </c>
      <c r="U81" s="350">
        <f t="shared" si="68"/>
        <v>0</v>
      </c>
      <c r="V81" s="579">
        <f t="shared" si="68"/>
        <v>0</v>
      </c>
      <c r="W81" s="579">
        <f t="shared" si="68"/>
        <v>0</v>
      </c>
      <c r="X81" s="576">
        <f t="shared" si="68"/>
        <v>12730.523269813853</v>
      </c>
      <c r="Y81" s="350">
        <f t="shared" si="68"/>
        <v>398121.52326981392</v>
      </c>
      <c r="Z81" s="585"/>
      <c r="AA81" s="579">
        <f t="shared" ref="AA81:AY81" si="69">AA74+AA75+AA76+AA78+AA77</f>
        <v>0</v>
      </c>
      <c r="AB81" s="579">
        <f t="shared" si="69"/>
        <v>0</v>
      </c>
      <c r="AC81" s="579">
        <f t="shared" si="69"/>
        <v>0</v>
      </c>
      <c r="AD81" s="579">
        <f t="shared" si="69"/>
        <v>0</v>
      </c>
      <c r="AE81" s="579">
        <f t="shared" si="69"/>
        <v>0</v>
      </c>
      <c r="AF81" s="579">
        <f t="shared" si="69"/>
        <v>0</v>
      </c>
      <c r="AG81" s="579">
        <f t="shared" si="69"/>
        <v>0</v>
      </c>
      <c r="AH81" s="579">
        <f t="shared" si="69"/>
        <v>0</v>
      </c>
      <c r="AI81" s="579">
        <f t="shared" si="69"/>
        <v>0</v>
      </c>
      <c r="AJ81" s="579">
        <f t="shared" si="69"/>
        <v>0</v>
      </c>
      <c r="AK81" s="579">
        <f t="shared" si="69"/>
        <v>0</v>
      </c>
      <c r="AL81" s="579">
        <f t="shared" si="69"/>
        <v>0</v>
      </c>
      <c r="AM81" s="579">
        <f t="shared" si="69"/>
        <v>0</v>
      </c>
      <c r="AN81" s="579">
        <f t="shared" si="69"/>
        <v>0</v>
      </c>
      <c r="AO81" s="579">
        <f t="shared" si="69"/>
        <v>0</v>
      </c>
      <c r="AP81" s="579">
        <f t="shared" si="69"/>
        <v>-4400.5198845833329</v>
      </c>
      <c r="AQ81" s="579">
        <f t="shared" si="69"/>
        <v>-3959</v>
      </c>
      <c r="AR81" s="579">
        <f t="shared" si="69"/>
        <v>-15228</v>
      </c>
      <c r="AS81" s="579">
        <f t="shared" si="69"/>
        <v>5713.2092924948684</v>
      </c>
      <c r="AT81" s="579">
        <f t="shared" si="69"/>
        <v>0</v>
      </c>
      <c r="AU81" s="579">
        <f t="shared" ref="AU81:AV81" si="70">AU74+AU75+AU76+AU78+AU77</f>
        <v>0</v>
      </c>
      <c r="AV81" s="579">
        <f t="shared" si="70"/>
        <v>0</v>
      </c>
      <c r="AW81" s="579">
        <f t="shared" ref="AW81" si="71">AW74+AW75+AW76+AW78+AW77</f>
        <v>0</v>
      </c>
      <c r="AX81" s="546">
        <f t="shared" si="69"/>
        <v>0</v>
      </c>
      <c r="AY81" s="730">
        <f t="shared" si="69"/>
        <v>380247.21267772536</v>
      </c>
    </row>
    <row r="82" spans="1:51" ht="12.75" thickTop="1">
      <c r="A82" s="121">
        <v>48</v>
      </c>
      <c r="B82" s="1" t="s">
        <v>450</v>
      </c>
      <c r="E82" s="7">
        <f>ROUND(E58/E81,4)</f>
        <v>6.0299999999999999E-2</v>
      </c>
      <c r="F82" s="262"/>
      <c r="G82" s="262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262"/>
      <c r="V82" s="358"/>
      <c r="W82" s="311"/>
      <c r="X82" s="311"/>
      <c r="Y82" s="365" t="s">
        <v>437</v>
      </c>
      <c r="Z82" s="586"/>
      <c r="AA82" s="311"/>
      <c r="AB82" s="311"/>
      <c r="AC82" s="311"/>
      <c r="AD82" s="358"/>
      <c r="AE82" s="358"/>
      <c r="AF82" s="358"/>
      <c r="AG82" s="311"/>
      <c r="AH82" s="311"/>
      <c r="AI82" s="311"/>
      <c r="AJ82" s="311"/>
      <c r="AK82" s="701"/>
      <c r="AL82" s="701"/>
      <c r="AM82" s="701"/>
      <c r="AN82" s="701"/>
      <c r="AO82" s="701"/>
      <c r="AP82" s="311"/>
      <c r="AQ82" s="311"/>
      <c r="AR82" s="311"/>
      <c r="AS82" s="311"/>
      <c r="AT82" s="311"/>
      <c r="AU82" s="311"/>
      <c r="AV82" s="311"/>
      <c r="AW82" s="311"/>
      <c r="AX82" s="540"/>
      <c r="AY82" s="367"/>
    </row>
    <row r="83" spans="1:51">
      <c r="A83" s="121">
        <v>50</v>
      </c>
      <c r="B83" s="1" t="s">
        <v>165</v>
      </c>
      <c r="E83" s="42">
        <f>E89</f>
        <v>5270.8118067992718</v>
      </c>
      <c r="F83" s="42">
        <f t="shared" ref="F83:AG83" si="72">F89</f>
        <v>-85.464503225174496</v>
      </c>
      <c r="G83" s="42">
        <f t="shared" si="72"/>
        <v>15.599764647639924</v>
      </c>
      <c r="H83" s="563">
        <f t="shared" si="72"/>
        <v>-98.36156105593524</v>
      </c>
      <c r="I83" s="563">
        <f>I89</f>
        <v>-1582.2970350632659</v>
      </c>
      <c r="J83" s="563">
        <f t="shared" si="72"/>
        <v>12.548596026542663</v>
      </c>
      <c r="K83" s="563">
        <f>K89</f>
        <v>249.92620419530806</v>
      </c>
      <c r="L83" s="563">
        <f t="shared" si="72"/>
        <v>173.58891170050683</v>
      </c>
      <c r="M83" s="563">
        <f t="shared" si="72"/>
        <v>-60.651547461622876</v>
      </c>
      <c r="N83" s="563">
        <f t="shared" si="72"/>
        <v>-9.4114470199069977</v>
      </c>
      <c r="O83" s="563">
        <f t="shared" si="72"/>
        <v>70.155652891008558</v>
      </c>
      <c r="P83" s="563">
        <f t="shared" si="72"/>
        <v>-16.731461368723551</v>
      </c>
      <c r="Q83" s="563">
        <f t="shared" si="72"/>
        <v>1.0457163355452219</v>
      </c>
      <c r="R83" s="563">
        <f t="shared" ref="R83:X83" si="73">R89</f>
        <v>-11.502879690997441</v>
      </c>
      <c r="S83" s="563">
        <f t="shared" si="73"/>
        <v>6.2742980132713315</v>
      </c>
      <c r="T83" s="563">
        <f t="shared" si="73"/>
        <v>5.2947662559203586E-2</v>
      </c>
      <c r="U83" s="42">
        <f t="shared" si="73"/>
        <v>46.011518763989763</v>
      </c>
      <c r="V83" s="563">
        <f t="shared" si="73"/>
        <v>229.01187748440358</v>
      </c>
      <c r="W83" s="563">
        <f t="shared" si="73"/>
        <v>326.95181630337953</v>
      </c>
      <c r="X83" s="563">
        <f t="shared" si="73"/>
        <v>820.59761893138227</v>
      </c>
      <c r="Y83" s="42">
        <f t="shared" si="72"/>
        <v>5358.1562948691944</v>
      </c>
      <c r="Z83" s="42"/>
      <c r="AA83" s="563">
        <f>AA89</f>
        <v>-10836.758385255136</v>
      </c>
      <c r="AB83" s="563">
        <f>AB89</f>
        <v>-240.51475717540103</v>
      </c>
      <c r="AC83" s="563">
        <f>AC89</f>
        <v>54.271354123233039</v>
      </c>
      <c r="AD83" s="563">
        <f>AD89</f>
        <v>1021.6648598276819</v>
      </c>
      <c r="AE83" s="563">
        <f t="shared" si="72"/>
        <v>-101.43448454788653</v>
      </c>
      <c r="AF83" s="563">
        <f t="shared" si="72"/>
        <v>356.58927042092068</v>
      </c>
      <c r="AG83" s="563">
        <f t="shared" si="72"/>
        <v>307.44060265029526</v>
      </c>
      <c r="AH83" s="563">
        <f t="shared" ref="AH83:AX83" si="74">AH89</f>
        <v>296.18555773082204</v>
      </c>
      <c r="AI83" s="563">
        <f t="shared" si="74"/>
        <v>484.16666335743776</v>
      </c>
      <c r="AJ83" s="563">
        <f t="shared" si="74"/>
        <v>911.86464459543356</v>
      </c>
      <c r="AK83" s="563">
        <f t="shared" si="74"/>
        <v>0</v>
      </c>
      <c r="AL83" s="563">
        <f t="shared" si="74"/>
        <v>0</v>
      </c>
      <c r="AM83" s="563">
        <f t="shared" si="74"/>
        <v>0</v>
      </c>
      <c r="AN83" s="563">
        <f t="shared" si="74"/>
        <v>0</v>
      </c>
      <c r="AO83" s="563">
        <f t="shared" si="74"/>
        <v>0</v>
      </c>
      <c r="AP83" s="563">
        <f t="shared" si="74"/>
        <v>5403.9917784152103</v>
      </c>
      <c r="AQ83" s="563">
        <f t="shared" si="74"/>
        <v>1280.4639737485491</v>
      </c>
      <c r="AR83" s="563">
        <f t="shared" si="74"/>
        <v>-1309.3093109788301</v>
      </c>
      <c r="AS83" s="563">
        <f t="shared" si="74"/>
        <v>2104.1284478445723</v>
      </c>
      <c r="AT83" s="563">
        <f t="shared" si="74"/>
        <v>0</v>
      </c>
      <c r="AU83" s="563">
        <f t="shared" ref="AU83:AV83" si="75">AU89</f>
        <v>-16.370689232960448</v>
      </c>
      <c r="AV83" s="563">
        <f t="shared" si="75"/>
        <v>0</v>
      </c>
      <c r="AW83" s="563">
        <f t="shared" ref="AW83" si="76">AW89</f>
        <v>0</v>
      </c>
      <c r="AX83" s="531">
        <f t="shared" si="74"/>
        <v>0</v>
      </c>
      <c r="AY83" s="732">
        <f>AY89+0.5</f>
        <v>5075.0358203931182</v>
      </c>
    </row>
    <row r="84" spans="1:51" s="356" customFormat="1" ht="58.5" customHeight="1">
      <c r="A84" s="299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833"/>
      <c r="W84" s="833"/>
      <c r="X84" s="833"/>
      <c r="Y84" s="833"/>
      <c r="Z84" s="833"/>
      <c r="AA84" s="311"/>
      <c r="AB84" s="311"/>
      <c r="AC84" s="311"/>
      <c r="AD84" s="358"/>
      <c r="AE84" s="358"/>
      <c r="AF84" s="358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646"/>
      <c r="AT84" s="646"/>
      <c r="AU84" s="646"/>
      <c r="AV84" s="646"/>
      <c r="AW84" s="646"/>
      <c r="AX84" s="540"/>
      <c r="AY84" s="358"/>
    </row>
    <row r="85" spans="1:51" s="356" customFormat="1" ht="21.75" customHeight="1">
      <c r="A85" s="299"/>
      <c r="E85" s="526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58"/>
      <c r="W85" s="311"/>
      <c r="X85" s="311"/>
      <c r="Y85" s="358"/>
      <c r="Z85" s="358"/>
      <c r="AA85" s="311"/>
      <c r="AB85" s="578"/>
      <c r="AC85" s="311"/>
      <c r="AD85" s="358"/>
      <c r="AE85" s="358"/>
      <c r="AF85" s="358"/>
      <c r="AG85" s="311"/>
      <c r="AH85" s="311"/>
      <c r="AI85" s="311"/>
      <c r="AJ85" s="578"/>
      <c r="AK85" s="702"/>
      <c r="AL85" s="311"/>
      <c r="AM85" s="311"/>
      <c r="AN85" s="311"/>
      <c r="AO85" s="311"/>
      <c r="AP85" s="578"/>
      <c r="AQ85" s="578"/>
      <c r="AR85" s="311"/>
      <c r="AS85" s="647"/>
      <c r="AT85" s="647"/>
      <c r="AU85" s="647"/>
      <c r="AV85" s="647"/>
      <c r="AW85" s="647"/>
      <c r="AX85" s="540"/>
      <c r="AY85" s="369"/>
    </row>
    <row r="86" spans="1:51" s="356" customFormat="1" ht="16.5" customHeight="1">
      <c r="A86" s="355"/>
      <c r="D86" s="357" t="s">
        <v>422</v>
      </c>
      <c r="E86" s="393">
        <f>'RR SUMMARY'!L15</f>
        <v>7.0099999999999996E-2</v>
      </c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58"/>
      <c r="W86" s="311"/>
      <c r="X86" s="311"/>
      <c r="Y86" s="358"/>
      <c r="Z86" s="358"/>
      <c r="AA86" s="311"/>
      <c r="AB86" s="578"/>
      <c r="AC86" s="311"/>
      <c r="AD86" s="358"/>
      <c r="AE86" s="358"/>
      <c r="AF86" s="358"/>
      <c r="AG86" s="311"/>
      <c r="AH86" s="311"/>
      <c r="AI86" s="311"/>
      <c r="AJ86" s="578"/>
      <c r="AK86" s="311"/>
      <c r="AL86" s="311"/>
      <c r="AM86" s="311"/>
      <c r="AN86" s="311"/>
      <c r="AO86" s="311"/>
      <c r="AP86" s="578"/>
      <c r="AQ86" s="578"/>
      <c r="AR86" s="311"/>
      <c r="AS86" s="647"/>
      <c r="AT86" s="647"/>
      <c r="AU86" s="647"/>
      <c r="AV86" s="647"/>
      <c r="AW86" s="647"/>
      <c r="AX86" s="540"/>
      <c r="AY86" s="369"/>
    </row>
    <row r="87" spans="1:51" s="356" customFormat="1" ht="17.25" customHeight="1">
      <c r="A87" s="299"/>
      <c r="D87" s="357" t="s">
        <v>487</v>
      </c>
      <c r="E87" s="428">
        <f>CF!E27</f>
        <v>0.755463</v>
      </c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58"/>
      <c r="W87" s="311"/>
      <c r="X87" s="311"/>
      <c r="Y87" s="358"/>
      <c r="Z87" s="358"/>
      <c r="AA87" s="311"/>
      <c r="AB87" s="311"/>
      <c r="AC87" s="311"/>
      <c r="AD87" s="358"/>
      <c r="AE87" s="358"/>
      <c r="AF87" s="358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646"/>
      <c r="AT87" s="646"/>
      <c r="AU87" s="646"/>
      <c r="AV87" s="646"/>
      <c r="AW87" s="646"/>
      <c r="AX87" s="540"/>
      <c r="AY87" s="358"/>
    </row>
    <row r="88" spans="1:51" s="356" customFormat="1" ht="29.25" customHeight="1">
      <c r="A88" s="299"/>
      <c r="D88" s="357" t="s">
        <v>159</v>
      </c>
      <c r="E88" s="189">
        <f t="shared" ref="E88:AY88" si="77">E81*$E$86-E58</f>
        <v>3981.9032999999981</v>
      </c>
      <c r="F88" s="189">
        <f t="shared" si="77"/>
        <v>-64.565269999999998</v>
      </c>
      <c r="G88" s="189">
        <f t="shared" si="77"/>
        <v>11.785045</v>
      </c>
      <c r="H88" s="189">
        <f t="shared" si="77"/>
        <v>-74.308520000000001</v>
      </c>
      <c r="I88" s="189">
        <f t="shared" si="77"/>
        <v>-1195.366865</v>
      </c>
      <c r="J88" s="189">
        <f t="shared" si="77"/>
        <v>9.48</v>
      </c>
      <c r="K88" s="189">
        <f t="shared" si="77"/>
        <v>188.81</v>
      </c>
      <c r="L88" s="189">
        <f t="shared" si="77"/>
        <v>131.13999999999999</v>
      </c>
      <c r="M88" s="189">
        <f t="shared" si="77"/>
        <v>-45.82</v>
      </c>
      <c r="N88" s="189">
        <f t="shared" si="77"/>
        <v>-7.11</v>
      </c>
      <c r="O88" s="189">
        <f t="shared" si="77"/>
        <v>53</v>
      </c>
      <c r="P88" s="189">
        <f t="shared" si="77"/>
        <v>-12.64</v>
      </c>
      <c r="Q88" s="189">
        <f t="shared" si="77"/>
        <v>0.79</v>
      </c>
      <c r="R88" s="189">
        <f t="shared" si="77"/>
        <v>-8.69</v>
      </c>
      <c r="S88" s="189">
        <f t="shared" si="77"/>
        <v>4.74</v>
      </c>
      <c r="T88" s="189">
        <f t="shared" si="77"/>
        <v>3.999999999996362E-2</v>
      </c>
      <c r="U88" s="189">
        <f t="shared" si="77"/>
        <v>34.76</v>
      </c>
      <c r="V88" s="189">
        <f t="shared" si="77"/>
        <v>173.01</v>
      </c>
      <c r="W88" s="189">
        <f t="shared" si="77"/>
        <v>247</v>
      </c>
      <c r="X88" s="189">
        <f t="shared" si="77"/>
        <v>619.93113899075888</v>
      </c>
      <c r="Y88" s="189">
        <f t="shared" si="77"/>
        <v>4047.8888289907663</v>
      </c>
      <c r="Z88" s="189"/>
      <c r="AA88" s="189">
        <f t="shared" si="77"/>
        <v>-8186.77</v>
      </c>
      <c r="AB88" s="189">
        <f>AB81*$E$86-AB58</f>
        <v>-181.7</v>
      </c>
      <c r="AC88" s="189">
        <f>AC81*$E$86-AC58</f>
        <v>41</v>
      </c>
      <c r="AD88" s="189">
        <f t="shared" si="77"/>
        <v>771.83</v>
      </c>
      <c r="AE88" s="189">
        <f t="shared" si="77"/>
        <v>-76.63</v>
      </c>
      <c r="AF88" s="189">
        <f t="shared" si="77"/>
        <v>269.39</v>
      </c>
      <c r="AG88" s="189">
        <f>AG81*$E$86-AG58</f>
        <v>232.26</v>
      </c>
      <c r="AH88" s="189">
        <f t="shared" si="77"/>
        <v>223.75723000000002</v>
      </c>
      <c r="AI88" s="189">
        <f t="shared" si="77"/>
        <v>365.77</v>
      </c>
      <c r="AJ88" s="189">
        <f>AJ81*$E$86-AJ58</f>
        <v>688.88</v>
      </c>
      <c r="AK88" s="189">
        <f t="shared" si="77"/>
        <v>0</v>
      </c>
      <c r="AL88" s="189">
        <f t="shared" ref="AL88:AT88" si="78">AL81*$E$86-AL58</f>
        <v>0</v>
      </c>
      <c r="AM88" s="189">
        <f t="shared" si="78"/>
        <v>0</v>
      </c>
      <c r="AN88" s="189">
        <f t="shared" si="78"/>
        <v>0</v>
      </c>
      <c r="AO88" s="189">
        <f t="shared" si="78"/>
        <v>0</v>
      </c>
      <c r="AP88" s="189">
        <f t="shared" si="78"/>
        <v>4082.51584089689</v>
      </c>
      <c r="AQ88" s="189">
        <f t="shared" si="78"/>
        <v>967.34315500000014</v>
      </c>
      <c r="AR88" s="189">
        <f t="shared" si="78"/>
        <v>-989.13473999999997</v>
      </c>
      <c r="AS88" s="648">
        <f t="shared" si="78"/>
        <v>1589.5911895940042</v>
      </c>
      <c r="AT88" s="648">
        <f t="shared" si="78"/>
        <v>0</v>
      </c>
      <c r="AU88" s="648">
        <f t="shared" ref="AU88:AX88" si="79">AU81*$E$86-AU58</f>
        <v>-12.36745</v>
      </c>
      <c r="AV88" s="648">
        <f t="shared" si="79"/>
        <v>0</v>
      </c>
      <c r="AW88" s="648">
        <f t="shared" ref="AW88" si="80">AW81*$E$86-AW58</f>
        <v>0</v>
      </c>
      <c r="AX88" s="648">
        <f t="shared" si="79"/>
        <v>0</v>
      </c>
      <c r="AY88" s="359">
        <f t="shared" si="77"/>
        <v>3833.6240544816465</v>
      </c>
    </row>
    <row r="89" spans="1:51" s="356" customFormat="1">
      <c r="A89" s="299"/>
      <c r="D89" s="357" t="s">
        <v>488</v>
      </c>
      <c r="E89" s="189">
        <f>E88/$E$87</f>
        <v>5270.8118067992718</v>
      </c>
      <c r="F89" s="189">
        <f>F88/$E$87</f>
        <v>-85.464503225174496</v>
      </c>
      <c r="G89" s="189">
        <f>G88/$E$87</f>
        <v>15.599764647639924</v>
      </c>
      <c r="H89" s="189">
        <f>H88/$E$87</f>
        <v>-98.36156105593524</v>
      </c>
      <c r="I89" s="189">
        <f>I88/$E$87</f>
        <v>-1582.2970350632659</v>
      </c>
      <c r="J89" s="189">
        <f t="shared" ref="J89:Q89" si="81">J88/$E$87</f>
        <v>12.548596026542663</v>
      </c>
      <c r="K89" s="189">
        <f>K88/$E$87</f>
        <v>249.92620419530806</v>
      </c>
      <c r="L89" s="189">
        <f t="shared" si="81"/>
        <v>173.58891170050683</v>
      </c>
      <c r="M89" s="189">
        <f t="shared" si="81"/>
        <v>-60.651547461622876</v>
      </c>
      <c r="N89" s="189">
        <f t="shared" si="81"/>
        <v>-9.4114470199069977</v>
      </c>
      <c r="O89" s="189">
        <f t="shared" si="81"/>
        <v>70.155652891008558</v>
      </c>
      <c r="P89" s="189">
        <f t="shared" si="81"/>
        <v>-16.731461368723551</v>
      </c>
      <c r="Q89" s="189">
        <f t="shared" si="81"/>
        <v>1.0457163355452219</v>
      </c>
      <c r="R89" s="189">
        <f t="shared" ref="R89:Y89" si="82">R88/$E$87</f>
        <v>-11.502879690997441</v>
      </c>
      <c r="S89" s="189">
        <f t="shared" si="82"/>
        <v>6.2742980132713315</v>
      </c>
      <c r="T89" s="189">
        <f t="shared" si="82"/>
        <v>5.2947662559203586E-2</v>
      </c>
      <c r="U89" s="189">
        <f t="shared" si="82"/>
        <v>46.011518763989763</v>
      </c>
      <c r="V89" s="189">
        <f t="shared" si="82"/>
        <v>229.01187748440358</v>
      </c>
      <c r="W89" s="189">
        <f t="shared" si="82"/>
        <v>326.95181630337953</v>
      </c>
      <c r="X89" s="189">
        <f t="shared" si="82"/>
        <v>820.59761893138227</v>
      </c>
      <c r="Y89" s="189">
        <f t="shared" si="82"/>
        <v>5358.1562948691944</v>
      </c>
      <c r="Z89" s="189"/>
      <c r="AA89" s="189">
        <f t="shared" ref="AA89:AY89" si="83">AA88/$E$87</f>
        <v>-10836.758385255136</v>
      </c>
      <c r="AB89" s="189">
        <f t="shared" si="83"/>
        <v>-240.51475717540103</v>
      </c>
      <c r="AC89" s="189">
        <f t="shared" si="83"/>
        <v>54.271354123233039</v>
      </c>
      <c r="AD89" s="189">
        <f t="shared" si="83"/>
        <v>1021.6648598276819</v>
      </c>
      <c r="AE89" s="189">
        <f t="shared" si="83"/>
        <v>-101.43448454788653</v>
      </c>
      <c r="AF89" s="189">
        <f t="shared" si="83"/>
        <v>356.58927042092068</v>
      </c>
      <c r="AG89" s="189">
        <f t="shared" si="83"/>
        <v>307.44060265029526</v>
      </c>
      <c r="AH89" s="189">
        <f t="shared" si="83"/>
        <v>296.18555773082204</v>
      </c>
      <c r="AI89" s="189">
        <f t="shared" si="83"/>
        <v>484.16666335743776</v>
      </c>
      <c r="AJ89" s="189">
        <f t="shared" si="83"/>
        <v>911.86464459543356</v>
      </c>
      <c r="AK89" s="189">
        <f t="shared" si="83"/>
        <v>0</v>
      </c>
      <c r="AL89" s="189">
        <f t="shared" si="83"/>
        <v>0</v>
      </c>
      <c r="AM89" s="189">
        <f t="shared" si="83"/>
        <v>0</v>
      </c>
      <c r="AN89" s="189">
        <f t="shared" si="83"/>
        <v>0</v>
      </c>
      <c r="AO89" s="189">
        <f t="shared" si="83"/>
        <v>0</v>
      </c>
      <c r="AP89" s="189">
        <f t="shared" si="83"/>
        <v>5403.9917784152103</v>
      </c>
      <c r="AQ89" s="189">
        <f t="shared" si="83"/>
        <v>1280.4639737485491</v>
      </c>
      <c r="AR89" s="189">
        <f t="shared" si="83"/>
        <v>-1309.3093109788301</v>
      </c>
      <c r="AS89" s="648">
        <f t="shared" si="83"/>
        <v>2104.1284478445723</v>
      </c>
      <c r="AT89" s="648">
        <f t="shared" si="83"/>
        <v>0</v>
      </c>
      <c r="AU89" s="648">
        <f t="shared" ref="AU89:AX89" si="84">AU88/$E$87</f>
        <v>-16.370689232960448</v>
      </c>
      <c r="AV89" s="648">
        <f t="shared" si="84"/>
        <v>0</v>
      </c>
      <c r="AW89" s="648">
        <f t="shared" ref="AW89" si="85">AW88/$E$87</f>
        <v>0</v>
      </c>
      <c r="AX89" s="648">
        <f t="shared" si="84"/>
        <v>0</v>
      </c>
      <c r="AY89" s="359">
        <f t="shared" si="83"/>
        <v>5074.5358203931182</v>
      </c>
    </row>
    <row r="90" spans="1:51" s="356" customFormat="1">
      <c r="A90" s="299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60"/>
      <c r="Z90" s="36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649"/>
      <c r="AT90" s="649"/>
      <c r="AU90" s="649"/>
      <c r="AV90" s="649"/>
      <c r="AW90" s="649"/>
      <c r="AX90" s="547"/>
      <c r="AY90" s="361"/>
    </row>
    <row r="91" spans="1:51" s="356" customFormat="1">
      <c r="A91" s="299"/>
      <c r="D91" s="357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60"/>
      <c r="Z91" s="36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649"/>
      <c r="AT91" s="649"/>
      <c r="AU91" s="649"/>
      <c r="AV91" s="649"/>
      <c r="AW91" s="649"/>
      <c r="AX91" s="547"/>
      <c r="AY91" s="361"/>
    </row>
    <row r="92" spans="1:51" s="423" customFormat="1">
      <c r="A92" s="420"/>
      <c r="D92" s="419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371"/>
      <c r="Z92" s="371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703"/>
      <c r="AL92" s="703"/>
      <c r="AM92" s="703"/>
      <c r="AN92" s="703"/>
      <c r="AO92" s="703"/>
      <c r="AP92" s="418"/>
      <c r="AQ92" s="418"/>
      <c r="AR92" s="418"/>
      <c r="AS92" s="650"/>
      <c r="AT92" s="650"/>
      <c r="AU92" s="650"/>
      <c r="AV92" s="650"/>
      <c r="AW92" s="650"/>
      <c r="AX92" s="548"/>
      <c r="AY92" s="370"/>
    </row>
    <row r="93" spans="1:51" s="423" customFormat="1">
      <c r="A93" s="420"/>
      <c r="D93" s="424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371"/>
      <c r="Z93" s="371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650"/>
      <c r="AT93" s="650"/>
      <c r="AU93" s="650"/>
      <c r="AV93" s="650"/>
      <c r="AW93" s="650"/>
      <c r="AX93" s="548"/>
      <c r="AY93" s="370"/>
    </row>
    <row r="94" spans="1:51" s="423" customFormat="1">
      <c r="A94" s="420"/>
      <c r="E94" s="345"/>
      <c r="F94" s="345"/>
      <c r="G94" s="747" t="s">
        <v>585</v>
      </c>
      <c r="H94" s="748">
        <f>E81+F81+G81+H81+I81</f>
        <v>385391</v>
      </c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71"/>
      <c r="W94" s="345"/>
      <c r="X94" s="345"/>
      <c r="Y94" s="371"/>
      <c r="Z94" s="371"/>
      <c r="AA94" s="345"/>
      <c r="AB94" s="345"/>
      <c r="AC94" s="345"/>
      <c r="AD94" s="371"/>
      <c r="AE94" s="371"/>
      <c r="AF94" s="371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651"/>
      <c r="AT94" s="651"/>
      <c r="AU94" s="651"/>
      <c r="AV94" s="651"/>
      <c r="AW94" s="651"/>
      <c r="AX94" s="549"/>
      <c r="AY94" s="422">
        <f>SUM(AK81:AP81)</f>
        <v>-4400.5198845833329</v>
      </c>
    </row>
    <row r="95" spans="1:51" s="423" customFormat="1">
      <c r="A95" s="420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71"/>
      <c r="W95" s="345"/>
      <c r="X95" s="345"/>
      <c r="Y95" s="371"/>
      <c r="Z95" s="371"/>
      <c r="AA95" s="345"/>
      <c r="AB95" s="345"/>
      <c r="AC95" s="345"/>
      <c r="AD95" s="371"/>
      <c r="AE95" s="371"/>
      <c r="AF95" s="371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651"/>
      <c r="AT95" s="651"/>
      <c r="AU95" s="651"/>
      <c r="AV95" s="651"/>
      <c r="AW95" s="651"/>
      <c r="AX95" s="549"/>
      <c r="AY95" s="327"/>
    </row>
    <row r="96" spans="1:51" s="349" customFormat="1">
      <c r="A96" s="5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371"/>
      <c r="W96" s="345"/>
      <c r="X96" s="345"/>
      <c r="Y96" s="421"/>
      <c r="Z96" s="421"/>
      <c r="AA96" s="345"/>
      <c r="AB96" s="345"/>
      <c r="AC96" s="345"/>
      <c r="AD96" s="371"/>
      <c r="AE96" s="371"/>
      <c r="AF96" s="371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651"/>
      <c r="AT96" s="651"/>
      <c r="AU96" s="651"/>
      <c r="AV96" s="651"/>
      <c r="AW96" s="651"/>
      <c r="AX96" s="549"/>
      <c r="AY96" s="327"/>
    </row>
    <row r="97" spans="1:51" s="349" customFormat="1">
      <c r="A97" s="5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371"/>
      <c r="W97" s="345"/>
      <c r="X97" s="345"/>
      <c r="Y97" s="421"/>
      <c r="Z97" s="421"/>
      <c r="AA97" s="345"/>
      <c r="AB97" s="345"/>
      <c r="AC97" s="345"/>
      <c r="AD97" s="371"/>
      <c r="AE97" s="371"/>
      <c r="AF97" s="371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651"/>
      <c r="AT97" s="651"/>
      <c r="AU97" s="651"/>
      <c r="AV97" s="651"/>
      <c r="AW97" s="651"/>
      <c r="AX97" s="549"/>
      <c r="AY97" s="344"/>
    </row>
    <row r="98" spans="1:51" s="349" customFormat="1">
      <c r="A98" s="5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371"/>
      <c r="W98" s="345"/>
      <c r="X98" s="345"/>
      <c r="Y98" s="421"/>
      <c r="Z98" s="421"/>
      <c r="AA98" s="345"/>
      <c r="AB98" s="345"/>
      <c r="AC98" s="345"/>
      <c r="AD98" s="371"/>
      <c r="AE98" s="371"/>
      <c r="AF98" s="371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651"/>
      <c r="AT98" s="651"/>
      <c r="AU98" s="651"/>
      <c r="AV98" s="651"/>
      <c r="AW98" s="651"/>
      <c r="AX98" s="549"/>
      <c r="AY98" s="327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BB38:BB39"/>
  </mergeCells>
  <phoneticPr fontId="0" type="noConversion"/>
  <pageMargins left="0.75" right="0.25" top="0.97" bottom="0.59" header="0.5" footer="0.5"/>
  <pageSetup scale="68" firstPageNumber="4" fitToWidth="5" orientation="portrait" r:id="rId3"/>
  <headerFooter scaleWithDoc="0" alignWithMargins="0"/>
  <colBreaks count="6" manualBreakCount="6">
    <brk id="13" min="1" max="83" man="1"/>
    <brk id="21" min="1" max="83" man="1"/>
    <brk id="26" max="1048575" man="1"/>
    <brk id="32" min="1" max="83" man="1"/>
    <brk id="39" min="1" max="83" man="1"/>
    <brk id="46" min="1" max="83" man="1"/>
  </colBreaks>
  <ignoredErrors>
    <ignoredError sqref="AR8" numberStoredAsText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/>
  </sheetViews>
  <sheetFormatPr defaultColWidth="9.140625" defaultRowHeight="12.75"/>
  <cols>
    <col min="1" max="16384" width="9.140625" style="44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  <pageSetUpPr fitToPage="1"/>
  </sheetPr>
  <dimension ref="A1:N54"/>
  <sheetViews>
    <sheetView view="pageBreakPreview" zoomScaleNormal="100" zoomScaleSheetLayoutView="100" workbookViewId="0">
      <selection sqref="A1:F1"/>
    </sheetView>
  </sheetViews>
  <sheetFormatPr defaultColWidth="11.42578125" defaultRowHeight="12.75"/>
  <cols>
    <col min="1" max="1" width="10" style="12" customWidth="1"/>
    <col min="2" max="2" width="12.5703125" style="247" customWidth="1"/>
    <col min="3" max="3" width="41.85546875" style="12" customWidth="1"/>
    <col min="4" max="5" width="11.42578125" style="12" customWidth="1"/>
    <col min="6" max="6" width="8.5703125" style="318" customWidth="1"/>
    <col min="7" max="7" width="8.42578125" style="442" bestFit="1" customWidth="1"/>
    <col min="8" max="8" width="8.5703125" style="442" customWidth="1"/>
    <col min="9" max="9" width="8.5703125" style="688" customWidth="1"/>
    <col min="10" max="10" width="11.42578125" style="672" customWidth="1"/>
    <col min="11" max="16384" width="11.42578125" style="12"/>
  </cols>
  <sheetData>
    <row r="1" spans="1:13">
      <c r="A1" s="837" t="str">
        <f>'ADJ DETAIL INPUT'!A2</f>
        <v>AVISTA UTILITIES - AWEC ADJUSTED</v>
      </c>
      <c r="B1" s="837"/>
      <c r="C1" s="837"/>
      <c r="D1" s="837"/>
      <c r="E1" s="837"/>
      <c r="F1" s="837"/>
      <c r="G1" s="641"/>
      <c r="I1" s="684"/>
      <c r="J1" s="675"/>
    </row>
    <row r="2" spans="1:13">
      <c r="A2" s="838" t="s">
        <v>69</v>
      </c>
      <c r="B2" s="838"/>
      <c r="C2" s="838"/>
      <c r="D2" s="838"/>
      <c r="E2" s="838"/>
      <c r="F2" s="838"/>
      <c r="I2" s="684"/>
      <c r="J2" s="676"/>
    </row>
    <row r="3" spans="1:13" s="24" customFormat="1">
      <c r="A3" s="836" t="s">
        <v>147</v>
      </c>
      <c r="B3" s="836"/>
      <c r="C3" s="836"/>
      <c r="D3" s="836"/>
      <c r="E3" s="836"/>
      <c r="F3" s="836"/>
      <c r="G3" s="443"/>
      <c r="H3" s="443"/>
      <c r="I3" s="685"/>
      <c r="J3" s="677"/>
    </row>
    <row r="4" spans="1:13" s="24" customFormat="1">
      <c r="A4" s="836" t="str">
        <f>'PROP0SED RATES'!A3</f>
        <v>TWELVE MONTHS ENDED DECEMBER 31, 2019</v>
      </c>
      <c r="B4" s="836"/>
      <c r="C4" s="836"/>
      <c r="D4" s="836"/>
      <c r="E4" s="836"/>
      <c r="F4" s="836"/>
      <c r="G4" s="443"/>
      <c r="H4" s="443"/>
      <c r="I4" s="685"/>
      <c r="J4" s="677"/>
    </row>
    <row r="5" spans="1:13" s="24" customFormat="1">
      <c r="A5" s="12"/>
      <c r="B5" s="247"/>
      <c r="C5" s="12"/>
      <c r="D5" s="320"/>
      <c r="E5" s="320" t="s">
        <v>69</v>
      </c>
      <c r="F5" s="318"/>
      <c r="G5" s="443"/>
      <c r="H5" s="443"/>
      <c r="I5" s="685"/>
      <c r="J5" s="678"/>
    </row>
    <row r="6" spans="1:13">
      <c r="A6" s="320" t="s">
        <v>70</v>
      </c>
      <c r="B6" s="320" t="s">
        <v>234</v>
      </c>
      <c r="C6" s="320" t="s">
        <v>71</v>
      </c>
      <c r="D6" s="320" t="s">
        <v>72</v>
      </c>
      <c r="E6" s="320" t="s">
        <v>19</v>
      </c>
      <c r="F6" s="37" t="s">
        <v>73</v>
      </c>
      <c r="G6" s="642" t="s">
        <v>178</v>
      </c>
      <c r="H6" s="529" t="s">
        <v>177</v>
      </c>
      <c r="I6" s="686" t="s">
        <v>418</v>
      </c>
      <c r="J6" s="679" t="s">
        <v>555</v>
      </c>
    </row>
    <row r="7" spans="1:13">
      <c r="A7" s="408" t="s">
        <v>462</v>
      </c>
      <c r="B7" s="319"/>
      <c r="C7" s="319"/>
      <c r="D7" s="319"/>
      <c r="E7" s="319"/>
      <c r="F7" s="319"/>
      <c r="G7" s="443"/>
      <c r="H7" s="443"/>
      <c r="I7" s="687"/>
      <c r="J7" s="676"/>
    </row>
    <row r="8" spans="1:13">
      <c r="A8" s="362">
        <f>'ADJ DETAIL INPUT'!E$10</f>
        <v>1</v>
      </c>
      <c r="B8" s="249" t="str">
        <f>'ADJ DETAIL INPUT'!E$11</f>
        <v>G-ROO</v>
      </c>
      <c r="C8" s="33" t="str">
        <f>TRIM(CONCATENATE('ADJ DETAIL INPUT'!E$7," ",'ADJ DETAIL INPUT'!E$8," ",'ADJ DETAIL INPUT'!E$9))</f>
        <v>Per Results Report</v>
      </c>
      <c r="D8" s="34">
        <f>'ADJ DETAIL INPUT'!E$58</f>
        <v>24474</v>
      </c>
      <c r="E8" s="34">
        <f>'ADJ DETAIL INPUT'!E$81</f>
        <v>405933</v>
      </c>
      <c r="F8" s="439">
        <f>D8/E8</f>
        <v>6.0290737634043058E-2</v>
      </c>
      <c r="H8" s="530" t="s">
        <v>128</v>
      </c>
      <c r="I8" s="683" t="s">
        <v>526</v>
      </c>
      <c r="J8" s="674"/>
      <c r="K8" s="407"/>
      <c r="L8" s="407"/>
      <c r="M8" s="407"/>
    </row>
    <row r="9" spans="1:13">
      <c r="A9" s="362">
        <f>'ADJ DETAIL INPUT'!F$10</f>
        <v>1.01</v>
      </c>
      <c r="B9" s="249" t="str">
        <f>'ADJ DETAIL INPUT'!F$11</f>
        <v>G-DFIT</v>
      </c>
      <c r="C9" s="33" t="str">
        <f>TRIM(CONCATENATE('ADJ DETAIL INPUT'!F$7," ",'ADJ DETAIL INPUT'!F$8," ",'ADJ DETAIL INPUT'!F$9))</f>
        <v>Deferred FIT Rate Base</v>
      </c>
      <c r="D9" s="123">
        <f>'ADJ DETAIL INPUT'!F$58</f>
        <v>-5.1141300000000003</v>
      </c>
      <c r="E9" s="123">
        <f>'ADJ DETAIL INPUT'!F$81</f>
        <v>-994</v>
      </c>
      <c r="H9" s="530" t="s">
        <v>128</v>
      </c>
      <c r="I9" s="683" t="s">
        <v>526</v>
      </c>
      <c r="J9" s="674" t="s">
        <v>556</v>
      </c>
      <c r="K9" s="407"/>
      <c r="L9" s="407"/>
      <c r="M9" s="407"/>
    </row>
    <row r="10" spans="1:13">
      <c r="A10" s="362">
        <f>'ADJ DETAIL INPUT'!G$10</f>
        <v>1.02</v>
      </c>
      <c r="B10" s="249" t="str">
        <f>'ADJ DETAIL INPUT'!G$11</f>
        <v>G-DDC</v>
      </c>
      <c r="C10" s="33" t="str">
        <f>TRIM(CONCATENATE('ADJ DETAIL INPUT'!G$7," ",'ADJ DETAIL INPUT'!G$8," ",'ADJ DETAIL INPUT'!G$9))</f>
        <v>Deferred Debits and Credits</v>
      </c>
      <c r="D10" s="123">
        <f>'ADJ DETAIL INPUT'!G$58</f>
        <v>-11.855145</v>
      </c>
      <c r="E10" s="123">
        <f>'ADJ DETAIL INPUT'!G$81</f>
        <v>-1</v>
      </c>
      <c r="H10" s="530" t="s">
        <v>468</v>
      </c>
      <c r="I10" s="683" t="s">
        <v>526</v>
      </c>
      <c r="J10" s="674"/>
      <c r="K10" s="407"/>
      <c r="L10" s="407"/>
      <c r="M10" s="407"/>
    </row>
    <row r="11" spans="1:13">
      <c r="A11" s="362">
        <f>'ADJ DETAIL INPUT'!H$10</f>
        <v>1.03</v>
      </c>
      <c r="B11" s="249" t="str">
        <f>'ADJ DETAIL INPUT'!H$11</f>
        <v>G-WC</v>
      </c>
      <c r="C11" s="33" t="str">
        <f>TRIM(CONCATENATE('ADJ DETAIL INPUT'!H$7," ",'ADJ DETAIL INPUT'!H$8," ",'ADJ DETAIL INPUT'!H$9))</f>
        <v>Working Capital</v>
      </c>
      <c r="D11" s="123">
        <f>'ADJ DETAIL INPUT'!H$58</f>
        <v>-5.8858800000000002</v>
      </c>
      <c r="E11" s="123">
        <f>'ADJ DETAIL INPUT'!H$81</f>
        <v>-1144</v>
      </c>
      <c r="H11" s="530" t="s">
        <v>128</v>
      </c>
      <c r="I11" s="683" t="s">
        <v>526</v>
      </c>
      <c r="J11" s="677" t="s">
        <v>556</v>
      </c>
    </row>
    <row r="12" spans="1:13" s="404" customFormat="1">
      <c r="A12" s="410">
        <f>'ADJ DETAIL INPUT'!I$10</f>
        <v>1.04</v>
      </c>
      <c r="B12" s="411" t="str">
        <f>'ADJ DETAIL INPUT'!I$11</f>
        <v>G-AMI</v>
      </c>
      <c r="C12" s="377" t="str">
        <f>TRIM(CONCATENATE('ADJ DETAIL INPUT'!I$7," ",'ADJ DETAIL INPUT'!I$8," ",'ADJ DETAIL INPUT'!I$9))</f>
        <v>Remove AMI Rate Base</v>
      </c>
      <c r="D12" s="406">
        <f>'ADJ DETAIL INPUT'!I$58</f>
        <v>-94.683435000000003</v>
      </c>
      <c r="E12" s="406">
        <f>'ADJ DETAIL INPUT'!I$81</f>
        <v>-18403</v>
      </c>
      <c r="F12" s="452"/>
      <c r="G12" s="442"/>
      <c r="H12" s="530" t="s">
        <v>128</v>
      </c>
      <c r="I12" s="683" t="s">
        <v>526</v>
      </c>
      <c r="J12" s="677" t="s">
        <v>556</v>
      </c>
    </row>
    <row r="13" spans="1:13">
      <c r="A13" s="362">
        <f>'ADJ DETAIL INPUT'!J$10</f>
        <v>2.0099999999999998</v>
      </c>
      <c r="B13" s="249" t="str">
        <f>'ADJ DETAIL INPUT'!J$11</f>
        <v>G-EBO</v>
      </c>
      <c r="C13" s="33" t="str">
        <f>TRIM(CONCATENATE('ADJ DETAIL INPUT'!J$7," ",'ADJ DETAIL INPUT'!J$8," ",'ADJ DETAIL INPUT'!J$9))</f>
        <v>Eliminate B &amp; O Taxes</v>
      </c>
      <c r="D13" s="123">
        <f>'ADJ DETAIL INPUT'!J$58</f>
        <v>-9.48</v>
      </c>
      <c r="E13" s="123">
        <f>'ADJ DETAIL INPUT'!J$81</f>
        <v>0</v>
      </c>
      <c r="H13" s="530" t="s">
        <v>453</v>
      </c>
      <c r="I13" s="683" t="s">
        <v>526</v>
      </c>
      <c r="J13" s="677"/>
    </row>
    <row r="14" spans="1:13">
      <c r="A14" s="362">
        <f>'ADJ DETAIL INPUT'!K$10</f>
        <v>2.0199999999999996</v>
      </c>
      <c r="B14" s="249" t="str">
        <f>'ADJ DETAIL INPUT'!K$11</f>
        <v>G-RPT</v>
      </c>
      <c r="C14" s="33" t="str">
        <f>TRIM(CONCATENATE('ADJ DETAIL INPUT'!K$7," ",'ADJ DETAIL INPUT'!K$8," ",'ADJ DETAIL INPUT'!K$9))</f>
        <v>Restate Property Tax</v>
      </c>
      <c r="D14" s="123">
        <f>'ADJ DETAIL INPUT'!K$58</f>
        <v>-188.81</v>
      </c>
      <c r="E14" s="123">
        <f>'ADJ DETAIL INPUT'!K$81</f>
        <v>0</v>
      </c>
      <c r="H14" s="530" t="s">
        <v>128</v>
      </c>
      <c r="I14" s="683" t="s">
        <v>526</v>
      </c>
      <c r="J14" s="677"/>
    </row>
    <row r="15" spans="1:13">
      <c r="A15" s="362">
        <f>'ADJ DETAIL INPUT'!L$10</f>
        <v>2.0299999999999994</v>
      </c>
      <c r="B15" s="249" t="str">
        <f>'ADJ DETAIL INPUT'!L$11</f>
        <v>G-UE</v>
      </c>
      <c r="C15" s="33" t="str">
        <f>TRIM(CONCATENATE('ADJ DETAIL INPUT'!L$7," ",'ADJ DETAIL INPUT'!L$8," ",'ADJ DETAIL INPUT'!L$9))</f>
        <v>Uncollectible Expense</v>
      </c>
      <c r="D15" s="123">
        <f>'ADJ DETAIL INPUT'!L$58</f>
        <v>-131.13999999999999</v>
      </c>
      <c r="E15" s="123">
        <f>'ADJ DETAIL INPUT'!L$81</f>
        <v>0</v>
      </c>
      <c r="H15" s="712" t="s">
        <v>468</v>
      </c>
      <c r="I15" s="709" t="s">
        <v>526</v>
      </c>
      <c r="J15" s="677"/>
    </row>
    <row r="16" spans="1:13">
      <c r="A16" s="362">
        <f>'ADJ DETAIL INPUT'!M$10</f>
        <v>2.0399999999999991</v>
      </c>
      <c r="B16" s="249" t="str">
        <f>'ADJ DETAIL INPUT'!M$11</f>
        <v>G-RE</v>
      </c>
      <c r="C16" s="33" t="str">
        <f>TRIM(CONCATENATE('ADJ DETAIL INPUT'!M$7," ",'ADJ DETAIL INPUT'!M$8," ",'ADJ DETAIL INPUT'!M$9))</f>
        <v>Regulatory Expense</v>
      </c>
      <c r="D16" s="123">
        <f>'ADJ DETAIL INPUT'!M$58</f>
        <v>45.82</v>
      </c>
      <c r="E16" s="123">
        <f>'ADJ DETAIL INPUT'!M$81</f>
        <v>0</v>
      </c>
      <c r="H16" s="530" t="s">
        <v>468</v>
      </c>
      <c r="I16" s="683" t="s">
        <v>526</v>
      </c>
      <c r="J16" s="677"/>
    </row>
    <row r="17" spans="1:14">
      <c r="A17" s="362">
        <f>'ADJ DETAIL INPUT'!N$10</f>
        <v>2.0499999999999989</v>
      </c>
      <c r="B17" s="249" t="str">
        <f>'ADJ DETAIL INPUT'!N$11</f>
        <v>G-ID</v>
      </c>
      <c r="C17" s="33" t="str">
        <f>TRIM(CONCATENATE('ADJ DETAIL INPUT'!N$7," ",'ADJ DETAIL INPUT'!N$8," ",'ADJ DETAIL INPUT'!N$9))</f>
        <v>Injuries &amp; Damages</v>
      </c>
      <c r="D17" s="123">
        <f>'ADJ DETAIL INPUT'!N$58</f>
        <v>7.11</v>
      </c>
      <c r="E17" s="123">
        <f>'ADJ DETAIL INPUT'!N$81</f>
        <v>0</v>
      </c>
      <c r="H17" s="530" t="s">
        <v>468</v>
      </c>
      <c r="I17" s="683" t="s">
        <v>526</v>
      </c>
      <c r="J17" s="677"/>
    </row>
    <row r="18" spans="1:14">
      <c r="A18" s="362">
        <f>'ADJ DETAIL INPUT'!O$10</f>
        <v>2.0599999999999987</v>
      </c>
      <c r="B18" s="249" t="str">
        <f>'ADJ DETAIL INPUT'!O$11</f>
        <v>G-FIT</v>
      </c>
      <c r="C18" s="33" t="str">
        <f>TRIM(CONCATENATE('ADJ DETAIL INPUT'!O$7," ",'ADJ DETAIL INPUT'!O$8," ",'ADJ DETAIL INPUT'!O$9))</f>
        <v>FIT / DFIT Expense</v>
      </c>
      <c r="D18" s="363">
        <f>'ADJ DETAIL INPUT'!O$58</f>
        <v>-53</v>
      </c>
      <c r="E18" s="123">
        <f>'ADJ DETAIL INPUT'!O$81</f>
        <v>0</v>
      </c>
      <c r="H18" s="530" t="s">
        <v>453</v>
      </c>
      <c r="I18" s="683" t="s">
        <v>526</v>
      </c>
      <c r="J18" s="677"/>
    </row>
    <row r="19" spans="1:14">
      <c r="A19" s="362">
        <f>'ADJ DETAIL INPUT'!P$10</f>
        <v>2.0699999999999985</v>
      </c>
      <c r="B19" s="249" t="str">
        <f>'ADJ DETAIL INPUT'!P$11</f>
        <v>G-OSC</v>
      </c>
      <c r="C19" s="33" t="str">
        <f>TRIM(CONCATENATE('ADJ DETAIL INPUT'!P$7," ",'ADJ DETAIL INPUT'!P$8," ",'ADJ DETAIL INPUT'!P$9))</f>
        <v>Office Space Charges to Non-Utility</v>
      </c>
      <c r="D19" s="123">
        <f>'ADJ DETAIL INPUT'!P$58</f>
        <v>12.64</v>
      </c>
      <c r="E19" s="123">
        <f>'ADJ DETAIL INPUT'!P$81</f>
        <v>0</v>
      </c>
      <c r="H19" s="530" t="s">
        <v>468</v>
      </c>
      <c r="I19" s="683" t="s">
        <v>526</v>
      </c>
      <c r="J19" s="677"/>
    </row>
    <row r="20" spans="1:14">
      <c r="A20" s="362">
        <f>'ADJ DETAIL INPUT'!Q$10</f>
        <v>2.0799999999999983</v>
      </c>
      <c r="B20" s="249" t="str">
        <f>'ADJ DETAIL INPUT'!Q$11</f>
        <v>G-RET</v>
      </c>
      <c r="C20" s="33" t="str">
        <f>TRIM(CONCATENATE('ADJ DETAIL INPUT'!Q$7," ",'ADJ DETAIL INPUT'!Q$8," ",'ADJ DETAIL INPUT'!Q$9))</f>
        <v>Restate Excise Taxes</v>
      </c>
      <c r="D20" s="123">
        <f>'ADJ DETAIL INPUT'!Q$58</f>
        <v>-0.79</v>
      </c>
      <c r="E20" s="123">
        <f>'ADJ DETAIL INPUT'!Q$81</f>
        <v>0</v>
      </c>
      <c r="H20" s="530" t="s">
        <v>453</v>
      </c>
      <c r="I20" s="683" t="s">
        <v>526</v>
      </c>
      <c r="J20" s="677"/>
    </row>
    <row r="21" spans="1:14">
      <c r="A21" s="362">
        <f>'ADJ DETAIL INPUT'!R$10</f>
        <v>2.0899999999999981</v>
      </c>
      <c r="B21" s="249" t="str">
        <f>'ADJ DETAIL INPUT'!R$11</f>
        <v>G-NGL</v>
      </c>
      <c r="C21" s="33" t="str">
        <f>TRIM(CONCATENATE('ADJ DETAIL INPUT'!R$7," ",'ADJ DETAIL INPUT'!R$8," ",'ADJ DETAIL INPUT'!R$9))</f>
        <v>Net Gains &amp; Losses</v>
      </c>
      <c r="D21" s="123">
        <f>'ADJ DETAIL INPUT'!R$58</f>
        <v>8.69</v>
      </c>
      <c r="E21" s="123">
        <f>'ADJ DETAIL INPUT'!R$81</f>
        <v>0</v>
      </c>
      <c r="H21" s="530" t="s">
        <v>468</v>
      </c>
      <c r="I21" s="683" t="s">
        <v>526</v>
      </c>
      <c r="J21" s="677"/>
    </row>
    <row r="22" spans="1:14">
      <c r="A22" s="362">
        <f>'ADJ DETAIL INPUT'!S$10</f>
        <v>2.0999999999999979</v>
      </c>
      <c r="B22" s="249" t="str">
        <f>'ADJ DETAIL INPUT'!S$11</f>
        <v>G-WNGC</v>
      </c>
      <c r="C22" s="33" t="str">
        <f>TRIM(CONCATENATE('ADJ DETAIL INPUT'!S$7," ",'ADJ DETAIL INPUT'!S$8," ",'ADJ DETAIL INPUT'!S$9))</f>
        <v>Weather Normalization / Gas Cost Adjust</v>
      </c>
      <c r="D22" s="123">
        <f>'ADJ DETAIL INPUT'!S$58</f>
        <v>-4.74</v>
      </c>
      <c r="E22" s="123">
        <f>'ADJ DETAIL INPUT'!S$81</f>
        <v>0</v>
      </c>
      <c r="H22" s="530" t="s">
        <v>453</v>
      </c>
      <c r="I22" s="683" t="s">
        <v>526</v>
      </c>
      <c r="J22" s="714" t="s">
        <v>565</v>
      </c>
    </row>
    <row r="23" spans="1:14" s="373" customFormat="1">
      <c r="A23" s="387">
        <f>'ADJ DETAIL INPUT'!T$10</f>
        <v>2.1099999999999977</v>
      </c>
      <c r="B23" s="388" t="str">
        <f>'ADJ DETAIL INPUT'!T$11</f>
        <v>G-EAS</v>
      </c>
      <c r="C23" s="377" t="str">
        <f>TRIM(CONCATENATE('ADJ DETAIL INPUT'!T$7," ",'ADJ DETAIL INPUT'!T$8," ",'ADJ DETAIL INPUT'!T$9))</f>
        <v>Eliminate Adder Schedules</v>
      </c>
      <c r="D23" s="378">
        <f>'ADJ DETAIL INPUT'!T$58</f>
        <v>-3.999999999996362E-2</v>
      </c>
      <c r="E23" s="378">
        <f>'ADJ DETAIL INPUT'!T$81</f>
        <v>0</v>
      </c>
      <c r="F23" s="375"/>
      <c r="G23" s="442"/>
      <c r="H23" s="530" t="s">
        <v>453</v>
      </c>
      <c r="I23" s="683" t="s">
        <v>526</v>
      </c>
      <c r="J23" s="714" t="s">
        <v>564</v>
      </c>
    </row>
    <row r="24" spans="1:14" s="96" customFormat="1">
      <c r="A24" s="362">
        <f>'ADJ DETAIL INPUT'!U$10</f>
        <v>2.1199999999999974</v>
      </c>
      <c r="B24" s="249" t="str">
        <f>'ADJ DETAIL INPUT'!U$11</f>
        <v>G-MR</v>
      </c>
      <c r="C24" s="364" t="str">
        <f>TRIM(CONCATENATE('ADJ DETAIL INPUT'!U$7," ",'ADJ DETAIL INPUT'!U$8," ",'ADJ DETAIL INPUT'!U$9))</f>
        <v>Misc. Restating Non-Util / Non- Recurring Expense</v>
      </c>
      <c r="D24" s="363">
        <f>'ADJ DETAIL INPUT'!U$58</f>
        <v>-34.76</v>
      </c>
      <c r="E24" s="363">
        <f>'ADJ DETAIL INPUT'!U$81</f>
        <v>0</v>
      </c>
      <c r="F24" s="35"/>
      <c r="H24" s="530" t="s">
        <v>468</v>
      </c>
      <c r="I24" s="713" t="s">
        <v>526</v>
      </c>
      <c r="J24" s="674"/>
    </row>
    <row r="25" spans="1:14" s="404" customFormat="1" ht="13.5" customHeight="1">
      <c r="A25" s="410">
        <f>'ADJ DETAIL INPUT'!V$10</f>
        <v>2.1299999999999972</v>
      </c>
      <c r="B25" s="411" t="str">
        <f>'ADJ DETAIL INPUT'!V$11</f>
        <v>G-RI</v>
      </c>
      <c r="C25" s="377" t="str">
        <f>TRIM(CONCATENATE('ADJ DETAIL INPUT'!V$7," ",'ADJ DETAIL INPUT'!V$8," ",'ADJ DETAIL INPUT'!V$9))</f>
        <v>Restating Incentives Expense</v>
      </c>
      <c r="D25" s="406">
        <f>'ADJ DETAIL INPUT'!V$58</f>
        <v>-173.01</v>
      </c>
      <c r="E25" s="406">
        <f>'ADJ DETAIL INPUT'!V$81</f>
        <v>0</v>
      </c>
      <c r="F25" s="445"/>
      <c r="G25" s="442"/>
      <c r="H25" s="530" t="s">
        <v>237</v>
      </c>
      <c r="I25" s="683" t="s">
        <v>526</v>
      </c>
      <c r="J25" s="677"/>
    </row>
    <row r="26" spans="1:14" s="96" customFormat="1" ht="13.5" customHeight="1">
      <c r="A26" s="362">
        <f>'ADJ DETAIL INPUT'!W$10</f>
        <v>2.139999999999997</v>
      </c>
      <c r="B26" s="249" t="str">
        <f>'ADJ DETAIL INPUT'!W$11</f>
        <v>G-DI</v>
      </c>
      <c r="C26" s="364" t="str">
        <f>TRIM(CONCATENATE('ADJ DETAIL INPUT'!W$7," ",'ADJ DETAIL INPUT'!W$8," ",'ADJ DETAIL INPUT'!W$9))</f>
        <v>Restate Debt Interest</v>
      </c>
      <c r="D26" s="363">
        <f>'ADJ DETAIL INPUT'!W$58</f>
        <v>-247</v>
      </c>
      <c r="E26" s="363">
        <f>'ADJ DETAIL INPUT'!W$81</f>
        <v>0</v>
      </c>
      <c r="F26" s="35"/>
      <c r="H26" s="530" t="s">
        <v>526</v>
      </c>
      <c r="I26" s="682" t="s">
        <v>567</v>
      </c>
    </row>
    <row r="27" spans="1:14" s="407" customFormat="1" ht="13.5" customHeight="1">
      <c r="A27" s="410">
        <f>'ADJ DETAIL INPUT'!X$10</f>
        <v>2.1499999999999968</v>
      </c>
      <c r="B27" s="411" t="str">
        <f>'ADJ DETAIL INPUT'!X$11</f>
        <v>G-EOP19</v>
      </c>
      <c r="C27" s="409" t="str">
        <f>TRIM(CONCATENATE('ADJ DETAIL INPUT'!X$7," ",'ADJ DETAIL INPUT'!X$8," ",'ADJ DETAIL INPUT'!X$9))</f>
        <v>Restate 2019 AMA Rate Base to EOP</v>
      </c>
      <c r="D27" s="363">
        <f>'ADJ DETAIL INPUT'!X$58</f>
        <v>272.47854222319228</v>
      </c>
      <c r="E27" s="363">
        <f>'ADJ DETAIL INPUT'!X$81</f>
        <v>12730.523269813853</v>
      </c>
      <c r="F27" s="35"/>
      <c r="G27" s="669"/>
      <c r="H27" s="530" t="s">
        <v>557</v>
      </c>
      <c r="I27" s="683" t="s">
        <v>526</v>
      </c>
      <c r="J27" s="673"/>
      <c r="N27" s="407" t="s">
        <v>111</v>
      </c>
    </row>
    <row r="28" spans="1:14" ht="13.5" thickBot="1">
      <c r="A28" s="181"/>
      <c r="B28" s="248"/>
      <c r="C28" s="12" t="s">
        <v>75</v>
      </c>
      <c r="D28" s="36">
        <f>SUM(D8:D27)</f>
        <v>23860.429952223185</v>
      </c>
      <c r="E28" s="36">
        <f>SUM(E8:E27)</f>
        <v>398121.52326981386</v>
      </c>
      <c r="F28" s="439">
        <f>D28/E28</f>
        <v>5.9932529535843652E-2</v>
      </c>
      <c r="H28" s="443"/>
      <c r="I28" s="687"/>
      <c r="J28" s="439"/>
    </row>
    <row r="29" spans="1:14" ht="13.5" customHeight="1" thickTop="1">
      <c r="A29" s="122" t="s">
        <v>429</v>
      </c>
      <c r="B29" s="249"/>
      <c r="D29" s="33"/>
      <c r="H29" s="443"/>
      <c r="I29" s="687"/>
      <c r="J29" s="677"/>
    </row>
    <row r="30" spans="1:14" s="373" customFormat="1">
      <c r="A30" s="387">
        <f>'ADJ DETAIL INPUT'!AA$10</f>
        <v>3.01</v>
      </c>
      <c r="B30" s="388" t="str">
        <f>'ADJ DETAIL INPUT'!AA$11</f>
        <v>G-PREV</v>
      </c>
      <c r="C30" s="385" t="str">
        <f>TRIM(CONCATENATE('ADJ DETAIL INPUT'!AA$7," ",'ADJ DETAIL INPUT'!AA$8," ",'ADJ DETAIL INPUT'!AA$9))</f>
        <v>Pro Forma Revenue Normalization</v>
      </c>
      <c r="D30" s="378">
        <f>'ADJ DETAIL INPUT'!AA$58</f>
        <v>8186.77</v>
      </c>
      <c r="E30" s="378">
        <f>'ADJ DETAIL INPUT'!AA$81</f>
        <v>0</v>
      </c>
      <c r="F30" s="446"/>
      <c r="G30" s="442"/>
      <c r="H30" s="530" t="s">
        <v>563</v>
      </c>
      <c r="I30" s="683" t="s">
        <v>526</v>
      </c>
      <c r="J30" s="682" t="s">
        <v>566</v>
      </c>
      <c r="K30" s="381"/>
    </row>
    <row r="31" spans="1:14" s="404" customFormat="1">
      <c r="A31" s="410">
        <f>'ADJ DETAIL INPUT'!AB$10</f>
        <v>3.0199999999999996</v>
      </c>
      <c r="B31" s="248" t="str">
        <f>'ADJ DETAIL INPUT'!AB$11</f>
        <v>G-PRA</v>
      </c>
      <c r="C31" s="409" t="str">
        <f>TRIM(CONCATENATE('ADJ DETAIL INPUT'!AB$7," ",'ADJ DETAIL INPUT'!AB$8," ",'ADJ DETAIL INPUT'!AB$9))</f>
        <v>Pro Forma Def. Debits, Credits &amp; Regulatory Amorts</v>
      </c>
      <c r="D31" s="406">
        <f>'ADJ DETAIL INPUT'!AB$58</f>
        <v>181.7</v>
      </c>
      <c r="E31" s="406">
        <f>'ADJ DETAIL INPUT'!AB$81</f>
        <v>0</v>
      </c>
      <c r="F31" s="446"/>
      <c r="H31" s="530" t="s">
        <v>469</v>
      </c>
      <c r="I31" s="713" t="s">
        <v>526</v>
      </c>
      <c r="J31" s="672"/>
      <c r="K31" s="407"/>
    </row>
    <row r="32" spans="1:14" s="404" customFormat="1">
      <c r="A32" s="410">
        <f>'ADJ DETAIL INPUT'!AC$10</f>
        <v>3.0299999999999994</v>
      </c>
      <c r="B32" s="411" t="str">
        <f>'ADJ DETAIL INPUT'!AC$11</f>
        <v>G-ARAM</v>
      </c>
      <c r="C32" s="409" t="str">
        <f>TRIM(CONCATENATE('ADJ DETAIL INPUT'!AC$7," ",'ADJ DETAIL INPUT'!AC$8," ",'ADJ DETAIL INPUT'!AC$9))</f>
        <v>Pro Forma ARAM DFIT</v>
      </c>
      <c r="D32" s="406">
        <f>'ADJ DETAIL INPUT'!AC$58</f>
        <v>-41</v>
      </c>
      <c r="E32" s="406">
        <f>'ADJ DETAIL INPUT'!AC$81</f>
        <v>0</v>
      </c>
      <c r="F32" s="446"/>
      <c r="G32" s="442"/>
      <c r="H32" s="530" t="s">
        <v>453</v>
      </c>
      <c r="I32" s="689" t="s">
        <v>526</v>
      </c>
      <c r="J32" s="682" t="s">
        <v>558</v>
      </c>
      <c r="K32" s="407"/>
    </row>
    <row r="33" spans="1:11">
      <c r="A33" s="362">
        <f>'ADJ DETAIL INPUT'!AD$10</f>
        <v>3.0399999999999991</v>
      </c>
      <c r="B33" s="249" t="str">
        <f>'ADJ DETAIL INPUT'!AD$11</f>
        <v>G-PLN</v>
      </c>
      <c r="C33" s="33" t="str">
        <f>TRIM(CONCATENATE('ADJ DETAIL INPUT'!AD$7," ",'ADJ DETAIL INPUT'!AD$8," ",'ADJ DETAIL INPUT'!AD$9))</f>
        <v>Pro Forma Labor Non-Exec</v>
      </c>
      <c r="D33" s="123">
        <f>'ADJ DETAIL INPUT'!AD$58</f>
        <v>-771.83</v>
      </c>
      <c r="E33" s="123">
        <f>'ADJ DETAIL INPUT'!AD$81</f>
        <v>0</v>
      </c>
      <c r="H33" s="530" t="s">
        <v>237</v>
      </c>
      <c r="I33" s="683" t="s">
        <v>526</v>
      </c>
      <c r="J33" s="677"/>
    </row>
    <row r="34" spans="1:11" ht="13.5" customHeight="1">
      <c r="A34" s="362">
        <f>'ADJ DETAIL INPUT'!AE$10</f>
        <v>3.0499999999999989</v>
      </c>
      <c r="B34" s="249" t="str">
        <f>'ADJ DETAIL INPUT'!AE$11</f>
        <v>G-PLE</v>
      </c>
      <c r="C34" s="33" t="str">
        <f>TRIM(CONCATENATE('ADJ DETAIL INPUT'!AE$7," ",'ADJ DETAIL INPUT'!AE$8," ",'ADJ DETAIL INPUT'!AE$9))</f>
        <v>Pro Forma Labor Exec</v>
      </c>
      <c r="D34" s="123">
        <f>'ADJ DETAIL INPUT'!AE$58</f>
        <v>76.63</v>
      </c>
      <c r="E34" s="123">
        <f>'ADJ DETAIL INPUT'!AE$81</f>
        <v>0</v>
      </c>
      <c r="H34" s="530" t="s">
        <v>237</v>
      </c>
      <c r="I34" s="683" t="s">
        <v>526</v>
      </c>
      <c r="J34" s="677"/>
    </row>
    <row r="35" spans="1:11">
      <c r="A35" s="362">
        <f>'ADJ DETAIL INPUT'!AF$10</f>
        <v>3.0599999999999987</v>
      </c>
      <c r="B35" s="249" t="str">
        <f>'ADJ DETAIL INPUT'!AF$11</f>
        <v>G-PEB</v>
      </c>
      <c r="C35" s="33" t="str">
        <f>TRIM(CONCATENATE('ADJ DETAIL INPUT'!AF$7," ",'ADJ DETAIL INPUT'!AF$8," ",'ADJ DETAIL INPUT'!AF$9))</f>
        <v>Pro Forma Employee Benefits</v>
      </c>
      <c r="D35" s="123">
        <f>'ADJ DETAIL INPUT'!AF$58</f>
        <v>-269.39</v>
      </c>
      <c r="E35" s="123">
        <f>'ADJ DETAIL INPUT'!AF$81</f>
        <v>0</v>
      </c>
      <c r="H35" s="530" t="s">
        <v>237</v>
      </c>
      <c r="I35" s="683" t="s">
        <v>526</v>
      </c>
      <c r="J35" s="677"/>
    </row>
    <row r="36" spans="1:11" s="96" customFormat="1" ht="14.25" customHeight="1">
      <c r="A36" s="362">
        <f>'ADJ DETAIL INPUT'!AG$10</f>
        <v>3.0699999999999985</v>
      </c>
      <c r="B36" s="249" t="str">
        <f>'ADJ DETAIL INPUT'!AG$11</f>
        <v>G-PINS</v>
      </c>
      <c r="C36" s="364" t="str">
        <f>TRIM(CONCATENATE('ADJ DETAIL INPUT'!AG$7," ",'ADJ DETAIL INPUT'!AG$8," ",'ADJ DETAIL INPUT'!AG$9))</f>
        <v>Pro Forma Insurance Expense</v>
      </c>
      <c r="D36" s="363">
        <f>'ADJ DETAIL INPUT'!AG$58</f>
        <v>-232.26</v>
      </c>
      <c r="E36" s="363">
        <f>'ADJ DETAIL INPUT'!AG$81</f>
        <v>0</v>
      </c>
      <c r="F36" s="35"/>
      <c r="H36" s="530" t="s">
        <v>469</v>
      </c>
      <c r="I36" s="683" t="s">
        <v>526</v>
      </c>
      <c r="J36" s="674"/>
    </row>
    <row r="37" spans="1:11" s="404" customFormat="1">
      <c r="A37" s="410">
        <f>'ADJ DETAIL INPUT'!AH$10</f>
        <v>3.0799999999999983</v>
      </c>
      <c r="B37" s="411" t="str">
        <f>'ADJ DETAIL INPUT'!AH$11</f>
        <v>G-PIT</v>
      </c>
      <c r="C37" s="409" t="str">
        <f>TRIM(CONCATENATE('ADJ DETAIL INPUT'!AH$7," ",'ADJ DETAIL INPUT'!AH$8," ",'ADJ DETAIL INPUT'!AH$9))</f>
        <v>Pro Forma IS/IT Expense</v>
      </c>
      <c r="D37" s="406">
        <f>'ADJ DETAIL INPUT'!AH$58</f>
        <v>-223.75723000000002</v>
      </c>
      <c r="E37" s="406">
        <f>'ADJ DETAIL INPUT'!AH$81</f>
        <v>0</v>
      </c>
      <c r="F37" s="405"/>
      <c r="H37" s="530" t="s">
        <v>469</v>
      </c>
      <c r="I37" s="683" t="s">
        <v>526</v>
      </c>
      <c r="J37" s="674"/>
      <c r="K37" s="407"/>
    </row>
    <row r="38" spans="1:11">
      <c r="A38" s="362">
        <f>'ADJ DETAIL INPUT'!AI$10</f>
        <v>3.0899999999999981</v>
      </c>
      <c r="B38" s="249" t="str">
        <f>'ADJ DETAIL INPUT'!AI$11</f>
        <v>G-PPT</v>
      </c>
      <c r="C38" s="33" t="str">
        <f>TRIM(CONCATENATE('ADJ DETAIL INPUT'!AI$7," ",'ADJ DETAIL INPUT'!AI$8," ",'ADJ DETAIL INPUT'!AI$9))</f>
        <v>Pro Forma Property Tax</v>
      </c>
      <c r="D38" s="123">
        <f>'ADJ DETAIL INPUT'!AI$58</f>
        <v>-365.77</v>
      </c>
      <c r="E38" s="123">
        <f>'ADJ DETAIL INPUT'!AI$81</f>
        <v>0</v>
      </c>
      <c r="H38" s="530" t="s">
        <v>128</v>
      </c>
      <c r="I38" s="683" t="s">
        <v>526</v>
      </c>
      <c r="J38" s="674"/>
      <c r="K38" s="96"/>
    </row>
    <row r="39" spans="1:11" s="404" customFormat="1">
      <c r="A39" s="410">
        <f>'ADJ DETAIL INPUT'!AJ$10</f>
        <v>3.0999999999999979</v>
      </c>
      <c r="B39" s="411" t="str">
        <f>'ADJ DETAIL INPUT'!AJ$11</f>
        <v>G-PFEE</v>
      </c>
      <c r="C39" s="409" t="str">
        <f>TRIM(CONCATENATE('ADJ DETAIL INPUT'!AJ$7," ",'ADJ DETAIL INPUT'!AJ$8," ",'ADJ DETAIL INPUT'!AJ$9))</f>
        <v>Pro Forma Fee Free Amortization</v>
      </c>
      <c r="D39" s="406">
        <f>'ADJ DETAIL INPUT'!AJ$58</f>
        <v>-688.88</v>
      </c>
      <c r="E39" s="406">
        <f>'ADJ DETAIL INPUT'!AJ$81</f>
        <v>0</v>
      </c>
      <c r="F39" s="405"/>
      <c r="G39" s="442"/>
      <c r="H39" s="530" t="s">
        <v>469</v>
      </c>
      <c r="I39" s="683" t="s">
        <v>526</v>
      </c>
      <c r="J39" s="674"/>
      <c r="K39" s="407"/>
    </row>
    <row r="40" spans="1:11" s="404" customFormat="1">
      <c r="A40" s="410">
        <f>'ADJ DETAIL INPUT'!AK$10</f>
        <v>3.1099999999999977</v>
      </c>
      <c r="B40" s="411" t="str">
        <f>'ADJ DETAIL INPUT'!AK$11</f>
        <v>G-PCAP1</v>
      </c>
      <c r="C40" s="409" t="str">
        <f>TRIM(CONCATENATE('ADJ DETAIL INPUT'!AK$7," ",'ADJ DETAIL INPUT'!AK$8," ",'ADJ DETAIL INPUT'!AK$9))</f>
        <v>Pro Forma 2020 Customer At Center</v>
      </c>
      <c r="D40" s="406">
        <f>'ADJ DETAIL INPUT'!AK$58</f>
        <v>0</v>
      </c>
      <c r="E40" s="406">
        <f>'ADJ DETAIL INPUT'!AK$81</f>
        <v>0</v>
      </c>
      <c r="F40" s="405"/>
      <c r="H40" s="530" t="s">
        <v>557</v>
      </c>
      <c r="I40" s="713" t="s">
        <v>526</v>
      </c>
      <c r="J40" s="674"/>
      <c r="K40" s="407"/>
    </row>
    <row r="41" spans="1:11" s="404" customFormat="1">
      <c r="A41" s="410">
        <f>'ADJ DETAIL INPUT'!AL$10</f>
        <v>3.1199999999999974</v>
      </c>
      <c r="B41" s="411" t="str">
        <f>'ADJ DETAIL INPUT'!AL$11</f>
        <v>G-PCAP2</v>
      </c>
      <c r="C41" s="409" t="str">
        <f>TRIM(CONCATENATE('ADJ DETAIL INPUT'!AL$7," ",'ADJ DETAIL INPUT'!AL$8," ",'ADJ DETAIL INPUT'!AL$9))</f>
        <v>Pro Forma 2020 Large &amp; Distinct</v>
      </c>
      <c r="D41" s="406">
        <f>'ADJ DETAIL INPUT'!AL$58</f>
        <v>0</v>
      </c>
      <c r="E41" s="406">
        <f>'ADJ DETAIL INPUT'!AL$81</f>
        <v>0</v>
      </c>
      <c r="F41" s="600"/>
      <c r="H41" s="530" t="s">
        <v>557</v>
      </c>
      <c r="I41" s="713" t="s">
        <v>526</v>
      </c>
      <c r="J41" s="674"/>
      <c r="K41" s="407"/>
    </row>
    <row r="42" spans="1:11" s="404" customFormat="1">
      <c r="A42" s="410">
        <f>'ADJ DETAIL INPUT'!AM$10</f>
        <v>3.1299999999999972</v>
      </c>
      <c r="B42" s="411" t="str">
        <f>'ADJ DETAIL INPUT'!AM$11</f>
        <v>G-PCAP3</v>
      </c>
      <c r="C42" s="409" t="str">
        <f>TRIM(CONCATENATE('ADJ DETAIL INPUT'!AM$7," ",'ADJ DETAIL INPUT'!AM$8," ",'ADJ DETAIL INPUT'!AM$9))</f>
        <v>Pro Forma 2020 Programmatic</v>
      </c>
      <c r="D42" s="406">
        <f>'ADJ DETAIL INPUT'!AM$58</f>
        <v>0</v>
      </c>
      <c r="E42" s="406">
        <f>'ADJ DETAIL INPUT'!AM$81</f>
        <v>0</v>
      </c>
      <c r="F42" s="600"/>
      <c r="H42" s="530" t="s">
        <v>557</v>
      </c>
      <c r="I42" s="715" t="s">
        <v>526</v>
      </c>
      <c r="J42" s="682"/>
      <c r="K42" s="407"/>
    </row>
    <row r="43" spans="1:11" s="404" customFormat="1">
      <c r="A43" s="410">
        <f>'ADJ DETAIL INPUT'!AN$10</f>
        <v>3.139999999999997</v>
      </c>
      <c r="B43" s="411" t="str">
        <f>'ADJ DETAIL INPUT'!AN$11</f>
        <v>G-PCAP4</v>
      </c>
      <c r="C43" s="409" t="str">
        <f>TRIM(CONCATENATE('ADJ DETAIL INPUT'!AN$7," ",'ADJ DETAIL INPUT'!AN$8," ",'ADJ DETAIL INPUT'!AN$9))</f>
        <v>Pro Forma 2020 Mandatory &amp; Compliance</v>
      </c>
      <c r="D43" s="406">
        <f>'ADJ DETAIL INPUT'!AN$58</f>
        <v>0</v>
      </c>
      <c r="E43" s="406">
        <f>'ADJ DETAIL INPUT'!AN$81</f>
        <v>0</v>
      </c>
      <c r="F43" s="668"/>
      <c r="H43" s="530" t="s">
        <v>557</v>
      </c>
      <c r="I43" s="713" t="s">
        <v>526</v>
      </c>
      <c r="J43" s="674"/>
      <c r="K43" s="407"/>
    </row>
    <row r="44" spans="1:11" s="404" customFormat="1">
      <c r="A44" s="410">
        <f>'ADJ DETAIL INPUT'!AO$10</f>
        <v>3.1499999999999968</v>
      </c>
      <c r="B44" s="411" t="str">
        <f>'ADJ DETAIL INPUT'!AO$11</f>
        <v>G-PCAP5</v>
      </c>
      <c r="C44" s="409" t="str">
        <f>TRIM(CONCATENATE('ADJ DETAIL INPUT'!AO$7," ",'ADJ DETAIL INPUT'!AO$8," ",'ADJ DETAIL INPUT'!AO$9))</f>
        <v>Pro Forma 2020 Short Lived</v>
      </c>
      <c r="D44" s="406">
        <f>'ADJ DETAIL INPUT'!AO$58</f>
        <v>0</v>
      </c>
      <c r="E44" s="406">
        <f>'ADJ DETAIL INPUT'!AO$81</f>
        <v>0</v>
      </c>
      <c r="F44" s="668"/>
      <c r="H44" s="530" t="s">
        <v>557</v>
      </c>
      <c r="I44" s="713" t="s">
        <v>526</v>
      </c>
      <c r="J44" s="674"/>
      <c r="K44" s="407"/>
    </row>
    <row r="45" spans="1:11" s="404" customFormat="1">
      <c r="A45" s="410">
        <f>'ADJ DETAIL INPUT'!AP$10</f>
        <v>3.1599999999999966</v>
      </c>
      <c r="B45" s="411" t="str">
        <f>'ADJ DETAIL INPUT'!AP$11</f>
        <v>G-PAMI</v>
      </c>
      <c r="C45" s="409" t="str">
        <f>TRIM(CONCATENATE('ADJ DETAIL INPUT'!AP$7," ",'ADJ DETAIL INPUT'!AP$8," ",'ADJ DETAIL INPUT'!AP$9))</f>
        <v>Pro Forma AMI Capital Adds</v>
      </c>
      <c r="D45" s="406">
        <f>'ADJ DETAIL INPUT'!AP$58</f>
        <v>-4390.9922848061815</v>
      </c>
      <c r="E45" s="406">
        <f>'ADJ DETAIL INPUT'!AP$81</f>
        <v>-4400.5198845833329</v>
      </c>
      <c r="F45" s="600"/>
      <c r="G45" s="442"/>
      <c r="H45" s="530" t="s">
        <v>128</v>
      </c>
      <c r="I45" s="683" t="s">
        <v>526</v>
      </c>
      <c r="J45" s="674"/>
      <c r="K45" s="407"/>
    </row>
    <row r="46" spans="1:11" s="404" customFormat="1">
      <c r="A46" s="410">
        <f>'ADJ DETAIL INPUT'!AQ$10</f>
        <v>3.1699999999999964</v>
      </c>
      <c r="B46" s="248" t="str">
        <f>'ADJ DETAIL INPUT'!AQ$11</f>
        <v>G-PLEAP</v>
      </c>
      <c r="C46" s="409" t="str">
        <f>TRIM(CONCATENATE('ADJ DETAIL INPUT'!AQ$7," ",'ADJ DETAIL INPUT'!AQ$8," ",'ADJ DETAIL INPUT'!AQ$9))</f>
        <v>Pro Forma LEAP Deferral Amortization</v>
      </c>
      <c r="D46" s="406">
        <f>'ADJ DETAIL INPUT'!AQ$58</f>
        <v>-1244.8690550000001</v>
      </c>
      <c r="E46" s="406">
        <f>'ADJ DETAIL INPUT'!AQ$81</f>
        <v>-3959</v>
      </c>
      <c r="F46" s="436"/>
      <c r="G46" s="442"/>
      <c r="H46" s="530" t="s">
        <v>469</v>
      </c>
      <c r="I46" s="683" t="s">
        <v>526</v>
      </c>
      <c r="J46" s="674"/>
      <c r="K46" s="407"/>
    </row>
    <row r="47" spans="1:11" s="404" customFormat="1" ht="12" customHeight="1">
      <c r="A47" s="410">
        <f>'ADJ DETAIL INPUT'!AR$10</f>
        <v>3.1799999999999962</v>
      </c>
      <c r="B47" s="411" t="str">
        <f>'ADJ DETAIL INPUT'!AR$11</f>
        <v>G-RDFIT</v>
      </c>
      <c r="C47" s="409" t="str">
        <f>TRIM(CONCATENATE('ADJ DETAIL INPUT'!AR$7," ",'ADJ DETAIL INPUT'!AR$8," ",'ADJ DETAIL INPUT'!AR$9))</f>
        <v>Restate 2019 ADFIT</v>
      </c>
      <c r="D47" s="406">
        <f>'ADJ DETAIL INPUT'!AR$58</f>
        <v>-78.348060000000004</v>
      </c>
      <c r="E47" s="406">
        <f>'ADJ DETAIL INPUT'!AR$81</f>
        <v>-15228</v>
      </c>
      <c r="F47" s="405"/>
      <c r="G47" s="442"/>
      <c r="H47" s="530" t="s">
        <v>128</v>
      </c>
      <c r="I47" s="683" t="s">
        <v>526</v>
      </c>
      <c r="J47" s="674"/>
      <c r="K47" s="407"/>
    </row>
    <row r="48" spans="1:11" s="404" customFormat="1" hidden="1">
      <c r="A48" s="410"/>
      <c r="B48" s="411"/>
      <c r="C48" s="409"/>
      <c r="D48" s="406"/>
      <c r="E48" s="406"/>
      <c r="F48" s="600"/>
      <c r="G48" s="442"/>
      <c r="H48" s="643"/>
      <c r="I48" s="683"/>
      <c r="J48" s="674"/>
      <c r="K48" s="407"/>
    </row>
    <row r="49" spans="1:11" s="404" customFormat="1" hidden="1">
      <c r="A49" s="410">
        <f>'ADJ DETAIL INPUT'!AX$10</f>
        <v>7.02</v>
      </c>
      <c r="B49" s="411">
        <f>'ADJ DETAIL INPUT'!AX$11</f>
        <v>0</v>
      </c>
      <c r="C49" s="409" t="str">
        <f>TRIM(CONCATENATE('ADJ DETAIL INPUT'!AX$7," ",'ADJ DETAIL INPUT'!AX$8," ",'ADJ DETAIL INPUT'!AX$9))</f>
        <v>Pro Forma Open</v>
      </c>
      <c r="D49" s="406">
        <f>'ADJ DETAIL INPUT'!AX$58</f>
        <v>0</v>
      </c>
      <c r="E49" s="406">
        <f>'ADJ DETAIL INPUT'!AX$81</f>
        <v>0</v>
      </c>
      <c r="F49" s="405"/>
      <c r="G49" s="442"/>
      <c r="H49" s="442"/>
      <c r="I49" s="683"/>
      <c r="J49" s="672"/>
      <c r="K49" s="407"/>
    </row>
    <row r="50" spans="1:11" s="404" customFormat="1" ht="13.5" thickBot="1">
      <c r="A50" s="410"/>
      <c r="B50" s="411"/>
      <c r="C50" s="404" t="s">
        <v>123</v>
      </c>
      <c r="D50" s="36">
        <f>SUM(D28:D47)</f>
        <v>23998.433322417004</v>
      </c>
      <c r="E50" s="36">
        <f>SUM(E28:E47)</f>
        <v>374534.00338523055</v>
      </c>
      <c r="F50" s="439">
        <f>D50/E50</f>
        <v>6.4075446035625191E-2</v>
      </c>
      <c r="G50" s="442"/>
      <c r="H50" s="442"/>
      <c r="I50" s="688"/>
      <c r="J50" s="674"/>
      <c r="K50" s="407"/>
    </row>
    <row r="51" spans="1:11" ht="17.25" customHeight="1" thickTop="1">
      <c r="A51" s="108" t="s">
        <v>576</v>
      </c>
      <c r="B51" s="108" t="s">
        <v>577</v>
      </c>
      <c r="C51" s="12" t="s">
        <v>141</v>
      </c>
      <c r="H51" s="712" t="s">
        <v>468</v>
      </c>
      <c r="I51" s="709" t="s">
        <v>526</v>
      </c>
    </row>
    <row r="52" spans="1:11" ht="24.75" customHeight="1">
      <c r="A52" s="733" t="s">
        <v>575</v>
      </c>
    </row>
    <row r="53" spans="1:11" s="404" customFormat="1">
      <c r="A53" s="410" t="e">
        <f>'ADJ DETAIL INPUT'!#REF!</f>
        <v>#REF!</v>
      </c>
      <c r="B53" s="411" t="e">
        <f>'ADJ DETAIL INPUT'!#REF!</f>
        <v>#REF!</v>
      </c>
      <c r="C53" s="409" t="e">
        <f>TRIM(CONCATENATE('ADJ DETAIL INPUT'!#REF!," ",'ADJ DETAIL INPUT'!#REF!," ",'ADJ DETAIL INPUT'!#REF!))</f>
        <v>#REF!</v>
      </c>
      <c r="D53" s="722" t="e">
        <f>'ADJ DETAIL INPUT'!#REF!</f>
        <v>#REF!</v>
      </c>
      <c r="E53" s="722" t="e">
        <f>'ADJ DETAIL INPUT'!#REF!</f>
        <v>#REF!</v>
      </c>
      <c r="F53" s="439"/>
      <c r="G53" s="442"/>
      <c r="H53" s="530" t="s">
        <v>128</v>
      </c>
      <c r="I53" s="716" t="s">
        <v>526</v>
      </c>
      <c r="J53" s="674"/>
      <c r="K53" s="407"/>
    </row>
    <row r="54" spans="1:11">
      <c r="C54" s="12" t="s">
        <v>588</v>
      </c>
      <c r="D54" s="34" t="e">
        <f>D50+D53</f>
        <v>#REF!</v>
      </c>
      <c r="E54" s="34" t="e">
        <f>E50+E53</f>
        <v>#REF!</v>
      </c>
      <c r="F54" s="439" t="e">
        <f>D54/E54</f>
        <v>#REF!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7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166"/>
  <sheetViews>
    <sheetView topLeftCell="A40" workbookViewId="0">
      <selection activeCell="E67" sqref="E67"/>
    </sheetView>
  </sheetViews>
  <sheetFormatPr defaultColWidth="10.5703125" defaultRowHeight="12.75"/>
  <cols>
    <col min="1" max="1" width="8.42578125" style="196" customWidth="1"/>
    <col min="2" max="2" width="18.5703125" style="197" customWidth="1"/>
    <col min="3" max="4" width="10.5703125" style="190" customWidth="1"/>
    <col min="5" max="5" width="10.140625" style="190" customWidth="1"/>
    <col min="6" max="6" width="14.5703125" style="198" customWidth="1"/>
    <col min="7" max="7" width="11.140625" style="190" bestFit="1" customWidth="1"/>
    <col min="8" max="8" width="2.140625" style="190" customWidth="1"/>
    <col min="9" max="9" width="14.140625" style="190" customWidth="1"/>
    <col min="10" max="10" width="19.140625" style="190" customWidth="1"/>
    <col min="11" max="16384" width="10.5703125" style="190"/>
  </cols>
  <sheetData>
    <row r="1" spans="1:9">
      <c r="A1" s="842" t="s">
        <v>112</v>
      </c>
      <c r="B1" s="842"/>
      <c r="C1" s="842"/>
      <c r="D1" s="842"/>
      <c r="E1" s="842"/>
      <c r="F1" s="842"/>
      <c r="G1" s="842"/>
      <c r="H1" s="842"/>
    </row>
    <row r="2" spans="1:9">
      <c r="A2" s="843" t="s">
        <v>124</v>
      </c>
      <c r="B2" s="843"/>
      <c r="C2" s="843"/>
      <c r="D2" s="843"/>
      <c r="E2" s="843"/>
      <c r="F2" s="843"/>
      <c r="G2" s="843"/>
      <c r="H2" s="843"/>
    </row>
    <row r="3" spans="1:9">
      <c r="A3" s="843" t="s">
        <v>235</v>
      </c>
      <c r="B3" s="843"/>
      <c r="C3" s="843"/>
      <c r="D3" s="843"/>
      <c r="E3" s="843"/>
      <c r="F3" s="843"/>
      <c r="G3" s="843"/>
      <c r="H3" s="843"/>
    </row>
    <row r="4" spans="1:9">
      <c r="A4" s="844" t="str">
        <f>'ROO INPUT'!A5:C5</f>
        <v>TWELVE MONTHS ENDED DECEMBER 31, 2019</v>
      </c>
      <c r="B4" s="844"/>
      <c r="C4" s="844"/>
      <c r="D4" s="844"/>
      <c r="E4" s="844"/>
      <c r="F4" s="844"/>
      <c r="G4" s="844"/>
      <c r="H4" s="844"/>
    </row>
    <row r="5" spans="1:9">
      <c r="A5" s="845" t="s">
        <v>115</v>
      </c>
      <c r="B5" s="845"/>
      <c r="C5" s="845"/>
      <c r="D5" s="845"/>
      <c r="E5" s="845"/>
      <c r="F5" s="845"/>
      <c r="G5" s="845"/>
      <c r="H5" s="845"/>
    </row>
    <row r="6" spans="1:9" ht="13.5" thickBot="1">
      <c r="A6" s="191"/>
      <c r="B6" s="192"/>
      <c r="C6" s="193"/>
      <c r="D6" s="194"/>
      <c r="E6" s="194"/>
      <c r="F6" s="194"/>
      <c r="I6" s="195" t="s">
        <v>206</v>
      </c>
    </row>
    <row r="7" spans="1:9" ht="13.5" thickBot="1">
      <c r="C7" s="198"/>
      <c r="D7" s="198"/>
      <c r="E7" s="839" t="s">
        <v>124</v>
      </c>
      <c r="F7" s="840"/>
      <c r="G7" s="841"/>
      <c r="I7" s="195" t="s">
        <v>207</v>
      </c>
    </row>
    <row r="8" spans="1:9">
      <c r="C8" s="198"/>
      <c r="D8" s="198"/>
      <c r="E8" s="196">
        <f>'ADJ DETAIL INPUT'!W10</f>
        <v>2.139999999999997</v>
      </c>
      <c r="F8" s="305"/>
      <c r="G8" s="305"/>
      <c r="I8" s="195"/>
    </row>
    <row r="9" spans="1:9">
      <c r="C9" s="198"/>
      <c r="D9" s="198"/>
      <c r="E9" s="199" t="s">
        <v>20</v>
      </c>
      <c r="F9" s="195" t="s">
        <v>420</v>
      </c>
      <c r="G9" s="195" t="s">
        <v>421</v>
      </c>
      <c r="I9" s="195" t="s">
        <v>208</v>
      </c>
    </row>
    <row r="10" spans="1:9">
      <c r="B10" s="200" t="s">
        <v>116</v>
      </c>
      <c r="C10" s="198"/>
      <c r="D10" s="198"/>
      <c r="E10" s="201" t="s">
        <v>209</v>
      </c>
      <c r="F10" s="202" t="s">
        <v>117</v>
      </c>
      <c r="G10" s="202" t="s">
        <v>210</v>
      </c>
      <c r="I10" s="202" t="str">
        <f>F10</f>
        <v>Adjustments</v>
      </c>
    </row>
    <row r="11" spans="1:9">
      <c r="A11" s="196">
        <f>'ADJ SUMMARY'!A8</f>
        <v>1</v>
      </c>
      <c r="B11" s="197" t="str">
        <f>'ADJ SUMMARY'!C8</f>
        <v>Per Results Report</v>
      </c>
      <c r="C11" s="198"/>
      <c r="D11" s="198"/>
      <c r="E11" s="203">
        <f>'ADJ SUMMARY'!E8</f>
        <v>405933</v>
      </c>
      <c r="F11" s="203"/>
      <c r="G11" s="250">
        <f t="shared" ref="G11:G16" si="0">SUM(E11:F11)</f>
        <v>405933</v>
      </c>
      <c r="H11" s="250"/>
      <c r="I11" s="250">
        <f>ROUND(E11*$E$58*-$E$65,0)-(E62*-E65)</f>
        <v>246.82999999999993</v>
      </c>
    </row>
    <row r="12" spans="1:9">
      <c r="A12" s="196">
        <f>'ADJ SUMMARY'!A9</f>
        <v>1.01</v>
      </c>
      <c r="B12" s="197" t="str">
        <f>'ADJ SUMMARY'!C9</f>
        <v>Deferred FIT Rate Base</v>
      </c>
      <c r="C12" s="198"/>
      <c r="D12" s="198"/>
      <c r="E12" s="250"/>
      <c r="F12" s="203">
        <f>'ADJ SUMMARY'!E9</f>
        <v>-994</v>
      </c>
      <c r="G12" s="250">
        <f t="shared" si="0"/>
        <v>-994</v>
      </c>
      <c r="H12" s="250"/>
      <c r="I12" s="250">
        <f t="shared" ref="I12:I45" si="1">ROUND(F12*$E$58*-$E$65,0)</f>
        <v>5</v>
      </c>
    </row>
    <row r="13" spans="1:9">
      <c r="A13" s="196">
        <f>'ADJ SUMMARY'!A10</f>
        <v>1.02</v>
      </c>
      <c r="B13" s="197" t="str">
        <f>'ADJ SUMMARY'!C10</f>
        <v>Deferred Debits and Credits</v>
      </c>
      <c r="C13" s="198"/>
      <c r="D13" s="198"/>
      <c r="E13" s="250"/>
      <c r="F13" s="203">
        <f>'ADJ SUMMARY'!E10</f>
        <v>-1</v>
      </c>
      <c r="G13" s="250">
        <f t="shared" si="0"/>
        <v>-1</v>
      </c>
      <c r="H13" s="250"/>
      <c r="I13" s="250">
        <f t="shared" si="1"/>
        <v>0</v>
      </c>
    </row>
    <row r="14" spans="1:9">
      <c r="A14" s="196">
        <f>'ADJ SUMMARY'!A11</f>
        <v>1.03</v>
      </c>
      <c r="B14" s="197" t="str">
        <f>'ADJ SUMMARY'!C11</f>
        <v>Working Capital</v>
      </c>
      <c r="C14" s="198"/>
      <c r="D14" s="198"/>
      <c r="E14" s="250"/>
      <c r="F14" s="203">
        <f>'ADJ SUMMARY'!E11</f>
        <v>-1144</v>
      </c>
      <c r="G14" s="250">
        <f t="shared" si="0"/>
        <v>-1144</v>
      </c>
      <c r="H14" s="250"/>
      <c r="I14" s="250">
        <f t="shared" si="1"/>
        <v>6</v>
      </c>
    </row>
    <row r="15" spans="1:9">
      <c r="A15" s="196">
        <f>'ADJ SUMMARY'!A12</f>
        <v>1.04</v>
      </c>
      <c r="B15" s="197" t="str">
        <f>'ADJ SUMMARY'!C12</f>
        <v>Remove AMI Rate Base</v>
      </c>
      <c r="C15" s="198"/>
      <c r="D15" s="198"/>
      <c r="E15" s="250"/>
      <c r="F15" s="203">
        <f>'ADJ SUMMARY'!E12</f>
        <v>-18403</v>
      </c>
      <c r="G15" s="250">
        <f t="shared" si="0"/>
        <v>-18403</v>
      </c>
      <c r="H15" s="250"/>
      <c r="I15" s="250">
        <f t="shared" si="1"/>
        <v>95</v>
      </c>
    </row>
    <row r="16" spans="1:9">
      <c r="A16" s="196">
        <f>'ADJ SUMMARY'!A13</f>
        <v>2.0099999999999998</v>
      </c>
      <c r="B16" s="197" t="str">
        <f>'ADJ SUMMARY'!C13</f>
        <v>Eliminate B &amp; O Taxes</v>
      </c>
      <c r="C16" s="198"/>
      <c r="D16" s="198"/>
      <c r="E16" s="250"/>
      <c r="F16" s="203">
        <f>'ADJ SUMMARY'!E13</f>
        <v>0</v>
      </c>
      <c r="G16" s="250">
        <f t="shared" si="0"/>
        <v>0</v>
      </c>
      <c r="H16" s="250"/>
      <c r="I16" s="250">
        <f t="shared" si="1"/>
        <v>0</v>
      </c>
    </row>
    <row r="17" spans="1:9">
      <c r="A17" s="196">
        <f>'ADJ SUMMARY'!A14</f>
        <v>2.0199999999999996</v>
      </c>
      <c r="B17" s="197" t="str">
        <f>'ADJ SUMMARY'!C14</f>
        <v>Restate Property Tax</v>
      </c>
      <c r="C17" s="198"/>
      <c r="D17" s="198"/>
      <c r="E17" s="250"/>
      <c r="F17" s="203">
        <f>'ADJ SUMMARY'!E14</f>
        <v>0</v>
      </c>
      <c r="G17" s="250">
        <f t="shared" ref="G17:G29" si="2">SUM(E17:F17)</f>
        <v>0</v>
      </c>
      <c r="H17" s="250"/>
      <c r="I17" s="250">
        <f t="shared" si="1"/>
        <v>0</v>
      </c>
    </row>
    <row r="18" spans="1:9">
      <c r="A18" s="196">
        <f>'ADJ SUMMARY'!A15</f>
        <v>2.0299999999999994</v>
      </c>
      <c r="B18" s="197" t="str">
        <f>'ADJ SUMMARY'!C15</f>
        <v>Uncollectible Expense</v>
      </c>
      <c r="C18" s="198"/>
      <c r="D18" s="198"/>
      <c r="E18" s="250"/>
      <c r="F18" s="203">
        <f>'ADJ SUMMARY'!E15</f>
        <v>0</v>
      </c>
      <c r="G18" s="250">
        <f t="shared" si="2"/>
        <v>0</v>
      </c>
      <c r="H18" s="250"/>
      <c r="I18" s="250">
        <f t="shared" si="1"/>
        <v>0</v>
      </c>
    </row>
    <row r="19" spans="1:9">
      <c r="A19" s="196">
        <f>'ADJ SUMMARY'!A16</f>
        <v>2.0399999999999991</v>
      </c>
      <c r="B19" s="197" t="str">
        <f>'ADJ SUMMARY'!C16</f>
        <v>Regulatory Expense</v>
      </c>
      <c r="C19" s="198"/>
      <c r="D19" s="198"/>
      <c r="E19" s="250"/>
      <c r="F19" s="203">
        <f>'ADJ SUMMARY'!E16</f>
        <v>0</v>
      </c>
      <c r="G19" s="250">
        <f t="shared" si="2"/>
        <v>0</v>
      </c>
      <c r="H19" s="250"/>
      <c r="I19" s="250">
        <f t="shared" si="1"/>
        <v>0</v>
      </c>
    </row>
    <row r="20" spans="1:9">
      <c r="A20" s="196">
        <f>'ADJ SUMMARY'!A17</f>
        <v>2.0499999999999989</v>
      </c>
      <c r="B20" s="197" t="str">
        <f>'ADJ SUMMARY'!C17</f>
        <v>Injuries &amp; Damages</v>
      </c>
      <c r="C20" s="198"/>
      <c r="D20" s="198"/>
      <c r="E20" s="250"/>
      <c r="F20" s="203">
        <f>'ADJ SUMMARY'!E17</f>
        <v>0</v>
      </c>
      <c r="G20" s="250">
        <f t="shared" si="2"/>
        <v>0</v>
      </c>
      <c r="H20" s="250"/>
      <c r="I20" s="250">
        <f t="shared" si="1"/>
        <v>0</v>
      </c>
    </row>
    <row r="21" spans="1:9">
      <c r="A21" s="196">
        <f>'ADJ SUMMARY'!A18</f>
        <v>2.0599999999999987</v>
      </c>
      <c r="B21" s="197" t="str">
        <f>'ADJ SUMMARY'!C18</f>
        <v>FIT / DFIT Expense</v>
      </c>
      <c r="C21" s="198"/>
      <c r="D21" s="198"/>
      <c r="E21" s="250"/>
      <c r="F21" s="203">
        <f>'ADJ SUMMARY'!E18</f>
        <v>0</v>
      </c>
      <c r="G21" s="250">
        <f t="shared" si="2"/>
        <v>0</v>
      </c>
      <c r="H21" s="250"/>
      <c r="I21" s="250">
        <f t="shared" si="1"/>
        <v>0</v>
      </c>
    </row>
    <row r="22" spans="1:9">
      <c r="A22" s="196">
        <f>'ADJ SUMMARY'!A19</f>
        <v>2.0699999999999985</v>
      </c>
      <c r="B22" s="197" t="str">
        <f>'ADJ SUMMARY'!C19</f>
        <v>Office Space Charges to Non-Utility</v>
      </c>
      <c r="C22" s="198"/>
      <c r="D22" s="198"/>
      <c r="E22" s="250"/>
      <c r="F22" s="203">
        <f>'ADJ SUMMARY'!E19</f>
        <v>0</v>
      </c>
      <c r="G22" s="250">
        <f t="shared" si="2"/>
        <v>0</v>
      </c>
      <c r="H22" s="250"/>
      <c r="I22" s="250">
        <f t="shared" si="1"/>
        <v>0</v>
      </c>
    </row>
    <row r="23" spans="1:9">
      <c r="A23" s="196">
        <f>'ADJ SUMMARY'!A20</f>
        <v>2.0799999999999983</v>
      </c>
      <c r="B23" s="197" t="str">
        <f>'ADJ SUMMARY'!C20</f>
        <v>Restate Excise Taxes</v>
      </c>
      <c r="C23" s="198"/>
      <c r="D23" s="198"/>
      <c r="E23" s="250"/>
      <c r="F23" s="203">
        <f>'ADJ SUMMARY'!E20</f>
        <v>0</v>
      </c>
      <c r="G23" s="250">
        <f t="shared" si="2"/>
        <v>0</v>
      </c>
      <c r="H23" s="250"/>
      <c r="I23" s="250">
        <f t="shared" si="1"/>
        <v>0</v>
      </c>
    </row>
    <row r="24" spans="1:9">
      <c r="A24" s="196">
        <f>'ADJ SUMMARY'!A21</f>
        <v>2.0899999999999981</v>
      </c>
      <c r="B24" s="197" t="str">
        <f>'ADJ SUMMARY'!C21</f>
        <v>Net Gains &amp; Losses</v>
      </c>
      <c r="C24" s="198"/>
      <c r="D24" s="198"/>
      <c r="E24" s="250"/>
      <c r="F24" s="203">
        <f>'ADJ SUMMARY'!E21</f>
        <v>0</v>
      </c>
      <c r="G24" s="250">
        <f t="shared" si="2"/>
        <v>0</v>
      </c>
      <c r="H24" s="250"/>
      <c r="I24" s="250">
        <f t="shared" si="1"/>
        <v>0</v>
      </c>
    </row>
    <row r="25" spans="1:9">
      <c r="A25" s="196">
        <f>'ADJ SUMMARY'!A22</f>
        <v>2.0999999999999979</v>
      </c>
      <c r="B25" s="197" t="str">
        <f>'ADJ SUMMARY'!C22</f>
        <v>Weather Normalization / Gas Cost Adjust</v>
      </c>
      <c r="C25" s="198"/>
      <c r="D25" s="198"/>
      <c r="E25" s="250"/>
      <c r="F25" s="203">
        <f>'ADJ SUMMARY'!E22</f>
        <v>0</v>
      </c>
      <c r="G25" s="250">
        <f t="shared" si="2"/>
        <v>0</v>
      </c>
      <c r="H25" s="250"/>
      <c r="I25" s="250">
        <f t="shared" si="1"/>
        <v>0</v>
      </c>
    </row>
    <row r="26" spans="1:9">
      <c r="A26" s="196">
        <f>'ADJ SUMMARY'!A23</f>
        <v>2.1099999999999977</v>
      </c>
      <c r="B26" s="197" t="str">
        <f>'ADJ SUMMARY'!C23</f>
        <v>Eliminate Adder Schedules</v>
      </c>
      <c r="C26" s="198"/>
      <c r="D26" s="198"/>
      <c r="E26" s="250"/>
      <c r="F26" s="203">
        <f>'ADJ SUMMARY'!E23</f>
        <v>0</v>
      </c>
      <c r="G26" s="250">
        <f t="shared" si="2"/>
        <v>0</v>
      </c>
      <c r="H26" s="250"/>
      <c r="I26" s="250">
        <f t="shared" si="1"/>
        <v>0</v>
      </c>
    </row>
    <row r="27" spans="1:9">
      <c r="A27" s="196">
        <f>'ADJ SUMMARY'!A24</f>
        <v>2.1199999999999974</v>
      </c>
      <c r="B27" s="197" t="str">
        <f>'ADJ SUMMARY'!C24</f>
        <v>Misc. Restating Non-Util / Non- Recurring Expense</v>
      </c>
      <c r="C27" s="198"/>
      <c r="D27" s="198"/>
      <c r="E27" s="250"/>
      <c r="F27" s="203">
        <f>'ADJ SUMMARY'!E24</f>
        <v>0</v>
      </c>
      <c r="G27" s="250">
        <f t="shared" si="2"/>
        <v>0</v>
      </c>
      <c r="H27" s="250"/>
      <c r="I27" s="250">
        <f t="shared" si="1"/>
        <v>0</v>
      </c>
    </row>
    <row r="28" spans="1:9">
      <c r="A28" s="196">
        <f>'ADJ SUMMARY'!A25</f>
        <v>2.1299999999999972</v>
      </c>
      <c r="B28" s="197" t="str">
        <f>'ADJ SUMMARY'!C25</f>
        <v>Restating Incentives Expense</v>
      </c>
      <c r="C28" s="198"/>
      <c r="D28" s="198"/>
      <c r="E28" s="250"/>
      <c r="F28" s="203">
        <f>'ADJ SUMMARY'!E25</f>
        <v>0</v>
      </c>
      <c r="G28" s="250">
        <f t="shared" si="2"/>
        <v>0</v>
      </c>
      <c r="H28" s="250"/>
      <c r="I28" s="250">
        <f t="shared" si="1"/>
        <v>0</v>
      </c>
    </row>
    <row r="29" spans="1:9">
      <c r="A29" s="196">
        <f>'ADJ SUMMARY'!A26</f>
        <v>2.139999999999997</v>
      </c>
      <c r="B29" s="197" t="str">
        <f>'ADJ SUMMARY'!C26</f>
        <v>Restate Debt Interest</v>
      </c>
      <c r="C29" s="198"/>
      <c r="D29" s="198"/>
      <c r="E29" s="250"/>
      <c r="F29" s="203">
        <f>'ADJ SUMMARY'!E26</f>
        <v>0</v>
      </c>
      <c r="G29" s="250">
        <f t="shared" si="2"/>
        <v>0</v>
      </c>
      <c r="H29" s="250"/>
      <c r="I29" s="250">
        <f t="shared" si="1"/>
        <v>0</v>
      </c>
    </row>
    <row r="30" spans="1:9">
      <c r="A30" s="196">
        <f>'ADJ SUMMARY'!A27</f>
        <v>2.1499999999999968</v>
      </c>
      <c r="B30" s="197" t="str">
        <f>'ADJ SUMMARY'!C27</f>
        <v>Restate 2019 AMA Rate Base to EOP</v>
      </c>
      <c r="C30" s="198"/>
      <c r="D30" s="198"/>
      <c r="E30" s="250"/>
      <c r="F30" s="203">
        <f>'ADJ SUMMARY'!E27</f>
        <v>12730.523269813853</v>
      </c>
      <c r="G30" s="250">
        <f>SUM(E30:F30)</f>
        <v>12730.523269813853</v>
      </c>
      <c r="H30" s="250"/>
      <c r="I30" s="250">
        <f t="shared" si="1"/>
        <v>-65</v>
      </c>
    </row>
    <row r="31" spans="1:9" ht="13.5" customHeight="1">
      <c r="A31" s="196">
        <f>'ADJ SUMMARY'!A30</f>
        <v>3.01</v>
      </c>
      <c r="B31" s="197" t="str">
        <f>'ADJ SUMMARY'!C30</f>
        <v>Pro Forma Revenue Normalization</v>
      </c>
      <c r="C31" s="198"/>
      <c r="D31" s="198"/>
      <c r="E31" s="250"/>
      <c r="F31" s="203">
        <f>'ADJ SUMMARY'!E30</f>
        <v>0</v>
      </c>
      <c r="G31" s="250">
        <f>SUM(E31:F31)</f>
        <v>0</v>
      </c>
      <c r="H31" s="250"/>
      <c r="I31" s="250">
        <f t="shared" si="1"/>
        <v>0</v>
      </c>
    </row>
    <row r="32" spans="1:9" ht="13.5" customHeight="1">
      <c r="A32" s="196">
        <f>'ADJ SUMMARY'!A31</f>
        <v>3.0199999999999996</v>
      </c>
      <c r="B32" s="197" t="str">
        <f>'ADJ SUMMARY'!C31</f>
        <v>Pro Forma Def. Debits, Credits &amp; Regulatory Amorts</v>
      </c>
      <c r="C32" s="198"/>
      <c r="D32" s="198"/>
      <c r="E32" s="250"/>
      <c r="F32" s="203">
        <f>'ADJ SUMMARY'!E31</f>
        <v>0</v>
      </c>
      <c r="G32" s="250">
        <f>SUM(E32:F32)</f>
        <v>0</v>
      </c>
      <c r="H32" s="250"/>
      <c r="I32" s="250">
        <f t="shared" si="1"/>
        <v>0</v>
      </c>
    </row>
    <row r="33" spans="1:9" ht="13.5" customHeight="1">
      <c r="A33" s="196">
        <f>'ADJ SUMMARY'!A32</f>
        <v>3.0299999999999994</v>
      </c>
      <c r="B33" s="197" t="str">
        <f>'ADJ SUMMARY'!C32</f>
        <v>Pro Forma ARAM DFIT</v>
      </c>
      <c r="C33" s="198"/>
      <c r="D33" s="198"/>
      <c r="E33" s="250"/>
      <c r="F33" s="203">
        <f>'ADJ SUMMARY'!E32</f>
        <v>0</v>
      </c>
      <c r="G33" s="250">
        <f>SUM(E33:F33)</f>
        <v>0</v>
      </c>
      <c r="H33" s="250"/>
      <c r="I33" s="250">
        <f t="shared" si="1"/>
        <v>0</v>
      </c>
    </row>
    <row r="34" spans="1:9" ht="13.5" customHeight="1">
      <c r="A34" s="196">
        <f>'ADJ SUMMARY'!A33</f>
        <v>3.0399999999999991</v>
      </c>
      <c r="B34" s="197" t="str">
        <f>'ADJ SUMMARY'!C33</f>
        <v>Pro Forma Labor Non-Exec</v>
      </c>
      <c r="C34" s="198"/>
      <c r="D34" s="198"/>
      <c r="E34" s="250"/>
      <c r="F34" s="203">
        <f>'ADJ SUMMARY'!E33</f>
        <v>0</v>
      </c>
      <c r="G34" s="250">
        <f t="shared" ref="G34:G43" si="3">SUM(E34:F34)</f>
        <v>0</v>
      </c>
      <c r="H34" s="250"/>
      <c r="I34" s="250">
        <f t="shared" si="1"/>
        <v>0</v>
      </c>
    </row>
    <row r="35" spans="1:9" ht="13.5" customHeight="1">
      <c r="A35" s="196">
        <f>'ADJ SUMMARY'!A34</f>
        <v>3.0499999999999989</v>
      </c>
      <c r="B35" s="197" t="str">
        <f>'ADJ SUMMARY'!C34</f>
        <v>Pro Forma Labor Exec</v>
      </c>
      <c r="C35" s="198"/>
      <c r="D35" s="198"/>
      <c r="E35" s="250"/>
      <c r="F35" s="203">
        <f>'ADJ SUMMARY'!E34</f>
        <v>0</v>
      </c>
      <c r="G35" s="250">
        <f t="shared" si="3"/>
        <v>0</v>
      </c>
      <c r="H35" s="250"/>
      <c r="I35" s="250">
        <f t="shared" si="1"/>
        <v>0</v>
      </c>
    </row>
    <row r="36" spans="1:9" ht="13.5" customHeight="1">
      <c r="A36" s="196">
        <f>'ADJ SUMMARY'!A35</f>
        <v>3.0599999999999987</v>
      </c>
      <c r="B36" s="197" t="str">
        <f>'ADJ SUMMARY'!C35</f>
        <v>Pro Forma Employee Benefits</v>
      </c>
      <c r="C36" s="198"/>
      <c r="D36" s="198"/>
      <c r="E36" s="250"/>
      <c r="F36" s="203">
        <f>'ADJ SUMMARY'!E35</f>
        <v>0</v>
      </c>
      <c r="G36" s="250">
        <f t="shared" si="3"/>
        <v>0</v>
      </c>
      <c r="H36" s="250"/>
      <c r="I36" s="250">
        <f t="shared" si="1"/>
        <v>0</v>
      </c>
    </row>
    <row r="37" spans="1:9" ht="13.5" customHeight="1">
      <c r="A37" s="196">
        <f>'ADJ SUMMARY'!A36</f>
        <v>3.0699999999999985</v>
      </c>
      <c r="B37" s="197" t="str">
        <f>'ADJ SUMMARY'!C36</f>
        <v>Pro Forma Insurance Expense</v>
      </c>
      <c r="C37" s="198"/>
      <c r="D37" s="198"/>
      <c r="E37" s="250"/>
      <c r="F37" s="203">
        <f>'ADJ SUMMARY'!E36</f>
        <v>0</v>
      </c>
      <c r="G37" s="250">
        <f t="shared" si="3"/>
        <v>0</v>
      </c>
      <c r="H37" s="250"/>
      <c r="I37" s="250">
        <f t="shared" si="1"/>
        <v>0</v>
      </c>
    </row>
    <row r="38" spans="1:9" ht="13.5" customHeight="1">
      <c r="A38" s="196">
        <f>'ADJ SUMMARY'!A37</f>
        <v>3.0799999999999983</v>
      </c>
      <c r="B38" s="197" t="str">
        <f>'ADJ SUMMARY'!C37</f>
        <v>Pro Forma IS/IT Expense</v>
      </c>
      <c r="C38" s="198"/>
      <c r="D38" s="198"/>
      <c r="E38" s="250"/>
      <c r="F38" s="203">
        <f>'ADJ SUMMARY'!E37</f>
        <v>0</v>
      </c>
      <c r="G38" s="250">
        <f t="shared" si="3"/>
        <v>0</v>
      </c>
      <c r="H38" s="250"/>
      <c r="I38" s="250">
        <f t="shared" si="1"/>
        <v>0</v>
      </c>
    </row>
    <row r="39" spans="1:9" ht="13.5" customHeight="1">
      <c r="A39" s="196">
        <f>'ADJ SUMMARY'!A38</f>
        <v>3.0899999999999981</v>
      </c>
      <c r="B39" s="197" t="str">
        <f>'ADJ SUMMARY'!C38</f>
        <v>Pro Forma Property Tax</v>
      </c>
      <c r="C39" s="198"/>
      <c r="D39" s="198"/>
      <c r="E39" s="250"/>
      <c r="F39" s="203">
        <f>'ADJ SUMMARY'!E38</f>
        <v>0</v>
      </c>
      <c r="G39" s="250">
        <f t="shared" si="3"/>
        <v>0</v>
      </c>
      <c r="H39" s="250"/>
      <c r="I39" s="250">
        <f t="shared" si="1"/>
        <v>0</v>
      </c>
    </row>
    <row r="40" spans="1:9" ht="13.5" customHeight="1">
      <c r="A40" s="196">
        <f>'ADJ SUMMARY'!A39</f>
        <v>3.0999999999999979</v>
      </c>
      <c r="B40" s="197" t="str">
        <f>'ADJ SUMMARY'!C39</f>
        <v>Pro Forma Fee Free Amortization</v>
      </c>
      <c r="C40" s="198"/>
      <c r="D40" s="198"/>
      <c r="E40" s="250"/>
      <c r="F40" s="203">
        <f>'ADJ SUMMARY'!E39</f>
        <v>0</v>
      </c>
      <c r="G40" s="250">
        <f t="shared" si="3"/>
        <v>0</v>
      </c>
      <c r="H40" s="250"/>
      <c r="I40" s="250">
        <f t="shared" si="1"/>
        <v>0</v>
      </c>
    </row>
    <row r="41" spans="1:9" ht="13.5" customHeight="1">
      <c r="A41" s="196">
        <f>'ADJ SUMMARY'!A40</f>
        <v>3.1099999999999977</v>
      </c>
      <c r="B41" s="197" t="str">
        <f>'ADJ SUMMARY'!C40</f>
        <v>Pro Forma 2020 Customer At Center</v>
      </c>
      <c r="C41" s="198"/>
      <c r="D41" s="198"/>
      <c r="E41" s="250"/>
      <c r="F41" s="203">
        <f>'ADJ SUMMARY'!E40</f>
        <v>0</v>
      </c>
      <c r="G41" s="250">
        <f t="shared" si="3"/>
        <v>0</v>
      </c>
      <c r="H41" s="250"/>
      <c r="I41" s="250">
        <f t="shared" si="1"/>
        <v>0</v>
      </c>
    </row>
    <row r="42" spans="1:9" ht="13.5" customHeight="1">
      <c r="A42" s="196">
        <f>'ADJ SUMMARY'!A41</f>
        <v>3.1199999999999974</v>
      </c>
      <c r="B42" s="197" t="str">
        <f>'ADJ SUMMARY'!C41</f>
        <v>Pro Forma 2020 Large &amp; Distinct</v>
      </c>
      <c r="C42" s="198"/>
      <c r="D42" s="198"/>
      <c r="E42" s="250"/>
      <c r="F42" s="203">
        <f>'ADJ SUMMARY'!E41</f>
        <v>0</v>
      </c>
      <c r="G42" s="250">
        <f t="shared" si="3"/>
        <v>0</v>
      </c>
      <c r="H42" s="250"/>
      <c r="I42" s="250">
        <f t="shared" si="1"/>
        <v>0</v>
      </c>
    </row>
    <row r="43" spans="1:9">
      <c r="A43" s="196">
        <f>'ADJ SUMMARY'!A42</f>
        <v>3.1299999999999972</v>
      </c>
      <c r="B43" s="197" t="str">
        <f>'ADJ SUMMARY'!C42</f>
        <v>Pro Forma 2020 Programmatic</v>
      </c>
      <c r="C43" s="198"/>
      <c r="D43" s="198"/>
      <c r="E43" s="250"/>
      <c r="F43" s="203">
        <f>'ADJ SUMMARY'!E42</f>
        <v>0</v>
      </c>
      <c r="G43" s="250">
        <f t="shared" si="3"/>
        <v>0</v>
      </c>
      <c r="H43" s="250"/>
      <c r="I43" s="250">
        <f t="shared" si="1"/>
        <v>0</v>
      </c>
    </row>
    <row r="44" spans="1:9">
      <c r="A44" s="196">
        <f>'ADJ SUMMARY'!A43</f>
        <v>3.139999999999997</v>
      </c>
      <c r="B44" s="197" t="str">
        <f>'ADJ SUMMARY'!C43</f>
        <v>Pro Forma 2020 Mandatory &amp; Compliance</v>
      </c>
      <c r="C44" s="198"/>
      <c r="D44" s="198"/>
      <c r="E44" s="250"/>
      <c r="F44" s="203">
        <f>'ADJ SUMMARY'!E43</f>
        <v>0</v>
      </c>
      <c r="G44" s="250">
        <f t="shared" ref="G44:G53" si="4">SUM(E44:F44)</f>
        <v>0</v>
      </c>
      <c r="H44" s="250"/>
      <c r="I44" s="250">
        <f t="shared" si="1"/>
        <v>0</v>
      </c>
    </row>
    <row r="45" spans="1:9">
      <c r="A45" s="196">
        <f>'ADJ SUMMARY'!A44</f>
        <v>3.1499999999999968</v>
      </c>
      <c r="B45" s="197" t="str">
        <f>'ADJ SUMMARY'!C44</f>
        <v>Pro Forma 2020 Short Lived</v>
      </c>
      <c r="C45" s="198"/>
      <c r="D45" s="198"/>
      <c r="E45" s="250"/>
      <c r="F45" s="203">
        <f>'ADJ SUMMARY'!E44</f>
        <v>0</v>
      </c>
      <c r="G45" s="250">
        <f t="shared" si="4"/>
        <v>0</v>
      </c>
      <c r="H45" s="250"/>
      <c r="I45" s="250">
        <f t="shared" si="1"/>
        <v>0</v>
      </c>
    </row>
    <row r="46" spans="1:9">
      <c r="A46" s="196">
        <f>'ADJ SUMMARY'!A45</f>
        <v>3.1599999999999966</v>
      </c>
      <c r="B46" s="197" t="str">
        <f>'ADJ SUMMARY'!C45</f>
        <v>Pro Forma AMI Capital Adds</v>
      </c>
      <c r="C46" s="198"/>
      <c r="D46" s="198"/>
      <c r="E46" s="250"/>
      <c r="F46" s="203">
        <f>'ADJ SUMMARY'!E45</f>
        <v>-4400.5198845833329</v>
      </c>
      <c r="G46" s="250">
        <f t="shared" si="4"/>
        <v>-4400.5198845833329</v>
      </c>
      <c r="H46" s="250"/>
      <c r="I46" s="250">
        <f>ROUND(F46*$E$58*-$E$65,0)</f>
        <v>23</v>
      </c>
    </row>
    <row r="47" spans="1:9">
      <c r="A47" s="196">
        <f>'ADJ SUMMARY'!A46</f>
        <v>3.1699999999999964</v>
      </c>
      <c r="B47" s="197" t="str">
        <f>'ADJ SUMMARY'!C46</f>
        <v>Pro Forma LEAP Deferral Amortization</v>
      </c>
      <c r="C47" s="198"/>
      <c r="D47" s="198"/>
      <c r="E47" s="250"/>
      <c r="F47" s="203">
        <f>'ADJ SUMMARY'!E46</f>
        <v>-3959</v>
      </c>
      <c r="G47" s="250">
        <f t="shared" si="4"/>
        <v>-3959</v>
      </c>
      <c r="H47" s="250"/>
      <c r="I47" s="250">
        <f>ROUND(F47*$E$58*-$E$65,0)</f>
        <v>20</v>
      </c>
    </row>
    <row r="48" spans="1:9" ht="11.25" customHeight="1">
      <c r="A48" s="196">
        <f>'ADJ SUMMARY'!A47</f>
        <v>3.1799999999999962</v>
      </c>
      <c r="B48" s="197" t="str">
        <f>'ADJ SUMMARY'!C47</f>
        <v>Restate 2019 ADFIT</v>
      </c>
      <c r="C48" s="198"/>
      <c r="D48" s="198"/>
      <c r="E48" s="250"/>
      <c r="F48" s="203">
        <f>'ADJ SUMMARY'!E47</f>
        <v>-15228</v>
      </c>
      <c r="G48" s="250">
        <f t="shared" si="4"/>
        <v>-15228</v>
      </c>
      <c r="H48" s="250"/>
      <c r="I48" s="250">
        <f>ROUND(F48*$E$58*-$E$65,0)</f>
        <v>78</v>
      </c>
    </row>
    <row r="49" spans="1:9">
      <c r="A49" s="196">
        <f>+'ADJ DETAIL INPUT'!AS10</f>
        <v>7.01</v>
      </c>
      <c r="B49" s="197" t="s">
        <v>630</v>
      </c>
      <c r="C49" s="198"/>
      <c r="D49" s="198"/>
      <c r="E49" s="250"/>
      <c r="F49" s="203">
        <f>+'ADJ DETAIL INPUT'!AS81</f>
        <v>5713.2092924948684</v>
      </c>
      <c r="G49" s="250">
        <f t="shared" ref="G49" si="5">SUM(E49:F49)</f>
        <v>5713.2092924948684</v>
      </c>
      <c r="H49" s="250"/>
      <c r="I49" s="250">
        <f>ROUND(F49*$E$58*-$E$65,0)</f>
        <v>-29</v>
      </c>
    </row>
    <row r="50" spans="1:9">
      <c r="C50" s="198"/>
      <c r="D50" s="198"/>
      <c r="E50" s="250"/>
      <c r="F50" s="203"/>
      <c r="G50" s="250"/>
      <c r="H50" s="250"/>
      <c r="I50" s="250"/>
    </row>
    <row r="51" spans="1:9">
      <c r="C51" s="198"/>
      <c r="D51" s="198"/>
      <c r="E51" s="250"/>
      <c r="F51" s="203"/>
      <c r="G51" s="250"/>
      <c r="H51" s="250"/>
      <c r="I51" s="250"/>
    </row>
    <row r="52" spans="1:9">
      <c r="A52" s="196">
        <f>'ADJ SUMMARY'!A48</f>
        <v>0</v>
      </c>
      <c r="B52" s="197">
        <f>'ADJ SUMMARY'!C48</f>
        <v>0</v>
      </c>
      <c r="C52" s="198"/>
      <c r="D52" s="198"/>
      <c r="E52" s="250"/>
      <c r="F52" s="203">
        <f>'ADJ SUMMARY'!E48</f>
        <v>0</v>
      </c>
      <c r="G52" s="250">
        <f t="shared" si="4"/>
        <v>0</v>
      </c>
      <c r="H52" s="250"/>
      <c r="I52" s="250">
        <f>ROUND(F52*$E$58*-$E$65,0)</f>
        <v>0</v>
      </c>
    </row>
    <row r="53" spans="1:9">
      <c r="A53" s="196">
        <f>'ADJ SUMMARY'!A49</f>
        <v>7.02</v>
      </c>
      <c r="B53" s="197" t="str">
        <f>'ADJ SUMMARY'!C49</f>
        <v>Pro Forma Open</v>
      </c>
      <c r="C53" s="198"/>
      <c r="D53" s="198"/>
      <c r="E53" s="550"/>
      <c r="F53" s="551">
        <f>'ADJ SUMMARY'!E49</f>
        <v>0</v>
      </c>
      <c r="G53" s="550">
        <f t="shared" si="4"/>
        <v>0</v>
      </c>
      <c r="H53" s="550"/>
      <c r="I53" s="550">
        <f>ROUND(F53*$E$58*-$E$65,0)</f>
        <v>0</v>
      </c>
    </row>
    <row r="54" spans="1:9">
      <c r="B54" s="204"/>
      <c r="C54" s="198"/>
      <c r="D54" s="198"/>
      <c r="E54" s="595">
        <f>SUM(E11:E53)</f>
        <v>405933</v>
      </c>
      <c r="F54" s="595">
        <f>SUM(F11:F53)</f>
        <v>-25685.787322274613</v>
      </c>
      <c r="G54" s="595">
        <f>SUM(G11:G53)</f>
        <v>380247.21267772542</v>
      </c>
      <c r="H54" s="251"/>
      <c r="I54" s="595">
        <f>SUM(I11:I53)</f>
        <v>379.82999999999993</v>
      </c>
    </row>
    <row r="55" spans="1:9">
      <c r="B55" s="204"/>
      <c r="C55" s="198"/>
      <c r="D55" s="198"/>
      <c r="E55" s="251"/>
      <c r="F55" s="252"/>
      <c r="G55" s="253"/>
      <c r="H55" s="250"/>
      <c r="I55" s="250"/>
    </row>
    <row r="56" spans="1:9">
      <c r="B56" s="204"/>
      <c r="C56" s="198"/>
      <c r="D56" s="198"/>
      <c r="E56" s="251"/>
      <c r="F56" s="252"/>
      <c r="G56" s="253"/>
      <c r="H56" s="250"/>
      <c r="I56" s="250"/>
    </row>
    <row r="57" spans="1:9" ht="5.25" customHeight="1">
      <c r="C57" s="198"/>
      <c r="D57" s="198"/>
      <c r="E57" s="251"/>
      <c r="F57" s="251"/>
      <c r="G57" s="251"/>
      <c r="H57" s="250"/>
      <c r="I57" s="250"/>
    </row>
    <row r="58" spans="1:9">
      <c r="B58" s="197" t="s">
        <v>122</v>
      </c>
      <c r="C58" s="198"/>
      <c r="D58" s="198"/>
      <c r="E58" s="259">
        <f>'RR SUMMARY'!N12</f>
        <v>2.4500000000000001E-2</v>
      </c>
      <c r="F58" s="259">
        <f>E58-I58</f>
        <v>2.4500000000000001E-2</v>
      </c>
      <c r="G58" s="259"/>
      <c r="H58" s="258"/>
      <c r="I58" s="259"/>
    </row>
    <row r="59" spans="1:9" ht="6" customHeight="1">
      <c r="C59" s="198"/>
      <c r="D59" s="198"/>
      <c r="E59" s="251"/>
      <c r="F59" s="251"/>
      <c r="G59" s="251"/>
      <c r="H59" s="250"/>
      <c r="I59" s="250"/>
    </row>
    <row r="60" spans="1:9">
      <c r="B60" s="197" t="s">
        <v>118</v>
      </c>
      <c r="C60" s="198"/>
      <c r="D60" s="198"/>
      <c r="E60" s="251">
        <f>E54*E58</f>
        <v>9945.3585000000003</v>
      </c>
      <c r="F60" s="251">
        <f>F54*F58</f>
        <v>-629.30178939572806</v>
      </c>
      <c r="G60" s="251">
        <f>SUM(E60:F60)</f>
        <v>9316.0567106042727</v>
      </c>
      <c r="H60" s="250"/>
      <c r="I60" s="251">
        <f>SUM(I11:I48)</f>
        <v>408.82999999999993</v>
      </c>
    </row>
    <row r="61" spans="1:9">
      <c r="C61" s="198"/>
      <c r="D61" s="198"/>
      <c r="E61" s="251"/>
      <c r="F61" s="251"/>
      <c r="G61" s="251"/>
      <c r="H61" s="250"/>
      <c r="I61" s="251"/>
    </row>
    <row r="62" spans="1:9">
      <c r="B62" s="197" t="s">
        <v>236</v>
      </c>
      <c r="C62" s="198"/>
      <c r="D62" s="198"/>
      <c r="E62" s="255">
        <v>11123</v>
      </c>
      <c r="F62" s="255"/>
      <c r="G62" s="254">
        <f>SUM(E62:F62)</f>
        <v>11123</v>
      </c>
      <c r="H62" s="250"/>
      <c r="I62" s="303"/>
    </row>
    <row r="63" spans="1:9" ht="5.25" customHeight="1">
      <c r="C63" s="198"/>
      <c r="D63" s="198"/>
      <c r="E63" s="251"/>
      <c r="F63" s="251"/>
      <c r="G63" s="251"/>
      <c r="H63" s="250"/>
      <c r="I63" s="304"/>
    </row>
    <row r="64" spans="1:9">
      <c r="B64" s="197" t="s">
        <v>119</v>
      </c>
      <c r="C64" s="198"/>
      <c r="D64" s="198"/>
      <c r="E64" s="251">
        <f>E60-E62</f>
        <v>-1177.6414999999997</v>
      </c>
      <c r="F64" s="251">
        <f>F60-F62</f>
        <v>-629.30178939572806</v>
      </c>
      <c r="G64" s="251">
        <f>SUM(E64:F64)</f>
        <v>-1806.9432893957278</v>
      </c>
      <c r="H64" s="250"/>
      <c r="I64" s="304"/>
    </row>
    <row r="65" spans="1:10" ht="18" customHeight="1">
      <c r="B65" s="197" t="s">
        <v>120</v>
      </c>
      <c r="D65" s="198"/>
      <c r="E65" s="257">
        <v>0.21</v>
      </c>
      <c r="F65" s="257">
        <v>0.21</v>
      </c>
      <c r="G65" s="257"/>
      <c r="H65" s="258"/>
      <c r="I65" s="257"/>
    </row>
    <row r="66" spans="1:10" ht="5.25" customHeight="1" thickBot="1">
      <c r="D66" s="198"/>
      <c r="E66" s="251"/>
      <c r="F66" s="251"/>
      <c r="G66" s="251"/>
      <c r="H66" s="250"/>
      <c r="I66" s="251"/>
    </row>
    <row r="67" spans="1:10" ht="13.5" thickBot="1">
      <c r="B67" s="197" t="s">
        <v>121</v>
      </c>
      <c r="D67" s="198"/>
      <c r="E67" s="309">
        <f>ROUND(E64*-E65,0)</f>
        <v>247</v>
      </c>
      <c r="F67" s="256">
        <f>ROUND(F64*-F65,0)</f>
        <v>132</v>
      </c>
      <c r="G67" s="256">
        <f>SUM(E67:F67)</f>
        <v>379</v>
      </c>
      <c r="H67" s="250"/>
      <c r="I67" s="256">
        <f>I60</f>
        <v>408.82999999999993</v>
      </c>
      <c r="J67" s="528" t="s">
        <v>419</v>
      </c>
    </row>
    <row r="68" spans="1:10">
      <c r="F68" s="206"/>
      <c r="J68" s="219">
        <f>I67-'ADJ DETAIL INPUT'!W53-'ADJ DETAIL INPUT'!AY54</f>
        <v>29.676624226897047</v>
      </c>
    </row>
    <row r="69" spans="1:10" hidden="1">
      <c r="A69" s="207" t="s">
        <v>211</v>
      </c>
      <c r="B69" s="208" t="s">
        <v>212</v>
      </c>
    </row>
    <row r="70" spans="1:10" hidden="1">
      <c r="B70" s="200" t="s">
        <v>213</v>
      </c>
    </row>
    <row r="71" spans="1:10" hidden="1">
      <c r="B71" s="197" t="s">
        <v>214</v>
      </c>
      <c r="C71" s="209">
        <v>2430</v>
      </c>
      <c r="H71" s="190" t="s">
        <v>215</v>
      </c>
    </row>
    <row r="72" spans="1:10" hidden="1">
      <c r="B72" s="197" t="s">
        <v>216</v>
      </c>
      <c r="C72" s="210">
        <v>2935</v>
      </c>
      <c r="H72" s="190" t="s">
        <v>215</v>
      </c>
    </row>
    <row r="73" spans="1:10" hidden="1">
      <c r="B73" s="197" t="s">
        <v>217</v>
      </c>
      <c r="C73" s="211">
        <f>C71+C72</f>
        <v>5365</v>
      </c>
    </row>
    <row r="74" spans="1:10" hidden="1">
      <c r="C74" s="205"/>
    </row>
    <row r="75" spans="1:10" hidden="1">
      <c r="C75" s="212"/>
      <c r="D75" s="195"/>
      <c r="E75" s="195" t="s">
        <v>218</v>
      </c>
    </row>
    <row r="76" spans="1:10" hidden="1">
      <c r="C76" s="202" t="s">
        <v>219</v>
      </c>
      <c r="D76" s="202" t="s">
        <v>220</v>
      </c>
      <c r="E76" s="202" t="s">
        <v>24</v>
      </c>
    </row>
    <row r="77" spans="1:10" hidden="1">
      <c r="B77" s="197" t="s">
        <v>221</v>
      </c>
      <c r="C77" s="213" t="e">
        <f>#REF!</f>
        <v>#REF!</v>
      </c>
      <c r="D77" s="214" t="e">
        <f>ROUND(C77/$C$80,4)</f>
        <v>#REF!</v>
      </c>
      <c r="E77" s="213" t="e">
        <f>D77*E80</f>
        <v>#REF!</v>
      </c>
      <c r="F77" s="215"/>
    </row>
    <row r="78" spans="1:10" hidden="1">
      <c r="B78" s="197" t="s">
        <v>222</v>
      </c>
      <c r="C78" s="216" t="e">
        <f>#REF!</f>
        <v>#REF!</v>
      </c>
      <c r="D78" s="214" t="e">
        <f>ROUND(C78/$C$80,4)</f>
        <v>#REF!</v>
      </c>
      <c r="E78" s="216" t="e">
        <f>D78*E80</f>
        <v>#REF!</v>
      </c>
    </row>
    <row r="79" spans="1:10" hidden="1">
      <c r="B79" s="197" t="s">
        <v>223</v>
      </c>
      <c r="C79" s="216" t="e">
        <f>#REF!</f>
        <v>#REF!</v>
      </c>
      <c r="D79" s="214" t="e">
        <f>ROUND(C79/$C$80,4)-0.0001</f>
        <v>#REF!</v>
      </c>
      <c r="E79" s="216" t="e">
        <f>E80*D79</f>
        <v>#REF!</v>
      </c>
    </row>
    <row r="80" spans="1:10" hidden="1">
      <c r="B80" s="197" t="s">
        <v>224</v>
      </c>
      <c r="C80" s="217" t="e">
        <f>C77+C78+C79</f>
        <v>#REF!</v>
      </c>
      <c r="D80" s="218" t="e">
        <f>D77+D78+D79</f>
        <v>#REF!</v>
      </c>
      <c r="E80" s="217">
        <f>C73</f>
        <v>5365</v>
      </c>
    </row>
    <row r="81" spans="1:6" hidden="1">
      <c r="C81" s="219"/>
      <c r="D81" s="219"/>
      <c r="E81" s="219"/>
    </row>
    <row r="82" spans="1:6" hidden="1">
      <c r="B82" s="197" t="s">
        <v>225</v>
      </c>
      <c r="C82" s="213" t="e">
        <f>#REF!</f>
        <v>#REF!</v>
      </c>
      <c r="D82" s="214" t="e">
        <f>C82/C84</f>
        <v>#REF!</v>
      </c>
      <c r="E82" s="213" t="e">
        <f>D82*E84</f>
        <v>#REF!</v>
      </c>
    </row>
    <row r="83" spans="1:6" hidden="1">
      <c r="B83" s="197" t="s">
        <v>226</v>
      </c>
      <c r="C83" s="219" t="e">
        <f>#REF!</f>
        <v>#REF!</v>
      </c>
      <c r="D83" s="214" t="e">
        <f>C83/C84</f>
        <v>#REF!</v>
      </c>
      <c r="E83" s="219" t="e">
        <f>D83*E84</f>
        <v>#REF!</v>
      </c>
    </row>
    <row r="84" spans="1:6" hidden="1">
      <c r="B84" s="197" t="s">
        <v>224</v>
      </c>
      <c r="C84" s="217" t="e">
        <f>C82+C83</f>
        <v>#REF!</v>
      </c>
      <c r="D84" s="218" t="e">
        <f>D82+D83</f>
        <v>#REF!</v>
      </c>
      <c r="E84" s="217" t="e">
        <f>E77</f>
        <v>#REF!</v>
      </c>
    </row>
    <row r="85" spans="1:6" hidden="1">
      <c r="C85" s="219"/>
      <c r="D85" s="219"/>
      <c r="E85" s="219"/>
    </row>
    <row r="86" spans="1:6" hidden="1">
      <c r="B86" s="197" t="s">
        <v>227</v>
      </c>
      <c r="C86" s="213" t="e">
        <f>#REF!</f>
        <v>#REF!</v>
      </c>
      <c r="D86" s="220" t="e">
        <f>C86/C88</f>
        <v>#REF!</v>
      </c>
      <c r="E86" s="213" t="e">
        <f>E88*D86</f>
        <v>#REF!</v>
      </c>
    </row>
    <row r="87" spans="1:6" hidden="1">
      <c r="B87" s="197" t="s">
        <v>228</v>
      </c>
      <c r="C87" s="219" t="e">
        <f>#REF!</f>
        <v>#REF!</v>
      </c>
      <c r="D87" s="221" t="e">
        <f>C87/C88</f>
        <v>#REF!</v>
      </c>
      <c r="E87" s="219" t="e">
        <f>E88*D87</f>
        <v>#REF!</v>
      </c>
    </row>
    <row r="88" spans="1:6" hidden="1">
      <c r="B88" s="197" t="s">
        <v>224</v>
      </c>
      <c r="C88" s="217" t="e">
        <f>SUM(C86:C87)</f>
        <v>#REF!</v>
      </c>
      <c r="D88" s="222" t="e">
        <f>SUM(D86:D87)</f>
        <v>#REF!</v>
      </c>
      <c r="E88" s="217" t="e">
        <f>E78</f>
        <v>#REF!</v>
      </c>
    </row>
    <row r="89" spans="1:6" hidden="1">
      <c r="A89" s="223" t="str">
        <f>A1</f>
        <v>AVISTA UTILITIES</v>
      </c>
      <c r="C89" s="224"/>
      <c r="D89" s="225"/>
      <c r="E89" s="224"/>
      <c r="F89" s="225"/>
    </row>
    <row r="90" spans="1:6" hidden="1">
      <c r="A90" s="223" t="str">
        <f>A2</f>
        <v>Restate Debt Interest</v>
      </c>
      <c r="C90" s="224"/>
      <c r="D90" s="225"/>
      <c r="E90" s="224"/>
      <c r="F90" s="225"/>
    </row>
    <row r="91" spans="1:6" hidden="1">
      <c r="A91" s="223" t="s">
        <v>229</v>
      </c>
      <c r="C91" s="224"/>
      <c r="D91" s="225"/>
      <c r="E91" s="224"/>
      <c r="F91" s="225"/>
    </row>
    <row r="92" spans="1:6" hidden="1">
      <c r="A92" s="226" t="str">
        <f>A4</f>
        <v>TWELVE MONTHS ENDED DECEMBER 31, 2019</v>
      </c>
      <c r="C92" s="193"/>
      <c r="D92" s="225"/>
      <c r="E92" s="193"/>
      <c r="F92" s="225"/>
    </row>
    <row r="93" spans="1:6" hidden="1">
      <c r="A93" s="227" t="s">
        <v>115</v>
      </c>
      <c r="C93" s="224"/>
      <c r="D93" s="225"/>
      <c r="E93" s="225"/>
      <c r="F93" s="225"/>
    </row>
    <row r="94" spans="1:6" hidden="1">
      <c r="C94" s="198"/>
      <c r="D94" s="198"/>
      <c r="E94" s="199"/>
      <c r="F94" s="195" t="s">
        <v>19</v>
      </c>
    </row>
    <row r="95" spans="1:6" hidden="1">
      <c r="B95" s="200" t="s">
        <v>116</v>
      </c>
      <c r="C95" s="198"/>
      <c r="D95" s="198"/>
      <c r="E95" s="199"/>
      <c r="F95" s="202" t="s">
        <v>117</v>
      </c>
    </row>
    <row r="96" spans="1:6" hidden="1">
      <c r="A96" s="196" t="e">
        <v>#REF!</v>
      </c>
      <c r="B96" s="197" t="e">
        <v>#REF!</v>
      </c>
      <c r="C96" s="198"/>
      <c r="D96" s="198"/>
      <c r="E96" s="205"/>
      <c r="F96" s="228" t="e">
        <v>#REF!</v>
      </c>
    </row>
    <row r="97" spans="1:6" hidden="1">
      <c r="A97" s="196" t="e">
        <v>#REF!</v>
      </c>
      <c r="B97" s="197" t="e">
        <v>#REF!</v>
      </c>
      <c r="C97" s="198"/>
      <c r="D97" s="198"/>
      <c r="E97" s="205"/>
      <c r="F97" s="228" t="e">
        <v>#REF!</v>
      </c>
    </row>
    <row r="98" spans="1:6" hidden="1">
      <c r="A98" s="196" t="e">
        <v>#REF!</v>
      </c>
      <c r="B98" s="197" t="e">
        <v>#REF!</v>
      </c>
      <c r="C98" s="198"/>
      <c r="D98" s="198"/>
      <c r="E98" s="205"/>
      <c r="F98" s="228" t="e">
        <v>#REF!</v>
      </c>
    </row>
    <row r="99" spans="1:6" hidden="1">
      <c r="A99" s="196" t="e">
        <v>#REF!</v>
      </c>
      <c r="B99" s="197" t="e">
        <v>#REF!</v>
      </c>
      <c r="C99" s="198"/>
      <c r="D99" s="198"/>
      <c r="E99" s="205"/>
      <c r="F99" s="228" t="e">
        <v>#REF!</v>
      </c>
    </row>
    <row r="100" spans="1:6" hidden="1">
      <c r="A100" s="196" t="e">
        <v>#REF!</v>
      </c>
      <c r="B100" s="197" t="e">
        <v>#REF!</v>
      </c>
      <c r="C100" s="198"/>
      <c r="D100" s="198"/>
      <c r="E100" s="205"/>
      <c r="F100" s="228" t="e">
        <v>#REF!</v>
      </c>
    </row>
    <row r="101" spans="1:6" hidden="1">
      <c r="A101" s="196" t="e">
        <v>#REF!</v>
      </c>
      <c r="B101" s="197" t="e">
        <v>#REF!</v>
      </c>
      <c r="C101" s="198"/>
      <c r="D101" s="198"/>
      <c r="E101" s="205"/>
      <c r="F101" s="228" t="e">
        <v>#REF!</v>
      </c>
    </row>
    <row r="102" spans="1:6" hidden="1">
      <c r="A102" s="196" t="e">
        <v>#REF!</v>
      </c>
      <c r="B102" s="197" t="e">
        <v>#REF!</v>
      </c>
      <c r="C102" s="198"/>
      <c r="D102" s="198"/>
      <c r="E102" s="205"/>
      <c r="F102" s="228" t="e">
        <v>#REF!</v>
      </c>
    </row>
    <row r="103" spans="1:6" hidden="1">
      <c r="A103" s="196" t="e">
        <v>#REF!</v>
      </c>
      <c r="B103" s="197" t="e">
        <v>#REF!</v>
      </c>
      <c r="C103" s="198"/>
      <c r="D103" s="198"/>
      <c r="E103" s="205"/>
      <c r="F103" s="228" t="e">
        <v>#REF!</v>
      </c>
    </row>
    <row r="104" spans="1:6" hidden="1">
      <c r="A104" s="196" t="e">
        <v>#REF!</v>
      </c>
      <c r="B104" s="197" t="e">
        <v>#REF!</v>
      </c>
      <c r="C104" s="198"/>
      <c r="D104" s="198"/>
      <c r="E104" s="205"/>
      <c r="F104" s="228" t="e">
        <v>#REF!</v>
      </c>
    </row>
    <row r="105" spans="1:6" hidden="1">
      <c r="A105" s="196" t="e">
        <v>#REF!</v>
      </c>
      <c r="B105" s="197" t="e">
        <v>#REF!</v>
      </c>
      <c r="C105" s="198"/>
      <c r="D105" s="198"/>
      <c r="E105" s="205"/>
      <c r="F105" s="228" t="e">
        <v>#REF!</v>
      </c>
    </row>
    <row r="106" spans="1:6" hidden="1">
      <c r="A106" s="196" t="e">
        <v>#REF!</v>
      </c>
      <c r="B106" s="197" t="e">
        <v>#REF!</v>
      </c>
      <c r="C106" s="198"/>
      <c r="D106" s="198"/>
      <c r="E106" s="205"/>
      <c r="F106" s="228" t="e">
        <v>#REF!</v>
      </c>
    </row>
    <row r="107" spans="1:6" hidden="1">
      <c r="A107" s="196" t="e">
        <v>#REF!</v>
      </c>
      <c r="B107" s="197" t="e">
        <v>#REF!</v>
      </c>
      <c r="C107" s="198"/>
      <c r="D107" s="198"/>
      <c r="E107" s="205"/>
      <c r="F107" s="228" t="e">
        <v>#REF!</v>
      </c>
    </row>
    <row r="108" spans="1:6" hidden="1">
      <c r="A108" s="196" t="e">
        <v>#REF!</v>
      </c>
      <c r="B108" s="197" t="e">
        <v>#REF!</v>
      </c>
      <c r="C108" s="198"/>
      <c r="D108" s="198"/>
      <c r="E108" s="205"/>
      <c r="F108" s="228" t="e">
        <v>#REF!</v>
      </c>
    </row>
    <row r="109" spans="1:6" hidden="1">
      <c r="A109" s="196" t="e">
        <v>#REF!</v>
      </c>
      <c r="B109" s="197" t="e">
        <v>#REF!</v>
      </c>
      <c r="C109" s="198"/>
      <c r="D109" s="198"/>
      <c r="E109" s="205"/>
      <c r="F109" s="228" t="e">
        <v>#REF!</v>
      </c>
    </row>
    <row r="110" spans="1:6" hidden="1">
      <c r="A110" s="196" t="e">
        <v>#REF!</v>
      </c>
      <c r="B110" s="197" t="e">
        <v>#REF!</v>
      </c>
      <c r="C110" s="198"/>
      <c r="D110" s="198"/>
      <c r="E110" s="205"/>
      <c r="F110" s="228" t="e">
        <v>#REF!</v>
      </c>
    </row>
    <row r="111" spans="1:6" hidden="1">
      <c r="A111" s="196" t="e">
        <v>#REF!</v>
      </c>
      <c r="B111" s="197" t="e">
        <v>#REF!</v>
      </c>
      <c r="C111" s="198"/>
      <c r="D111" s="198"/>
      <c r="E111" s="205"/>
      <c r="F111" s="228" t="e">
        <v>#REF!</v>
      </c>
    </row>
    <row r="112" spans="1:6" hidden="1">
      <c r="A112" s="196" t="e">
        <v>#REF!</v>
      </c>
      <c r="B112" s="197" t="e">
        <v>#REF!</v>
      </c>
      <c r="C112" s="198"/>
      <c r="D112" s="198"/>
      <c r="E112" s="205"/>
      <c r="F112" s="228" t="e">
        <v>#REF!</v>
      </c>
    </row>
    <row r="113" spans="1:6" hidden="1">
      <c r="A113" s="196" t="e">
        <v>#REF!</v>
      </c>
      <c r="B113" s="197" t="e">
        <v>#REF!</v>
      </c>
      <c r="C113" s="198"/>
      <c r="D113" s="198"/>
      <c r="E113" s="205"/>
      <c r="F113" s="228" t="e">
        <v>#REF!</v>
      </c>
    </row>
    <row r="114" spans="1:6" hidden="1">
      <c r="A114" s="196" t="e">
        <v>#REF!</v>
      </c>
      <c r="B114" s="197" t="e">
        <v>#REF!</v>
      </c>
      <c r="C114" s="198"/>
      <c r="D114" s="198"/>
      <c r="E114" s="205"/>
      <c r="F114" s="228" t="e">
        <v>#REF!</v>
      </c>
    </row>
    <row r="115" spans="1:6" hidden="1">
      <c r="A115" s="196" t="e">
        <v>#REF!</v>
      </c>
      <c r="B115" s="197" t="e">
        <v>#REF!</v>
      </c>
      <c r="C115" s="198"/>
      <c r="D115" s="198"/>
      <c r="E115" s="205"/>
      <c r="F115" s="228" t="e">
        <v>#REF!</v>
      </c>
    </row>
    <row r="116" spans="1:6" hidden="1">
      <c r="A116" s="196" t="e">
        <v>#REF!</v>
      </c>
      <c r="B116" s="197" t="e">
        <v>#REF!</v>
      </c>
      <c r="C116" s="198"/>
      <c r="D116" s="198"/>
      <c r="E116" s="205"/>
      <c r="F116" s="228" t="e">
        <v>#REF!</v>
      </c>
    </row>
    <row r="117" spans="1:6" ht="5.25" hidden="1" customHeight="1">
      <c r="C117" s="198"/>
      <c r="D117" s="198"/>
      <c r="E117" s="205"/>
      <c r="F117" s="228"/>
    </row>
    <row r="118" spans="1:6" ht="13.5" hidden="1" customHeight="1">
      <c r="A118" s="196" t="e">
        <v>#REF!</v>
      </c>
      <c r="B118" s="197" t="e">
        <v>#REF!</v>
      </c>
      <c r="C118" s="198"/>
      <c r="D118" s="198"/>
      <c r="E118" s="205"/>
      <c r="F118" s="228" t="e">
        <v>#REF!</v>
      </c>
    </row>
    <row r="119" spans="1:6" hidden="1">
      <c r="A119" s="196" t="e">
        <v>#REF!</v>
      </c>
      <c r="B119" s="197" t="e">
        <v>#REF!</v>
      </c>
      <c r="C119" s="198"/>
      <c r="D119" s="198"/>
      <c r="E119" s="205"/>
      <c r="F119" s="228" t="e">
        <v>#REF!</v>
      </c>
    </row>
    <row r="120" spans="1:6" hidden="1">
      <c r="A120" s="196" t="e">
        <v>#REF!</v>
      </c>
      <c r="B120" s="197" t="e">
        <v>#REF!</v>
      </c>
      <c r="C120" s="198"/>
      <c r="D120" s="198"/>
      <c r="E120" s="205"/>
      <c r="F120" s="228" t="e">
        <v>#REF!</v>
      </c>
    </row>
    <row r="121" spans="1:6" hidden="1">
      <c r="A121" s="196" t="e">
        <v>#REF!</v>
      </c>
      <c r="B121" s="197" t="e">
        <v>#REF!</v>
      </c>
      <c r="C121" s="198"/>
      <c r="D121" s="198"/>
      <c r="E121" s="205"/>
      <c r="F121" s="228" t="e">
        <v>#REF!</v>
      </c>
    </row>
    <row r="122" spans="1:6" hidden="1">
      <c r="A122" s="196" t="e">
        <v>#REF!</v>
      </c>
      <c r="B122" s="197" t="e">
        <v>#REF!</v>
      </c>
      <c r="C122" s="198"/>
      <c r="D122" s="198"/>
      <c r="E122" s="205"/>
      <c r="F122" s="228" t="e">
        <v>#REF!</v>
      </c>
    </row>
    <row r="123" spans="1:6" hidden="1">
      <c r="A123" s="196" t="e">
        <v>#REF!</v>
      </c>
      <c r="B123" s="197" t="e">
        <v>#REF!</v>
      </c>
      <c r="C123" s="198"/>
      <c r="D123" s="198"/>
      <c r="E123" s="205"/>
      <c r="F123" s="228" t="e">
        <v>#REF!</v>
      </c>
    </row>
    <row r="124" spans="1:6" hidden="1">
      <c r="A124" s="196" t="e">
        <v>#REF!</v>
      </c>
      <c r="B124" s="197" t="e">
        <v>#REF!</v>
      </c>
      <c r="C124" s="198"/>
      <c r="D124" s="198"/>
      <c r="E124" s="205"/>
      <c r="F124" s="228" t="e">
        <v>#REF!</v>
      </c>
    </row>
    <row r="125" spans="1:6" hidden="1">
      <c r="A125" s="196" t="e">
        <v>#REF!</v>
      </c>
      <c r="B125" s="197" t="e">
        <v>#REF!</v>
      </c>
      <c r="C125" s="198"/>
      <c r="D125" s="198"/>
      <c r="E125" s="205"/>
      <c r="F125" s="228" t="e">
        <v>#REF!</v>
      </c>
    </row>
    <row r="126" spans="1:6" hidden="1">
      <c r="A126" s="196" t="e">
        <v>#REF!</v>
      </c>
      <c r="B126" s="197" t="e">
        <v>#REF!</v>
      </c>
      <c r="C126" s="198"/>
      <c r="D126" s="198"/>
      <c r="E126" s="205"/>
      <c r="F126" s="228" t="e">
        <v>#REF!</v>
      </c>
    </row>
    <row r="127" spans="1:6" hidden="1">
      <c r="A127" s="196" t="e">
        <v>#REF!</v>
      </c>
      <c r="B127" s="197" t="e">
        <v>#REF!</v>
      </c>
      <c r="C127" s="198"/>
      <c r="D127" s="198"/>
      <c r="E127" s="205"/>
      <c r="F127" s="228" t="e">
        <v>#REF!</v>
      </c>
    </row>
    <row r="128" spans="1:6" hidden="1">
      <c r="A128" s="196" t="e">
        <v>#REF!</v>
      </c>
      <c r="B128" s="197" t="e">
        <v>#REF!</v>
      </c>
      <c r="C128" s="198"/>
      <c r="D128" s="198"/>
      <c r="E128" s="205"/>
      <c r="F128" s="228" t="e">
        <v>#REF!</v>
      </c>
    </row>
    <row r="129" spans="1:9" hidden="1">
      <c r="A129" s="196" t="e">
        <v>#REF!</v>
      </c>
      <c r="B129" s="197" t="e">
        <v>#REF!</v>
      </c>
      <c r="C129" s="198"/>
      <c r="D129" s="198"/>
      <c r="E129" s="205"/>
      <c r="F129" s="228" t="e">
        <v>#REF!</v>
      </c>
    </row>
    <row r="130" spans="1:9" hidden="1">
      <c r="A130" s="196" t="e">
        <v>#REF!</v>
      </c>
      <c r="B130" s="197" t="e">
        <v>#REF!</v>
      </c>
      <c r="C130" s="198"/>
      <c r="D130" s="198"/>
      <c r="E130" s="205"/>
      <c r="F130" s="228" t="e">
        <v>#REF!</v>
      </c>
    </row>
    <row r="131" spans="1:9" hidden="1">
      <c r="A131" s="196" t="e">
        <v>#REF!</v>
      </c>
      <c r="B131" s="197" t="e">
        <v>#REF!</v>
      </c>
      <c r="C131" s="198"/>
      <c r="D131" s="198"/>
      <c r="E131" s="205"/>
      <c r="F131" s="228" t="e">
        <v>#REF!</v>
      </c>
    </row>
    <row r="132" spans="1:9" ht="13.5" hidden="1" customHeight="1">
      <c r="A132" s="196" t="e">
        <v>#REF!</v>
      </c>
      <c r="B132" s="197" t="e">
        <v>#REF!</v>
      </c>
      <c r="C132" s="198"/>
      <c r="D132" s="198"/>
      <c r="E132" s="205"/>
      <c r="F132" s="228" t="e">
        <v>#REF!</v>
      </c>
    </row>
    <row r="133" spans="1:9" ht="0.75" hidden="1" customHeight="1">
      <c r="A133" s="196" t="e">
        <v>#REF!</v>
      </c>
      <c r="B133" s="197" t="e">
        <v>#REF!</v>
      </c>
      <c r="C133" s="198"/>
      <c r="D133" s="198"/>
      <c r="E133" s="205"/>
      <c r="F133" s="228" t="e">
        <v>#REF!</v>
      </c>
    </row>
    <row r="134" spans="1:9" ht="13.5" hidden="1" customHeight="1">
      <c r="B134" s="197" t="s">
        <v>230</v>
      </c>
      <c r="C134" s="198"/>
      <c r="D134" s="198"/>
      <c r="E134" s="205"/>
      <c r="F134" s="211" t="e">
        <f>SUM(F96:F133)</f>
        <v>#REF!</v>
      </c>
    </row>
    <row r="135" spans="1:9" hidden="1">
      <c r="C135" s="198"/>
      <c r="D135" s="198"/>
      <c r="E135" s="198"/>
      <c r="F135" s="190"/>
      <c r="G135" s="229"/>
    </row>
    <row r="136" spans="1:9" hidden="1">
      <c r="B136" s="197" t="str">
        <f>B58</f>
        <v>Weighted Average Cost of Debt</v>
      </c>
      <c r="C136" s="230"/>
      <c r="D136" s="230"/>
      <c r="E136" s="231"/>
      <c r="F136" s="232" t="e">
        <v>#REF!</v>
      </c>
      <c r="H136" s="233" t="s">
        <v>231</v>
      </c>
      <c r="I136" s="219"/>
    </row>
    <row r="137" spans="1:9" hidden="1">
      <c r="C137" s="198"/>
      <c r="D137" s="198"/>
      <c r="F137" s="190"/>
    </row>
    <row r="138" spans="1:9" hidden="1">
      <c r="B138" s="197" t="s">
        <v>118</v>
      </c>
      <c r="C138" s="198"/>
      <c r="D138" s="198"/>
      <c r="E138" s="205"/>
      <c r="F138" s="205" t="e">
        <f>F134*F136</f>
        <v>#REF!</v>
      </c>
    </row>
    <row r="139" spans="1:9" hidden="1">
      <c r="C139" s="198"/>
      <c r="D139" s="198"/>
      <c r="E139" s="198"/>
      <c r="F139" s="190"/>
    </row>
    <row r="140" spans="1:9" hidden="1">
      <c r="B140" s="197" t="s">
        <v>232</v>
      </c>
      <c r="C140" s="198"/>
      <c r="D140" s="198"/>
      <c r="F140" s="234">
        <v>21469</v>
      </c>
      <c r="H140" s="235" t="s">
        <v>233</v>
      </c>
    </row>
    <row r="141" spans="1:9" hidden="1">
      <c r="C141" s="198"/>
      <c r="D141" s="198"/>
      <c r="E141" s="198"/>
      <c r="F141" s="190"/>
    </row>
    <row r="142" spans="1:9" hidden="1">
      <c r="B142" s="197" t="s">
        <v>119</v>
      </c>
      <c r="C142" s="198"/>
      <c r="D142" s="198"/>
      <c r="E142" s="205"/>
      <c r="F142" s="205" t="e">
        <f>F138-F140</f>
        <v>#REF!</v>
      </c>
    </row>
    <row r="143" spans="1:9" hidden="1">
      <c r="B143" s="197" t="s">
        <v>120</v>
      </c>
      <c r="D143" s="198"/>
      <c r="E143" s="236"/>
      <c r="F143" s="237">
        <v>0.35</v>
      </c>
    </row>
    <row r="144" spans="1:9" hidden="1">
      <c r="D144" s="198"/>
      <c r="E144" s="198"/>
      <c r="F144" s="190"/>
    </row>
    <row r="145" spans="1:7" hidden="1">
      <c r="B145" s="197" t="s">
        <v>121</v>
      </c>
      <c r="D145" s="198"/>
      <c r="E145" s="205"/>
      <c r="F145" s="205" t="e">
        <f>F142*-F143</f>
        <v>#REF!</v>
      </c>
      <c r="G145" s="205"/>
    </row>
    <row r="146" spans="1:7" ht="13.5" hidden="1" thickTop="1">
      <c r="D146" s="198"/>
      <c r="E146" s="205"/>
      <c r="F146" s="238"/>
    </row>
    <row r="147" spans="1:7" hidden="1">
      <c r="A147" s="239"/>
      <c r="F147" s="190"/>
    </row>
    <row r="148" spans="1:7" hidden="1">
      <c r="A148" s="239"/>
      <c r="B148" s="200" t="s">
        <v>213</v>
      </c>
      <c r="F148" s="190"/>
    </row>
    <row r="149" spans="1:7" hidden="1">
      <c r="A149" s="239"/>
      <c r="B149" s="197" t="s">
        <v>214</v>
      </c>
      <c r="C149" s="205">
        <f>C71</f>
        <v>2430</v>
      </c>
      <c r="F149" s="190"/>
    </row>
    <row r="150" spans="1:7" hidden="1">
      <c r="A150" s="239"/>
      <c r="B150" s="197" t="s">
        <v>216</v>
      </c>
      <c r="C150" s="190">
        <f>C72</f>
        <v>2935</v>
      </c>
      <c r="F150" s="190"/>
    </row>
    <row r="151" spans="1:7" hidden="1">
      <c r="A151" s="239"/>
      <c r="B151" s="197" t="s">
        <v>217</v>
      </c>
      <c r="C151" s="211">
        <f>C149+C150</f>
        <v>5365</v>
      </c>
      <c r="F151" s="190"/>
    </row>
    <row r="152" spans="1:7" hidden="1">
      <c r="A152" s="239"/>
      <c r="C152" s="205"/>
      <c r="F152" s="190"/>
    </row>
    <row r="153" spans="1:7" hidden="1">
      <c r="A153" s="239"/>
      <c r="C153" s="212"/>
      <c r="D153" s="195"/>
      <c r="E153" s="195" t="s">
        <v>218</v>
      </c>
      <c r="F153" s="190"/>
    </row>
    <row r="154" spans="1:7" hidden="1">
      <c r="A154" s="239"/>
      <c r="C154" s="202" t="s">
        <v>219</v>
      </c>
      <c r="D154" s="202" t="s">
        <v>220</v>
      </c>
      <c r="E154" s="202" t="s">
        <v>24</v>
      </c>
      <c r="F154" s="190"/>
    </row>
    <row r="155" spans="1:7" hidden="1">
      <c r="A155" s="239"/>
      <c r="B155" s="197" t="s">
        <v>221</v>
      </c>
      <c r="C155" s="205" t="e">
        <f>$C$77</f>
        <v>#REF!</v>
      </c>
      <c r="D155" s="240" t="e">
        <f>C155/C158</f>
        <v>#REF!</v>
      </c>
      <c r="E155" s="205" t="e">
        <f>D155*E158</f>
        <v>#REF!</v>
      </c>
      <c r="F155" s="190"/>
    </row>
    <row r="156" spans="1:7" hidden="1">
      <c r="A156" s="239"/>
      <c r="B156" s="197" t="s">
        <v>222</v>
      </c>
      <c r="C156" s="190" t="e">
        <f>$C$78</f>
        <v>#REF!</v>
      </c>
      <c r="D156" s="241" t="e">
        <f>C156/C158</f>
        <v>#REF!</v>
      </c>
      <c r="E156" s="242" t="e">
        <f>D156*E158</f>
        <v>#REF!</v>
      </c>
      <c r="F156" s="190"/>
    </row>
    <row r="157" spans="1:7" hidden="1">
      <c r="A157" s="239"/>
      <c r="B157" s="197" t="s">
        <v>223</v>
      </c>
      <c r="C157" s="190" t="e">
        <f>$C$79</f>
        <v>#REF!</v>
      </c>
      <c r="D157" s="241" t="e">
        <f>C157/C158</f>
        <v>#REF!</v>
      </c>
      <c r="E157" s="242" t="e">
        <f>E158*D157</f>
        <v>#REF!</v>
      </c>
      <c r="F157" s="190"/>
    </row>
    <row r="158" spans="1:7" hidden="1">
      <c r="A158" s="239"/>
      <c r="B158" s="197" t="s">
        <v>224</v>
      </c>
      <c r="C158" s="211" t="e">
        <f>C155+C156+C157</f>
        <v>#REF!</v>
      </c>
      <c r="D158" s="243" t="e">
        <f>D155+D156+D157</f>
        <v>#REF!</v>
      </c>
      <c r="E158" s="211">
        <f>C151</f>
        <v>5365</v>
      </c>
      <c r="F158" s="190"/>
    </row>
    <row r="159" spans="1:7" hidden="1">
      <c r="A159" s="239"/>
      <c r="F159" s="190"/>
    </row>
    <row r="160" spans="1:7" hidden="1">
      <c r="A160" s="239"/>
      <c r="B160" s="197" t="s">
        <v>225</v>
      </c>
      <c r="C160" s="205" t="e">
        <f>$C$82</f>
        <v>#REF!</v>
      </c>
      <c r="D160" s="240" t="e">
        <f>C160/C162</f>
        <v>#REF!</v>
      </c>
      <c r="E160" s="205" t="e">
        <f>D160*E162</f>
        <v>#REF!</v>
      </c>
      <c r="F160" s="190"/>
    </row>
    <row r="161" spans="1:6" hidden="1">
      <c r="A161" s="239"/>
      <c r="B161" s="197" t="s">
        <v>226</v>
      </c>
      <c r="C161" s="190" t="e">
        <f>$C$83</f>
        <v>#REF!</v>
      </c>
      <c r="D161" s="240" t="e">
        <f>C161/C162</f>
        <v>#REF!</v>
      </c>
      <c r="E161" s="190" t="e">
        <f>D161*E162</f>
        <v>#REF!</v>
      </c>
      <c r="F161" s="190"/>
    </row>
    <row r="162" spans="1:6" hidden="1">
      <c r="A162" s="239"/>
      <c r="B162" s="197" t="s">
        <v>224</v>
      </c>
      <c r="C162" s="211" t="e">
        <f>C160+C161</f>
        <v>#REF!</v>
      </c>
      <c r="D162" s="243" t="e">
        <f>D160+D161</f>
        <v>#REF!</v>
      </c>
      <c r="E162" s="211" t="e">
        <f>E155</f>
        <v>#REF!</v>
      </c>
      <c r="F162" s="190"/>
    </row>
    <row r="163" spans="1:6" hidden="1">
      <c r="A163" s="239"/>
      <c r="F163" s="190"/>
    </row>
    <row r="164" spans="1:6" hidden="1">
      <c r="A164" s="239"/>
      <c r="B164" s="197" t="s">
        <v>227</v>
      </c>
      <c r="C164" s="205" t="e">
        <f>$C$86</f>
        <v>#REF!</v>
      </c>
      <c r="D164" s="244" t="e">
        <f>C164/C166</f>
        <v>#REF!</v>
      </c>
      <c r="E164" s="205" t="e">
        <f>E166*D164</f>
        <v>#REF!</v>
      </c>
      <c r="F164" s="190"/>
    </row>
    <row r="165" spans="1:6" hidden="1">
      <c r="A165" s="239"/>
      <c r="B165" s="197" t="s">
        <v>228</v>
      </c>
      <c r="C165" s="190" t="e">
        <f>C$87</f>
        <v>#REF!</v>
      </c>
      <c r="D165" s="245" t="e">
        <f>C165/C166</f>
        <v>#REF!</v>
      </c>
      <c r="E165" s="190" t="e">
        <f>E166*D165</f>
        <v>#REF!</v>
      </c>
      <c r="F165" s="190"/>
    </row>
    <row r="166" spans="1:6" hidden="1">
      <c r="A166" s="239"/>
      <c r="B166" s="197" t="s">
        <v>224</v>
      </c>
      <c r="C166" s="211" t="e">
        <f>SUM(C164:C165)</f>
        <v>#REF!</v>
      </c>
      <c r="D166" s="246" t="e">
        <f>SUM(D164:D165)</f>
        <v>#REF!</v>
      </c>
      <c r="E166" s="211" t="e">
        <f>E156</f>
        <v>#REF!</v>
      </c>
      <c r="F166" s="190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3" workbookViewId="0">
      <selection activeCell="A4" sqref="A4"/>
    </sheetView>
  </sheetViews>
  <sheetFormatPr defaultColWidth="9.140625" defaultRowHeight="11.25" customHeight="1"/>
  <cols>
    <col min="1" max="1" width="8.42578125" style="372" customWidth="1"/>
    <col min="2" max="2" width="26.140625" style="372" customWidth="1"/>
    <col min="3" max="3" width="12.42578125" style="372" customWidth="1"/>
    <col min="4" max="4" width="6.5703125" style="372" customWidth="1"/>
    <col min="5" max="5" width="12.42578125" style="603" customWidth="1"/>
    <col min="6" max="6" width="12.42578125" style="604" customWidth="1"/>
    <col min="7" max="7" width="12.42578125" style="603" customWidth="1"/>
    <col min="8" max="8" width="12.85546875" style="372" bestFit="1" customWidth="1"/>
    <col min="9" max="9" width="12.140625" style="372" bestFit="1" customWidth="1"/>
    <col min="10" max="15" width="9.140625" style="372"/>
    <col min="16" max="16384" width="9.140625" style="8"/>
  </cols>
  <sheetData>
    <row r="1" spans="1:8" ht="16.5" customHeight="1">
      <c r="F1" s="316"/>
    </row>
    <row r="2" spans="1:8" ht="4.5" customHeight="1"/>
    <row r="3" spans="1:8" ht="12">
      <c r="A3" s="846" t="s">
        <v>631</v>
      </c>
      <c r="B3" s="846"/>
      <c r="C3" s="846"/>
      <c r="E3" s="605"/>
      <c r="F3" s="606"/>
      <c r="G3" s="605"/>
    </row>
    <row r="4" spans="1:8" ht="12">
      <c r="A4" s="607" t="s">
        <v>200</v>
      </c>
      <c r="B4" s="607"/>
      <c r="C4" s="607"/>
      <c r="E4" s="608" t="s">
        <v>76</v>
      </c>
      <c r="F4" s="608"/>
      <c r="G4" s="608"/>
    </row>
    <row r="5" spans="1:8" ht="12">
      <c r="A5" s="846" t="s">
        <v>527</v>
      </c>
      <c r="B5" s="846"/>
      <c r="C5" s="846"/>
      <c r="E5" s="608" t="s">
        <v>77</v>
      </c>
      <c r="F5" s="608"/>
      <c r="G5" s="608"/>
    </row>
    <row r="6" spans="1:8" ht="12">
      <c r="A6" s="607" t="s">
        <v>78</v>
      </c>
      <c r="B6" s="607"/>
      <c r="C6" s="607"/>
      <c r="E6" s="609"/>
      <c r="F6" s="610" t="s">
        <v>79</v>
      </c>
      <c r="G6" s="609"/>
    </row>
    <row r="7" spans="1:8" ht="12">
      <c r="A7" s="601" t="s">
        <v>7</v>
      </c>
      <c r="E7" s="605"/>
      <c r="F7" s="611"/>
      <c r="G7" s="605"/>
    </row>
    <row r="8" spans="1:8" ht="12">
      <c r="A8" s="612" t="s">
        <v>16</v>
      </c>
      <c r="B8" s="613" t="s">
        <v>71</v>
      </c>
      <c r="C8" s="613"/>
      <c r="E8" s="614" t="s">
        <v>80</v>
      </c>
      <c r="F8" s="615" t="s">
        <v>81</v>
      </c>
      <c r="G8" s="614" t="s">
        <v>82</v>
      </c>
      <c r="H8" s="9" t="s">
        <v>83</v>
      </c>
    </row>
    <row r="9" spans="1:8" ht="12">
      <c r="A9" s="601"/>
      <c r="B9" s="372" t="s">
        <v>32</v>
      </c>
      <c r="E9" s="616"/>
      <c r="F9" s="611"/>
      <c r="G9" s="616"/>
    </row>
    <row r="10" spans="1:8" ht="12">
      <c r="A10" s="601"/>
      <c r="B10" s="120"/>
      <c r="E10" s="73"/>
      <c r="F10" s="617"/>
      <c r="G10" s="617"/>
    </row>
    <row r="11" spans="1:8" ht="12">
      <c r="A11" s="601"/>
      <c r="B11" s="120"/>
      <c r="E11" s="73"/>
      <c r="F11" s="617"/>
      <c r="G11" s="617"/>
    </row>
    <row r="12" spans="1:8" ht="12">
      <c r="A12" s="601"/>
      <c r="E12" s="616"/>
      <c r="F12" s="611"/>
      <c r="G12" s="611"/>
    </row>
    <row r="13" spans="1:8" ht="5.25" customHeight="1">
      <c r="A13" s="601"/>
      <c r="E13" s="616"/>
      <c r="F13" s="611"/>
      <c r="G13" s="611"/>
    </row>
    <row r="14" spans="1:8" ht="12">
      <c r="A14" s="601"/>
      <c r="E14" s="616"/>
      <c r="F14" s="611"/>
      <c r="G14" s="611"/>
    </row>
    <row r="15" spans="1:8" ht="12">
      <c r="A15" s="601">
        <v>1</v>
      </c>
      <c r="B15" s="372" t="s">
        <v>84</v>
      </c>
      <c r="E15" s="23">
        <f>F15+G15</f>
        <v>142552</v>
      </c>
      <c r="F15" s="429">
        <f>F94</f>
        <v>142552</v>
      </c>
      <c r="G15" s="429">
        <f>G94</f>
        <v>0</v>
      </c>
      <c r="H15" s="618" t="str">
        <f>IF(E15=F15+G15," ","ERROR")</f>
        <v xml:space="preserve"> </v>
      </c>
    </row>
    <row r="16" spans="1:8" ht="12">
      <c r="A16" s="601">
        <v>2</v>
      </c>
      <c r="B16" s="372" t="s">
        <v>85</v>
      </c>
      <c r="E16" s="10">
        <f>F16+G16</f>
        <v>5183</v>
      </c>
      <c r="F16" s="619">
        <f>F99</f>
        <v>5183</v>
      </c>
      <c r="G16" s="619">
        <f>G99</f>
        <v>0</v>
      </c>
      <c r="H16" s="618" t="str">
        <f>IF(E16=F16+G16," ","ERROR")</f>
        <v xml:space="preserve"> </v>
      </c>
    </row>
    <row r="17" spans="1:8" ht="12">
      <c r="A17" s="601">
        <v>3</v>
      </c>
      <c r="B17" s="372" t="s">
        <v>35</v>
      </c>
      <c r="E17" s="620">
        <f>F17+G17</f>
        <v>60090</v>
      </c>
      <c r="F17" s="621">
        <f>F104-F99-1</f>
        <v>60090</v>
      </c>
      <c r="G17" s="621">
        <f>G104-G99</f>
        <v>0</v>
      </c>
      <c r="H17" s="618" t="str">
        <f>IF(E17=F17+G17," ","ERROR")</f>
        <v xml:space="preserve"> </v>
      </c>
    </row>
    <row r="18" spans="1:8" ht="12">
      <c r="A18" s="601">
        <v>4</v>
      </c>
      <c r="B18" s="372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618" t="str">
        <f>IF(E18=F18+G18," ","ERROR")</f>
        <v xml:space="preserve"> </v>
      </c>
    </row>
    <row r="19" spans="1:8" ht="12">
      <c r="A19" s="601"/>
      <c r="E19" s="10"/>
      <c r="F19" s="10"/>
      <c r="G19" s="10"/>
      <c r="H19" s="618"/>
    </row>
    <row r="20" spans="1:8" ht="12">
      <c r="A20" s="601"/>
      <c r="B20" s="372" t="s">
        <v>37</v>
      </c>
      <c r="E20" s="10"/>
      <c r="F20" s="10"/>
      <c r="G20" s="10"/>
      <c r="H20" s="618"/>
    </row>
    <row r="21" spans="1:8" ht="12">
      <c r="A21" s="601"/>
      <c r="B21" s="372" t="s">
        <v>203</v>
      </c>
      <c r="E21" s="10"/>
      <c r="F21" s="619"/>
      <c r="G21" s="619"/>
      <c r="H21" s="622" t="str">
        <f>IF(E21=F21+G21," ","ERROR")</f>
        <v xml:space="preserve"> </v>
      </c>
    </row>
    <row r="22" spans="1:8" ht="12">
      <c r="A22" s="601">
        <v>5</v>
      </c>
      <c r="B22" s="372" t="s">
        <v>87</v>
      </c>
      <c r="E22" s="10">
        <f>F22+G22</f>
        <v>100541</v>
      </c>
      <c r="F22" s="619">
        <f>F108</f>
        <v>100541</v>
      </c>
      <c r="G22" s="619">
        <f>G108</f>
        <v>0</v>
      </c>
      <c r="H22" s="618" t="str">
        <f>IF(E22=F22+G22," ","ERROR")</f>
        <v xml:space="preserve"> </v>
      </c>
    </row>
    <row r="23" spans="1:8" ht="12">
      <c r="A23" s="601">
        <v>6</v>
      </c>
      <c r="B23" s="372" t="s">
        <v>88</v>
      </c>
      <c r="E23" s="10">
        <f>F23+G23</f>
        <v>959</v>
      </c>
      <c r="F23" s="619">
        <f>F111+F112+1</f>
        <v>959</v>
      </c>
      <c r="G23" s="619">
        <f>G110+G111+G112</f>
        <v>0</v>
      </c>
      <c r="H23" s="618" t="str">
        <f>IF(E23=F23+G23," ","ERROR")</f>
        <v xml:space="preserve"> </v>
      </c>
    </row>
    <row r="24" spans="1:8" ht="12">
      <c r="A24" s="601">
        <v>7</v>
      </c>
      <c r="B24" s="372" t="s">
        <v>89</v>
      </c>
      <c r="E24" s="620">
        <f>F24+G24</f>
        <v>-1928</v>
      </c>
      <c r="F24" s="621">
        <f>F109+F110</f>
        <v>-1928</v>
      </c>
      <c r="G24" s="621">
        <f>G109</f>
        <v>0</v>
      </c>
      <c r="H24" s="618" t="str">
        <f>IF(E24=F24+G24," ","ERROR")</f>
        <v xml:space="preserve"> </v>
      </c>
    </row>
    <row r="25" spans="1:8" ht="12">
      <c r="A25" s="601">
        <v>8</v>
      </c>
      <c r="B25" s="372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618" t="str">
        <f>IF(E25=F25+G25," ","ERROR")</f>
        <v xml:space="preserve"> </v>
      </c>
    </row>
    <row r="26" spans="1:8" ht="12">
      <c r="A26" s="601"/>
      <c r="E26" s="10"/>
      <c r="F26" s="10"/>
      <c r="G26" s="10"/>
      <c r="H26" s="618"/>
    </row>
    <row r="27" spans="1:8" ht="12">
      <c r="A27" s="601"/>
      <c r="B27" s="372" t="s">
        <v>42</v>
      </c>
      <c r="E27" s="10"/>
      <c r="F27" s="10"/>
      <c r="G27" s="10"/>
      <c r="H27" s="618"/>
    </row>
    <row r="28" spans="1:8" ht="12">
      <c r="A28" s="601">
        <v>9</v>
      </c>
      <c r="B28" s="372" t="s">
        <v>91</v>
      </c>
      <c r="E28" s="10">
        <f>F28+G28</f>
        <v>1883</v>
      </c>
      <c r="F28" s="619">
        <f>F119</f>
        <v>1883</v>
      </c>
      <c r="G28" s="619">
        <f>G119</f>
        <v>0</v>
      </c>
      <c r="H28" s="618" t="str">
        <f>IF(E28=F28+G28," ","ERROR")</f>
        <v xml:space="preserve"> </v>
      </c>
    </row>
    <row r="29" spans="1:8" ht="12">
      <c r="A29" s="601">
        <v>10</v>
      </c>
      <c r="B29" s="372" t="s">
        <v>92</v>
      </c>
      <c r="E29" s="10">
        <f>F29+G29</f>
        <v>494</v>
      </c>
      <c r="F29" s="619">
        <f>F121+F122</f>
        <v>494</v>
      </c>
      <c r="G29" s="619">
        <f>G121+G122</f>
        <v>0</v>
      </c>
      <c r="H29" s="618" t="str">
        <f>IF(E29=F29+G29," ","ERROR")</f>
        <v xml:space="preserve"> </v>
      </c>
    </row>
    <row r="30" spans="1:8" ht="12">
      <c r="A30" s="601">
        <v>11</v>
      </c>
      <c r="B30" s="372" t="s">
        <v>93</v>
      </c>
      <c r="E30" s="620">
        <f>F30+G30</f>
        <v>323</v>
      </c>
      <c r="F30" s="621">
        <f>F123</f>
        <v>323</v>
      </c>
      <c r="G30" s="621">
        <f>G123</f>
        <v>0</v>
      </c>
      <c r="H30" s="618" t="str">
        <f>IF(E30=F30+G30," ","ERROR")</f>
        <v xml:space="preserve"> </v>
      </c>
    </row>
    <row r="31" spans="1:8" ht="12">
      <c r="A31" s="125">
        <v>12</v>
      </c>
      <c r="B31" s="372" t="s">
        <v>94</v>
      </c>
      <c r="E31" s="10">
        <f>SUM(E28:E30)</f>
        <v>2700</v>
      </c>
      <c r="F31" s="619">
        <f>SUM(F28:F30)</f>
        <v>2700</v>
      </c>
      <c r="G31" s="619">
        <f>SUM(G28:G30)</f>
        <v>0</v>
      </c>
      <c r="H31" s="618" t="str">
        <f>IF(E31=F31+G31," ","ERROR")</f>
        <v xml:space="preserve"> </v>
      </c>
    </row>
    <row r="32" spans="1:8" ht="12">
      <c r="A32" s="601"/>
      <c r="E32" s="10"/>
      <c r="F32" s="619"/>
      <c r="G32" s="619"/>
      <c r="H32" s="618"/>
    </row>
    <row r="33" spans="1:10" ht="12">
      <c r="A33" s="601"/>
      <c r="B33" s="372" t="s">
        <v>46</v>
      </c>
      <c r="E33" s="10"/>
      <c r="F33" s="619"/>
      <c r="G33" s="619"/>
      <c r="H33" s="618"/>
    </row>
    <row r="34" spans="1:10" ht="12">
      <c r="A34" s="601">
        <v>13</v>
      </c>
      <c r="B34" s="372" t="s">
        <v>91</v>
      </c>
      <c r="E34" s="10">
        <f>F34+G34</f>
        <v>13669</v>
      </c>
      <c r="F34" s="619">
        <f>F150</f>
        <v>13669</v>
      </c>
      <c r="G34" s="619">
        <f>G150</f>
        <v>0</v>
      </c>
      <c r="H34" s="618" t="str">
        <f t="shared" ref="H34:H41" si="0">IF(E34=F34+G34," ","ERROR")</f>
        <v xml:space="preserve"> </v>
      </c>
    </row>
    <row r="35" spans="1:10" ht="12">
      <c r="A35" s="601">
        <v>14</v>
      </c>
      <c r="B35" s="372" t="s">
        <v>92</v>
      </c>
      <c r="E35" s="10">
        <f>F35+G35</f>
        <v>12469</v>
      </c>
      <c r="F35" s="619">
        <f>F152+1</f>
        <v>12469</v>
      </c>
      <c r="G35" s="619">
        <f>G152</f>
        <v>0</v>
      </c>
      <c r="H35" s="618" t="str">
        <f t="shared" si="0"/>
        <v xml:space="preserve"> </v>
      </c>
    </row>
    <row r="36" spans="1:10" ht="12">
      <c r="A36" s="601">
        <v>15</v>
      </c>
      <c r="B36" s="372" t="s">
        <v>93</v>
      </c>
      <c r="E36" s="620">
        <f>F36+G36</f>
        <v>13739</v>
      </c>
      <c r="F36" s="621">
        <f>F153</f>
        <v>13739</v>
      </c>
      <c r="G36" s="621">
        <f>G153</f>
        <v>0</v>
      </c>
      <c r="H36" s="618" t="str">
        <f t="shared" si="0"/>
        <v xml:space="preserve"> </v>
      </c>
    </row>
    <row r="37" spans="1:10" ht="12" customHeight="1">
      <c r="A37" s="601">
        <v>16</v>
      </c>
      <c r="B37" s="372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618" t="str">
        <f t="shared" si="0"/>
        <v xml:space="preserve"> </v>
      </c>
    </row>
    <row r="38" spans="1:10" ht="12" customHeight="1">
      <c r="A38" s="601"/>
      <c r="E38" s="10"/>
      <c r="F38" s="10"/>
      <c r="G38" s="10"/>
      <c r="H38" s="618"/>
    </row>
    <row r="39" spans="1:10" ht="12" customHeight="1">
      <c r="A39" s="601">
        <v>17</v>
      </c>
      <c r="B39" s="372" t="s">
        <v>48</v>
      </c>
      <c r="E39" s="10">
        <f>F39+G39</f>
        <v>6398</v>
      </c>
      <c r="F39" s="619">
        <f>F164</f>
        <v>6398</v>
      </c>
      <c r="G39" s="619">
        <f>G164</f>
        <v>0</v>
      </c>
      <c r="H39" s="618" t="str">
        <f t="shared" si="0"/>
        <v xml:space="preserve"> </v>
      </c>
    </row>
    <row r="40" spans="1:10" ht="12">
      <c r="A40" s="601">
        <v>18</v>
      </c>
      <c r="B40" s="372" t="s">
        <v>49</v>
      </c>
      <c r="E40" s="10">
        <f>F40+G40</f>
        <v>9664</v>
      </c>
      <c r="F40" s="619">
        <f>F170</f>
        <v>9664</v>
      </c>
      <c r="G40" s="619">
        <f>G170</f>
        <v>0</v>
      </c>
      <c r="H40" s="618" t="str">
        <f t="shared" si="0"/>
        <v xml:space="preserve"> </v>
      </c>
    </row>
    <row r="41" spans="1:10" ht="12">
      <c r="A41" s="601">
        <v>19</v>
      </c>
      <c r="B41" s="372" t="s">
        <v>96</v>
      </c>
      <c r="E41" s="10">
        <f>F41+G41</f>
        <v>0</v>
      </c>
      <c r="F41" s="619">
        <f>F176</f>
        <v>0</v>
      </c>
      <c r="G41" s="619">
        <f>G176</f>
        <v>0</v>
      </c>
      <c r="H41" s="618" t="str">
        <f t="shared" si="0"/>
        <v xml:space="preserve"> </v>
      </c>
    </row>
    <row r="42" spans="1:10" ht="12">
      <c r="A42" s="601"/>
      <c r="E42" s="10"/>
      <c r="F42" s="619"/>
      <c r="G42" s="619"/>
      <c r="H42" s="618"/>
    </row>
    <row r="43" spans="1:10" ht="12">
      <c r="A43" s="601"/>
      <c r="B43" s="372" t="s">
        <v>97</v>
      </c>
      <c r="E43" s="10"/>
      <c r="F43" s="619"/>
      <c r="G43" s="619"/>
      <c r="H43" s="618"/>
    </row>
    <row r="44" spans="1:10" ht="12">
      <c r="A44" s="601">
        <v>20</v>
      </c>
      <c r="B44" s="372" t="s">
        <v>91</v>
      </c>
      <c r="E44" s="10">
        <f>F44+G44</f>
        <v>15696</v>
      </c>
      <c r="F44" s="619">
        <f>F190</f>
        <v>15696</v>
      </c>
      <c r="G44" s="619">
        <f>G190</f>
        <v>0</v>
      </c>
      <c r="H44" s="618" t="str">
        <f>IF(E44=F44+G44," ","ERROR")</f>
        <v xml:space="preserve"> </v>
      </c>
    </row>
    <row r="45" spans="1:10" ht="12">
      <c r="A45" s="601">
        <v>21</v>
      </c>
      <c r="B45" s="372" t="s">
        <v>411</v>
      </c>
      <c r="E45" s="10">
        <f>F45+G45</f>
        <v>10678</v>
      </c>
      <c r="F45" s="619">
        <f>F192+F193+F194+F195</f>
        <v>10678</v>
      </c>
      <c r="G45" s="619">
        <f>G192+G193+G194+G195</f>
        <v>0</v>
      </c>
      <c r="H45" s="618" t="str">
        <f>IF(E45=F45+G45," ","ERROR")</f>
        <v xml:space="preserve"> </v>
      </c>
      <c r="J45" s="10"/>
    </row>
    <row r="46" spans="1:10" ht="12">
      <c r="A46" s="601">
        <v>22</v>
      </c>
      <c r="B46" s="372" t="s">
        <v>409</v>
      </c>
      <c r="E46" s="10">
        <f>F46+G46</f>
        <v>-3003</v>
      </c>
      <c r="F46" s="619">
        <f>SUM(F196:F209)</f>
        <v>-3003</v>
      </c>
      <c r="G46" s="619">
        <f>SUM(G196:G209)</f>
        <v>0</v>
      </c>
      <c r="H46" s="618"/>
      <c r="J46" s="10"/>
    </row>
    <row r="47" spans="1:10" ht="12">
      <c r="A47" s="601">
        <v>23</v>
      </c>
      <c r="B47" s="372" t="s">
        <v>93</v>
      </c>
      <c r="E47" s="620">
        <f>F47+G47</f>
        <v>0</v>
      </c>
      <c r="F47" s="621">
        <v>0</v>
      </c>
      <c r="G47" s="621">
        <v>0</v>
      </c>
      <c r="H47" s="618" t="str">
        <f>IF(E47=F47+G47," ","ERROR")</f>
        <v xml:space="preserve"> </v>
      </c>
    </row>
    <row r="48" spans="1:10" ht="12">
      <c r="A48" s="601">
        <v>24</v>
      </c>
      <c r="B48" s="372" t="s">
        <v>98</v>
      </c>
      <c r="E48" s="620">
        <f>SUM(E44:E47)</f>
        <v>23371</v>
      </c>
      <c r="F48" s="620">
        <f>SUM(F44:F47)</f>
        <v>23371</v>
      </c>
      <c r="G48" s="620">
        <f>SUM(G44:G47)</f>
        <v>0</v>
      </c>
      <c r="H48" s="618" t="str">
        <f>IF(E48=F48+G48," ","ERROR")</f>
        <v xml:space="preserve"> </v>
      </c>
    </row>
    <row r="49" spans="1:8" ht="12">
      <c r="A49" s="601">
        <v>25</v>
      </c>
      <c r="B49" s="372" t="s">
        <v>53</v>
      </c>
      <c r="E49" s="620">
        <f>E25+E31+E37+E39+E40+E41+E48+E21</f>
        <v>181582</v>
      </c>
      <c r="F49" s="620">
        <f>F25+F31+F37+F39+F40+F41+F48+F21</f>
        <v>181582</v>
      </c>
      <c r="G49" s="620">
        <f>G25+G31+G37+G39+G40+G41+G48+G21</f>
        <v>0</v>
      </c>
      <c r="H49" s="618" t="str">
        <f>IF(E49=F49+G49," ","ERROR")</f>
        <v xml:space="preserve"> </v>
      </c>
    </row>
    <row r="50" spans="1:8" ht="12">
      <c r="A50" s="601"/>
      <c r="E50" s="10"/>
      <c r="F50" s="10"/>
      <c r="G50" s="10"/>
      <c r="H50" s="618"/>
    </row>
    <row r="51" spans="1:8" ht="12">
      <c r="A51" s="601">
        <v>26</v>
      </c>
      <c r="B51" s="372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618" t="str">
        <f>IF(E51=F51+G51," ","ERROR")</f>
        <v xml:space="preserve"> </v>
      </c>
    </row>
    <row r="52" spans="1:8" ht="12" customHeight="1">
      <c r="A52" s="601"/>
      <c r="E52" s="10"/>
      <c r="F52" s="10"/>
      <c r="G52" s="10"/>
      <c r="H52" s="618"/>
    </row>
    <row r="53" spans="1:8" ht="12" customHeight="1">
      <c r="A53" s="601"/>
      <c r="B53" s="372" t="s">
        <v>100</v>
      </c>
      <c r="E53" s="10"/>
      <c r="F53" s="10"/>
      <c r="G53" s="10"/>
      <c r="H53" s="618"/>
    </row>
    <row r="54" spans="1:8" ht="12">
      <c r="A54" s="601">
        <v>27</v>
      </c>
      <c r="B54" s="623" t="s">
        <v>101</v>
      </c>
      <c r="D54" s="624">
        <v>0.21</v>
      </c>
      <c r="E54" s="10">
        <f>F54+G54</f>
        <v>-4720</v>
      </c>
      <c r="F54" s="619">
        <f>F218</f>
        <v>-4720</v>
      </c>
      <c r="G54" s="619">
        <f>G218</f>
        <v>0</v>
      </c>
      <c r="H54" s="618" t="str">
        <f>IF(E54=F54+G54," ","ERROR")</f>
        <v xml:space="preserve"> </v>
      </c>
    </row>
    <row r="55" spans="1:8" ht="12">
      <c r="A55" s="601">
        <v>28</v>
      </c>
      <c r="B55" s="623" t="s">
        <v>240</v>
      </c>
      <c r="D55" s="624"/>
      <c r="E55" s="10"/>
      <c r="F55" s="619"/>
      <c r="G55" s="619"/>
      <c r="H55" s="618"/>
    </row>
    <row r="56" spans="1:8" ht="12">
      <c r="A56" s="601">
        <v>29</v>
      </c>
      <c r="B56" s="372" t="s">
        <v>102</v>
      </c>
      <c r="E56" s="10">
        <f>F56+G56</f>
        <v>6501</v>
      </c>
      <c r="F56" s="619">
        <f>F219</f>
        <v>6501</v>
      </c>
      <c r="G56" s="619">
        <f>G219</f>
        <v>0</v>
      </c>
      <c r="H56" s="618" t="str">
        <f>IF(E56=F56+G56," ","ERROR")</f>
        <v xml:space="preserve"> </v>
      </c>
    </row>
    <row r="57" spans="1:8" ht="12">
      <c r="A57" s="601">
        <v>30</v>
      </c>
      <c r="B57" s="372" t="s">
        <v>103</v>
      </c>
      <c r="E57" s="620">
        <f>F57+G57</f>
        <v>-12</v>
      </c>
      <c r="F57" s="621">
        <f>F220</f>
        <v>-12</v>
      </c>
      <c r="G57" s="621">
        <f>G220</f>
        <v>0</v>
      </c>
      <c r="H57" s="618" t="str">
        <f>IF(E57=F57+G57," ","ERROR")</f>
        <v xml:space="preserve"> </v>
      </c>
    </row>
    <row r="58" spans="1:8" ht="12">
      <c r="A58" s="601"/>
      <c r="G58" s="604"/>
      <c r="H58" s="618"/>
    </row>
    <row r="59" spans="1:8" ht="12.75" thickBot="1">
      <c r="A59" s="601">
        <v>31</v>
      </c>
      <c r="B59" s="625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618" t="str">
        <f>IF(E59=F59+G59," ","ERROR")</f>
        <v xml:space="preserve"> </v>
      </c>
    </row>
    <row r="60" spans="1:8" ht="12.75" thickTop="1">
      <c r="A60" s="601"/>
      <c r="E60" s="611"/>
      <c r="F60" s="611"/>
      <c r="G60" s="611"/>
      <c r="H60" s="618"/>
    </row>
    <row r="61" spans="1:8" ht="12">
      <c r="A61" s="601"/>
      <c r="B61" s="623" t="s">
        <v>104</v>
      </c>
      <c r="G61" s="604"/>
      <c r="H61" s="618"/>
    </row>
    <row r="62" spans="1:8" ht="12">
      <c r="A62" s="601"/>
      <c r="B62" s="623" t="s">
        <v>105</v>
      </c>
      <c r="G62" s="604"/>
      <c r="H62" s="618"/>
    </row>
    <row r="63" spans="1:8" ht="12">
      <c r="A63" s="601">
        <v>32</v>
      </c>
      <c r="B63" s="372" t="s">
        <v>106</v>
      </c>
      <c r="E63" s="23">
        <f>F63+G63</f>
        <v>29714</v>
      </c>
      <c r="F63" s="429">
        <f>F238</f>
        <v>29714</v>
      </c>
      <c r="G63" s="429">
        <f>G238</f>
        <v>0</v>
      </c>
      <c r="H63" s="618" t="str">
        <f t="shared" ref="H63:H76" si="1">IF(E63=F63+G63," ","ERROR")</f>
        <v xml:space="preserve"> </v>
      </c>
    </row>
    <row r="64" spans="1:8" ht="12">
      <c r="A64" s="601">
        <v>33</v>
      </c>
      <c r="B64" s="372" t="s">
        <v>107</v>
      </c>
      <c r="E64" s="10">
        <f>F64+G64</f>
        <v>505864</v>
      </c>
      <c r="F64" s="619">
        <f>F254</f>
        <v>505864</v>
      </c>
      <c r="G64" s="619">
        <f>G254</f>
        <v>0</v>
      </c>
      <c r="H64" s="618" t="str">
        <f t="shared" si="1"/>
        <v xml:space="preserve"> </v>
      </c>
    </row>
    <row r="65" spans="1:8" ht="12">
      <c r="A65" s="601">
        <v>34</v>
      </c>
      <c r="B65" s="372" t="s">
        <v>108</v>
      </c>
      <c r="E65" s="620">
        <f>F65+G65</f>
        <v>141661</v>
      </c>
      <c r="F65" s="621">
        <f>F267+F227</f>
        <v>141661</v>
      </c>
      <c r="G65" s="621">
        <f>G267+G227</f>
        <v>0</v>
      </c>
      <c r="H65" s="618" t="str">
        <f t="shared" si="1"/>
        <v xml:space="preserve"> </v>
      </c>
    </row>
    <row r="66" spans="1:8" ht="12">
      <c r="A66" s="601">
        <v>35</v>
      </c>
      <c r="B66" s="372" t="s">
        <v>109</v>
      </c>
      <c r="E66" s="10">
        <f>SUM(E63:E65)</f>
        <v>677239</v>
      </c>
      <c r="F66" s="619">
        <f>SUM(F63:F65)</f>
        <v>677239</v>
      </c>
      <c r="G66" s="619">
        <f>SUM(G63:G65)</f>
        <v>0</v>
      </c>
      <c r="H66" s="618" t="str">
        <f t="shared" si="1"/>
        <v xml:space="preserve"> </v>
      </c>
    </row>
    <row r="67" spans="1:8" ht="12">
      <c r="A67" s="601"/>
      <c r="E67" s="10"/>
      <c r="F67" s="619"/>
      <c r="G67" s="619"/>
      <c r="H67" s="618"/>
    </row>
    <row r="68" spans="1:8" ht="12">
      <c r="A68" s="601"/>
      <c r="B68" s="372" t="s">
        <v>412</v>
      </c>
      <c r="E68" s="10"/>
      <c r="F68" s="619"/>
      <c r="G68" s="619"/>
      <c r="H68" s="618" t="str">
        <f t="shared" si="1"/>
        <v xml:space="preserve"> </v>
      </c>
    </row>
    <row r="69" spans="1:8" ht="12">
      <c r="A69" s="601">
        <v>36</v>
      </c>
      <c r="B69" s="372" t="s">
        <v>106</v>
      </c>
      <c r="E69" s="10">
        <f>F69+G69</f>
        <v>-11566</v>
      </c>
      <c r="F69" s="619">
        <f>F273+F281-1</f>
        <v>-11566</v>
      </c>
      <c r="G69" s="619">
        <f>G273+G281</f>
        <v>0</v>
      </c>
      <c r="H69" s="618" t="str">
        <f t="shared" si="1"/>
        <v xml:space="preserve"> </v>
      </c>
    </row>
    <row r="70" spans="1:8" ht="12">
      <c r="A70" s="601">
        <v>37</v>
      </c>
      <c r="B70" s="372" t="s">
        <v>107</v>
      </c>
      <c r="E70" s="10">
        <f>F70+G70</f>
        <v>-151240</v>
      </c>
      <c r="F70" s="619">
        <f>F274</f>
        <v>-151240</v>
      </c>
      <c r="G70" s="619">
        <f>G274</f>
        <v>0</v>
      </c>
      <c r="H70" s="618" t="str">
        <f t="shared" si="1"/>
        <v xml:space="preserve"> </v>
      </c>
    </row>
    <row r="71" spans="1:8" ht="12">
      <c r="A71" s="601">
        <v>38</v>
      </c>
      <c r="B71" s="372" t="s">
        <v>108</v>
      </c>
      <c r="E71" s="620">
        <f>F71+G71</f>
        <v>-38750</v>
      </c>
      <c r="F71" s="621">
        <f>F275+F279+F280+F282</f>
        <v>-38750</v>
      </c>
      <c r="G71" s="621">
        <f>G275+G279+G280+G282</f>
        <v>0</v>
      </c>
      <c r="H71" s="618" t="str">
        <f t="shared" si="1"/>
        <v xml:space="preserve"> </v>
      </c>
    </row>
    <row r="72" spans="1:8" ht="12">
      <c r="A72" s="601">
        <v>39</v>
      </c>
      <c r="B72" s="372" t="s">
        <v>413</v>
      </c>
      <c r="E72" s="626">
        <f>SUM(E69:E71)</f>
        <v>-201556</v>
      </c>
      <c r="F72" s="626">
        <f>SUM(F69:F71)</f>
        <v>-201556</v>
      </c>
      <c r="G72" s="626">
        <f>SUM(G69:G71)</f>
        <v>0</v>
      </c>
      <c r="H72" s="618" t="str">
        <f t="shared" si="1"/>
        <v xml:space="preserve"> </v>
      </c>
    </row>
    <row r="73" spans="1:8" ht="12">
      <c r="A73" s="601">
        <v>40</v>
      </c>
      <c r="B73" s="372" t="s">
        <v>172</v>
      </c>
      <c r="E73" s="10">
        <f>E66+E72</f>
        <v>475683</v>
      </c>
      <c r="F73" s="10">
        <f>F66+F72</f>
        <v>475683</v>
      </c>
      <c r="G73" s="10">
        <f>G66+G72</f>
        <v>0</v>
      </c>
      <c r="H73" s="618"/>
    </row>
    <row r="74" spans="1:8" ht="12">
      <c r="A74" s="601">
        <v>41</v>
      </c>
      <c r="B74" s="623" t="s">
        <v>110</v>
      </c>
      <c r="E74" s="627">
        <f>F74+G74</f>
        <v>-91014</v>
      </c>
      <c r="F74" s="627">
        <f>F295</f>
        <v>-91014</v>
      </c>
      <c r="G74" s="627">
        <f>G295</f>
        <v>0</v>
      </c>
      <c r="H74" s="618" t="str">
        <f t="shared" si="1"/>
        <v xml:space="preserve"> </v>
      </c>
    </row>
    <row r="75" spans="1:8" ht="12">
      <c r="A75" s="601">
        <v>42</v>
      </c>
      <c r="B75" s="166" t="s">
        <v>202</v>
      </c>
      <c r="E75" s="10">
        <f>E73+E74</f>
        <v>384669</v>
      </c>
      <c r="F75" s="10">
        <f>F73+F74</f>
        <v>384669</v>
      </c>
      <c r="G75" s="10">
        <f>G73+G74</f>
        <v>0</v>
      </c>
      <c r="H75" s="618"/>
    </row>
    <row r="76" spans="1:8" ht="12">
      <c r="A76" s="601">
        <v>43</v>
      </c>
      <c r="B76" s="372" t="s">
        <v>66</v>
      </c>
      <c r="E76" s="10">
        <f>F76+G76</f>
        <v>10411</v>
      </c>
      <c r="F76" s="10">
        <f>F303+F304-1</f>
        <v>10411</v>
      </c>
      <c r="G76" s="10">
        <f>G303+G304</f>
        <v>0</v>
      </c>
      <c r="H76" s="618" t="str">
        <f t="shared" si="1"/>
        <v xml:space="preserve"> </v>
      </c>
    </row>
    <row r="77" spans="1:8" ht="12">
      <c r="A77" s="601">
        <v>44</v>
      </c>
      <c r="B77" s="623" t="s">
        <v>67</v>
      </c>
      <c r="E77" s="10">
        <f>F77+G77</f>
        <v>0</v>
      </c>
      <c r="F77" s="604">
        <v>0</v>
      </c>
      <c r="G77" s="604">
        <f>G301+G302</f>
        <v>0</v>
      </c>
      <c r="H77" s="618" t="str">
        <f>IF(E79=F79+G79," ","ERROR")</f>
        <v xml:space="preserve"> </v>
      </c>
    </row>
    <row r="78" spans="1:8" ht="12">
      <c r="A78" s="601">
        <v>45</v>
      </c>
      <c r="B78" s="623" t="s">
        <v>417</v>
      </c>
      <c r="E78" s="10">
        <f>F78+G78</f>
        <v>7359</v>
      </c>
      <c r="F78" s="604">
        <f>F300+F305+F306+F308+F309+F301+F302+F307</f>
        <v>7359</v>
      </c>
      <c r="G78" s="604">
        <f>G305+G306</f>
        <v>0</v>
      </c>
      <c r="H78" s="618"/>
    </row>
    <row r="79" spans="1:8" ht="12">
      <c r="A79" s="601">
        <v>46</v>
      </c>
      <c r="B79" s="372" t="s">
        <v>174</v>
      </c>
      <c r="E79" s="620">
        <f>F79+G79</f>
        <v>3494</v>
      </c>
      <c r="F79" s="620">
        <f>F310</f>
        <v>3494</v>
      </c>
      <c r="G79" s="620">
        <f>G310</f>
        <v>0</v>
      </c>
      <c r="H79" s="618"/>
    </row>
    <row r="80" spans="1:8" ht="11.25" customHeight="1">
      <c r="G80" s="604"/>
    </row>
    <row r="81" spans="1:10" ht="9" customHeight="1">
      <c r="A81" s="601"/>
      <c r="B81" s="372" t="s">
        <v>111</v>
      </c>
      <c r="G81" s="604"/>
      <c r="H81" s="618"/>
    </row>
    <row r="82" spans="1:10" ht="12.75" thickBot="1">
      <c r="A82" s="601">
        <v>47</v>
      </c>
      <c r="B82" s="625" t="s">
        <v>68</v>
      </c>
      <c r="E82" s="628">
        <f>E75+E76+E79+E77+E78</f>
        <v>405933</v>
      </c>
      <c r="F82" s="628">
        <f>F75+F76+F79+F77+F78</f>
        <v>405933</v>
      </c>
      <c r="G82" s="628">
        <f>G75+G76+G79+G77+G78</f>
        <v>0</v>
      </c>
      <c r="H82" s="618" t="str">
        <f>IF(E82=F82+G82," ","ERROR")</f>
        <v xml:space="preserve"> </v>
      </c>
    </row>
    <row r="83" spans="1:10" ht="11.25" customHeight="1" thickTop="1">
      <c r="E83" s="611"/>
      <c r="F83" s="611"/>
      <c r="G83" s="611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72"/>
      <c r="B86" s="273" t="s">
        <v>32</v>
      </c>
      <c r="J86" s="395"/>
    </row>
    <row r="87" spans="1:10" ht="11.25" customHeight="1">
      <c r="A87" s="272"/>
      <c r="B87" s="274" t="s">
        <v>241</v>
      </c>
      <c r="J87" s="396"/>
    </row>
    <row r="88" spans="1:10" ht="11.25" customHeight="1">
      <c r="A88" s="275">
        <v>480000</v>
      </c>
      <c r="B88" s="274" t="s">
        <v>242</v>
      </c>
      <c r="F88" s="604">
        <f>ROUND(H88/1000,0)</f>
        <v>97151</v>
      </c>
      <c r="H88" s="73">
        <v>97151452</v>
      </c>
      <c r="I88" s="73"/>
      <c r="J88" s="396"/>
    </row>
    <row r="89" spans="1:10" ht="11.25" customHeight="1">
      <c r="A89" s="275" t="s">
        <v>243</v>
      </c>
      <c r="B89" s="274" t="s">
        <v>244</v>
      </c>
      <c r="F89" s="604">
        <f t="shared" ref="F89:F154" si="2">ROUND(H89/1000,0)</f>
        <v>46414</v>
      </c>
      <c r="H89" s="73">
        <v>46414269</v>
      </c>
      <c r="I89" s="73"/>
      <c r="J89" s="396"/>
    </row>
    <row r="90" spans="1:10" ht="11.25" customHeight="1">
      <c r="A90" s="275" t="s">
        <v>245</v>
      </c>
      <c r="B90" s="274" t="s">
        <v>246</v>
      </c>
      <c r="F90" s="604">
        <f t="shared" si="2"/>
        <v>1565</v>
      </c>
      <c r="H90" s="73">
        <v>1564879</v>
      </c>
      <c r="I90" s="73"/>
      <c r="J90" s="396"/>
    </row>
    <row r="91" spans="1:10" ht="11.25" customHeight="1">
      <c r="A91" s="275">
        <v>481400</v>
      </c>
      <c r="B91" s="274" t="s">
        <v>247</v>
      </c>
      <c r="F91" s="604">
        <f t="shared" si="2"/>
        <v>0</v>
      </c>
      <c r="H91" s="73">
        <v>0</v>
      </c>
      <c r="I91" s="73"/>
      <c r="J91" s="396"/>
    </row>
    <row r="92" spans="1:10" ht="11.25" customHeight="1">
      <c r="A92" s="275">
        <v>484000</v>
      </c>
      <c r="B92" s="274" t="s">
        <v>250</v>
      </c>
      <c r="F92" s="604">
        <f t="shared" si="2"/>
        <v>210</v>
      </c>
      <c r="H92" s="73">
        <v>209620</v>
      </c>
      <c r="I92" s="73"/>
      <c r="J92" s="396"/>
    </row>
    <row r="93" spans="1:10" ht="11.25" customHeight="1">
      <c r="A93" s="272" t="s">
        <v>248</v>
      </c>
      <c r="B93" s="274" t="s">
        <v>249</v>
      </c>
      <c r="F93" s="604">
        <f t="shared" si="2"/>
        <v>-2788</v>
      </c>
      <c r="H93" s="73">
        <v>-2788442</v>
      </c>
      <c r="I93" s="73"/>
      <c r="J93" s="396"/>
    </row>
    <row r="94" spans="1:10" ht="11.25" customHeight="1">
      <c r="A94" s="272"/>
      <c r="B94" s="274" t="s">
        <v>251</v>
      </c>
      <c r="F94" s="604">
        <f t="shared" si="2"/>
        <v>142552</v>
      </c>
      <c r="H94" s="73">
        <v>142551778</v>
      </c>
      <c r="I94" s="73"/>
      <c r="J94" s="396"/>
    </row>
    <row r="95" spans="1:10" ht="11.25" customHeight="1">
      <c r="A95" s="272"/>
      <c r="B95" s="274"/>
      <c r="F95" s="604">
        <f t="shared" si="2"/>
        <v>0</v>
      </c>
      <c r="H95" s="73"/>
      <c r="I95" s="73"/>
      <c r="J95" s="396"/>
    </row>
    <row r="96" spans="1:10" ht="11.25" customHeight="1">
      <c r="A96" s="272"/>
      <c r="B96" s="274" t="s">
        <v>252</v>
      </c>
      <c r="F96" s="604">
        <f t="shared" si="2"/>
        <v>0</v>
      </c>
      <c r="H96" s="73"/>
      <c r="I96" s="73"/>
      <c r="J96" s="396"/>
    </row>
    <row r="97" spans="1:10" ht="11.25" customHeight="1">
      <c r="A97" s="276">
        <v>483000</v>
      </c>
      <c r="B97" s="277" t="s">
        <v>253</v>
      </c>
      <c r="F97" s="604">
        <f t="shared" si="2"/>
        <v>55068</v>
      </c>
      <c r="H97" s="73">
        <v>55067624</v>
      </c>
      <c r="I97" s="73"/>
      <c r="J97" s="397"/>
    </row>
    <row r="98" spans="1:10" ht="11.25" customHeight="1">
      <c r="A98" s="275">
        <v>488000</v>
      </c>
      <c r="B98" s="274" t="s">
        <v>254</v>
      </c>
      <c r="F98" s="604">
        <f t="shared" si="2"/>
        <v>7</v>
      </c>
      <c r="H98" s="73">
        <v>7083</v>
      </c>
      <c r="I98" s="73"/>
      <c r="J98" s="396"/>
    </row>
    <row r="99" spans="1:10" ht="11.25" customHeight="1">
      <c r="A99" s="275">
        <v>489300</v>
      </c>
      <c r="B99" s="274" t="s">
        <v>255</v>
      </c>
      <c r="F99" s="604">
        <f t="shared" si="2"/>
        <v>5183</v>
      </c>
      <c r="H99" s="73">
        <v>5183204</v>
      </c>
      <c r="I99" s="73"/>
      <c r="J99" s="396"/>
    </row>
    <row r="100" spans="1:10" ht="11.25" customHeight="1">
      <c r="A100" s="275">
        <v>493000</v>
      </c>
      <c r="B100" s="274" t="s">
        <v>256</v>
      </c>
      <c r="F100" s="604">
        <f t="shared" si="2"/>
        <v>3</v>
      </c>
      <c r="H100" s="73">
        <v>2751</v>
      </c>
      <c r="I100" s="73"/>
      <c r="J100" s="396"/>
    </row>
    <row r="101" spans="1:10" ht="11.25" customHeight="1">
      <c r="A101" s="275">
        <v>495000</v>
      </c>
      <c r="B101" s="274" t="s">
        <v>257</v>
      </c>
      <c r="F101" s="604">
        <f t="shared" si="2"/>
        <v>4604</v>
      </c>
      <c r="H101" s="73">
        <v>4603937</v>
      </c>
      <c r="I101" s="73"/>
      <c r="J101" s="396"/>
    </row>
    <row r="102" spans="1:10" ht="11.25" customHeight="1">
      <c r="A102" s="275">
        <v>496100</v>
      </c>
      <c r="B102" s="274" t="s">
        <v>454</v>
      </c>
      <c r="F102" s="604">
        <f t="shared" si="2"/>
        <v>444</v>
      </c>
      <c r="H102" s="73">
        <v>443946</v>
      </c>
      <c r="I102" s="73"/>
      <c r="J102" s="396"/>
    </row>
    <row r="103" spans="1:10" ht="11.25" customHeight="1">
      <c r="A103" s="553">
        <v>496110</v>
      </c>
      <c r="B103" s="396" t="s">
        <v>520</v>
      </c>
      <c r="F103" s="604">
        <f t="shared" si="2"/>
        <v>-35</v>
      </c>
      <c r="H103" s="73">
        <v>-34878</v>
      </c>
      <c r="I103" s="73"/>
      <c r="J103" s="396"/>
    </row>
    <row r="104" spans="1:10" ht="11.25" customHeight="1">
      <c r="A104" s="272"/>
      <c r="B104" s="274" t="s">
        <v>258</v>
      </c>
      <c r="F104" s="604">
        <f t="shared" si="2"/>
        <v>65274</v>
      </c>
      <c r="H104" s="73">
        <v>65273667</v>
      </c>
      <c r="I104" s="73"/>
      <c r="J104" s="396"/>
    </row>
    <row r="105" spans="1:10" ht="11.25" customHeight="1">
      <c r="A105" s="272"/>
      <c r="B105" s="274" t="s">
        <v>259</v>
      </c>
      <c r="F105" s="604">
        <f t="shared" si="2"/>
        <v>207825</v>
      </c>
      <c r="H105" s="73">
        <v>207825445</v>
      </c>
      <c r="I105" s="73"/>
      <c r="J105" s="396"/>
    </row>
    <row r="106" spans="1:10" ht="11.25" customHeight="1">
      <c r="A106" s="272"/>
      <c r="B106" s="274"/>
      <c r="F106" s="604">
        <f t="shared" si="2"/>
        <v>0</v>
      </c>
      <c r="H106" s="73"/>
      <c r="I106" s="73"/>
      <c r="J106" s="396"/>
    </row>
    <row r="107" spans="1:10" ht="11.25" customHeight="1">
      <c r="A107" s="272"/>
      <c r="B107" s="274" t="s">
        <v>260</v>
      </c>
      <c r="F107" s="604">
        <f t="shared" si="2"/>
        <v>0</v>
      </c>
      <c r="H107" s="73"/>
      <c r="I107" s="73"/>
      <c r="J107" s="396"/>
    </row>
    <row r="108" spans="1:10" ht="11.25" customHeight="1">
      <c r="A108" s="278" t="s">
        <v>261</v>
      </c>
      <c r="B108" s="274" t="s">
        <v>38</v>
      </c>
      <c r="F108" s="604">
        <f t="shared" si="2"/>
        <v>100541</v>
      </c>
      <c r="H108" s="73">
        <v>100541400</v>
      </c>
      <c r="I108" s="73"/>
      <c r="J108" s="396"/>
    </row>
    <row r="109" spans="1:10" ht="11.25" customHeight="1">
      <c r="A109" s="275" t="s">
        <v>262</v>
      </c>
      <c r="B109" s="274" t="s">
        <v>263</v>
      </c>
      <c r="F109" s="604">
        <f t="shared" si="2"/>
        <v>-1600</v>
      </c>
      <c r="H109" s="73">
        <v>-1599800</v>
      </c>
      <c r="I109" s="73"/>
      <c r="J109" s="396"/>
    </row>
    <row r="110" spans="1:10" ht="11.25" customHeight="1">
      <c r="A110" s="276">
        <v>811000</v>
      </c>
      <c r="B110" s="277" t="s">
        <v>264</v>
      </c>
      <c r="F110" s="604">
        <f t="shared" si="2"/>
        <v>-328</v>
      </c>
      <c r="H110" s="73">
        <v>-328449</v>
      </c>
      <c r="I110" s="73"/>
      <c r="J110" s="397"/>
    </row>
    <row r="111" spans="1:10" ht="11.25" customHeight="1">
      <c r="A111" s="275">
        <v>813000</v>
      </c>
      <c r="B111" s="274" t="s">
        <v>265</v>
      </c>
      <c r="F111" s="604">
        <f t="shared" si="2"/>
        <v>871</v>
      </c>
      <c r="H111" s="73">
        <v>871445</v>
      </c>
      <c r="I111" s="73"/>
      <c r="J111" s="396"/>
    </row>
    <row r="112" spans="1:10" ht="11.25" customHeight="1">
      <c r="A112" s="275">
        <v>813010</v>
      </c>
      <c r="B112" s="274" t="s">
        <v>266</v>
      </c>
      <c r="F112" s="604">
        <f t="shared" si="2"/>
        <v>87</v>
      </c>
      <c r="H112" s="73">
        <v>87458</v>
      </c>
      <c r="I112" s="73"/>
      <c r="J112" s="396"/>
    </row>
    <row r="113" spans="1:10" ht="11.25" customHeight="1">
      <c r="A113" s="272"/>
      <c r="B113" s="274" t="s">
        <v>267</v>
      </c>
      <c r="F113" s="604">
        <f t="shared" si="2"/>
        <v>99572</v>
      </c>
      <c r="H113" s="73">
        <v>99572054</v>
      </c>
      <c r="I113" s="73"/>
      <c r="J113" s="396"/>
    </row>
    <row r="114" spans="1:10" ht="11.25" customHeight="1">
      <c r="A114" s="272"/>
      <c r="B114" s="274"/>
      <c r="F114" s="604">
        <f t="shared" si="2"/>
        <v>0</v>
      </c>
      <c r="H114" s="73"/>
      <c r="I114" s="73"/>
      <c r="J114" s="396"/>
    </row>
    <row r="115" spans="1:10" ht="11.25" customHeight="1">
      <c r="A115" s="272"/>
      <c r="B115" s="274" t="s">
        <v>268</v>
      </c>
      <c r="F115" s="604">
        <f t="shared" si="2"/>
        <v>0</v>
      </c>
      <c r="H115" s="73"/>
      <c r="I115" s="73"/>
      <c r="J115" s="396"/>
    </row>
    <row r="116" spans="1:10" ht="11.25" customHeight="1">
      <c r="A116" s="275">
        <v>814000</v>
      </c>
      <c r="B116" s="274" t="s">
        <v>269</v>
      </c>
      <c r="F116" s="604">
        <f t="shared" si="2"/>
        <v>14</v>
      </c>
      <c r="H116" s="73">
        <v>14266</v>
      </c>
      <c r="I116" s="73"/>
      <c r="J116" s="396"/>
    </row>
    <row r="117" spans="1:10" ht="11.25" customHeight="1">
      <c r="A117" s="275">
        <v>824000</v>
      </c>
      <c r="B117" s="274" t="s">
        <v>270</v>
      </c>
      <c r="F117" s="604">
        <f t="shared" si="2"/>
        <v>479</v>
      </c>
      <c r="H117" s="73">
        <v>479200</v>
      </c>
      <c r="I117" s="73"/>
      <c r="J117" s="396"/>
    </row>
    <row r="118" spans="1:10" ht="11.25" customHeight="1">
      <c r="A118" s="275">
        <v>837000</v>
      </c>
      <c r="B118" s="274" t="s">
        <v>271</v>
      </c>
      <c r="F118" s="604">
        <f t="shared" si="2"/>
        <v>1390</v>
      </c>
      <c r="H118" s="73">
        <v>1389796</v>
      </c>
      <c r="I118" s="73"/>
      <c r="J118" s="396"/>
    </row>
    <row r="119" spans="1:10" ht="11.25" customHeight="1">
      <c r="A119" s="272"/>
      <c r="B119" s="274" t="s">
        <v>272</v>
      </c>
      <c r="F119" s="604">
        <f t="shared" si="2"/>
        <v>1883</v>
      </c>
      <c r="H119" s="73">
        <v>1883262</v>
      </c>
      <c r="I119" s="73"/>
      <c r="J119" s="396"/>
    </row>
    <row r="120" spans="1:10" ht="11.25" customHeight="1">
      <c r="A120" s="272"/>
      <c r="B120" s="274"/>
      <c r="F120" s="604">
        <f t="shared" si="2"/>
        <v>0</v>
      </c>
      <c r="H120" s="73"/>
      <c r="I120" s="73"/>
      <c r="J120" s="396"/>
    </row>
    <row r="121" spans="1:10" ht="11.25" customHeight="1">
      <c r="A121" s="273"/>
      <c r="B121" s="274" t="s">
        <v>273</v>
      </c>
      <c r="F121" s="604">
        <f t="shared" si="2"/>
        <v>494</v>
      </c>
      <c r="H121" s="73">
        <v>494267</v>
      </c>
      <c r="I121" s="73"/>
      <c r="J121" s="396"/>
    </row>
    <row r="122" spans="1:10" ht="11.25" customHeight="1">
      <c r="A122" s="273"/>
      <c r="B122" s="274" t="s">
        <v>274</v>
      </c>
      <c r="F122" s="604">
        <f t="shared" si="2"/>
        <v>0</v>
      </c>
      <c r="H122" s="73">
        <v>0</v>
      </c>
      <c r="I122" s="73"/>
      <c r="J122" s="396"/>
    </row>
    <row r="123" spans="1:10" ht="11.25" customHeight="1">
      <c r="A123" s="272"/>
      <c r="B123" s="274" t="s">
        <v>275</v>
      </c>
      <c r="F123" s="604">
        <f t="shared" si="2"/>
        <v>323</v>
      </c>
      <c r="H123" s="73">
        <v>323030</v>
      </c>
      <c r="I123" s="73"/>
      <c r="J123" s="396"/>
    </row>
    <row r="124" spans="1:10" ht="11.25" customHeight="1">
      <c r="A124" s="272"/>
      <c r="B124" s="274" t="s">
        <v>276</v>
      </c>
      <c r="F124" s="604">
        <f t="shared" si="2"/>
        <v>817</v>
      </c>
      <c r="H124" s="73">
        <v>817297</v>
      </c>
      <c r="I124" s="73"/>
      <c r="J124" s="396"/>
    </row>
    <row r="125" spans="1:10" ht="11.25" customHeight="1">
      <c r="A125" s="272"/>
      <c r="B125" s="274"/>
      <c r="F125" s="604">
        <f t="shared" si="2"/>
        <v>0</v>
      </c>
      <c r="H125" s="73"/>
      <c r="I125" s="73"/>
      <c r="J125" s="396"/>
    </row>
    <row r="126" spans="1:10" ht="11.25" customHeight="1">
      <c r="A126" s="272"/>
      <c r="B126" s="274" t="s">
        <v>277</v>
      </c>
      <c r="F126" s="604">
        <f t="shared" si="2"/>
        <v>2701</v>
      </c>
      <c r="H126" s="73">
        <v>2700559</v>
      </c>
      <c r="I126" s="73"/>
      <c r="J126" s="396"/>
    </row>
    <row r="127" spans="1:10" ht="11.25" customHeight="1">
      <c r="A127" s="272"/>
      <c r="B127" s="274"/>
      <c r="F127" s="604">
        <f t="shared" si="2"/>
        <v>0</v>
      </c>
      <c r="H127" s="73"/>
      <c r="I127" s="73"/>
      <c r="J127" s="396"/>
    </row>
    <row r="128" spans="1:10" ht="11.25" customHeight="1">
      <c r="A128" s="272"/>
      <c r="B128" s="274" t="s">
        <v>278</v>
      </c>
      <c r="F128" s="604">
        <f t="shared" si="2"/>
        <v>0</v>
      </c>
      <c r="H128" s="73"/>
      <c r="I128" s="73"/>
      <c r="J128" s="396"/>
    </row>
    <row r="129" spans="1:15" ht="11.25" customHeight="1">
      <c r="A129" s="272"/>
      <c r="B129" s="274" t="s">
        <v>279</v>
      </c>
      <c r="F129" s="604">
        <f t="shared" si="2"/>
        <v>0</v>
      </c>
      <c r="H129" s="73"/>
      <c r="I129" s="73"/>
      <c r="J129" s="396"/>
    </row>
    <row r="130" spans="1:15" ht="11.25" customHeight="1">
      <c r="A130" s="275">
        <v>870000</v>
      </c>
      <c r="B130" s="274" t="s">
        <v>269</v>
      </c>
      <c r="F130" s="604">
        <f t="shared" si="2"/>
        <v>1716</v>
      </c>
      <c r="H130" s="73">
        <v>1716400</v>
      </c>
      <c r="I130" s="73"/>
      <c r="J130" s="396"/>
    </row>
    <row r="131" spans="1:15" ht="11.25" customHeight="1">
      <c r="A131" s="275">
        <v>871000</v>
      </c>
      <c r="B131" s="274" t="s">
        <v>280</v>
      </c>
      <c r="F131" s="604">
        <f t="shared" si="2"/>
        <v>0</v>
      </c>
      <c r="H131" s="73">
        <v>0</v>
      </c>
      <c r="I131" s="73"/>
      <c r="J131" s="396"/>
    </row>
    <row r="132" spans="1:15" ht="11.25" customHeight="1">
      <c r="A132" s="275">
        <v>874000</v>
      </c>
      <c r="B132" s="274" t="s">
        <v>281</v>
      </c>
      <c r="F132" s="604">
        <f t="shared" si="2"/>
        <v>3412</v>
      </c>
      <c r="H132" s="73">
        <v>3411775</v>
      </c>
      <c r="I132" s="73"/>
      <c r="J132" s="396"/>
      <c r="N132" s="119"/>
    </row>
    <row r="133" spans="1:15" ht="11.25" customHeight="1" thickBot="1">
      <c r="A133" s="275">
        <v>875000</v>
      </c>
      <c r="B133" s="274" t="s">
        <v>282</v>
      </c>
      <c r="F133" s="604">
        <f t="shared" si="2"/>
        <v>94</v>
      </c>
      <c r="H133" s="73">
        <v>93505</v>
      </c>
      <c r="I133" s="73"/>
      <c r="J133" s="396"/>
      <c r="N133" s="629"/>
      <c r="O133" s="630"/>
    </row>
    <row r="134" spans="1:15" ht="11.25" customHeight="1" thickTop="1">
      <c r="A134" s="275">
        <v>876000</v>
      </c>
      <c r="B134" s="274" t="s">
        <v>283</v>
      </c>
      <c r="F134" s="604">
        <f t="shared" si="2"/>
        <v>8</v>
      </c>
      <c r="H134" s="73">
        <v>8175</v>
      </c>
      <c r="I134" s="73"/>
      <c r="J134" s="396"/>
    </row>
    <row r="135" spans="1:15" ht="11.25" customHeight="1">
      <c r="A135" s="275">
        <v>877000</v>
      </c>
      <c r="B135" s="274" t="s">
        <v>284</v>
      </c>
      <c r="F135" s="604">
        <f t="shared" si="2"/>
        <v>57</v>
      </c>
      <c r="H135" s="73">
        <v>57473</v>
      </c>
      <c r="I135" s="73"/>
      <c r="J135" s="396"/>
    </row>
    <row r="136" spans="1:15" ht="11.25" customHeight="1">
      <c r="A136" s="275">
        <v>878000</v>
      </c>
      <c r="B136" s="274" t="s">
        <v>285</v>
      </c>
      <c r="F136" s="604">
        <f t="shared" si="2"/>
        <v>412</v>
      </c>
      <c r="H136" s="73">
        <v>411763</v>
      </c>
      <c r="I136" s="73"/>
      <c r="J136" s="396"/>
    </row>
    <row r="137" spans="1:15" ht="11.25" customHeight="1">
      <c r="A137" s="275">
        <v>879000</v>
      </c>
      <c r="B137" s="274" t="s">
        <v>286</v>
      </c>
      <c r="F137" s="604">
        <f t="shared" si="2"/>
        <v>1471</v>
      </c>
      <c r="H137" s="73">
        <v>1471078</v>
      </c>
      <c r="I137" s="73"/>
      <c r="J137" s="396"/>
    </row>
    <row r="138" spans="1:15" ht="11.25" customHeight="1">
      <c r="A138" s="275">
        <v>880000</v>
      </c>
      <c r="B138" s="274" t="s">
        <v>270</v>
      </c>
      <c r="F138" s="604">
        <f t="shared" si="2"/>
        <v>2110</v>
      </c>
      <c r="H138" s="73">
        <v>2110108</v>
      </c>
      <c r="I138" s="73"/>
      <c r="J138" s="396"/>
    </row>
    <row r="139" spans="1:15" ht="11.25" customHeight="1">
      <c r="A139" s="275">
        <v>881000</v>
      </c>
      <c r="B139" s="274" t="s">
        <v>287</v>
      </c>
      <c r="F139" s="604">
        <f t="shared" si="2"/>
        <v>27</v>
      </c>
      <c r="H139" s="73">
        <v>27240</v>
      </c>
      <c r="I139" s="73"/>
      <c r="J139" s="396"/>
    </row>
    <row r="140" spans="1:15" ht="11.25" customHeight="1">
      <c r="A140" s="272"/>
      <c r="B140" s="274"/>
      <c r="F140" s="604">
        <f t="shared" si="2"/>
        <v>0</v>
      </c>
      <c r="H140" s="73"/>
      <c r="I140" s="73"/>
      <c r="J140" s="396"/>
    </row>
    <row r="141" spans="1:15" ht="11.25" customHeight="1">
      <c r="A141" s="272"/>
      <c r="B141" s="274" t="s">
        <v>288</v>
      </c>
      <c r="F141" s="604">
        <f t="shared" si="2"/>
        <v>0</v>
      </c>
      <c r="H141" s="73"/>
      <c r="I141" s="73"/>
      <c r="J141" s="396"/>
    </row>
    <row r="142" spans="1:15" ht="11.25" customHeight="1">
      <c r="A142" s="275">
        <v>885000</v>
      </c>
      <c r="B142" s="274" t="s">
        <v>269</v>
      </c>
      <c r="F142" s="604">
        <f t="shared" si="2"/>
        <v>82</v>
      </c>
      <c r="H142" s="73">
        <v>81761</v>
      </c>
      <c r="I142" s="73"/>
      <c r="J142" s="396"/>
    </row>
    <row r="143" spans="1:15" ht="11.25" customHeight="1">
      <c r="A143" s="275">
        <v>887000</v>
      </c>
      <c r="B143" s="274" t="s">
        <v>289</v>
      </c>
      <c r="F143" s="604">
        <f t="shared" si="2"/>
        <v>770</v>
      </c>
      <c r="H143" s="73">
        <v>770000</v>
      </c>
      <c r="I143" s="73"/>
      <c r="J143" s="396"/>
    </row>
    <row r="144" spans="1:15" ht="11.25" customHeight="1">
      <c r="A144" s="275">
        <v>889000</v>
      </c>
      <c r="B144" s="274" t="s">
        <v>282</v>
      </c>
      <c r="F144" s="604">
        <f t="shared" si="2"/>
        <v>276</v>
      </c>
      <c r="H144" s="73">
        <v>276331</v>
      </c>
      <c r="I144" s="73"/>
      <c r="J144" s="396"/>
    </row>
    <row r="145" spans="1:10" ht="11.25" customHeight="1">
      <c r="A145" s="275">
        <v>890000</v>
      </c>
      <c r="B145" s="274" t="s">
        <v>283</v>
      </c>
      <c r="F145" s="604">
        <f t="shared" si="2"/>
        <v>15</v>
      </c>
      <c r="H145" s="73">
        <v>14903</v>
      </c>
      <c r="I145" s="73"/>
      <c r="J145" s="396"/>
    </row>
    <row r="146" spans="1:10" ht="11.25" customHeight="1">
      <c r="A146" s="275">
        <v>891000</v>
      </c>
      <c r="B146" s="274" t="s">
        <v>284</v>
      </c>
      <c r="F146" s="604">
        <f t="shared" si="2"/>
        <v>66</v>
      </c>
      <c r="H146" s="73">
        <v>65500</v>
      </c>
      <c r="I146" s="73"/>
      <c r="J146" s="396"/>
    </row>
    <row r="147" spans="1:10" ht="11.25" customHeight="1">
      <c r="A147" s="275">
        <v>892000</v>
      </c>
      <c r="B147" s="274" t="s">
        <v>290</v>
      </c>
      <c r="F147" s="604">
        <f t="shared" si="2"/>
        <v>1358</v>
      </c>
      <c r="H147" s="73">
        <v>1358024</v>
      </c>
      <c r="I147" s="73"/>
      <c r="J147" s="396"/>
    </row>
    <row r="148" spans="1:10" ht="11.25" customHeight="1">
      <c r="A148" s="275">
        <v>893000</v>
      </c>
      <c r="B148" s="274" t="s">
        <v>291</v>
      </c>
      <c r="F148" s="604">
        <f t="shared" si="2"/>
        <v>1610</v>
      </c>
      <c r="H148" s="73">
        <v>1610312</v>
      </c>
      <c r="I148" s="73"/>
      <c r="J148" s="396"/>
    </row>
    <row r="149" spans="1:10" ht="11.25" customHeight="1">
      <c r="A149" s="275">
        <v>894000</v>
      </c>
      <c r="B149" s="274" t="s">
        <v>271</v>
      </c>
      <c r="F149" s="604">
        <f t="shared" si="2"/>
        <v>185</v>
      </c>
      <c r="H149" s="73">
        <v>184961</v>
      </c>
      <c r="I149" s="73"/>
      <c r="J149" s="396"/>
    </row>
    <row r="150" spans="1:10" ht="11.25" customHeight="1">
      <c r="A150" s="272"/>
      <c r="B150" s="274" t="s">
        <v>292</v>
      </c>
      <c r="F150" s="604">
        <f t="shared" si="2"/>
        <v>13669</v>
      </c>
      <c r="H150" s="73">
        <v>13669309</v>
      </c>
      <c r="I150" s="73"/>
      <c r="J150" s="396"/>
    </row>
    <row r="151" spans="1:10" ht="11.25" customHeight="1">
      <c r="A151" s="272"/>
      <c r="B151" s="274"/>
      <c r="F151" s="604">
        <f t="shared" si="2"/>
        <v>0</v>
      </c>
      <c r="H151" s="73"/>
      <c r="I151" s="73"/>
      <c r="J151" s="396"/>
    </row>
    <row r="152" spans="1:10" ht="11.25" customHeight="1">
      <c r="A152" s="272"/>
      <c r="B152" s="274" t="s">
        <v>293</v>
      </c>
      <c r="F152" s="604">
        <f t="shared" si="2"/>
        <v>12468</v>
      </c>
      <c r="H152" s="73">
        <v>12468481</v>
      </c>
      <c r="I152" s="73"/>
      <c r="J152" s="396"/>
    </row>
    <row r="153" spans="1:10" ht="11.25" customHeight="1">
      <c r="A153" s="272"/>
      <c r="B153" s="274" t="s">
        <v>275</v>
      </c>
      <c r="F153" s="604">
        <f t="shared" si="2"/>
        <v>13739</v>
      </c>
      <c r="H153" s="73">
        <v>13739392</v>
      </c>
      <c r="I153" s="73"/>
      <c r="J153" s="396"/>
    </row>
    <row r="154" spans="1:10" ht="11.25" customHeight="1">
      <c r="A154" s="272"/>
      <c r="B154" s="274" t="s">
        <v>294</v>
      </c>
      <c r="F154" s="604">
        <f t="shared" si="2"/>
        <v>26208</v>
      </c>
      <c r="H154" s="73">
        <v>26207873</v>
      </c>
      <c r="I154" s="73"/>
      <c r="J154" s="396"/>
    </row>
    <row r="155" spans="1:10" ht="11.25" customHeight="1">
      <c r="A155" s="272"/>
      <c r="B155" s="274"/>
      <c r="F155" s="604">
        <f t="shared" ref="F155:F227" si="3">ROUND(H155/1000,0)</f>
        <v>0</v>
      </c>
      <c r="H155" s="73"/>
      <c r="I155" s="73"/>
      <c r="J155" s="396"/>
    </row>
    <row r="156" spans="1:10" ht="11.25" customHeight="1">
      <c r="A156" s="272"/>
      <c r="B156" s="274" t="s">
        <v>295</v>
      </c>
      <c r="F156" s="604">
        <f t="shared" si="3"/>
        <v>39877</v>
      </c>
      <c r="H156" s="73">
        <v>39877182</v>
      </c>
      <c r="I156" s="73"/>
      <c r="J156" s="396"/>
    </row>
    <row r="157" spans="1:10" ht="11.25" customHeight="1">
      <c r="A157" s="272"/>
      <c r="B157" s="274"/>
      <c r="F157" s="604">
        <f t="shared" si="3"/>
        <v>0</v>
      </c>
      <c r="H157" s="73"/>
      <c r="I157" s="73"/>
      <c r="J157" s="396"/>
    </row>
    <row r="158" spans="1:10" ht="11.25" customHeight="1">
      <c r="A158" s="272"/>
      <c r="B158" s="274" t="s">
        <v>296</v>
      </c>
      <c r="F158" s="604">
        <f t="shared" si="3"/>
        <v>0</v>
      </c>
      <c r="H158" s="73"/>
      <c r="I158" s="73"/>
      <c r="J158" s="396"/>
    </row>
    <row r="159" spans="1:10" ht="11.25" customHeight="1">
      <c r="A159" s="275">
        <v>901000</v>
      </c>
      <c r="B159" s="274" t="s">
        <v>297</v>
      </c>
      <c r="F159" s="604">
        <f t="shared" si="3"/>
        <v>78</v>
      </c>
      <c r="H159" s="73">
        <v>77629</v>
      </c>
      <c r="I159" s="73"/>
      <c r="J159" s="396"/>
    </row>
    <row r="160" spans="1:10" ht="11.25" customHeight="1">
      <c r="A160" s="275">
        <v>902000</v>
      </c>
      <c r="B160" s="274" t="s">
        <v>298</v>
      </c>
      <c r="F160" s="604">
        <f t="shared" si="3"/>
        <v>1669</v>
      </c>
      <c r="H160" s="73">
        <v>1669162</v>
      </c>
      <c r="I160" s="73"/>
      <c r="J160" s="396"/>
    </row>
    <row r="161" spans="1:10" ht="11.25" customHeight="1">
      <c r="A161" s="275" t="s">
        <v>299</v>
      </c>
      <c r="B161" s="274" t="s">
        <v>300</v>
      </c>
      <c r="F161" s="604">
        <f t="shared" si="3"/>
        <v>4469</v>
      </c>
      <c r="H161" s="73">
        <v>4468642</v>
      </c>
      <c r="I161" s="73"/>
      <c r="J161" s="396"/>
    </row>
    <row r="162" spans="1:10" ht="11.25" customHeight="1">
      <c r="A162" s="275">
        <v>904000</v>
      </c>
      <c r="B162" s="274" t="s">
        <v>301</v>
      </c>
      <c r="F162" s="604">
        <f t="shared" si="3"/>
        <v>90</v>
      </c>
      <c r="H162" s="73">
        <v>89876</v>
      </c>
      <c r="I162" s="73"/>
      <c r="J162" s="396"/>
    </row>
    <row r="163" spans="1:10" ht="11.25" customHeight="1">
      <c r="A163" s="275">
        <v>905000</v>
      </c>
      <c r="B163" s="274" t="s">
        <v>302</v>
      </c>
      <c r="F163" s="604">
        <f t="shared" si="3"/>
        <v>93</v>
      </c>
      <c r="H163" s="73">
        <v>92738</v>
      </c>
      <c r="I163" s="73"/>
      <c r="J163" s="396"/>
    </row>
    <row r="164" spans="1:10" ht="11.25" customHeight="1">
      <c r="A164" s="272"/>
      <c r="B164" s="274" t="s">
        <v>303</v>
      </c>
      <c r="F164" s="604">
        <f t="shared" si="3"/>
        <v>6398</v>
      </c>
      <c r="H164" s="73">
        <v>6398047</v>
      </c>
      <c r="I164" s="73"/>
      <c r="J164" s="396"/>
    </row>
    <row r="165" spans="1:10" ht="11.25" customHeight="1">
      <c r="A165" s="272"/>
      <c r="B165" s="274"/>
      <c r="F165" s="604">
        <f t="shared" si="3"/>
        <v>0</v>
      </c>
      <c r="H165" s="73"/>
      <c r="I165" s="73"/>
      <c r="J165" s="396"/>
    </row>
    <row r="166" spans="1:10" ht="11.25" customHeight="1">
      <c r="A166" s="272"/>
      <c r="B166" s="274" t="s">
        <v>304</v>
      </c>
      <c r="F166" s="604">
        <f t="shared" si="3"/>
        <v>0</v>
      </c>
      <c r="H166" s="73"/>
      <c r="I166" s="73"/>
      <c r="J166" s="396"/>
    </row>
    <row r="167" spans="1:10" ht="11.25" customHeight="1">
      <c r="A167" s="275" t="s">
        <v>305</v>
      </c>
      <c r="B167" s="274" t="s">
        <v>306</v>
      </c>
      <c r="F167" s="604">
        <f t="shared" si="3"/>
        <v>8902</v>
      </c>
      <c r="H167" s="73">
        <v>8901554</v>
      </c>
      <c r="I167" s="73"/>
      <c r="J167" s="396"/>
    </row>
    <row r="168" spans="1:10" ht="11.25" customHeight="1">
      <c r="A168" s="275">
        <v>909000</v>
      </c>
      <c r="B168" s="274" t="s">
        <v>307</v>
      </c>
      <c r="F168" s="604">
        <f t="shared" si="3"/>
        <v>644</v>
      </c>
      <c r="H168" s="73">
        <v>643901</v>
      </c>
      <c r="I168" s="73"/>
      <c r="J168" s="396"/>
    </row>
    <row r="169" spans="1:10" ht="11.25" customHeight="1">
      <c r="A169" s="275">
        <v>910000</v>
      </c>
      <c r="B169" s="274" t="s">
        <v>308</v>
      </c>
      <c r="F169" s="604">
        <f t="shared" si="3"/>
        <v>118</v>
      </c>
      <c r="H169" s="73">
        <v>118200</v>
      </c>
      <c r="I169" s="73"/>
      <c r="J169" s="396"/>
    </row>
    <row r="170" spans="1:10" ht="11.25" customHeight="1">
      <c r="A170" s="272"/>
      <c r="B170" s="274" t="s">
        <v>309</v>
      </c>
      <c r="F170" s="604">
        <f t="shared" si="3"/>
        <v>9664</v>
      </c>
      <c r="H170" s="73">
        <v>9663655</v>
      </c>
      <c r="I170" s="73"/>
      <c r="J170" s="396"/>
    </row>
    <row r="171" spans="1:10" ht="11.25" customHeight="1">
      <c r="A171" s="272"/>
      <c r="B171" s="274"/>
      <c r="F171" s="604">
        <f t="shared" si="3"/>
        <v>0</v>
      </c>
      <c r="H171" s="73"/>
      <c r="I171" s="73"/>
      <c r="J171" s="396"/>
    </row>
    <row r="172" spans="1:10" ht="11.25" customHeight="1">
      <c r="A172" s="272"/>
      <c r="B172" s="274" t="s">
        <v>310</v>
      </c>
      <c r="F172" s="604">
        <f t="shared" si="3"/>
        <v>0</v>
      </c>
      <c r="H172" s="73"/>
      <c r="I172" s="73"/>
      <c r="J172" s="396"/>
    </row>
    <row r="173" spans="1:10" ht="11.25" customHeight="1">
      <c r="A173" s="275">
        <v>912000</v>
      </c>
      <c r="B173" s="274" t="s">
        <v>311</v>
      </c>
      <c r="F173" s="604">
        <f t="shared" si="3"/>
        <v>0</v>
      </c>
      <c r="H173" s="73">
        <v>0</v>
      </c>
      <c r="I173" s="73"/>
      <c r="J173" s="396"/>
    </row>
    <row r="174" spans="1:10" ht="11.25" customHeight="1">
      <c r="A174" s="275">
        <v>913000</v>
      </c>
      <c r="B174" s="274" t="s">
        <v>307</v>
      </c>
      <c r="F174" s="604">
        <f t="shared" si="3"/>
        <v>0</v>
      </c>
      <c r="H174" s="73">
        <v>0</v>
      </c>
      <c r="I174" s="73"/>
      <c r="J174" s="396"/>
    </row>
    <row r="175" spans="1:10" ht="11.25" customHeight="1">
      <c r="A175" s="275">
        <v>916000</v>
      </c>
      <c r="B175" s="274" t="s">
        <v>312</v>
      </c>
      <c r="F175" s="604">
        <f t="shared" si="3"/>
        <v>0</v>
      </c>
      <c r="H175" s="73">
        <v>0</v>
      </c>
      <c r="I175" s="73"/>
      <c r="J175" s="396"/>
    </row>
    <row r="176" spans="1:10" ht="11.25" customHeight="1">
      <c r="A176" s="272"/>
      <c r="B176" s="274" t="s">
        <v>313</v>
      </c>
      <c r="F176" s="604">
        <f t="shared" si="3"/>
        <v>0</v>
      </c>
      <c r="H176" s="73">
        <v>0</v>
      </c>
      <c r="I176" s="73"/>
      <c r="J176" s="396"/>
    </row>
    <row r="177" spans="1:10" ht="11.25" customHeight="1">
      <c r="A177" s="272"/>
      <c r="B177" s="274"/>
      <c r="F177" s="604">
        <f t="shared" si="3"/>
        <v>0</v>
      </c>
      <c r="H177" s="73"/>
      <c r="I177" s="73"/>
      <c r="J177" s="396"/>
    </row>
    <row r="178" spans="1:10" ht="11.25" customHeight="1">
      <c r="A178" s="272"/>
      <c r="B178" s="274" t="s">
        <v>314</v>
      </c>
      <c r="F178" s="604">
        <f t="shared" si="3"/>
        <v>0</v>
      </c>
      <c r="H178" s="73"/>
      <c r="I178" s="73"/>
      <c r="J178" s="396"/>
    </row>
    <row r="179" spans="1:10" ht="11.25" customHeight="1">
      <c r="A179" s="275">
        <v>920000</v>
      </c>
      <c r="B179" s="274" t="s">
        <v>315</v>
      </c>
      <c r="F179" s="604">
        <f t="shared" si="3"/>
        <v>6966</v>
      </c>
      <c r="H179" s="73">
        <v>6965982</v>
      </c>
      <c r="I179" s="73"/>
      <c r="J179" s="396"/>
    </row>
    <row r="180" spans="1:10" ht="11.25" customHeight="1">
      <c r="A180" s="275">
        <v>921000</v>
      </c>
      <c r="B180" s="274" t="s">
        <v>316</v>
      </c>
      <c r="F180" s="604">
        <f t="shared" si="3"/>
        <v>973</v>
      </c>
      <c r="H180" s="73">
        <v>973038</v>
      </c>
      <c r="I180" s="73"/>
      <c r="J180" s="396"/>
    </row>
    <row r="181" spans="1:10" ht="11.25" customHeight="1">
      <c r="A181" s="275">
        <v>922000</v>
      </c>
      <c r="B181" s="274" t="s">
        <v>317</v>
      </c>
      <c r="F181" s="604">
        <f t="shared" si="3"/>
        <v>-13</v>
      </c>
      <c r="H181" s="73">
        <v>-12863</v>
      </c>
      <c r="I181" s="73"/>
      <c r="J181" s="396"/>
    </row>
    <row r="182" spans="1:10" ht="11.25" customHeight="1">
      <c r="A182" s="275">
        <v>923000</v>
      </c>
      <c r="B182" s="274" t="s">
        <v>318</v>
      </c>
      <c r="F182" s="604">
        <f t="shared" si="3"/>
        <v>1950</v>
      </c>
      <c r="H182" s="73">
        <v>1949546</v>
      </c>
      <c r="I182" s="73"/>
      <c r="J182" s="396"/>
    </row>
    <row r="183" spans="1:10" ht="11.25" customHeight="1">
      <c r="A183" s="275">
        <v>924000</v>
      </c>
      <c r="B183" s="274" t="s">
        <v>319</v>
      </c>
      <c r="F183" s="604">
        <f t="shared" si="3"/>
        <v>248</v>
      </c>
      <c r="H183" s="73">
        <v>247872</v>
      </c>
      <c r="I183" s="73"/>
      <c r="J183" s="396"/>
    </row>
    <row r="184" spans="1:10" ht="11.25" customHeight="1">
      <c r="A184" s="272" t="s">
        <v>320</v>
      </c>
      <c r="B184" s="274" t="s">
        <v>321</v>
      </c>
      <c r="F184" s="604">
        <f t="shared" si="3"/>
        <v>596</v>
      </c>
      <c r="H184" s="73">
        <v>595616</v>
      </c>
      <c r="I184" s="73"/>
      <c r="J184" s="396"/>
    </row>
    <row r="185" spans="1:10" ht="11.25" customHeight="1">
      <c r="A185" s="272" t="s">
        <v>322</v>
      </c>
      <c r="B185" s="274" t="s">
        <v>323</v>
      </c>
      <c r="F185" s="604">
        <f t="shared" si="3"/>
        <v>416</v>
      </c>
      <c r="H185" s="73">
        <v>415933</v>
      </c>
      <c r="I185" s="73"/>
      <c r="J185" s="396"/>
    </row>
    <row r="186" spans="1:10" ht="11.25" customHeight="1">
      <c r="A186" s="275">
        <v>928000</v>
      </c>
      <c r="B186" s="274" t="s">
        <v>324</v>
      </c>
      <c r="F186" s="604">
        <f t="shared" si="3"/>
        <v>801</v>
      </c>
      <c r="H186" s="73">
        <v>801039</v>
      </c>
      <c r="I186" s="73"/>
      <c r="J186" s="396"/>
    </row>
    <row r="187" spans="1:10" ht="11.25" customHeight="1">
      <c r="A187" s="275">
        <v>930000</v>
      </c>
      <c r="B187" s="274" t="s">
        <v>325</v>
      </c>
      <c r="F187" s="604">
        <f t="shared" si="3"/>
        <v>962</v>
      </c>
      <c r="H187" s="73">
        <v>962328</v>
      </c>
      <c r="I187" s="73"/>
      <c r="J187" s="396"/>
    </row>
    <row r="188" spans="1:10" ht="11.25" customHeight="1">
      <c r="A188" s="275">
        <v>931000</v>
      </c>
      <c r="B188" s="274" t="s">
        <v>287</v>
      </c>
      <c r="F188" s="604">
        <f t="shared" si="3"/>
        <v>72</v>
      </c>
      <c r="H188" s="73">
        <v>71724</v>
      </c>
      <c r="I188" s="73"/>
      <c r="J188" s="396"/>
    </row>
    <row r="189" spans="1:10" ht="11.25" customHeight="1">
      <c r="A189" s="275">
        <v>935000</v>
      </c>
      <c r="B189" s="274" t="s">
        <v>326</v>
      </c>
      <c r="F189" s="604">
        <f t="shared" si="3"/>
        <v>2726</v>
      </c>
      <c r="H189" s="73">
        <v>2725885</v>
      </c>
      <c r="I189" s="73"/>
      <c r="J189" s="396"/>
    </row>
    <row r="190" spans="1:10" ht="11.25" customHeight="1">
      <c r="A190" s="272"/>
      <c r="B190" s="274" t="s">
        <v>327</v>
      </c>
      <c r="F190" s="604">
        <f t="shared" si="3"/>
        <v>15696</v>
      </c>
      <c r="H190" s="73">
        <v>15696100</v>
      </c>
      <c r="I190" s="73"/>
      <c r="J190" s="396"/>
    </row>
    <row r="191" spans="1:10" ht="11.25" customHeight="1">
      <c r="A191" s="272"/>
      <c r="B191" s="274"/>
      <c r="F191" s="604">
        <f t="shared" si="3"/>
        <v>0</v>
      </c>
      <c r="H191" s="73"/>
      <c r="I191" s="73"/>
      <c r="J191" s="396"/>
    </row>
    <row r="192" spans="1:10" ht="11.25" customHeight="1">
      <c r="A192" s="272"/>
      <c r="B192" s="274" t="s">
        <v>328</v>
      </c>
      <c r="F192" s="604">
        <f t="shared" si="3"/>
        <v>5201</v>
      </c>
      <c r="H192" s="73">
        <v>5200792</v>
      </c>
      <c r="I192" s="73"/>
      <c r="J192" s="396"/>
    </row>
    <row r="193" spans="1:10" ht="11.25" customHeight="1">
      <c r="A193" s="272"/>
      <c r="B193" s="274" t="s">
        <v>329</v>
      </c>
      <c r="F193" s="604">
        <f t="shared" si="3"/>
        <v>124</v>
      </c>
      <c r="H193" s="73">
        <v>124301</v>
      </c>
      <c r="I193" s="73"/>
      <c r="J193" s="396"/>
    </row>
    <row r="194" spans="1:10" ht="11.25" customHeight="1">
      <c r="A194" s="272"/>
      <c r="B194" s="274" t="s">
        <v>330</v>
      </c>
      <c r="F194" s="604">
        <f t="shared" si="3"/>
        <v>5353</v>
      </c>
      <c r="H194" s="73">
        <v>5352917</v>
      </c>
      <c r="I194" s="73"/>
      <c r="J194" s="396"/>
    </row>
    <row r="195" spans="1:10" ht="11.25" customHeight="1">
      <c r="A195" s="273"/>
      <c r="B195" s="274" t="s">
        <v>331</v>
      </c>
      <c r="F195" s="604">
        <f t="shared" si="3"/>
        <v>0</v>
      </c>
      <c r="H195" s="73">
        <v>-6</v>
      </c>
      <c r="I195" s="73"/>
      <c r="J195" s="396"/>
    </row>
    <row r="196" spans="1:10" ht="11.25" customHeight="1">
      <c r="A196" s="279">
        <v>407025</v>
      </c>
      <c r="B196" s="274" t="s">
        <v>332</v>
      </c>
      <c r="F196" s="604">
        <f t="shared" si="3"/>
        <v>0</v>
      </c>
      <c r="H196" s="73">
        <v>0</v>
      </c>
      <c r="I196" s="73"/>
      <c r="J196" s="396" t="s">
        <v>332</v>
      </c>
    </row>
    <row r="197" spans="1:10" ht="11.25" customHeight="1">
      <c r="A197" s="275">
        <v>407229</v>
      </c>
      <c r="B197" s="274" t="s">
        <v>455</v>
      </c>
      <c r="F197" s="604">
        <f t="shared" si="3"/>
        <v>0</v>
      </c>
      <c r="H197" s="73">
        <v>0</v>
      </c>
      <c r="I197" s="73"/>
      <c r="J197" s="396" t="s">
        <v>455</v>
      </c>
    </row>
    <row r="198" spans="1:10" ht="11.25" customHeight="1">
      <c r="A198" s="275">
        <v>407230</v>
      </c>
      <c r="B198" s="274" t="s">
        <v>509</v>
      </c>
      <c r="F198" s="604">
        <f t="shared" si="3"/>
        <v>-1205</v>
      </c>
      <c r="H198" s="73">
        <v>-1205040</v>
      </c>
      <c r="I198" s="73"/>
      <c r="J198" s="396" t="s">
        <v>509</v>
      </c>
    </row>
    <row r="199" spans="1:10" ht="11.25" customHeight="1">
      <c r="A199" s="275">
        <v>407302</v>
      </c>
      <c r="B199" s="274" t="s">
        <v>510</v>
      </c>
      <c r="F199" s="604">
        <f t="shared" si="3"/>
        <v>584</v>
      </c>
      <c r="H199" s="73">
        <v>584253</v>
      </c>
      <c r="I199" s="73"/>
      <c r="J199" s="396" t="s">
        <v>510</v>
      </c>
    </row>
    <row r="200" spans="1:10" ht="11.25" customHeight="1">
      <c r="A200" s="275">
        <v>407305</v>
      </c>
      <c r="B200" s="396" t="s">
        <v>528</v>
      </c>
      <c r="F200" s="604">
        <f t="shared" si="3"/>
        <v>0</v>
      </c>
      <c r="H200" s="73">
        <v>0</v>
      </c>
      <c r="I200" s="73"/>
      <c r="J200" s="396" t="s">
        <v>528</v>
      </c>
    </row>
    <row r="201" spans="1:10" ht="11.25" customHeight="1">
      <c r="A201" s="275">
        <v>407311</v>
      </c>
      <c r="B201" s="274" t="s">
        <v>511</v>
      </c>
      <c r="F201" s="604">
        <f t="shared" si="3"/>
        <v>79</v>
      </c>
      <c r="H201" s="73">
        <v>79179</v>
      </c>
      <c r="I201" s="73"/>
      <c r="J201" s="397" t="s">
        <v>511</v>
      </c>
    </row>
    <row r="202" spans="1:10" ht="11.25" customHeight="1">
      <c r="A202" s="275">
        <v>407319</v>
      </c>
      <c r="B202" s="274" t="s">
        <v>512</v>
      </c>
      <c r="F202" s="604">
        <f t="shared" si="3"/>
        <v>229</v>
      </c>
      <c r="H202" s="73">
        <v>229489</v>
      </c>
      <c r="I202" s="73"/>
      <c r="J202" s="397" t="s">
        <v>512</v>
      </c>
    </row>
    <row r="203" spans="1:10" ht="11.25" customHeight="1">
      <c r="A203" s="275">
        <v>407332</v>
      </c>
      <c r="B203" s="274" t="s">
        <v>513</v>
      </c>
      <c r="F203" s="604">
        <f t="shared" si="3"/>
        <v>11</v>
      </c>
      <c r="H203" s="73">
        <v>10957</v>
      </c>
      <c r="I203" s="73"/>
      <c r="J203" s="397" t="s">
        <v>513</v>
      </c>
    </row>
    <row r="204" spans="1:10" ht="11.25" customHeight="1">
      <c r="A204" s="275">
        <v>407335</v>
      </c>
      <c r="B204" s="274" t="s">
        <v>333</v>
      </c>
      <c r="F204" s="604">
        <f t="shared" si="3"/>
        <v>0</v>
      </c>
      <c r="H204" s="73">
        <v>0</v>
      </c>
      <c r="I204" s="73"/>
      <c r="J204" s="397" t="s">
        <v>333</v>
      </c>
    </row>
    <row r="205" spans="1:10" ht="11.25" customHeight="1">
      <c r="A205" s="275" t="s">
        <v>514</v>
      </c>
      <c r="B205" s="274" t="s">
        <v>515</v>
      </c>
      <c r="F205" s="604">
        <f t="shared" si="3"/>
        <v>0</v>
      </c>
      <c r="H205" s="73">
        <v>0</v>
      </c>
      <c r="I205" s="73"/>
      <c r="J205" s="396" t="s">
        <v>515</v>
      </c>
    </row>
    <row r="206" spans="1:10" ht="11.25" customHeight="1">
      <c r="A206" s="275" t="s">
        <v>516</v>
      </c>
      <c r="B206" s="274" t="s">
        <v>517</v>
      </c>
      <c r="F206" s="604">
        <f t="shared" si="3"/>
        <v>-462</v>
      </c>
      <c r="H206" s="73">
        <v>-462395</v>
      </c>
      <c r="I206" s="73"/>
      <c r="J206" s="396" t="s">
        <v>517</v>
      </c>
    </row>
    <row r="207" spans="1:10" ht="11.25" customHeight="1">
      <c r="A207" s="275" t="s">
        <v>334</v>
      </c>
      <c r="B207" s="274" t="s">
        <v>335</v>
      </c>
      <c r="F207" s="604">
        <f t="shared" si="3"/>
        <v>0</v>
      </c>
      <c r="H207" s="73">
        <v>0</v>
      </c>
      <c r="I207" s="73"/>
      <c r="J207" s="396" t="s">
        <v>335</v>
      </c>
    </row>
    <row r="208" spans="1:10" ht="15.75">
      <c r="A208" s="275" t="s">
        <v>518</v>
      </c>
      <c r="B208" s="274" t="s">
        <v>519</v>
      </c>
      <c r="F208" s="604">
        <f t="shared" si="3"/>
        <v>-2239</v>
      </c>
      <c r="H208" s="73">
        <v>-2239164</v>
      </c>
      <c r="I208" s="73"/>
      <c r="J208" s="396" t="s">
        <v>529</v>
      </c>
    </row>
    <row r="209" spans="1:10" ht="15.75">
      <c r="A209" s="398" t="s">
        <v>458</v>
      </c>
      <c r="B209" s="396" t="s">
        <v>457</v>
      </c>
      <c r="F209" s="604">
        <f t="shared" si="3"/>
        <v>0</v>
      </c>
      <c r="H209" s="73">
        <v>0</v>
      </c>
      <c r="I209" s="73"/>
      <c r="J209" s="396" t="s">
        <v>457</v>
      </c>
    </row>
    <row r="210" spans="1:10" ht="15.75">
      <c r="A210" s="272"/>
      <c r="B210" s="274" t="s">
        <v>336</v>
      </c>
      <c r="F210" s="604">
        <f t="shared" si="3"/>
        <v>7675</v>
      </c>
      <c r="H210" s="73">
        <v>7675283</v>
      </c>
      <c r="I210" s="73"/>
      <c r="J210" s="396"/>
    </row>
    <row r="211" spans="1:10" ht="15.75">
      <c r="A211" s="272"/>
      <c r="B211" s="274"/>
      <c r="F211" s="604">
        <f t="shared" si="3"/>
        <v>0</v>
      </c>
      <c r="H211" s="73"/>
      <c r="I211" s="73"/>
      <c r="J211" s="396"/>
    </row>
    <row r="212" spans="1:10" ht="15.75">
      <c r="A212" s="275"/>
      <c r="B212" s="274" t="s">
        <v>337</v>
      </c>
      <c r="F212" s="604">
        <f t="shared" si="3"/>
        <v>23371</v>
      </c>
      <c r="H212" s="73">
        <v>23371383</v>
      </c>
      <c r="I212" s="73"/>
      <c r="J212" s="396"/>
    </row>
    <row r="213" spans="1:10" ht="15.75">
      <c r="A213" s="275"/>
      <c r="B213" s="274"/>
      <c r="F213" s="604">
        <f t="shared" si="3"/>
        <v>0</v>
      </c>
      <c r="H213" s="73"/>
      <c r="I213" s="73"/>
      <c r="J213" s="396"/>
    </row>
    <row r="214" spans="1:10" ht="11.25" customHeight="1">
      <c r="A214" s="275"/>
      <c r="B214" s="274" t="s">
        <v>338</v>
      </c>
      <c r="F214" s="604">
        <f t="shared" si="3"/>
        <v>181583</v>
      </c>
      <c r="H214" s="73">
        <v>181582880</v>
      </c>
      <c r="I214" s="73"/>
      <c r="J214" s="396"/>
    </row>
    <row r="215" spans="1:10" ht="11.25" customHeight="1">
      <c r="A215" s="275"/>
      <c r="B215" s="274"/>
      <c r="F215" s="604">
        <f t="shared" si="3"/>
        <v>0</v>
      </c>
      <c r="H215" s="73"/>
      <c r="I215" s="73"/>
      <c r="J215" s="396"/>
    </row>
    <row r="216" spans="1:10" ht="11.25" customHeight="1">
      <c r="A216" s="275"/>
      <c r="B216" s="274" t="s">
        <v>339</v>
      </c>
      <c r="F216" s="604">
        <f t="shared" si="3"/>
        <v>26243</v>
      </c>
      <c r="H216" s="73">
        <v>26242565</v>
      </c>
      <c r="I216" s="73"/>
      <c r="J216" s="396"/>
    </row>
    <row r="217" spans="1:10" ht="11.25" customHeight="1">
      <c r="A217" s="275"/>
      <c r="B217" s="274"/>
      <c r="F217" s="604">
        <f t="shared" si="3"/>
        <v>0</v>
      </c>
      <c r="H217" s="73"/>
      <c r="I217" s="73"/>
      <c r="J217" s="396"/>
    </row>
    <row r="218" spans="1:10" ht="11.25" customHeight="1">
      <c r="A218" s="275"/>
      <c r="B218" s="274" t="s">
        <v>55</v>
      </c>
      <c r="F218" s="604">
        <f t="shared" si="3"/>
        <v>-4720</v>
      </c>
      <c r="H218" s="73">
        <v>-4719700</v>
      </c>
      <c r="I218" s="73"/>
      <c r="J218" s="396"/>
    </row>
    <row r="219" spans="1:10" ht="15.75">
      <c r="A219" s="275"/>
      <c r="B219" s="274" t="s">
        <v>340</v>
      </c>
      <c r="F219" s="604">
        <f t="shared" si="3"/>
        <v>6501</v>
      </c>
      <c r="H219" s="73">
        <v>6500601</v>
      </c>
      <c r="I219" s="73"/>
      <c r="J219" s="396"/>
    </row>
    <row r="220" spans="1:10" ht="15.75">
      <c r="A220" s="275"/>
      <c r="B220" s="274" t="s">
        <v>341</v>
      </c>
      <c r="F220" s="604">
        <f t="shared" si="3"/>
        <v>-12</v>
      </c>
      <c r="H220" s="73">
        <v>-12048</v>
      </c>
      <c r="I220" s="73"/>
      <c r="J220" s="396"/>
    </row>
    <row r="221" spans="1:10" ht="11.25" customHeight="1">
      <c r="A221" s="272"/>
      <c r="B221" s="554" t="s">
        <v>342</v>
      </c>
      <c r="C221" s="631"/>
      <c r="D221" s="631"/>
      <c r="E221" s="632"/>
      <c r="F221" s="633">
        <f t="shared" si="3"/>
        <v>24474</v>
      </c>
      <c r="G221" s="632"/>
      <c r="H221" s="634">
        <v>24473712</v>
      </c>
    </row>
    <row r="222" spans="1:10" ht="11.25" customHeight="1">
      <c r="F222" s="604">
        <f t="shared" si="3"/>
        <v>0</v>
      </c>
      <c r="J222" s="399"/>
    </row>
    <row r="223" spans="1:10" ht="11.25" customHeight="1">
      <c r="A223" s="280"/>
      <c r="B223" s="281" t="s">
        <v>105</v>
      </c>
      <c r="F223" s="604">
        <f t="shared" si="3"/>
        <v>0</v>
      </c>
      <c r="J223" s="399"/>
    </row>
    <row r="224" spans="1:10" ht="11.25" customHeight="1">
      <c r="A224" s="280"/>
      <c r="B224" s="281" t="s">
        <v>343</v>
      </c>
      <c r="F224" s="604">
        <f t="shared" si="3"/>
        <v>0</v>
      </c>
      <c r="I224" s="73"/>
      <c r="J224" s="400"/>
    </row>
    <row r="225" spans="1:10" ht="11.25" customHeight="1">
      <c r="A225" s="282">
        <v>303000</v>
      </c>
      <c r="B225" s="283" t="s">
        <v>344</v>
      </c>
      <c r="F225" s="604">
        <f t="shared" si="3"/>
        <v>2522</v>
      </c>
      <c r="H225" s="73">
        <v>2522414</v>
      </c>
      <c r="I225" s="73"/>
      <c r="J225" s="399"/>
    </row>
    <row r="226" spans="1:10" ht="11.25" customHeight="1">
      <c r="A226" s="284" t="s">
        <v>345</v>
      </c>
      <c r="B226" s="281" t="s">
        <v>346</v>
      </c>
      <c r="F226" s="604">
        <f t="shared" si="3"/>
        <v>39910</v>
      </c>
      <c r="H226" s="73">
        <v>39909991</v>
      </c>
      <c r="I226" s="73"/>
      <c r="J226" s="399"/>
    </row>
    <row r="227" spans="1:10" ht="11.25" customHeight="1">
      <c r="A227" s="285"/>
      <c r="B227" s="281" t="s">
        <v>347</v>
      </c>
      <c r="F227" s="604">
        <f t="shared" si="3"/>
        <v>42432</v>
      </c>
      <c r="H227" s="73">
        <v>42432405</v>
      </c>
      <c r="I227" s="73"/>
      <c r="J227" s="399"/>
    </row>
    <row r="228" spans="1:10" ht="11.25" customHeight="1">
      <c r="A228" s="285"/>
      <c r="B228" s="281"/>
      <c r="F228" s="604">
        <f t="shared" ref="F228:F293" si="4">ROUND(H228/1000,0)</f>
        <v>0</v>
      </c>
      <c r="H228" s="73"/>
      <c r="I228" s="73"/>
      <c r="J228" s="399"/>
    </row>
    <row r="229" spans="1:10" ht="11.25" customHeight="1">
      <c r="A229" s="285"/>
      <c r="B229" s="281" t="s">
        <v>348</v>
      </c>
      <c r="F229" s="604">
        <f t="shared" si="4"/>
        <v>0</v>
      </c>
      <c r="H229" s="73"/>
      <c r="I229" s="73"/>
      <c r="J229" s="399"/>
    </row>
    <row r="230" spans="1:10" ht="11.25" customHeight="1">
      <c r="A230" s="286" t="s">
        <v>349</v>
      </c>
      <c r="B230" s="281" t="s">
        <v>350</v>
      </c>
      <c r="F230" s="604">
        <f t="shared" si="4"/>
        <v>912</v>
      </c>
      <c r="H230" s="73">
        <v>911631</v>
      </c>
      <c r="I230" s="73"/>
      <c r="J230" s="399"/>
    </row>
    <row r="231" spans="1:10" ht="11.25" customHeight="1">
      <c r="A231" s="286" t="s">
        <v>351</v>
      </c>
      <c r="B231" s="281" t="s">
        <v>352</v>
      </c>
      <c r="F231" s="604">
        <f t="shared" si="4"/>
        <v>1897</v>
      </c>
      <c r="H231" s="73">
        <v>1897389</v>
      </c>
      <c r="I231" s="73"/>
      <c r="J231" s="399"/>
    </row>
    <row r="232" spans="1:10" ht="11.25" customHeight="1">
      <c r="A232" s="286" t="s">
        <v>353</v>
      </c>
      <c r="B232" s="281" t="s">
        <v>354</v>
      </c>
      <c r="F232" s="604">
        <f t="shared" si="4"/>
        <v>13706</v>
      </c>
      <c r="H232" s="73">
        <v>13705887</v>
      </c>
      <c r="I232" s="73"/>
      <c r="J232" s="399"/>
    </row>
    <row r="233" spans="1:10" ht="11.25" customHeight="1">
      <c r="A233" s="286">
        <v>353000</v>
      </c>
      <c r="B233" s="281" t="s">
        <v>355</v>
      </c>
      <c r="F233" s="604">
        <f t="shared" si="4"/>
        <v>805</v>
      </c>
      <c r="H233" s="73">
        <v>804510</v>
      </c>
      <c r="I233" s="73"/>
      <c r="J233" s="399"/>
    </row>
    <row r="234" spans="1:10" ht="11.25" customHeight="1">
      <c r="A234" s="286">
        <v>354000</v>
      </c>
      <c r="B234" s="281" t="s">
        <v>356</v>
      </c>
      <c r="F234" s="604">
        <f t="shared" si="4"/>
        <v>9056</v>
      </c>
      <c r="H234" s="73">
        <v>9055590</v>
      </c>
      <c r="I234" s="73"/>
      <c r="J234" s="399"/>
    </row>
    <row r="235" spans="1:10" ht="11.25" customHeight="1">
      <c r="A235" s="286">
        <v>355000</v>
      </c>
      <c r="B235" s="281" t="s">
        <v>357</v>
      </c>
      <c r="F235" s="604">
        <f t="shared" si="4"/>
        <v>1098</v>
      </c>
      <c r="H235" s="73">
        <v>1097651</v>
      </c>
      <c r="I235" s="73"/>
      <c r="J235" s="399"/>
    </row>
    <row r="236" spans="1:10" ht="11.25" customHeight="1">
      <c r="A236" s="286">
        <v>356000</v>
      </c>
      <c r="B236" s="281" t="s">
        <v>358</v>
      </c>
      <c r="F236" s="604">
        <f t="shared" si="4"/>
        <v>289</v>
      </c>
      <c r="H236" s="73">
        <v>289412</v>
      </c>
      <c r="I236" s="73"/>
      <c r="J236" s="399"/>
    </row>
    <row r="237" spans="1:10" ht="11.25" customHeight="1">
      <c r="A237" s="286">
        <v>357000</v>
      </c>
      <c r="B237" s="281" t="s">
        <v>271</v>
      </c>
      <c r="F237" s="604">
        <f t="shared" si="4"/>
        <v>1952</v>
      </c>
      <c r="H237" s="73">
        <v>1951521</v>
      </c>
      <c r="I237" s="73"/>
      <c r="J237" s="399"/>
    </row>
    <row r="238" spans="1:10" ht="11.25" customHeight="1">
      <c r="A238" s="286"/>
      <c r="B238" s="281" t="s">
        <v>359</v>
      </c>
      <c r="F238" s="604">
        <f t="shared" si="4"/>
        <v>29714</v>
      </c>
      <c r="H238" s="73">
        <v>29713591</v>
      </c>
      <c r="I238" s="73"/>
      <c r="J238" s="399"/>
    </row>
    <row r="239" spans="1:10" ht="11.25" customHeight="1">
      <c r="A239" s="286"/>
      <c r="B239" s="281"/>
      <c r="F239" s="604">
        <f t="shared" si="4"/>
        <v>0</v>
      </c>
      <c r="H239" s="73"/>
      <c r="I239" s="73"/>
      <c r="J239" s="399"/>
    </row>
    <row r="240" spans="1:10" ht="11.25" customHeight="1">
      <c r="A240" s="286"/>
      <c r="B240" s="281" t="s">
        <v>360</v>
      </c>
      <c r="F240" s="604">
        <f t="shared" si="4"/>
        <v>0</v>
      </c>
      <c r="H240" s="73"/>
      <c r="I240" s="73"/>
      <c r="J240" s="399"/>
    </row>
    <row r="241" spans="1:10" ht="11.25" customHeight="1">
      <c r="A241" s="286">
        <v>374200</v>
      </c>
      <c r="B241" s="281" t="s">
        <v>350</v>
      </c>
      <c r="F241" s="604">
        <f t="shared" si="4"/>
        <v>64</v>
      </c>
      <c r="H241" s="73">
        <v>63925</v>
      </c>
      <c r="I241" s="73"/>
      <c r="J241" s="399"/>
    </row>
    <row r="242" spans="1:10" ht="11.25" customHeight="1">
      <c r="A242" s="286">
        <v>374400</v>
      </c>
      <c r="B242" s="281" t="s">
        <v>350</v>
      </c>
      <c r="F242" s="604">
        <f t="shared" si="4"/>
        <v>332</v>
      </c>
      <c r="H242" s="73">
        <v>331807</v>
      </c>
      <c r="I242" s="73"/>
      <c r="J242" s="399"/>
    </row>
    <row r="243" spans="1:10" ht="11.25" customHeight="1">
      <c r="A243" s="286">
        <v>375000</v>
      </c>
      <c r="B243" s="281" t="s">
        <v>352</v>
      </c>
      <c r="F243" s="604">
        <f t="shared" si="4"/>
        <v>808</v>
      </c>
      <c r="H243" s="73">
        <v>808155</v>
      </c>
      <c r="I243" s="73"/>
      <c r="J243" s="401"/>
    </row>
    <row r="244" spans="1:10" ht="11.25" customHeight="1">
      <c r="A244" s="286">
        <v>376000</v>
      </c>
      <c r="B244" s="287" t="s">
        <v>289</v>
      </c>
      <c r="F244" s="604">
        <f t="shared" si="4"/>
        <v>248466</v>
      </c>
      <c r="H244" s="73">
        <v>248465835</v>
      </c>
      <c r="I244" s="73"/>
      <c r="J244" s="399"/>
    </row>
    <row r="245" spans="1:10" ht="11.25" customHeight="1">
      <c r="A245" s="286">
        <v>378000</v>
      </c>
      <c r="B245" s="281" t="s">
        <v>361</v>
      </c>
      <c r="F245" s="604">
        <f t="shared" si="4"/>
        <v>4122</v>
      </c>
      <c r="H245" s="73">
        <v>4122097</v>
      </c>
      <c r="I245" s="73"/>
      <c r="J245" s="399"/>
    </row>
    <row r="246" spans="1:10" ht="11.25" customHeight="1">
      <c r="A246" s="286">
        <v>379000</v>
      </c>
      <c r="B246" s="281" t="s">
        <v>362</v>
      </c>
      <c r="F246" s="604">
        <f t="shared" si="4"/>
        <v>1880</v>
      </c>
      <c r="H246" s="73">
        <v>1879782</v>
      </c>
      <c r="I246" s="73"/>
      <c r="J246" s="399"/>
    </row>
    <row r="247" spans="1:10" ht="11.25" customHeight="1">
      <c r="A247" s="286">
        <v>380000</v>
      </c>
      <c r="B247" s="281" t="s">
        <v>290</v>
      </c>
      <c r="F247" s="604">
        <f t="shared" si="4"/>
        <v>185716</v>
      </c>
      <c r="H247" s="73">
        <v>185715840</v>
      </c>
      <c r="I247" s="73"/>
      <c r="J247" s="399"/>
    </row>
    <row r="248" spans="1:10" ht="11.25" customHeight="1">
      <c r="A248" s="286">
        <v>381000</v>
      </c>
      <c r="B248" s="281" t="s">
        <v>363</v>
      </c>
      <c r="F248" s="604">
        <f t="shared" si="4"/>
        <v>61627</v>
      </c>
      <c r="H248" s="73">
        <v>61626618</v>
      </c>
      <c r="I248" s="73"/>
      <c r="J248" s="399"/>
    </row>
    <row r="249" spans="1:10" ht="11.25" customHeight="1">
      <c r="A249" s="286">
        <v>382000</v>
      </c>
      <c r="B249" s="281" t="s">
        <v>364</v>
      </c>
      <c r="F249" s="604">
        <f t="shared" si="4"/>
        <v>0</v>
      </c>
      <c r="H249" s="73">
        <v>0</v>
      </c>
      <c r="I249" s="73"/>
      <c r="J249" s="399"/>
    </row>
    <row r="250" spans="1:10" ht="11.25" customHeight="1">
      <c r="A250" s="286">
        <v>383000</v>
      </c>
      <c r="B250" s="281" t="s">
        <v>365</v>
      </c>
      <c r="F250" s="604">
        <f t="shared" si="4"/>
        <v>0</v>
      </c>
      <c r="H250" s="73">
        <v>0</v>
      </c>
      <c r="I250" s="73"/>
      <c r="J250" s="399"/>
    </row>
    <row r="251" spans="1:10" ht="11.25" customHeight="1">
      <c r="A251" s="286">
        <v>384000</v>
      </c>
      <c r="B251" s="281" t="s">
        <v>366</v>
      </c>
      <c r="F251" s="604">
        <f t="shared" si="4"/>
        <v>0</v>
      </c>
      <c r="H251" s="73">
        <v>0</v>
      </c>
      <c r="I251" s="73"/>
      <c r="J251" s="399"/>
    </row>
    <row r="252" spans="1:10" ht="11.25" customHeight="1">
      <c r="A252" s="286">
        <v>385000</v>
      </c>
      <c r="B252" s="281" t="s">
        <v>367</v>
      </c>
      <c r="F252" s="604">
        <f t="shared" si="4"/>
        <v>2849</v>
      </c>
      <c r="H252" s="73">
        <v>2849480</v>
      </c>
      <c r="I252" s="73"/>
      <c r="J252" s="399"/>
    </row>
    <row r="253" spans="1:10" ht="11.25" customHeight="1">
      <c r="A253" s="286">
        <v>387000</v>
      </c>
      <c r="B253" s="281" t="s">
        <v>271</v>
      </c>
      <c r="F253" s="604">
        <f t="shared" si="4"/>
        <v>0</v>
      </c>
      <c r="H253" s="73">
        <v>0</v>
      </c>
      <c r="I253" s="73"/>
      <c r="J253" s="399"/>
    </row>
    <row r="254" spans="1:10" ht="11.25" customHeight="1">
      <c r="A254" s="286"/>
      <c r="B254" s="281" t="s">
        <v>368</v>
      </c>
      <c r="F254" s="604">
        <f t="shared" si="4"/>
        <v>505864</v>
      </c>
      <c r="H254" s="73">
        <v>505863539</v>
      </c>
      <c r="I254" s="73"/>
      <c r="J254" s="399"/>
    </row>
    <row r="255" spans="1:10" ht="11.25" customHeight="1">
      <c r="A255" s="286"/>
      <c r="B255" s="281"/>
      <c r="F255" s="604">
        <f t="shared" si="4"/>
        <v>0</v>
      </c>
      <c r="H255" s="73"/>
      <c r="I255" s="73"/>
      <c r="J255" s="399"/>
    </row>
    <row r="256" spans="1:10" ht="11.25" customHeight="1">
      <c r="A256" s="286"/>
      <c r="B256" s="281" t="s">
        <v>369</v>
      </c>
      <c r="F256" s="604">
        <f t="shared" si="4"/>
        <v>0</v>
      </c>
      <c r="H256" s="73"/>
      <c r="I256" s="73"/>
      <c r="J256" s="399"/>
    </row>
    <row r="257" spans="1:10" ht="11.25" customHeight="1">
      <c r="A257" s="286" t="s">
        <v>370</v>
      </c>
      <c r="B257" s="281" t="s">
        <v>350</v>
      </c>
      <c r="F257" s="604">
        <f t="shared" si="4"/>
        <v>4595</v>
      </c>
      <c r="H257" s="73">
        <v>4594658</v>
      </c>
      <c r="I257" s="73"/>
      <c r="J257" s="399"/>
    </row>
    <row r="258" spans="1:10" ht="11.25" customHeight="1">
      <c r="A258" s="284" t="s">
        <v>371</v>
      </c>
      <c r="B258" s="281" t="s">
        <v>352</v>
      </c>
      <c r="F258" s="604">
        <f t="shared" si="4"/>
        <v>43153</v>
      </c>
      <c r="H258" s="73">
        <v>43152820</v>
      </c>
      <c r="I258" s="73"/>
      <c r="J258" s="399"/>
    </row>
    <row r="259" spans="1:10" ht="11.25" customHeight="1">
      <c r="A259" s="284" t="s">
        <v>372</v>
      </c>
      <c r="B259" s="281" t="s">
        <v>373</v>
      </c>
      <c r="F259" s="604">
        <f t="shared" si="4"/>
        <v>15079</v>
      </c>
      <c r="H259" s="73">
        <v>15079267</v>
      </c>
      <c r="I259" s="73"/>
      <c r="J259" s="399"/>
    </row>
    <row r="260" spans="1:10" ht="11.25" customHeight="1">
      <c r="A260" s="284" t="s">
        <v>374</v>
      </c>
      <c r="B260" s="281" t="s">
        <v>375</v>
      </c>
      <c r="F260" s="604">
        <f t="shared" si="4"/>
        <v>12835</v>
      </c>
      <c r="H260" s="73">
        <v>12835377</v>
      </c>
      <c r="I260" s="73"/>
      <c r="J260" s="399"/>
    </row>
    <row r="261" spans="1:10" ht="11.25" customHeight="1">
      <c r="A261" s="286">
        <v>393000</v>
      </c>
      <c r="B261" s="281" t="s">
        <v>376</v>
      </c>
      <c r="F261" s="604">
        <f t="shared" si="4"/>
        <v>875</v>
      </c>
      <c r="H261" s="73">
        <v>874865</v>
      </c>
      <c r="I261" s="73"/>
      <c r="J261" s="399"/>
    </row>
    <row r="262" spans="1:10" ht="11.25" customHeight="1">
      <c r="A262" s="286">
        <v>394000</v>
      </c>
      <c r="B262" s="281" t="s">
        <v>377</v>
      </c>
      <c r="F262" s="604">
        <f t="shared" si="4"/>
        <v>6687</v>
      </c>
      <c r="H262" s="73">
        <v>6687230</v>
      </c>
      <c r="I262" s="73"/>
      <c r="J262" s="399"/>
    </row>
    <row r="263" spans="1:10" ht="11.25" customHeight="1">
      <c r="A263" s="286">
        <v>395000</v>
      </c>
      <c r="B263" s="281" t="s">
        <v>378</v>
      </c>
      <c r="F263" s="604">
        <f t="shared" si="4"/>
        <v>439</v>
      </c>
      <c r="H263" s="73">
        <v>439347</v>
      </c>
      <c r="I263" s="73"/>
      <c r="J263" s="399"/>
    </row>
    <row r="264" spans="1:10" ht="11.25" customHeight="1">
      <c r="A264" s="286" t="s">
        <v>379</v>
      </c>
      <c r="B264" s="281" t="s">
        <v>380</v>
      </c>
      <c r="F264" s="604">
        <f t="shared" si="4"/>
        <v>3250</v>
      </c>
      <c r="H264" s="73">
        <v>3249932</v>
      </c>
      <c r="I264" s="73"/>
      <c r="J264" s="399"/>
    </row>
    <row r="265" spans="1:10" ht="11.25" customHeight="1">
      <c r="A265" s="286" t="s">
        <v>381</v>
      </c>
      <c r="B265" s="281" t="s">
        <v>382</v>
      </c>
      <c r="F265" s="604">
        <f t="shared" si="4"/>
        <v>12227</v>
      </c>
      <c r="H265" s="73">
        <v>12226567</v>
      </c>
      <c r="I265" s="73"/>
      <c r="J265" s="399"/>
    </row>
    <row r="266" spans="1:10" ht="11.25" customHeight="1">
      <c r="A266" s="286">
        <v>398000</v>
      </c>
      <c r="B266" s="281" t="s">
        <v>383</v>
      </c>
      <c r="F266" s="604">
        <f t="shared" si="4"/>
        <v>89</v>
      </c>
      <c r="H266" s="73">
        <v>88917</v>
      </c>
      <c r="I266" s="73"/>
      <c r="J266" s="399"/>
    </row>
    <row r="267" spans="1:10" ht="11.25" customHeight="1">
      <c r="A267" s="286"/>
      <c r="B267" s="281" t="s">
        <v>384</v>
      </c>
      <c r="F267" s="604">
        <f t="shared" si="4"/>
        <v>99229</v>
      </c>
      <c r="H267" s="73">
        <v>99228980</v>
      </c>
      <c r="I267" s="73"/>
      <c r="J267" s="399"/>
    </row>
    <row r="268" spans="1:10" ht="11.25" customHeight="1">
      <c r="A268" s="286"/>
      <c r="B268" s="281"/>
      <c r="F268" s="604">
        <f t="shared" si="4"/>
        <v>0</v>
      </c>
      <c r="H268" s="73"/>
      <c r="I268" s="73"/>
      <c r="J268" s="399"/>
    </row>
    <row r="269" spans="1:10" ht="11.25" customHeight="1">
      <c r="A269" s="286"/>
      <c r="B269" s="281" t="s">
        <v>385</v>
      </c>
      <c r="F269" s="604">
        <f t="shared" si="4"/>
        <v>677239</v>
      </c>
      <c r="H269" s="73">
        <v>677238515</v>
      </c>
      <c r="I269" s="73"/>
      <c r="J269" s="399"/>
    </row>
    <row r="270" spans="1:10" ht="11.25" customHeight="1">
      <c r="A270" s="286"/>
      <c r="B270" s="281"/>
      <c r="F270" s="604">
        <f t="shared" si="4"/>
        <v>0</v>
      </c>
      <c r="H270" s="73"/>
      <c r="I270" s="73"/>
      <c r="J270" s="399"/>
    </row>
    <row r="271" spans="1:10" ht="11.25" customHeight="1">
      <c r="A271" s="286"/>
      <c r="B271" s="281"/>
      <c r="F271" s="604">
        <f t="shared" si="4"/>
        <v>0</v>
      </c>
      <c r="H271" s="73"/>
      <c r="I271" s="73"/>
      <c r="J271" s="399"/>
    </row>
    <row r="272" spans="1:10" ht="11.25" customHeight="1">
      <c r="A272" s="284"/>
      <c r="B272" s="281" t="s">
        <v>64</v>
      </c>
      <c r="F272" s="604">
        <f t="shared" si="4"/>
        <v>0</v>
      </c>
      <c r="H272" s="73"/>
      <c r="I272" s="73"/>
      <c r="J272" s="399"/>
    </row>
    <row r="273" spans="1:10" ht="11.25" customHeight="1">
      <c r="A273" s="284"/>
      <c r="B273" s="281" t="s">
        <v>42</v>
      </c>
      <c r="F273" s="604">
        <f t="shared" si="4"/>
        <v>-11565</v>
      </c>
      <c r="H273" s="73">
        <v>-11565386</v>
      </c>
      <c r="I273" s="73"/>
      <c r="J273" s="399"/>
    </row>
    <row r="274" spans="1:10" ht="11.25" customHeight="1">
      <c r="A274" s="284"/>
      <c r="B274" s="281" t="s">
        <v>61</v>
      </c>
      <c r="F274" s="604">
        <f t="shared" si="4"/>
        <v>-151240</v>
      </c>
      <c r="H274" s="73">
        <v>-151240420</v>
      </c>
      <c r="I274" s="73"/>
      <c r="J274" s="399"/>
    </row>
    <row r="275" spans="1:10" ht="11.25" customHeight="1">
      <c r="A275" s="284"/>
      <c r="B275" s="281" t="s">
        <v>62</v>
      </c>
      <c r="F275" s="604">
        <f t="shared" si="4"/>
        <v>-25355</v>
      </c>
      <c r="H275" s="73">
        <v>-25354672</v>
      </c>
      <c r="I275" s="73"/>
      <c r="J275" s="399"/>
    </row>
    <row r="276" spans="1:10" ht="11.25" customHeight="1">
      <c r="A276" s="280"/>
      <c r="B276" s="281" t="s">
        <v>386</v>
      </c>
      <c r="F276" s="604">
        <f t="shared" si="4"/>
        <v>-188160</v>
      </c>
      <c r="H276" s="73">
        <v>-188160478</v>
      </c>
      <c r="I276" s="73"/>
      <c r="J276" s="399"/>
    </row>
    <row r="277" spans="1:10" ht="11.25" customHeight="1">
      <c r="A277" s="280"/>
      <c r="B277" s="281"/>
      <c r="F277" s="604">
        <f t="shared" si="4"/>
        <v>0</v>
      </c>
      <c r="H277" s="73"/>
      <c r="I277" s="73"/>
      <c r="J277" s="399"/>
    </row>
    <row r="278" spans="1:10" ht="11.25" customHeight="1">
      <c r="A278" s="280"/>
      <c r="B278" s="281" t="s">
        <v>387</v>
      </c>
      <c r="F278" s="604">
        <f t="shared" si="4"/>
        <v>0</v>
      </c>
      <c r="H278" s="73"/>
      <c r="I278" s="73"/>
      <c r="J278" s="399"/>
    </row>
    <row r="279" spans="1:10" ht="11.25" customHeight="1">
      <c r="A279" s="284"/>
      <c r="B279" s="281" t="s">
        <v>388</v>
      </c>
      <c r="F279" s="604">
        <f t="shared" si="4"/>
        <v>-768</v>
      </c>
      <c r="H279" s="73">
        <v>-767960</v>
      </c>
      <c r="I279" s="73"/>
      <c r="J279" s="399"/>
    </row>
    <row r="280" spans="1:10" ht="11.25" customHeight="1">
      <c r="A280" s="284"/>
      <c r="B280" s="281" t="s">
        <v>389</v>
      </c>
      <c r="F280" s="604">
        <f t="shared" si="4"/>
        <v>-12627</v>
      </c>
      <c r="H280" s="73">
        <v>-12627311</v>
      </c>
      <c r="I280" s="73"/>
      <c r="J280" s="399"/>
    </row>
    <row r="281" spans="1:10" ht="11.25" customHeight="1">
      <c r="A281" s="284"/>
      <c r="B281" s="281" t="s">
        <v>42</v>
      </c>
      <c r="F281" s="604">
        <f t="shared" si="4"/>
        <v>0</v>
      </c>
      <c r="H281" s="73">
        <v>0</v>
      </c>
      <c r="I281" s="73"/>
      <c r="J281" s="399"/>
    </row>
    <row r="282" spans="1:10" ht="11.25" customHeight="1">
      <c r="A282" s="284"/>
      <c r="B282" s="281" t="s">
        <v>390</v>
      </c>
      <c r="F282" s="604">
        <f t="shared" si="4"/>
        <v>0</v>
      </c>
      <c r="H282" s="73">
        <v>1</v>
      </c>
      <c r="I282" s="73"/>
      <c r="J282" s="399"/>
    </row>
    <row r="283" spans="1:10" ht="11.25" customHeight="1">
      <c r="A283" s="284"/>
      <c r="B283" s="281" t="s">
        <v>391</v>
      </c>
      <c r="F283" s="604">
        <f t="shared" si="4"/>
        <v>-13395</v>
      </c>
      <c r="H283" s="73">
        <v>-13395270</v>
      </c>
      <c r="I283" s="73"/>
      <c r="J283" s="399"/>
    </row>
    <row r="284" spans="1:10" ht="11.25" customHeight="1">
      <c r="A284" s="284"/>
      <c r="B284" s="281"/>
      <c r="F284" s="604">
        <f t="shared" si="4"/>
        <v>0</v>
      </c>
      <c r="H284" s="73"/>
      <c r="I284" s="73"/>
      <c r="J284" s="399"/>
    </row>
    <row r="285" spans="1:10" ht="11.25" customHeight="1">
      <c r="A285" s="284"/>
      <c r="B285" s="281" t="s">
        <v>392</v>
      </c>
      <c r="F285" s="604">
        <f t="shared" si="4"/>
        <v>-201556</v>
      </c>
      <c r="H285" s="73">
        <v>-201555748</v>
      </c>
      <c r="I285" s="73"/>
      <c r="J285" s="399"/>
    </row>
    <row r="286" spans="1:10" ht="11.25" customHeight="1">
      <c r="A286" s="284"/>
      <c r="B286" s="281"/>
      <c r="F286" s="604">
        <f t="shared" si="4"/>
        <v>0</v>
      </c>
      <c r="H286" s="73"/>
      <c r="I286" s="73"/>
      <c r="J286" s="399"/>
    </row>
    <row r="287" spans="1:10" ht="11.25" customHeight="1">
      <c r="A287" s="280"/>
      <c r="B287" s="281" t="s">
        <v>393</v>
      </c>
      <c r="F287" s="604">
        <f t="shared" si="4"/>
        <v>475683</v>
      </c>
      <c r="H287" s="73">
        <v>475682767</v>
      </c>
      <c r="I287" s="73"/>
      <c r="J287" s="399"/>
    </row>
    <row r="288" spans="1:10" ht="11.25" customHeight="1">
      <c r="A288" s="280"/>
      <c r="B288" s="281"/>
      <c r="F288" s="604">
        <f t="shared" si="4"/>
        <v>0</v>
      </c>
      <c r="H288" s="73"/>
      <c r="I288" s="73"/>
      <c r="J288" s="402"/>
    </row>
    <row r="289" spans="1:10" ht="11.25" customHeight="1">
      <c r="A289" s="288"/>
      <c r="B289" s="289" t="s">
        <v>394</v>
      </c>
      <c r="F289" s="604">
        <f t="shared" si="4"/>
        <v>0</v>
      </c>
      <c r="H289" s="73"/>
      <c r="I289" s="73"/>
      <c r="J289" s="402"/>
    </row>
    <row r="290" spans="1:10" ht="11.25" customHeight="1">
      <c r="A290" s="290">
        <v>282900</v>
      </c>
      <c r="B290" s="289" t="s">
        <v>395</v>
      </c>
      <c r="F290" s="604">
        <f t="shared" si="4"/>
        <v>-77537</v>
      </c>
      <c r="H290" s="73">
        <v>-77536974</v>
      </c>
      <c r="I290" s="73"/>
      <c r="J290" s="402"/>
    </row>
    <row r="291" spans="1:10" ht="11.25" customHeight="1">
      <c r="A291" s="290">
        <v>282900</v>
      </c>
      <c r="B291" s="289" t="s">
        <v>396</v>
      </c>
      <c r="F291" s="604">
        <f t="shared" si="4"/>
        <v>-12969</v>
      </c>
      <c r="H291" s="73">
        <v>-12968938</v>
      </c>
      <c r="I291" s="73"/>
      <c r="J291" s="402"/>
    </row>
    <row r="292" spans="1:10" ht="11.25" customHeight="1">
      <c r="A292" s="441">
        <v>282919</v>
      </c>
      <c r="B292" s="402" t="s">
        <v>521</v>
      </c>
      <c r="F292" s="604">
        <f t="shared" si="4"/>
        <v>-218</v>
      </c>
      <c r="H292" s="73">
        <v>-218411</v>
      </c>
      <c r="I292" s="73"/>
      <c r="J292" s="402"/>
    </row>
    <row r="293" spans="1:10" ht="11.25" customHeight="1">
      <c r="A293" s="290">
        <v>283750</v>
      </c>
      <c r="B293" s="289" t="s">
        <v>434</v>
      </c>
      <c r="F293" s="604">
        <f t="shared" si="4"/>
        <v>-34</v>
      </c>
      <c r="H293" s="73">
        <v>-33589</v>
      </c>
      <c r="I293" s="73"/>
      <c r="J293" s="402"/>
    </row>
    <row r="294" spans="1:10" ht="11.25" customHeight="1">
      <c r="A294" s="290">
        <v>283850</v>
      </c>
      <c r="B294" s="289" t="s">
        <v>397</v>
      </c>
      <c r="F294" s="604">
        <f t="shared" ref="F294:F314" si="5">ROUND(H294/1000,0)</f>
        <v>-256</v>
      </c>
      <c r="H294" s="73">
        <v>-256390</v>
      </c>
      <c r="I294" s="73"/>
      <c r="J294" s="399"/>
    </row>
    <row r="295" spans="1:10" ht="11.25" customHeight="1">
      <c r="A295" s="284"/>
      <c r="B295" s="281" t="s">
        <v>398</v>
      </c>
      <c r="F295" s="604">
        <f t="shared" si="5"/>
        <v>-91014</v>
      </c>
      <c r="H295" s="73">
        <v>-91014302</v>
      </c>
      <c r="I295" s="73"/>
      <c r="J295" s="399"/>
    </row>
    <row r="296" spans="1:10" ht="11.25" customHeight="1">
      <c r="A296" s="280"/>
      <c r="B296" s="281"/>
      <c r="F296" s="604">
        <f t="shared" si="5"/>
        <v>0</v>
      </c>
      <c r="H296" s="73"/>
      <c r="I296" s="73"/>
      <c r="J296" s="399"/>
    </row>
    <row r="297" spans="1:10" ht="11.25" customHeight="1">
      <c r="A297" s="280"/>
      <c r="B297" s="281" t="s">
        <v>399</v>
      </c>
      <c r="F297" s="604">
        <f t="shared" si="5"/>
        <v>384668</v>
      </c>
      <c r="H297" s="73">
        <v>384668465</v>
      </c>
    </row>
    <row r="298" spans="1:10" ht="11.25" customHeight="1">
      <c r="J298" s="399"/>
    </row>
    <row r="299" spans="1:10" ht="11.25" customHeight="1">
      <c r="A299" s="291"/>
      <c r="B299" s="292" t="s">
        <v>400</v>
      </c>
      <c r="I299" s="73"/>
      <c r="J299" s="399"/>
    </row>
    <row r="300" spans="1:10" ht="11.25" customHeight="1">
      <c r="A300" s="635">
        <v>108121</v>
      </c>
      <c r="B300" s="399" t="s">
        <v>530</v>
      </c>
      <c r="F300" s="604">
        <f t="shared" si="5"/>
        <v>-530</v>
      </c>
      <c r="H300" s="372">
        <v>-530214</v>
      </c>
      <c r="I300" s="73"/>
      <c r="J300" s="399"/>
    </row>
    <row r="301" spans="1:10" ht="11.25" customHeight="1">
      <c r="A301" s="293">
        <v>182332</v>
      </c>
      <c r="B301" s="292" t="s">
        <v>522</v>
      </c>
      <c r="F301" s="604">
        <f t="shared" si="5"/>
        <v>348</v>
      </c>
      <c r="H301" s="73">
        <v>348468</v>
      </c>
      <c r="I301" s="73"/>
      <c r="J301" s="399"/>
    </row>
    <row r="302" spans="1:10" ht="11.25" customHeight="1">
      <c r="A302" s="293">
        <v>182318</v>
      </c>
      <c r="B302" s="292" t="s">
        <v>523</v>
      </c>
      <c r="F302" s="604">
        <f t="shared" si="5"/>
        <v>-23</v>
      </c>
      <c r="H302" s="73">
        <v>-22934</v>
      </c>
      <c r="I302" s="73"/>
      <c r="J302" s="402"/>
    </row>
    <row r="303" spans="1:10" ht="11.25" customHeight="1">
      <c r="A303" s="294">
        <v>117100</v>
      </c>
      <c r="B303" s="295" t="s">
        <v>401</v>
      </c>
      <c r="F303" s="604">
        <f t="shared" si="5"/>
        <v>3936</v>
      </c>
      <c r="H303" s="73">
        <v>3936095</v>
      </c>
      <c r="I303" s="73"/>
      <c r="J303" s="402"/>
    </row>
    <row r="304" spans="1:10" ht="11.25" customHeight="1">
      <c r="A304" s="294">
        <v>164100</v>
      </c>
      <c r="B304" s="295" t="s">
        <v>402</v>
      </c>
      <c r="F304" s="604">
        <f t="shared" si="5"/>
        <v>6476</v>
      </c>
      <c r="H304" s="73">
        <v>6475580</v>
      </c>
      <c r="I304" s="73"/>
      <c r="J304" s="403"/>
    </row>
    <row r="305" spans="1:10" ht="11.25" customHeight="1">
      <c r="A305" s="294">
        <v>252000</v>
      </c>
      <c r="B305" s="296" t="s">
        <v>403</v>
      </c>
      <c r="F305" s="604">
        <f t="shared" si="5"/>
        <v>-2</v>
      </c>
      <c r="H305" s="73">
        <v>-2397</v>
      </c>
      <c r="I305" s="73"/>
      <c r="J305" s="403"/>
    </row>
    <row r="306" spans="1:10" ht="15.75">
      <c r="A306" s="294">
        <v>235199</v>
      </c>
      <c r="B306" s="296" t="s">
        <v>404</v>
      </c>
      <c r="F306" s="604">
        <f t="shared" si="5"/>
        <v>-568</v>
      </c>
      <c r="H306" s="73">
        <v>-567872</v>
      </c>
      <c r="I306" s="73"/>
      <c r="J306" s="403"/>
    </row>
    <row r="307" spans="1:10" ht="15.75">
      <c r="A307" s="441">
        <v>254911</v>
      </c>
      <c r="B307" s="403" t="s">
        <v>524</v>
      </c>
      <c r="F307" s="604">
        <f t="shared" si="5"/>
        <v>0</v>
      </c>
      <c r="H307" s="73">
        <v>0</v>
      </c>
      <c r="I307" s="73"/>
      <c r="J307" s="403"/>
    </row>
    <row r="308" spans="1:10" ht="11.25" customHeight="1">
      <c r="A308" s="441">
        <v>182302</v>
      </c>
      <c r="B308" s="403" t="s">
        <v>471</v>
      </c>
      <c r="F308" s="604">
        <f t="shared" si="5"/>
        <v>10296</v>
      </c>
      <c r="H308" s="73">
        <v>10295922</v>
      </c>
      <c r="I308" s="73"/>
      <c r="J308" s="403"/>
    </row>
    <row r="309" spans="1:10" ht="11.25" customHeight="1">
      <c r="A309" s="441">
        <v>283302</v>
      </c>
      <c r="B309" s="403" t="s">
        <v>525</v>
      </c>
      <c r="F309" s="604">
        <f t="shared" si="5"/>
        <v>-2162</v>
      </c>
      <c r="H309" s="73">
        <v>-2162144</v>
      </c>
      <c r="I309" s="73"/>
      <c r="J309" s="403"/>
    </row>
    <row r="310" spans="1:10" ht="11.25" customHeight="1">
      <c r="A310" s="297"/>
      <c r="B310" s="298" t="s">
        <v>405</v>
      </c>
      <c r="F310" s="604">
        <f t="shared" si="5"/>
        <v>3494</v>
      </c>
      <c r="H310" s="73">
        <v>3494231</v>
      </c>
      <c r="I310" s="73"/>
      <c r="J310" s="402"/>
    </row>
    <row r="311" spans="1:10" ht="11.25" customHeight="1">
      <c r="A311" s="294">
        <v>186710</v>
      </c>
      <c r="B311" s="295" t="s">
        <v>406</v>
      </c>
      <c r="F311" s="604">
        <f t="shared" si="5"/>
        <v>0</v>
      </c>
      <c r="H311" s="73">
        <v>0</v>
      </c>
      <c r="I311" s="73"/>
      <c r="J311" s="399"/>
    </row>
    <row r="312" spans="1:10" ht="11.25" customHeight="1">
      <c r="A312" s="296"/>
      <c r="B312" s="292" t="s">
        <v>407</v>
      </c>
      <c r="F312" s="604">
        <f t="shared" si="5"/>
        <v>21265</v>
      </c>
      <c r="H312" s="73">
        <v>21264735</v>
      </c>
      <c r="I312" s="73"/>
      <c r="J312" s="399"/>
    </row>
    <row r="313" spans="1:10" ht="11.25" customHeight="1">
      <c r="A313" s="296"/>
      <c r="B313" s="292"/>
      <c r="F313" s="604">
        <f t="shared" si="5"/>
        <v>0</v>
      </c>
      <c r="H313" s="73"/>
      <c r="I313" s="73"/>
      <c r="J313" s="399"/>
    </row>
    <row r="314" spans="1:10" ht="11.25" customHeight="1">
      <c r="A314" s="296"/>
      <c r="B314" s="292" t="s">
        <v>408</v>
      </c>
      <c r="F314" s="604">
        <f t="shared" si="5"/>
        <v>405933</v>
      </c>
      <c r="H314" s="73">
        <v>405933200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AS98"/>
  <sheetViews>
    <sheetView view="pageBreakPreview" topLeftCell="AH16" zoomScaleNormal="100" zoomScaleSheetLayoutView="100" workbookViewId="0">
      <selection activeCell="AM35" sqref="AM35"/>
    </sheetView>
  </sheetViews>
  <sheetFormatPr defaultColWidth="10.5703125" defaultRowHeight="12"/>
  <cols>
    <col min="1" max="1" width="5.5703125" style="162" customWidth="1"/>
    <col min="2" max="3" width="1.5703125" style="138" customWidth="1"/>
    <col min="4" max="4" width="28.5703125" style="138" customWidth="1"/>
    <col min="5" max="5" width="17.42578125" style="140" customWidth="1"/>
    <col min="6" max="45" width="20.42578125" style="140" customWidth="1"/>
    <col min="46" max="16384" width="10.5703125" style="138"/>
  </cols>
  <sheetData>
    <row r="1" spans="1:45">
      <c r="F1" s="188" t="s">
        <v>205</v>
      </c>
      <c r="G1" s="188" t="s">
        <v>205</v>
      </c>
      <c r="H1" s="188" t="s">
        <v>205</v>
      </c>
      <c r="I1" s="188" t="s">
        <v>205</v>
      </c>
      <c r="J1" s="188" t="s">
        <v>205</v>
      </c>
      <c r="K1" s="188" t="s">
        <v>205</v>
      </c>
      <c r="L1" s="188" t="s">
        <v>205</v>
      </c>
      <c r="M1" s="188" t="s">
        <v>205</v>
      </c>
      <c r="N1" s="188" t="s">
        <v>205</v>
      </c>
      <c r="O1" s="188" t="s">
        <v>205</v>
      </c>
      <c r="P1" s="188" t="s">
        <v>205</v>
      </c>
      <c r="Q1" s="188" t="s">
        <v>205</v>
      </c>
      <c r="R1" s="188" t="s">
        <v>205</v>
      </c>
      <c r="S1" s="188" t="s">
        <v>205</v>
      </c>
      <c r="T1" s="188" t="s">
        <v>205</v>
      </c>
      <c r="U1" s="188" t="s">
        <v>205</v>
      </c>
      <c r="V1" s="188" t="s">
        <v>205</v>
      </c>
      <c r="W1" s="188" t="s">
        <v>205</v>
      </c>
      <c r="X1" s="188" t="s">
        <v>205</v>
      </c>
      <c r="Y1" s="188" t="s">
        <v>205</v>
      </c>
      <c r="Z1" s="188" t="s">
        <v>205</v>
      </c>
      <c r="AA1" s="188" t="s">
        <v>205</v>
      </c>
      <c r="AB1" s="188" t="s">
        <v>205</v>
      </c>
      <c r="AC1" s="188" t="s">
        <v>205</v>
      </c>
      <c r="AD1" s="188" t="s">
        <v>205</v>
      </c>
      <c r="AE1" s="188" t="s">
        <v>205</v>
      </c>
      <c r="AF1" s="188" t="s">
        <v>205</v>
      </c>
      <c r="AG1" s="188" t="s">
        <v>205</v>
      </c>
      <c r="AH1" s="188" t="s">
        <v>205</v>
      </c>
      <c r="AI1" s="188" t="s">
        <v>205</v>
      </c>
      <c r="AJ1" s="188" t="s">
        <v>205</v>
      </c>
      <c r="AK1" s="188" t="s">
        <v>205</v>
      </c>
      <c r="AL1" s="188" t="s">
        <v>205</v>
      </c>
      <c r="AM1" s="188" t="s">
        <v>205</v>
      </c>
      <c r="AN1" s="188" t="s">
        <v>205</v>
      </c>
      <c r="AO1" s="188" t="s">
        <v>205</v>
      </c>
      <c r="AP1" s="188" t="s">
        <v>205</v>
      </c>
      <c r="AQ1" s="188" t="s">
        <v>205</v>
      </c>
      <c r="AR1" s="188" t="s">
        <v>205</v>
      </c>
      <c r="AS1" s="188" t="s">
        <v>205</v>
      </c>
    </row>
    <row r="2" spans="1:45" ht="12.75" customHeight="1">
      <c r="A2" s="137" t="str">
        <f>'ADJ DETAIL INPUT'!A2</f>
        <v>AVISTA UTILITIES - AWEC ADJUSTED</v>
      </c>
      <c r="E2" s="139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12.75" customHeight="1">
      <c r="A3" s="137" t="str">
        <f>'ADJ DETAIL INPUT'!A3</f>
        <v>WASHINGTON NATURAL GAS</v>
      </c>
      <c r="E3" s="139"/>
    </row>
    <row r="4" spans="1:45" ht="12.75" customHeight="1">
      <c r="A4" s="137" t="str">
        <f>'ADJ DETAIL INPUT'!A4</f>
        <v>TWELVE MONTHS ENDED DECEMBER 31, 2019</v>
      </c>
      <c r="E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>
      <c r="A5" s="137" t="str">
        <f>'ADJ DETAIL INPUT'!A5</f>
        <v xml:space="preserve">(000'S OF DOLLARS)   </v>
      </c>
      <c r="B5" s="137"/>
      <c r="C5" s="137"/>
      <c r="D5" s="137"/>
      <c r="E5" s="137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12.75" customHeight="1">
      <c r="A6" s="137"/>
    </row>
    <row r="7" spans="1:45" s="145" customFormat="1">
      <c r="A7" s="144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</row>
    <row r="8" spans="1:45" s="145" customFormat="1" ht="12" customHeight="1">
      <c r="A8" s="147"/>
      <c r="B8" s="148"/>
      <c r="C8" s="149"/>
      <c r="D8" s="150"/>
      <c r="E8" s="151" t="str">
        <f>'ADJ DETAIL INPUT'!E7</f>
        <v>Per</v>
      </c>
      <c r="F8" s="151" t="str">
        <f>'ADJ DETAIL INPUT'!F7</f>
        <v xml:space="preserve">Deferred </v>
      </c>
      <c r="G8" s="151" t="str">
        <f>'ADJ DETAIL INPUT'!G7</f>
        <v>Deferred</v>
      </c>
      <c r="H8" s="151" t="str">
        <f>'ADJ DETAIL INPUT'!H7</f>
        <v>Working</v>
      </c>
      <c r="I8" s="151" t="str">
        <f>'ADJ DETAIL INPUT'!I7</f>
        <v>Remove</v>
      </c>
      <c r="J8" s="151" t="str">
        <f>'ADJ DETAIL INPUT'!J7</f>
        <v xml:space="preserve">Eliminate </v>
      </c>
      <c r="K8" s="151" t="str">
        <f>'ADJ DETAIL INPUT'!K7</f>
        <v>Restate</v>
      </c>
      <c r="L8" s="151" t="str">
        <f>'ADJ DETAIL INPUT'!L7</f>
        <v>Uncollectible</v>
      </c>
      <c r="M8" s="151" t="str">
        <f>'ADJ DETAIL INPUT'!M7</f>
        <v>Regulatory</v>
      </c>
      <c r="N8" s="151" t="str">
        <f>'ADJ DETAIL INPUT'!N7</f>
        <v>Injuries</v>
      </c>
      <c r="O8" s="151" t="str">
        <f>'ADJ DETAIL INPUT'!O7</f>
        <v xml:space="preserve">FIT / </v>
      </c>
      <c r="P8" s="151" t="str">
        <f>'ADJ DETAIL INPUT'!P7</f>
        <v>Office Space</v>
      </c>
      <c r="Q8" s="151" t="str">
        <f>'ADJ DETAIL INPUT'!Q7</f>
        <v>Restate</v>
      </c>
      <c r="R8" s="151" t="str">
        <f>'ADJ DETAIL INPUT'!R7</f>
        <v>Net</v>
      </c>
      <c r="S8" s="151" t="str">
        <f>'ADJ DETAIL INPUT'!S7</f>
        <v xml:space="preserve">Weather </v>
      </c>
      <c r="T8" s="151" t="str">
        <f>'ADJ DETAIL INPUT'!T7</f>
        <v>Eliminate</v>
      </c>
      <c r="U8" s="151" t="str">
        <f>'ADJ DETAIL INPUT'!U7</f>
        <v>Misc. Restating</v>
      </c>
      <c r="V8" s="151" t="str">
        <f>'ADJ DETAIL INPUT'!V7</f>
        <v>Restating</v>
      </c>
      <c r="W8" s="151" t="str">
        <f>'ADJ DETAIL INPUT'!W7</f>
        <v>Restate</v>
      </c>
      <c r="X8" s="151" t="str">
        <f>'ADJ DETAIL INPUT'!X7</f>
        <v>Restate 2019</v>
      </c>
      <c r="Y8" s="151" t="str">
        <f>'ADJ DETAIL INPUT'!AA7</f>
        <v>Pro Forma</v>
      </c>
      <c r="Z8" s="151" t="str">
        <f>'ADJ DETAIL INPUT'!AB7</f>
        <v xml:space="preserve">Pro Forma </v>
      </c>
      <c r="AA8" s="151" t="str">
        <f>'ADJ DETAIL INPUT'!AC7</f>
        <v>Pro Forma</v>
      </c>
      <c r="AB8" s="151" t="str">
        <f>'ADJ DETAIL INPUT'!AD7</f>
        <v>Pro Forma</v>
      </c>
      <c r="AC8" s="151" t="str">
        <f>'ADJ DETAIL INPUT'!AE7</f>
        <v>Pro Forma</v>
      </c>
      <c r="AD8" s="151" t="str">
        <f>'ADJ DETAIL INPUT'!AF7</f>
        <v>Pro Forma</v>
      </c>
      <c r="AE8" s="151" t="str">
        <f>'ADJ DETAIL INPUT'!AG7</f>
        <v>Pro Forma</v>
      </c>
      <c r="AF8" s="151" t="str">
        <f>'ADJ DETAIL INPUT'!AH7</f>
        <v>Pro Forma</v>
      </c>
      <c r="AG8" s="151" t="str">
        <f>'ADJ DETAIL INPUT'!AI7</f>
        <v>Pro Forma</v>
      </c>
      <c r="AH8" s="151" t="str">
        <f>'ADJ DETAIL INPUT'!AJ7</f>
        <v>Pro Forma</v>
      </c>
      <c r="AI8" s="151" t="str">
        <f>'ADJ DETAIL INPUT'!AK7</f>
        <v xml:space="preserve">Pro Forma </v>
      </c>
      <c r="AJ8" s="151" t="str">
        <f>'ADJ DETAIL INPUT'!AL7</f>
        <v xml:space="preserve">Pro Forma </v>
      </c>
      <c r="AK8" s="151" t="str">
        <f>'ADJ DETAIL INPUT'!AM7</f>
        <v xml:space="preserve">Pro Forma </v>
      </c>
      <c r="AL8" s="151" t="str">
        <f>'ADJ DETAIL INPUT'!AN7</f>
        <v xml:space="preserve">Pro Forma </v>
      </c>
      <c r="AM8" s="151" t="str">
        <f>'ADJ DETAIL INPUT'!AO7</f>
        <v xml:space="preserve">Pro Forma </v>
      </c>
      <c r="AN8" s="151" t="str">
        <f>'ADJ DETAIL INPUT'!AP7</f>
        <v>Pro Forma</v>
      </c>
      <c r="AO8" s="151" t="str">
        <f>'ADJ DETAIL INPUT'!AQ7</f>
        <v>Pro Forma</v>
      </c>
      <c r="AP8" s="151" t="str">
        <f>'ADJ DETAIL INPUT'!AR7</f>
        <v>Restate</v>
      </c>
      <c r="AQ8" s="151" t="str">
        <f>'ADJ DETAIL INPUT'!AY7</f>
        <v xml:space="preserve">Pro Forma </v>
      </c>
      <c r="AR8" s="151" t="e">
        <f>'ADJ DETAIL INPUT'!#REF!</f>
        <v>#REF!</v>
      </c>
      <c r="AS8" s="151" t="e">
        <f>'ADJ DETAIL INPUT'!#REF!</f>
        <v>#REF!</v>
      </c>
    </row>
    <row r="9" spans="1:45" s="145" customFormat="1">
      <c r="A9" s="152" t="s">
        <v>7</v>
      </c>
      <c r="B9" s="153"/>
      <c r="C9" s="154"/>
      <c r="D9" s="155"/>
      <c r="E9" s="156" t="str">
        <f>'ADJ DETAIL INPUT'!E8</f>
        <v xml:space="preserve">Results </v>
      </c>
      <c r="F9" s="156" t="str">
        <f>'ADJ DETAIL INPUT'!F8</f>
        <v>FIT</v>
      </c>
      <c r="G9" s="156" t="str">
        <f>'ADJ DETAIL INPUT'!G8</f>
        <v xml:space="preserve">Debits and </v>
      </c>
      <c r="H9" s="156" t="str">
        <f>'ADJ DETAIL INPUT'!H8</f>
        <v>Capital</v>
      </c>
      <c r="I9" s="156" t="str">
        <f>'ADJ DETAIL INPUT'!I8</f>
        <v>AMI</v>
      </c>
      <c r="J9" s="156" t="str">
        <f>'ADJ DETAIL INPUT'!J8</f>
        <v xml:space="preserve">B &amp; O </v>
      </c>
      <c r="K9" s="156" t="str">
        <f>'ADJ DETAIL INPUT'!K8</f>
        <v>Property</v>
      </c>
      <c r="L9" s="156" t="str">
        <f>'ADJ DETAIL INPUT'!L8</f>
        <v>Expense</v>
      </c>
      <c r="M9" s="156" t="str">
        <f>'ADJ DETAIL INPUT'!M8</f>
        <v>Expense</v>
      </c>
      <c r="N9" s="156" t="str">
        <f>'ADJ DETAIL INPUT'!N8</f>
        <v>&amp;</v>
      </c>
      <c r="O9" s="156" t="str">
        <f>'ADJ DETAIL INPUT'!O8</f>
        <v xml:space="preserve">DFIT </v>
      </c>
      <c r="P9" s="156" t="str">
        <f>'ADJ DETAIL INPUT'!P8</f>
        <v>Charges to</v>
      </c>
      <c r="Q9" s="156" t="str">
        <f>'ADJ DETAIL INPUT'!Q8</f>
        <v>Excise</v>
      </c>
      <c r="R9" s="156" t="str">
        <f>'ADJ DETAIL INPUT'!R8</f>
        <v>Gains</v>
      </c>
      <c r="S9" s="156" t="str">
        <f>'ADJ DETAIL INPUT'!S8</f>
        <v>Normalization /</v>
      </c>
      <c r="T9" s="156" t="str">
        <f>'ADJ DETAIL INPUT'!T8</f>
        <v>Adder</v>
      </c>
      <c r="U9" s="156" t="str">
        <f>'ADJ DETAIL INPUT'!U8</f>
        <v>Non-Util / Non-</v>
      </c>
      <c r="V9" s="156" t="str">
        <f>'ADJ DETAIL INPUT'!V8</f>
        <v>Incentives</v>
      </c>
      <c r="W9" s="156" t="str">
        <f>'ADJ DETAIL INPUT'!W8</f>
        <v>Debt</v>
      </c>
      <c r="X9" s="156" t="str">
        <f>'ADJ DETAIL INPUT'!X8</f>
        <v>AMA Rate</v>
      </c>
      <c r="Y9" s="156" t="str">
        <f>'ADJ DETAIL INPUT'!AA8</f>
        <v xml:space="preserve"> Revenue</v>
      </c>
      <c r="Z9" s="156" t="str">
        <f>'ADJ DETAIL INPUT'!AB8</f>
        <v>Def. Debits, Credits &amp;</v>
      </c>
      <c r="AA9" s="156" t="str">
        <f>'ADJ DETAIL INPUT'!AC8</f>
        <v>ARAM</v>
      </c>
      <c r="AB9" s="156" t="str">
        <f>'ADJ DETAIL INPUT'!AD8</f>
        <v>Labor</v>
      </c>
      <c r="AC9" s="156" t="str">
        <f>'ADJ DETAIL INPUT'!AE8</f>
        <v>Labor</v>
      </c>
      <c r="AD9" s="156" t="str">
        <f>'ADJ DETAIL INPUT'!AF8</f>
        <v>Employee</v>
      </c>
      <c r="AE9" s="156" t="str">
        <f>'ADJ DETAIL INPUT'!AG8</f>
        <v xml:space="preserve">Insurance </v>
      </c>
      <c r="AF9" s="156" t="str">
        <f>'ADJ DETAIL INPUT'!AH8</f>
        <v>IS/IT</v>
      </c>
      <c r="AG9" s="156" t="str">
        <f>'ADJ DETAIL INPUT'!AI8</f>
        <v>Property</v>
      </c>
      <c r="AH9" s="156" t="str">
        <f>'ADJ DETAIL INPUT'!AJ8</f>
        <v>Fee Free</v>
      </c>
      <c r="AI9" s="156" t="str">
        <f>'ADJ DETAIL INPUT'!AK8</f>
        <v>2020 Customer</v>
      </c>
      <c r="AJ9" s="156" t="str">
        <f>'ADJ DETAIL INPUT'!AL8</f>
        <v>2020 Large &amp;</v>
      </c>
      <c r="AK9" s="156" t="str">
        <f>'ADJ DETAIL INPUT'!AM8</f>
        <v>2020</v>
      </c>
      <c r="AL9" s="156" t="str">
        <f>'ADJ DETAIL INPUT'!AN8</f>
        <v>2020 Mandatory</v>
      </c>
      <c r="AM9" s="156" t="str">
        <f>'ADJ DETAIL INPUT'!AO8</f>
        <v>2020</v>
      </c>
      <c r="AN9" s="156" t="str">
        <f>'ADJ DETAIL INPUT'!AP8</f>
        <v>AMI</v>
      </c>
      <c r="AO9" s="156" t="str">
        <f>'ADJ DETAIL INPUT'!AQ8</f>
        <v>LEAP Deferral</v>
      </c>
      <c r="AP9" s="156" t="str">
        <f>'ADJ DETAIL INPUT'!AR8</f>
        <v>2019</v>
      </c>
      <c r="AQ9" s="156" t="str">
        <f>'ADJ DETAIL INPUT'!AY8</f>
        <v>Total</v>
      </c>
      <c r="AR9" s="156" t="e">
        <f>'ADJ DETAIL INPUT'!#REF!</f>
        <v>#REF!</v>
      </c>
      <c r="AS9" s="156" t="e">
        <f>'ADJ DETAIL INPUT'!#REF!</f>
        <v>#REF!</v>
      </c>
    </row>
    <row r="10" spans="1:45" s="145" customFormat="1">
      <c r="A10" s="157" t="s">
        <v>16</v>
      </c>
      <c r="B10" s="158"/>
      <c r="C10" s="159"/>
      <c r="D10" s="160" t="s">
        <v>17</v>
      </c>
      <c r="E10" s="161" t="str">
        <f>'ADJ DETAIL INPUT'!E9</f>
        <v>Report</v>
      </c>
      <c r="F10" s="161" t="str">
        <f>'ADJ DETAIL INPUT'!F9</f>
        <v>Rate Base</v>
      </c>
      <c r="G10" s="161" t="str">
        <f>'ADJ DETAIL INPUT'!G9</f>
        <v>Credits</v>
      </c>
      <c r="H10" s="161"/>
      <c r="I10" s="161"/>
      <c r="J10" s="161" t="str">
        <f>'ADJ DETAIL INPUT'!J9</f>
        <v>Taxes</v>
      </c>
      <c r="K10" s="161" t="str">
        <f>'ADJ DETAIL INPUT'!K9</f>
        <v>Tax</v>
      </c>
      <c r="L10" s="161"/>
      <c r="M10" s="161"/>
      <c r="N10" s="161" t="str">
        <f>'ADJ DETAIL INPUT'!N9</f>
        <v>Damages</v>
      </c>
      <c r="O10" s="161" t="str">
        <f>'ADJ DETAIL INPUT'!O9</f>
        <v>Expense</v>
      </c>
      <c r="P10" s="161" t="str">
        <f>'ADJ DETAIL INPUT'!P9</f>
        <v>Non-Utility</v>
      </c>
      <c r="Q10" s="161" t="str">
        <f>'ADJ DETAIL INPUT'!Q9</f>
        <v>Taxes</v>
      </c>
      <c r="R10" s="161"/>
      <c r="S10" s="161" t="str">
        <f>'ADJ DETAIL INPUT'!S9</f>
        <v>Gas Cost Adjust</v>
      </c>
      <c r="T10" s="161" t="str">
        <f>'ADJ DETAIL INPUT'!T9</f>
        <v>Schedules</v>
      </c>
      <c r="U10" s="161" t="str">
        <f>'ADJ DETAIL INPUT'!U9</f>
        <v>Recurring Expense</v>
      </c>
      <c r="V10" s="161"/>
      <c r="W10" s="161" t="str">
        <f>'ADJ DETAIL INPUT'!W9</f>
        <v>Interest</v>
      </c>
      <c r="X10" s="161" t="str">
        <f>'ADJ DETAIL INPUT'!X9</f>
        <v>Base to EOP</v>
      </c>
      <c r="Y10" s="161" t="str">
        <f>'ADJ DETAIL INPUT'!AA9</f>
        <v xml:space="preserve">Normalization </v>
      </c>
      <c r="Z10" s="161" t="str">
        <f>'ADJ DETAIL INPUT'!AB9</f>
        <v>Regulatory Amorts</v>
      </c>
      <c r="AA10" s="161" t="str">
        <f>'ADJ DETAIL INPUT'!AC9</f>
        <v>DFIT</v>
      </c>
      <c r="AB10" s="161" t="str">
        <f>'ADJ DETAIL INPUT'!AD9</f>
        <v>Non-Exec</v>
      </c>
      <c r="AC10" s="161" t="str">
        <f>'ADJ DETAIL INPUT'!AE9</f>
        <v>Exec</v>
      </c>
      <c r="AD10" s="161" t="str">
        <f>'ADJ DETAIL INPUT'!AF9</f>
        <v>Benefits</v>
      </c>
      <c r="AE10" s="161" t="str">
        <f>'ADJ DETAIL INPUT'!AG9</f>
        <v>Expense</v>
      </c>
      <c r="AF10" s="161" t="str">
        <f>'ADJ DETAIL INPUT'!AH9</f>
        <v>Expense</v>
      </c>
      <c r="AG10" s="161" t="str">
        <f>'ADJ DETAIL INPUT'!AI9</f>
        <v>Tax</v>
      </c>
      <c r="AH10" s="161" t="str">
        <f>'ADJ DETAIL INPUT'!AJ9</f>
        <v>Amortization</v>
      </c>
      <c r="AI10" s="161" t="str">
        <f>'ADJ DETAIL INPUT'!AK9</f>
        <v xml:space="preserve">At Center </v>
      </c>
      <c r="AJ10" s="161" t="str">
        <f>'ADJ DETAIL INPUT'!AL9</f>
        <v>Distinct</v>
      </c>
      <c r="AK10" s="161" t="str">
        <f>'ADJ DETAIL INPUT'!AM9</f>
        <v>Programmatic</v>
      </c>
      <c r="AL10" s="161" t="str">
        <f>'ADJ DETAIL INPUT'!AN9</f>
        <v>&amp; Compliance</v>
      </c>
      <c r="AM10" s="161" t="str">
        <f>'ADJ DETAIL INPUT'!AO9</f>
        <v>Short Lived</v>
      </c>
      <c r="AN10" s="161" t="str">
        <f>'ADJ DETAIL INPUT'!AP9</f>
        <v>Capital Adds</v>
      </c>
      <c r="AO10" s="161" t="str">
        <f>'ADJ DETAIL INPUT'!AQ9</f>
        <v>Amortization</v>
      </c>
      <c r="AP10" s="161" t="str">
        <f>'ADJ DETAIL INPUT'!AR9</f>
        <v>ADFIT</v>
      </c>
      <c r="AQ10" s="161">
        <f>'ADJ DETAIL INPUT'!AY9</f>
        <v>0</v>
      </c>
      <c r="AR10" s="161" t="e">
        <f>'ADJ DETAIL INPUT'!#REF!</f>
        <v>#REF!</v>
      </c>
      <c r="AS10" s="161" t="e">
        <f>'ADJ DETAIL INPUT'!#REF!</f>
        <v>#REF!</v>
      </c>
    </row>
    <row r="11" spans="1:45" s="145" customFormat="1">
      <c r="A11" s="144"/>
      <c r="B11" s="178" t="s">
        <v>181</v>
      </c>
      <c r="E11" s="179">
        <f>'ADJ DETAIL INPUT'!E10</f>
        <v>1</v>
      </c>
      <c r="F11" s="179">
        <f>'ADJ DETAIL INPUT'!F10</f>
        <v>1.01</v>
      </c>
      <c r="G11" s="179">
        <f>'ADJ DETAIL INPUT'!G10</f>
        <v>1.02</v>
      </c>
      <c r="H11" s="179">
        <f>'ADJ DETAIL INPUT'!H10</f>
        <v>1.03</v>
      </c>
      <c r="I11" s="179">
        <f>'ADJ DETAIL INPUT'!I10</f>
        <v>1.04</v>
      </c>
      <c r="J11" s="179">
        <f>'ADJ DETAIL INPUT'!J10</f>
        <v>2.0099999999999998</v>
      </c>
      <c r="K11" s="179">
        <f>'ADJ DETAIL INPUT'!K10</f>
        <v>2.0199999999999996</v>
      </c>
      <c r="L11" s="179">
        <f>'ADJ DETAIL INPUT'!L10</f>
        <v>2.0299999999999994</v>
      </c>
      <c r="M11" s="179">
        <f>'ADJ DETAIL INPUT'!M10</f>
        <v>2.0399999999999991</v>
      </c>
      <c r="N11" s="179">
        <f>'ADJ DETAIL INPUT'!N10</f>
        <v>2.0499999999999989</v>
      </c>
      <c r="O11" s="179">
        <f>'ADJ DETAIL INPUT'!O10</f>
        <v>2.0599999999999987</v>
      </c>
      <c r="P11" s="179">
        <f>'ADJ DETAIL INPUT'!P10</f>
        <v>2.0699999999999985</v>
      </c>
      <c r="Q11" s="179">
        <f>'ADJ DETAIL INPUT'!Q10</f>
        <v>2.0799999999999983</v>
      </c>
      <c r="R11" s="179">
        <f>'ADJ DETAIL INPUT'!R10</f>
        <v>2.0899999999999981</v>
      </c>
      <c r="S11" s="179">
        <f>'ADJ DETAIL INPUT'!S10</f>
        <v>2.0999999999999979</v>
      </c>
      <c r="T11" s="179">
        <f>'ADJ DETAIL INPUT'!T10</f>
        <v>2.1099999999999977</v>
      </c>
      <c r="U11" s="179">
        <f>'ADJ DETAIL INPUT'!U10</f>
        <v>2.1199999999999974</v>
      </c>
      <c r="V11" s="179">
        <f>'ADJ DETAIL INPUT'!V10</f>
        <v>2.1299999999999972</v>
      </c>
      <c r="W11" s="179">
        <f>'ADJ DETAIL INPUT'!W10</f>
        <v>2.139999999999997</v>
      </c>
      <c r="X11" s="179">
        <f>'ADJ DETAIL INPUT'!X10</f>
        <v>2.1499999999999968</v>
      </c>
      <c r="Y11" s="179">
        <f>'ADJ DETAIL INPUT'!AA10</f>
        <v>3.01</v>
      </c>
      <c r="Z11" s="179">
        <f>'ADJ DETAIL INPUT'!AB10</f>
        <v>3.0199999999999996</v>
      </c>
      <c r="AA11" s="179">
        <f>'ADJ DETAIL INPUT'!AC10</f>
        <v>3.0299999999999994</v>
      </c>
      <c r="AB11" s="179">
        <f>'ADJ DETAIL INPUT'!AD10</f>
        <v>3.0399999999999991</v>
      </c>
      <c r="AC11" s="179">
        <f>'ADJ DETAIL INPUT'!AE10</f>
        <v>3.0499999999999989</v>
      </c>
      <c r="AD11" s="179">
        <f>'ADJ DETAIL INPUT'!AF10</f>
        <v>3.0599999999999987</v>
      </c>
      <c r="AE11" s="179">
        <f>'ADJ DETAIL INPUT'!AG10</f>
        <v>3.0699999999999985</v>
      </c>
      <c r="AF11" s="179">
        <f>'ADJ DETAIL INPUT'!AH10</f>
        <v>3.0799999999999983</v>
      </c>
      <c r="AG11" s="179">
        <f>'ADJ DETAIL INPUT'!AI10</f>
        <v>3.0899999999999981</v>
      </c>
      <c r="AH11" s="179">
        <f>'ADJ DETAIL INPUT'!AJ10</f>
        <v>3.0999999999999979</v>
      </c>
      <c r="AI11" s="179">
        <f>'ADJ DETAIL INPUT'!AK10</f>
        <v>3.1099999999999977</v>
      </c>
      <c r="AJ11" s="179">
        <f>'ADJ DETAIL INPUT'!AL10</f>
        <v>3.1199999999999974</v>
      </c>
      <c r="AK11" s="179">
        <f>'ADJ DETAIL INPUT'!AM10</f>
        <v>3.1299999999999972</v>
      </c>
      <c r="AL11" s="179">
        <f>'ADJ DETAIL INPUT'!AN10</f>
        <v>3.139999999999997</v>
      </c>
      <c r="AM11" s="179">
        <f>'ADJ DETAIL INPUT'!AO10</f>
        <v>3.1499999999999968</v>
      </c>
      <c r="AN11" s="179">
        <f>'ADJ DETAIL INPUT'!AP10</f>
        <v>3.1599999999999966</v>
      </c>
      <c r="AO11" s="179">
        <f>'ADJ DETAIL INPUT'!AQ10</f>
        <v>3.1699999999999964</v>
      </c>
      <c r="AP11" s="179">
        <f>'ADJ DETAIL INPUT'!AR10</f>
        <v>3.1799999999999962</v>
      </c>
      <c r="AQ11" s="179">
        <f>'ADJ DETAIL INPUT'!AY10</f>
        <v>0</v>
      </c>
      <c r="AR11" s="179" t="e">
        <f>'ADJ DETAIL INPUT'!#REF!</f>
        <v>#REF!</v>
      </c>
      <c r="AS11" s="179" t="e">
        <f>'ADJ DETAIL INPUT'!#REF!</f>
        <v>#REF!</v>
      </c>
    </row>
    <row r="12" spans="1:45" s="145" customFormat="1">
      <c r="A12" s="144"/>
      <c r="B12" s="178" t="s">
        <v>182</v>
      </c>
      <c r="E12" s="146" t="str">
        <f>'ADJ DETAIL INPUT'!E11</f>
        <v>G-ROO</v>
      </c>
      <c r="F12" s="146" t="str">
        <f>'ADJ DETAIL INPUT'!F11</f>
        <v>G-DFIT</v>
      </c>
      <c r="G12" s="146" t="str">
        <f>'ADJ DETAIL INPUT'!G11</f>
        <v>G-DDC</v>
      </c>
      <c r="H12" s="146" t="str">
        <f>'ADJ DETAIL INPUT'!H11</f>
        <v>G-WC</v>
      </c>
      <c r="I12" s="146" t="str">
        <f>'ADJ DETAIL INPUT'!I11</f>
        <v>G-AMI</v>
      </c>
      <c r="J12" s="146" t="str">
        <f>'ADJ DETAIL INPUT'!J11</f>
        <v>G-EBO</v>
      </c>
      <c r="K12" s="146" t="str">
        <f>'ADJ DETAIL INPUT'!K11</f>
        <v>G-RPT</v>
      </c>
      <c r="L12" s="146" t="str">
        <f>'ADJ DETAIL INPUT'!L11</f>
        <v>G-UE</v>
      </c>
      <c r="M12" s="146" t="str">
        <f>'ADJ DETAIL INPUT'!M11</f>
        <v>G-RE</v>
      </c>
      <c r="N12" s="146" t="str">
        <f>'ADJ DETAIL INPUT'!N11</f>
        <v>G-ID</v>
      </c>
      <c r="O12" s="146" t="str">
        <f>'ADJ DETAIL INPUT'!O11</f>
        <v>G-FIT</v>
      </c>
      <c r="P12" s="146" t="str">
        <f>'ADJ DETAIL INPUT'!P11</f>
        <v>G-OSC</v>
      </c>
      <c r="Q12" s="146" t="str">
        <f>'ADJ DETAIL INPUT'!Q11</f>
        <v>G-RET</v>
      </c>
      <c r="R12" s="146" t="str">
        <f>'ADJ DETAIL INPUT'!R11</f>
        <v>G-NGL</v>
      </c>
      <c r="S12" s="146" t="str">
        <f>'ADJ DETAIL INPUT'!S11</f>
        <v>G-WNGC</v>
      </c>
      <c r="T12" s="146" t="str">
        <f>'ADJ DETAIL INPUT'!T11</f>
        <v>G-EAS</v>
      </c>
      <c r="U12" s="146" t="str">
        <f>'ADJ DETAIL INPUT'!U11</f>
        <v>G-MR</v>
      </c>
      <c r="V12" s="146" t="str">
        <f>'ADJ DETAIL INPUT'!V11</f>
        <v>G-RI</v>
      </c>
      <c r="W12" s="146" t="str">
        <f>'ADJ DETAIL INPUT'!W11</f>
        <v>G-DI</v>
      </c>
      <c r="X12" s="146" t="str">
        <f>'ADJ DETAIL INPUT'!X11</f>
        <v>G-EOP19</v>
      </c>
      <c r="Y12" s="146" t="str">
        <f>'ADJ DETAIL INPUT'!AA11</f>
        <v>G-PREV</v>
      </c>
      <c r="Z12" s="146" t="str">
        <f>'ADJ DETAIL INPUT'!AB11</f>
        <v>G-PRA</v>
      </c>
      <c r="AA12" s="146" t="str">
        <f>'ADJ DETAIL INPUT'!AC11</f>
        <v>G-ARAM</v>
      </c>
      <c r="AB12" s="146" t="str">
        <f>'ADJ DETAIL INPUT'!AD11</f>
        <v>G-PLN</v>
      </c>
      <c r="AC12" s="146" t="str">
        <f>'ADJ DETAIL INPUT'!AE11</f>
        <v>G-PLE</v>
      </c>
      <c r="AD12" s="146" t="str">
        <f>'ADJ DETAIL INPUT'!AF11</f>
        <v>G-PEB</v>
      </c>
      <c r="AE12" s="146" t="str">
        <f>'ADJ DETAIL INPUT'!AG11</f>
        <v>G-PINS</v>
      </c>
      <c r="AF12" s="146" t="str">
        <f>'ADJ DETAIL INPUT'!AH11</f>
        <v>G-PIT</v>
      </c>
      <c r="AG12" s="146" t="str">
        <f>'ADJ DETAIL INPUT'!AI11</f>
        <v>G-PPT</v>
      </c>
      <c r="AH12" s="146" t="str">
        <f>'ADJ DETAIL INPUT'!AJ11</f>
        <v>G-PFEE</v>
      </c>
      <c r="AI12" s="146" t="str">
        <f>'ADJ DETAIL INPUT'!AK11</f>
        <v>G-PCAP1</v>
      </c>
      <c r="AJ12" s="146" t="str">
        <f>'ADJ DETAIL INPUT'!AL11</f>
        <v>G-PCAP2</v>
      </c>
      <c r="AK12" s="146" t="str">
        <f>'ADJ DETAIL INPUT'!AM11</f>
        <v>G-PCAP3</v>
      </c>
      <c r="AL12" s="146" t="str">
        <f>'ADJ DETAIL INPUT'!AN11</f>
        <v>G-PCAP4</v>
      </c>
      <c r="AM12" s="146" t="str">
        <f>'ADJ DETAIL INPUT'!AO11</f>
        <v>G-PCAP5</v>
      </c>
      <c r="AN12" s="146" t="str">
        <f>'ADJ DETAIL INPUT'!AP11</f>
        <v>G-PAMI</v>
      </c>
      <c r="AO12" s="146" t="str">
        <f>'ADJ DETAIL INPUT'!AQ11</f>
        <v>G-PLEAP</v>
      </c>
      <c r="AP12" s="146" t="str">
        <f>'ADJ DETAIL INPUT'!AR11</f>
        <v>G-RDFIT</v>
      </c>
      <c r="AQ12" s="146" t="str">
        <f>'ADJ DETAIL INPUT'!AY11</f>
        <v>PF-STtl</v>
      </c>
      <c r="AR12" s="146" t="e">
        <f>'ADJ DETAIL INPUT'!#REF!</f>
        <v>#REF!</v>
      </c>
      <c r="AS12" s="146" t="e">
        <f>'ADJ DETAIL INPUT'!#REF!</f>
        <v>#REF!</v>
      </c>
    </row>
    <row r="14" spans="1:45">
      <c r="B14" s="138" t="s">
        <v>32</v>
      </c>
    </row>
    <row r="15" spans="1:45" s="163" customFormat="1">
      <c r="A15" s="162">
        <v>1</v>
      </c>
      <c r="B15" s="163" t="s">
        <v>33</v>
      </c>
      <c r="E15" s="261">
        <f>'ADJ DETAIL INPUT'!E14</f>
        <v>142552</v>
      </c>
      <c r="F15" s="261">
        <f>'ADJ DETAIL INPUT'!F14</f>
        <v>0</v>
      </c>
      <c r="G15" s="261">
        <f>'ADJ DETAIL INPUT'!G14</f>
        <v>0</v>
      </c>
      <c r="H15" s="261">
        <f>'ADJ DETAIL INPUT'!H14</f>
        <v>0</v>
      </c>
      <c r="I15" s="261">
        <f>'ADJ DETAIL INPUT'!I14</f>
        <v>0</v>
      </c>
      <c r="J15" s="261">
        <f>'ADJ DETAIL INPUT'!J14</f>
        <v>-5116</v>
      </c>
      <c r="K15" s="261">
        <f>'ADJ DETAIL INPUT'!K14</f>
        <v>0</v>
      </c>
      <c r="L15" s="261">
        <f>'ADJ DETAIL INPUT'!L14</f>
        <v>0</v>
      </c>
      <c r="M15" s="261">
        <f>'ADJ DETAIL INPUT'!M14</f>
        <v>0</v>
      </c>
      <c r="N15" s="261">
        <f>'ADJ DETAIL INPUT'!N14</f>
        <v>0</v>
      </c>
      <c r="O15" s="261">
        <f>'ADJ DETAIL INPUT'!O14</f>
        <v>0</v>
      </c>
      <c r="P15" s="261">
        <f>'ADJ DETAIL INPUT'!P14</f>
        <v>0</v>
      </c>
      <c r="Q15" s="261">
        <f>'ADJ DETAIL INPUT'!Q14</f>
        <v>0</v>
      </c>
      <c r="R15" s="261">
        <f>'ADJ DETAIL INPUT'!R14</f>
        <v>0</v>
      </c>
      <c r="S15" s="261">
        <f>'ADJ DETAIL INPUT'!S14</f>
        <v>-3931</v>
      </c>
      <c r="T15" s="261">
        <f>'ADJ DETAIL INPUT'!T14</f>
        <v>8060</v>
      </c>
      <c r="U15" s="261">
        <f>'ADJ DETAIL INPUT'!U14</f>
        <v>0</v>
      </c>
      <c r="V15" s="261">
        <f>'ADJ DETAIL INPUT'!V14</f>
        <v>0</v>
      </c>
      <c r="W15" s="261">
        <f>'ADJ DETAIL INPUT'!W14</f>
        <v>0</v>
      </c>
      <c r="X15" s="261">
        <f>'ADJ DETAIL INPUT'!X14</f>
        <v>0</v>
      </c>
      <c r="Y15" s="261">
        <f>'ADJ DETAIL INPUT'!AA14</f>
        <v>-41734</v>
      </c>
      <c r="Z15" s="261">
        <f>'ADJ DETAIL INPUT'!AB14</f>
        <v>0</v>
      </c>
      <c r="AA15" s="261">
        <f>'ADJ DETAIL INPUT'!AC14</f>
        <v>0</v>
      </c>
      <c r="AB15" s="261">
        <f>'ADJ DETAIL INPUT'!AD14</f>
        <v>0</v>
      </c>
      <c r="AC15" s="261">
        <f>'ADJ DETAIL INPUT'!AE14</f>
        <v>0</v>
      </c>
      <c r="AD15" s="261">
        <f>'ADJ DETAIL INPUT'!AF14</f>
        <v>0</v>
      </c>
      <c r="AE15" s="261">
        <f>'ADJ DETAIL INPUT'!AG14</f>
        <v>0</v>
      </c>
      <c r="AF15" s="261">
        <f>'ADJ DETAIL INPUT'!AH14</f>
        <v>0</v>
      </c>
      <c r="AG15" s="261">
        <f>'ADJ DETAIL INPUT'!AI14</f>
        <v>0</v>
      </c>
      <c r="AH15" s="261">
        <f>'ADJ DETAIL INPUT'!AJ14</f>
        <v>0</v>
      </c>
      <c r="AI15" s="261">
        <f>'ADJ DETAIL INPUT'!AK14</f>
        <v>0</v>
      </c>
      <c r="AJ15" s="261">
        <f>'ADJ DETAIL INPUT'!AL14</f>
        <v>0</v>
      </c>
      <c r="AK15" s="261">
        <f>'ADJ DETAIL INPUT'!AM14</f>
        <v>0</v>
      </c>
      <c r="AL15" s="261">
        <f>'ADJ DETAIL INPUT'!AN14</f>
        <v>0</v>
      </c>
      <c r="AM15" s="261">
        <f>'ADJ DETAIL INPUT'!AO14</f>
        <v>0</v>
      </c>
      <c r="AN15" s="261">
        <f>'ADJ DETAIL INPUT'!AP14</f>
        <v>0</v>
      </c>
      <c r="AO15" s="261">
        <f>'ADJ DETAIL INPUT'!AQ14</f>
        <v>0</v>
      </c>
      <c r="AP15" s="261">
        <f>'ADJ DETAIL INPUT'!AR14</f>
        <v>0</v>
      </c>
      <c r="AQ15" s="261">
        <f>'ADJ DETAIL INPUT'!AY14</f>
        <v>99831</v>
      </c>
      <c r="AR15" s="261" t="e">
        <f>'ADJ DETAIL INPUT'!#REF!</f>
        <v>#REF!</v>
      </c>
      <c r="AS15" s="261" t="e">
        <f>'ADJ DETAIL INPUT'!#REF!</f>
        <v>#REF!</v>
      </c>
    </row>
    <row r="16" spans="1:45">
      <c r="A16" s="162">
        <v>2</v>
      </c>
      <c r="B16" s="164" t="s">
        <v>34</v>
      </c>
      <c r="D16" s="164"/>
      <c r="E16" s="182">
        <f>'ADJ DETAIL INPUT'!E15</f>
        <v>5183</v>
      </c>
      <c r="F16" s="182">
        <f>'ADJ DETAIL INPUT'!F15</f>
        <v>0</v>
      </c>
      <c r="G16" s="182">
        <f>'ADJ DETAIL INPUT'!G15</f>
        <v>0</v>
      </c>
      <c r="H16" s="182">
        <f>'ADJ DETAIL INPUT'!H15</f>
        <v>0</v>
      </c>
      <c r="I16" s="182">
        <f>'ADJ DETAIL INPUT'!I15</f>
        <v>0</v>
      </c>
      <c r="J16" s="182">
        <f>'ADJ DETAIL INPUT'!J15</f>
        <v>-131</v>
      </c>
      <c r="K16" s="182">
        <f>'ADJ DETAIL INPUT'!K15</f>
        <v>0</v>
      </c>
      <c r="L16" s="182">
        <f>'ADJ DETAIL INPUT'!L15</f>
        <v>0</v>
      </c>
      <c r="M16" s="182">
        <f>'ADJ DETAIL INPUT'!M15</f>
        <v>0</v>
      </c>
      <c r="N16" s="182">
        <f>'ADJ DETAIL INPUT'!N15</f>
        <v>0</v>
      </c>
      <c r="O16" s="182">
        <f>'ADJ DETAIL INPUT'!O15</f>
        <v>0</v>
      </c>
      <c r="P16" s="182">
        <f>'ADJ DETAIL INPUT'!P15</f>
        <v>0</v>
      </c>
      <c r="Q16" s="182">
        <f>'ADJ DETAIL INPUT'!Q15</f>
        <v>0</v>
      </c>
      <c r="R16" s="182">
        <f>'ADJ DETAIL INPUT'!R15</f>
        <v>0</v>
      </c>
      <c r="S16" s="182">
        <f>'ADJ DETAIL INPUT'!S15</f>
        <v>0</v>
      </c>
      <c r="T16" s="182">
        <f>'ADJ DETAIL INPUT'!T15</f>
        <v>0</v>
      </c>
      <c r="U16" s="182">
        <f>'ADJ DETAIL INPUT'!U15</f>
        <v>0</v>
      </c>
      <c r="V16" s="182">
        <f>'ADJ DETAIL INPUT'!V15</f>
        <v>0</v>
      </c>
      <c r="W16" s="182">
        <f>'ADJ DETAIL INPUT'!W15</f>
        <v>0</v>
      </c>
      <c r="X16" s="182">
        <f>'ADJ DETAIL INPUT'!X15</f>
        <v>0</v>
      </c>
      <c r="Y16" s="182">
        <f>'ADJ DETAIL INPUT'!AA15</f>
        <v>290</v>
      </c>
      <c r="Z16" s="182">
        <f>'ADJ DETAIL INPUT'!AB15</f>
        <v>0</v>
      </c>
      <c r="AA16" s="182">
        <f>'ADJ DETAIL INPUT'!AC15</f>
        <v>0</v>
      </c>
      <c r="AB16" s="182">
        <f>'ADJ DETAIL INPUT'!AD15</f>
        <v>0</v>
      </c>
      <c r="AC16" s="182">
        <f>'ADJ DETAIL INPUT'!AE15</f>
        <v>0</v>
      </c>
      <c r="AD16" s="182">
        <f>'ADJ DETAIL INPUT'!AF15</f>
        <v>0</v>
      </c>
      <c r="AE16" s="182">
        <f>'ADJ DETAIL INPUT'!AG15</f>
        <v>0</v>
      </c>
      <c r="AF16" s="182">
        <f>'ADJ DETAIL INPUT'!AH15</f>
        <v>0</v>
      </c>
      <c r="AG16" s="182">
        <f>'ADJ DETAIL INPUT'!AI15</f>
        <v>0</v>
      </c>
      <c r="AH16" s="182">
        <f>'ADJ DETAIL INPUT'!AJ15</f>
        <v>0</v>
      </c>
      <c r="AI16" s="182">
        <f>'ADJ DETAIL INPUT'!AK15</f>
        <v>0</v>
      </c>
      <c r="AJ16" s="182">
        <f>'ADJ DETAIL INPUT'!AL15</f>
        <v>0</v>
      </c>
      <c r="AK16" s="182">
        <f>'ADJ DETAIL INPUT'!AM15</f>
        <v>0</v>
      </c>
      <c r="AL16" s="182">
        <f>'ADJ DETAIL INPUT'!AN15</f>
        <v>0</v>
      </c>
      <c r="AM16" s="182">
        <f>'ADJ DETAIL INPUT'!AO15</f>
        <v>0</v>
      </c>
      <c r="AN16" s="182">
        <f>'ADJ DETAIL INPUT'!AP15</f>
        <v>0</v>
      </c>
      <c r="AO16" s="182">
        <f>'ADJ DETAIL INPUT'!AQ15</f>
        <v>0</v>
      </c>
      <c r="AP16" s="182">
        <f>'ADJ DETAIL INPUT'!AR15</f>
        <v>0</v>
      </c>
      <c r="AQ16" s="182">
        <f>'ADJ DETAIL INPUT'!AY15</f>
        <v>5342</v>
      </c>
      <c r="AR16" s="182" t="e">
        <f>'ADJ DETAIL INPUT'!#REF!</f>
        <v>#REF!</v>
      </c>
      <c r="AS16" s="182" t="e">
        <f>'ADJ DETAIL INPUT'!#REF!</f>
        <v>#REF!</v>
      </c>
    </row>
    <row r="17" spans="1:45">
      <c r="A17" s="162">
        <v>3</v>
      </c>
      <c r="B17" s="164" t="s">
        <v>35</v>
      </c>
      <c r="D17" s="164"/>
      <c r="E17" s="183">
        <f>'ADJ DETAIL INPUT'!E16</f>
        <v>60090</v>
      </c>
      <c r="F17" s="183">
        <f>'ADJ DETAIL INPUT'!F16</f>
        <v>0</v>
      </c>
      <c r="G17" s="183">
        <f>'ADJ DETAIL INPUT'!G16</f>
        <v>0</v>
      </c>
      <c r="H17" s="183">
        <f>'ADJ DETAIL INPUT'!H16</f>
        <v>0</v>
      </c>
      <c r="I17" s="183">
        <f>'ADJ DETAIL INPUT'!I16</f>
        <v>0</v>
      </c>
      <c r="J17" s="183">
        <f>'ADJ DETAIL INPUT'!J16</f>
        <v>0</v>
      </c>
      <c r="K17" s="183">
        <f>'ADJ DETAIL INPUT'!K16</f>
        <v>0</v>
      </c>
      <c r="L17" s="183">
        <f>'ADJ DETAIL INPUT'!L16</f>
        <v>0</v>
      </c>
      <c r="M17" s="183">
        <f>'ADJ DETAIL INPUT'!M16</f>
        <v>0</v>
      </c>
      <c r="N17" s="183">
        <f>'ADJ DETAIL INPUT'!N16</f>
        <v>0</v>
      </c>
      <c r="O17" s="183">
        <f>'ADJ DETAIL INPUT'!O16</f>
        <v>0</v>
      </c>
      <c r="P17" s="183">
        <f>'ADJ DETAIL INPUT'!P16</f>
        <v>0</v>
      </c>
      <c r="Q17" s="183">
        <f>'ADJ DETAIL INPUT'!Q16</f>
        <v>0</v>
      </c>
      <c r="R17" s="183">
        <f>'ADJ DETAIL INPUT'!R16</f>
        <v>0</v>
      </c>
      <c r="S17" s="183">
        <f>'ADJ DETAIL INPUT'!S16</f>
        <v>2095</v>
      </c>
      <c r="T17" s="183">
        <f>'ADJ DETAIL INPUT'!T16</f>
        <v>-59974</v>
      </c>
      <c r="U17" s="183">
        <f>'ADJ DETAIL INPUT'!U16</f>
        <v>-444</v>
      </c>
      <c r="V17" s="183">
        <f>'ADJ DETAIL INPUT'!V16</f>
        <v>0</v>
      </c>
      <c r="W17" s="183">
        <f>'ADJ DETAIL INPUT'!W16</f>
        <v>0</v>
      </c>
      <c r="X17" s="183">
        <f>'ADJ DETAIL INPUT'!X16</f>
        <v>0</v>
      </c>
      <c r="Y17" s="183">
        <f>'ADJ DETAIL INPUT'!AA16</f>
        <v>-1153</v>
      </c>
      <c r="Z17" s="183">
        <f>'ADJ DETAIL INPUT'!AB16</f>
        <v>0</v>
      </c>
      <c r="AA17" s="183">
        <f>'ADJ DETAIL INPUT'!AC16</f>
        <v>0</v>
      </c>
      <c r="AB17" s="183">
        <f>'ADJ DETAIL INPUT'!AD16</f>
        <v>0</v>
      </c>
      <c r="AC17" s="183">
        <f>'ADJ DETAIL INPUT'!AE16</f>
        <v>0</v>
      </c>
      <c r="AD17" s="183">
        <f>'ADJ DETAIL INPUT'!AF16</f>
        <v>0</v>
      </c>
      <c r="AE17" s="183">
        <f>'ADJ DETAIL INPUT'!AG16</f>
        <v>0</v>
      </c>
      <c r="AF17" s="183">
        <f>'ADJ DETAIL INPUT'!AH16</f>
        <v>0</v>
      </c>
      <c r="AG17" s="183">
        <f>'ADJ DETAIL INPUT'!AI16</f>
        <v>0</v>
      </c>
      <c r="AH17" s="183">
        <f>'ADJ DETAIL INPUT'!AJ16</f>
        <v>0</v>
      </c>
      <c r="AI17" s="183">
        <f>'ADJ DETAIL INPUT'!AK16</f>
        <v>0</v>
      </c>
      <c r="AJ17" s="183">
        <f>'ADJ DETAIL INPUT'!AL16</f>
        <v>0</v>
      </c>
      <c r="AK17" s="183">
        <f>'ADJ DETAIL INPUT'!AM16</f>
        <v>0</v>
      </c>
      <c r="AL17" s="183">
        <f>'ADJ DETAIL INPUT'!AN16</f>
        <v>0</v>
      </c>
      <c r="AM17" s="183">
        <f>'ADJ DETAIL INPUT'!AO16</f>
        <v>0</v>
      </c>
      <c r="AN17" s="183">
        <f>'ADJ DETAIL INPUT'!AP16</f>
        <v>0</v>
      </c>
      <c r="AO17" s="183">
        <f>'ADJ DETAIL INPUT'!AQ16</f>
        <v>0</v>
      </c>
      <c r="AP17" s="183">
        <f>'ADJ DETAIL INPUT'!AR16</f>
        <v>0</v>
      </c>
      <c r="AQ17" s="183">
        <f>'ADJ DETAIL INPUT'!AY16</f>
        <v>614</v>
      </c>
      <c r="AR17" s="183" t="e">
        <f>'ADJ DETAIL INPUT'!#REF!</f>
        <v>#REF!</v>
      </c>
      <c r="AS17" s="183" t="e">
        <f>'ADJ DETAIL INPUT'!#REF!</f>
        <v>#REF!</v>
      </c>
    </row>
    <row r="18" spans="1:45">
      <c r="A18" s="162">
        <v>4</v>
      </c>
      <c r="B18" s="138" t="s">
        <v>36</v>
      </c>
      <c r="C18" s="164"/>
      <c r="D18" s="164"/>
      <c r="E18" s="182">
        <f>SUM(E15:E17)</f>
        <v>207825</v>
      </c>
      <c r="F18" s="182">
        <f t="shared" ref="F18:AG18" si="0">SUM(F15:F17)</f>
        <v>0</v>
      </c>
      <c r="G18" s="182">
        <f t="shared" si="0"/>
        <v>0</v>
      </c>
      <c r="H18" s="182">
        <f t="shared" si="0"/>
        <v>0</v>
      </c>
      <c r="I18" s="182">
        <f>SUM(I15:I17)</f>
        <v>0</v>
      </c>
      <c r="J18" s="182">
        <f t="shared" si="0"/>
        <v>-5247</v>
      </c>
      <c r="K18" s="182">
        <f t="shared" si="0"/>
        <v>0</v>
      </c>
      <c r="L18" s="182">
        <f t="shared" si="0"/>
        <v>0</v>
      </c>
      <c r="M18" s="182">
        <f t="shared" si="0"/>
        <v>0</v>
      </c>
      <c r="N18" s="182">
        <f t="shared" si="0"/>
        <v>0</v>
      </c>
      <c r="O18" s="182">
        <f t="shared" si="0"/>
        <v>0</v>
      </c>
      <c r="P18" s="182">
        <f t="shared" si="0"/>
        <v>0</v>
      </c>
      <c r="Q18" s="182">
        <f t="shared" si="0"/>
        <v>0</v>
      </c>
      <c r="R18" s="182">
        <f t="shared" si="0"/>
        <v>0</v>
      </c>
      <c r="S18" s="182">
        <f t="shared" si="0"/>
        <v>-1836</v>
      </c>
      <c r="T18" s="182">
        <f t="shared" ref="T18:AA18" si="1">SUM(T15:T17)</f>
        <v>-51914</v>
      </c>
      <c r="U18" s="182">
        <f t="shared" si="1"/>
        <v>-444</v>
      </c>
      <c r="V18" s="182">
        <f t="shared" si="1"/>
        <v>0</v>
      </c>
      <c r="W18" s="182">
        <f t="shared" si="1"/>
        <v>0</v>
      </c>
      <c r="X18" s="182">
        <f t="shared" si="1"/>
        <v>0</v>
      </c>
      <c r="Y18" s="182">
        <f t="shared" si="1"/>
        <v>-42597</v>
      </c>
      <c r="Z18" s="182">
        <f t="shared" si="1"/>
        <v>0</v>
      </c>
      <c r="AA18" s="182">
        <f t="shared" si="1"/>
        <v>0</v>
      </c>
      <c r="AB18" s="182">
        <f t="shared" si="0"/>
        <v>0</v>
      </c>
      <c r="AC18" s="182">
        <f>SUM(AC15:AC17)</f>
        <v>0</v>
      </c>
      <c r="AD18" s="182">
        <f t="shared" si="0"/>
        <v>0</v>
      </c>
      <c r="AE18" s="182">
        <f>SUM(AE15:AE17)</f>
        <v>0</v>
      </c>
      <c r="AF18" s="182">
        <f>SUM(AF15:AF17)</f>
        <v>0</v>
      </c>
      <c r="AG18" s="182">
        <f t="shared" si="0"/>
        <v>0</v>
      </c>
      <c r="AH18" s="182">
        <f t="shared" ref="AH18:AS18" si="2">SUM(AH15:AH17)</f>
        <v>0</v>
      </c>
      <c r="AI18" s="182">
        <f t="shared" si="2"/>
        <v>0</v>
      </c>
      <c r="AJ18" s="182">
        <f t="shared" si="2"/>
        <v>0</v>
      </c>
      <c r="AK18" s="182">
        <f t="shared" si="2"/>
        <v>0</v>
      </c>
      <c r="AL18" s="182">
        <f t="shared" si="2"/>
        <v>0</v>
      </c>
      <c r="AM18" s="182">
        <f t="shared" si="2"/>
        <v>0</v>
      </c>
      <c r="AN18" s="182">
        <f t="shared" si="2"/>
        <v>0</v>
      </c>
      <c r="AO18" s="182">
        <f t="shared" si="2"/>
        <v>0</v>
      </c>
      <c r="AP18" s="182">
        <f t="shared" si="2"/>
        <v>0</v>
      </c>
      <c r="AQ18" s="182">
        <f t="shared" si="2"/>
        <v>105787</v>
      </c>
      <c r="AR18" s="182" t="e">
        <f t="shared" si="2"/>
        <v>#REF!</v>
      </c>
      <c r="AS18" s="182" t="e">
        <f t="shared" si="2"/>
        <v>#REF!</v>
      </c>
    </row>
    <row r="19" spans="1:45">
      <c r="C19" s="164"/>
      <c r="D19" s="1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>
      <c r="B20" s="138" t="s">
        <v>37</v>
      </c>
      <c r="C20" s="164"/>
      <c r="D20" s="164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</row>
    <row r="21" spans="1:45">
      <c r="B21" s="164" t="s">
        <v>203</v>
      </c>
      <c r="D21" s="164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>
      <c r="A22" s="162">
        <v>5</v>
      </c>
      <c r="C22" s="164" t="s">
        <v>38</v>
      </c>
      <c r="D22" s="164"/>
      <c r="E22" s="182">
        <f>'ADJ DETAIL INPUT'!E21</f>
        <v>100541</v>
      </c>
      <c r="F22" s="182">
        <f>'ADJ DETAIL INPUT'!F21</f>
        <v>0</v>
      </c>
      <c r="G22" s="182">
        <f>'ADJ DETAIL INPUT'!G21</f>
        <v>0</v>
      </c>
      <c r="H22" s="182">
        <f>'ADJ DETAIL INPUT'!H21</f>
        <v>0</v>
      </c>
      <c r="I22" s="182">
        <f>'ADJ DETAIL INPUT'!I21</f>
        <v>0</v>
      </c>
      <c r="J22" s="182">
        <f>'ADJ DETAIL INPUT'!J21</f>
        <v>0</v>
      </c>
      <c r="K22" s="182">
        <f>'ADJ DETAIL INPUT'!K21</f>
        <v>0</v>
      </c>
      <c r="L22" s="182">
        <f>'ADJ DETAIL INPUT'!L21</f>
        <v>0</v>
      </c>
      <c r="M22" s="182">
        <f>'ADJ DETAIL INPUT'!M21</f>
        <v>0</v>
      </c>
      <c r="N22" s="182">
        <f>'ADJ DETAIL INPUT'!N21</f>
        <v>0</v>
      </c>
      <c r="O22" s="182">
        <f>'ADJ DETAIL INPUT'!O21</f>
        <v>0</v>
      </c>
      <c r="P22" s="182">
        <f>'ADJ DETAIL INPUT'!P21</f>
        <v>0</v>
      </c>
      <c r="Q22" s="182">
        <f>'ADJ DETAIL INPUT'!Q21</f>
        <v>0</v>
      </c>
      <c r="R22" s="182">
        <f>'ADJ DETAIL INPUT'!R21</f>
        <v>0</v>
      </c>
      <c r="S22" s="182">
        <f>'ADJ DETAIL INPUT'!S21</f>
        <v>-1655</v>
      </c>
      <c r="T22" s="182">
        <f>'ADJ DETAIL INPUT'!T21</f>
        <v>-47738</v>
      </c>
      <c r="U22" s="182">
        <f>'ADJ DETAIL INPUT'!U21</f>
        <v>0</v>
      </c>
      <c r="V22" s="182">
        <f>'ADJ DETAIL INPUT'!V21</f>
        <v>0</v>
      </c>
      <c r="W22" s="182">
        <f>'ADJ DETAIL INPUT'!W21</f>
        <v>0</v>
      </c>
      <c r="X22" s="182">
        <f>'ADJ DETAIL INPUT'!X21</f>
        <v>0</v>
      </c>
      <c r="Y22" s="182">
        <f>'ADJ DETAIL INPUT'!AA21</f>
        <v>-51148</v>
      </c>
      <c r="Z22" s="182">
        <f>'ADJ DETAIL INPUT'!AB21</f>
        <v>0</v>
      </c>
      <c r="AA22" s="182">
        <f>'ADJ DETAIL INPUT'!AC21</f>
        <v>0</v>
      </c>
      <c r="AB22" s="182">
        <f>'ADJ DETAIL INPUT'!AD21</f>
        <v>0</v>
      </c>
      <c r="AC22" s="182">
        <f>'ADJ DETAIL INPUT'!AE21</f>
        <v>0</v>
      </c>
      <c r="AD22" s="182">
        <f>'ADJ DETAIL INPUT'!AF21</f>
        <v>0</v>
      </c>
      <c r="AE22" s="182">
        <f>'ADJ DETAIL INPUT'!AG21</f>
        <v>0</v>
      </c>
      <c r="AF22" s="182">
        <f>'ADJ DETAIL INPUT'!AH21</f>
        <v>0</v>
      </c>
      <c r="AG22" s="182">
        <f>'ADJ DETAIL INPUT'!AI21</f>
        <v>0</v>
      </c>
      <c r="AH22" s="182">
        <f>'ADJ DETAIL INPUT'!AJ21</f>
        <v>0</v>
      </c>
      <c r="AI22" s="182">
        <f>'ADJ DETAIL INPUT'!AK21</f>
        <v>0</v>
      </c>
      <c r="AJ22" s="182">
        <f>'ADJ DETAIL INPUT'!AL21</f>
        <v>0</v>
      </c>
      <c r="AK22" s="182">
        <f>'ADJ DETAIL INPUT'!AM21</f>
        <v>0</v>
      </c>
      <c r="AL22" s="182">
        <f>'ADJ DETAIL INPUT'!AN21</f>
        <v>0</v>
      </c>
      <c r="AM22" s="182">
        <f>'ADJ DETAIL INPUT'!AO21</f>
        <v>0</v>
      </c>
      <c r="AN22" s="182">
        <f>'ADJ DETAIL INPUT'!AP21</f>
        <v>0</v>
      </c>
      <c r="AO22" s="182">
        <f>'ADJ DETAIL INPUT'!AQ21</f>
        <v>0</v>
      </c>
      <c r="AP22" s="182">
        <f>'ADJ DETAIL INPUT'!AR21</f>
        <v>0</v>
      </c>
      <c r="AQ22" s="182">
        <f>'ADJ DETAIL INPUT'!AY21</f>
        <v>0</v>
      </c>
      <c r="AR22" s="182" t="e">
        <f>'ADJ DETAIL INPUT'!#REF!</f>
        <v>#REF!</v>
      </c>
      <c r="AS22" s="182" t="e">
        <f>'ADJ DETAIL INPUT'!#REF!</f>
        <v>#REF!</v>
      </c>
    </row>
    <row r="23" spans="1:45">
      <c r="A23" s="162">
        <v>6</v>
      </c>
      <c r="C23" s="164" t="s">
        <v>39</v>
      </c>
      <c r="D23" s="164"/>
      <c r="E23" s="182">
        <f>'ADJ DETAIL INPUT'!E22</f>
        <v>959</v>
      </c>
      <c r="F23" s="182">
        <f>'ADJ DETAIL INPUT'!F22</f>
        <v>0</v>
      </c>
      <c r="G23" s="182">
        <f>'ADJ DETAIL INPUT'!G22</f>
        <v>0</v>
      </c>
      <c r="H23" s="182">
        <f>'ADJ DETAIL INPUT'!H22</f>
        <v>0</v>
      </c>
      <c r="I23" s="182">
        <f>'ADJ DETAIL INPUT'!I22</f>
        <v>0</v>
      </c>
      <c r="J23" s="182">
        <f>'ADJ DETAIL INPUT'!J22</f>
        <v>0</v>
      </c>
      <c r="K23" s="182">
        <f>'ADJ DETAIL INPUT'!K22</f>
        <v>0</v>
      </c>
      <c r="L23" s="182">
        <f>'ADJ DETAIL INPUT'!L22</f>
        <v>0</v>
      </c>
      <c r="M23" s="182">
        <f>'ADJ DETAIL INPUT'!M22</f>
        <v>0</v>
      </c>
      <c r="N23" s="182">
        <f>'ADJ DETAIL INPUT'!N22</f>
        <v>0</v>
      </c>
      <c r="O23" s="182">
        <f>'ADJ DETAIL INPUT'!O22</f>
        <v>0</v>
      </c>
      <c r="P23" s="182">
        <f>'ADJ DETAIL INPUT'!P22</f>
        <v>0</v>
      </c>
      <c r="Q23" s="182">
        <f>'ADJ DETAIL INPUT'!Q22</f>
        <v>0</v>
      </c>
      <c r="R23" s="182">
        <f>'ADJ DETAIL INPUT'!R22</f>
        <v>0</v>
      </c>
      <c r="S23" s="182">
        <f>'ADJ DETAIL INPUT'!S22</f>
        <v>-3</v>
      </c>
      <c r="T23" s="182">
        <f>'ADJ DETAIL INPUT'!T22</f>
        <v>0</v>
      </c>
      <c r="U23" s="182">
        <f>'ADJ DETAIL INPUT'!U22</f>
        <v>0</v>
      </c>
      <c r="V23" s="182">
        <f>'ADJ DETAIL INPUT'!V22</f>
        <v>0</v>
      </c>
      <c r="W23" s="182">
        <f>'ADJ DETAIL INPUT'!W22</f>
        <v>0</v>
      </c>
      <c r="X23" s="182">
        <f>'ADJ DETAIL INPUT'!X22</f>
        <v>0</v>
      </c>
      <c r="Y23" s="182">
        <f>'ADJ DETAIL INPUT'!AA22</f>
        <v>0</v>
      </c>
      <c r="Z23" s="182">
        <f>'ADJ DETAIL INPUT'!AB22</f>
        <v>0</v>
      </c>
      <c r="AA23" s="182">
        <f>'ADJ DETAIL INPUT'!AC22</f>
        <v>0</v>
      </c>
      <c r="AB23" s="182">
        <f>'ADJ DETAIL INPUT'!AD22</f>
        <v>30</v>
      </c>
      <c r="AC23" s="182">
        <f>'ADJ DETAIL INPUT'!AE22</f>
        <v>0</v>
      </c>
      <c r="AD23" s="182">
        <f>'ADJ DETAIL INPUT'!AF22</f>
        <v>10</v>
      </c>
      <c r="AE23" s="182">
        <f>'ADJ DETAIL INPUT'!AG22</f>
        <v>0</v>
      </c>
      <c r="AF23" s="182">
        <f>'ADJ DETAIL INPUT'!AH22</f>
        <v>0</v>
      </c>
      <c r="AG23" s="182">
        <f>'ADJ DETAIL INPUT'!AI22</f>
        <v>0</v>
      </c>
      <c r="AH23" s="182">
        <f>'ADJ DETAIL INPUT'!AJ22</f>
        <v>0</v>
      </c>
      <c r="AI23" s="182">
        <f>'ADJ DETAIL INPUT'!AK22</f>
        <v>0</v>
      </c>
      <c r="AJ23" s="182">
        <f>'ADJ DETAIL INPUT'!AL22</f>
        <v>0</v>
      </c>
      <c r="AK23" s="182">
        <f>'ADJ DETAIL INPUT'!AM22</f>
        <v>0</v>
      </c>
      <c r="AL23" s="182">
        <f>'ADJ DETAIL INPUT'!AN22</f>
        <v>0</v>
      </c>
      <c r="AM23" s="182">
        <f>'ADJ DETAIL INPUT'!AO22</f>
        <v>0</v>
      </c>
      <c r="AN23" s="182">
        <f>'ADJ DETAIL INPUT'!AP22</f>
        <v>0</v>
      </c>
      <c r="AO23" s="182">
        <f>'ADJ DETAIL INPUT'!AQ22</f>
        <v>0</v>
      </c>
      <c r="AP23" s="182">
        <f>'ADJ DETAIL INPUT'!AR22</f>
        <v>0</v>
      </c>
      <c r="AQ23" s="182">
        <f>'ADJ DETAIL INPUT'!AY22</f>
        <v>996</v>
      </c>
      <c r="AR23" s="182" t="e">
        <f>'ADJ DETAIL INPUT'!#REF!</f>
        <v>#REF!</v>
      </c>
      <c r="AS23" s="182" t="e">
        <f>'ADJ DETAIL INPUT'!#REF!</f>
        <v>#REF!</v>
      </c>
    </row>
    <row r="24" spans="1:45">
      <c r="A24" s="162">
        <v>7</v>
      </c>
      <c r="C24" s="164" t="s">
        <v>40</v>
      </c>
      <c r="D24" s="164"/>
      <c r="E24" s="183">
        <f>'ADJ DETAIL INPUT'!E23</f>
        <v>-1928</v>
      </c>
      <c r="F24" s="183">
        <f>'ADJ DETAIL INPUT'!F23</f>
        <v>0</v>
      </c>
      <c r="G24" s="183">
        <f>'ADJ DETAIL INPUT'!G23</f>
        <v>0</v>
      </c>
      <c r="H24" s="183">
        <f>'ADJ DETAIL INPUT'!H23</f>
        <v>0</v>
      </c>
      <c r="I24" s="183">
        <f>'ADJ DETAIL INPUT'!I23</f>
        <v>0</v>
      </c>
      <c r="J24" s="183">
        <f>'ADJ DETAIL INPUT'!J23</f>
        <v>0</v>
      </c>
      <c r="K24" s="183">
        <f>'ADJ DETAIL INPUT'!K23</f>
        <v>0</v>
      </c>
      <c r="L24" s="183">
        <f>'ADJ DETAIL INPUT'!L23</f>
        <v>0</v>
      </c>
      <c r="M24" s="183">
        <f>'ADJ DETAIL INPUT'!M23</f>
        <v>0</v>
      </c>
      <c r="N24" s="183">
        <f>'ADJ DETAIL INPUT'!N23</f>
        <v>0</v>
      </c>
      <c r="O24" s="183">
        <f>'ADJ DETAIL INPUT'!O23</f>
        <v>0</v>
      </c>
      <c r="P24" s="183">
        <f>'ADJ DETAIL INPUT'!P23</f>
        <v>0</v>
      </c>
      <c r="Q24" s="183">
        <f>'ADJ DETAIL INPUT'!Q23</f>
        <v>0</v>
      </c>
      <c r="R24" s="183">
        <f>'ADJ DETAIL INPUT'!R23</f>
        <v>0</v>
      </c>
      <c r="S24" s="183">
        <f>'ADJ DETAIL INPUT'!S23</f>
        <v>0</v>
      </c>
      <c r="T24" s="183">
        <f>'ADJ DETAIL INPUT'!T23</f>
        <v>1928</v>
      </c>
      <c r="U24" s="183">
        <f>'ADJ DETAIL INPUT'!U23</f>
        <v>0</v>
      </c>
      <c r="V24" s="183">
        <f>'ADJ DETAIL INPUT'!V23</f>
        <v>0</v>
      </c>
      <c r="W24" s="183">
        <f>'ADJ DETAIL INPUT'!W23</f>
        <v>0</v>
      </c>
      <c r="X24" s="183">
        <f>'ADJ DETAIL INPUT'!X23</f>
        <v>0</v>
      </c>
      <c r="Y24" s="183">
        <f>'ADJ DETAIL INPUT'!AA23</f>
        <v>0</v>
      </c>
      <c r="Z24" s="183">
        <f>'ADJ DETAIL INPUT'!AB23</f>
        <v>0</v>
      </c>
      <c r="AA24" s="183">
        <f>'ADJ DETAIL INPUT'!AC23</f>
        <v>0</v>
      </c>
      <c r="AB24" s="183">
        <f>'ADJ DETAIL INPUT'!AD23</f>
        <v>0</v>
      </c>
      <c r="AC24" s="183">
        <f>'ADJ DETAIL INPUT'!AE23</f>
        <v>0</v>
      </c>
      <c r="AD24" s="183">
        <f>'ADJ DETAIL INPUT'!AF23</f>
        <v>0</v>
      </c>
      <c r="AE24" s="183">
        <f>'ADJ DETAIL INPUT'!AG23</f>
        <v>0</v>
      </c>
      <c r="AF24" s="183">
        <f>'ADJ DETAIL INPUT'!AH23</f>
        <v>0</v>
      </c>
      <c r="AG24" s="183">
        <f>'ADJ DETAIL INPUT'!AI23</f>
        <v>0</v>
      </c>
      <c r="AH24" s="183">
        <f>'ADJ DETAIL INPUT'!AJ23</f>
        <v>0</v>
      </c>
      <c r="AI24" s="183">
        <f>'ADJ DETAIL INPUT'!AK23</f>
        <v>0</v>
      </c>
      <c r="AJ24" s="183">
        <f>'ADJ DETAIL INPUT'!AL23</f>
        <v>0</v>
      </c>
      <c r="AK24" s="183">
        <f>'ADJ DETAIL INPUT'!AM23</f>
        <v>0</v>
      </c>
      <c r="AL24" s="183">
        <f>'ADJ DETAIL INPUT'!AN23</f>
        <v>0</v>
      </c>
      <c r="AM24" s="183">
        <f>'ADJ DETAIL INPUT'!AO23</f>
        <v>0</v>
      </c>
      <c r="AN24" s="183">
        <f>'ADJ DETAIL INPUT'!AP23</f>
        <v>0</v>
      </c>
      <c r="AO24" s="183">
        <f>'ADJ DETAIL INPUT'!AQ23</f>
        <v>0</v>
      </c>
      <c r="AP24" s="183">
        <f>'ADJ DETAIL INPUT'!AR23</f>
        <v>0</v>
      </c>
      <c r="AQ24" s="183">
        <f>'ADJ DETAIL INPUT'!AY23</f>
        <v>0</v>
      </c>
      <c r="AR24" s="183" t="e">
        <f>'ADJ DETAIL INPUT'!#REF!</f>
        <v>#REF!</v>
      </c>
      <c r="AS24" s="183" t="e">
        <f>'ADJ DETAIL INPUT'!#REF!</f>
        <v>#REF!</v>
      </c>
    </row>
    <row r="25" spans="1:45">
      <c r="A25" s="162">
        <v>8</v>
      </c>
      <c r="B25" s="164" t="s">
        <v>41</v>
      </c>
      <c r="C25" s="164"/>
      <c r="E25" s="184">
        <f>SUM(E22:E24)</f>
        <v>99572</v>
      </c>
      <c r="F25" s="184">
        <f t="shared" ref="F25:AG25" si="3">SUM(F22:F24)</f>
        <v>0</v>
      </c>
      <c r="G25" s="184">
        <f t="shared" si="3"/>
        <v>0</v>
      </c>
      <c r="H25" s="184">
        <f t="shared" si="3"/>
        <v>0</v>
      </c>
      <c r="I25" s="184">
        <f>SUM(I22:I24)</f>
        <v>0</v>
      </c>
      <c r="J25" s="184">
        <f t="shared" si="3"/>
        <v>0</v>
      </c>
      <c r="K25" s="184">
        <f t="shared" si="3"/>
        <v>0</v>
      </c>
      <c r="L25" s="184">
        <f t="shared" si="3"/>
        <v>0</v>
      </c>
      <c r="M25" s="184">
        <f t="shared" si="3"/>
        <v>0</v>
      </c>
      <c r="N25" s="184">
        <f t="shared" si="3"/>
        <v>0</v>
      </c>
      <c r="O25" s="184">
        <f t="shared" si="3"/>
        <v>0</v>
      </c>
      <c r="P25" s="184">
        <f t="shared" si="3"/>
        <v>0</v>
      </c>
      <c r="Q25" s="184">
        <f t="shared" si="3"/>
        <v>0</v>
      </c>
      <c r="R25" s="184">
        <f t="shared" si="3"/>
        <v>0</v>
      </c>
      <c r="S25" s="184">
        <f t="shared" si="3"/>
        <v>-1658</v>
      </c>
      <c r="T25" s="184">
        <f t="shared" ref="T25:AA25" si="4">SUM(T22:T24)</f>
        <v>-45810</v>
      </c>
      <c r="U25" s="184">
        <f t="shared" si="4"/>
        <v>0</v>
      </c>
      <c r="V25" s="184">
        <f t="shared" si="4"/>
        <v>0</v>
      </c>
      <c r="W25" s="184">
        <f t="shared" si="4"/>
        <v>0</v>
      </c>
      <c r="X25" s="184">
        <f t="shared" si="4"/>
        <v>0</v>
      </c>
      <c r="Y25" s="184">
        <f t="shared" si="4"/>
        <v>-51148</v>
      </c>
      <c r="Z25" s="184">
        <f t="shared" si="4"/>
        <v>0</v>
      </c>
      <c r="AA25" s="184">
        <f t="shared" si="4"/>
        <v>0</v>
      </c>
      <c r="AB25" s="184">
        <f t="shared" si="3"/>
        <v>30</v>
      </c>
      <c r="AC25" s="184">
        <f>SUM(AC22:AC24)</f>
        <v>0</v>
      </c>
      <c r="AD25" s="184">
        <f t="shared" si="3"/>
        <v>10</v>
      </c>
      <c r="AE25" s="184">
        <f>SUM(AE22:AE24)</f>
        <v>0</v>
      </c>
      <c r="AF25" s="184">
        <f>SUM(AF22:AF24)</f>
        <v>0</v>
      </c>
      <c r="AG25" s="184">
        <f t="shared" si="3"/>
        <v>0</v>
      </c>
      <c r="AH25" s="184">
        <f t="shared" ref="AH25:AS25" si="5">SUM(AH22:AH24)</f>
        <v>0</v>
      </c>
      <c r="AI25" s="184">
        <f t="shared" si="5"/>
        <v>0</v>
      </c>
      <c r="AJ25" s="184">
        <f t="shared" si="5"/>
        <v>0</v>
      </c>
      <c r="AK25" s="184">
        <f t="shared" si="5"/>
        <v>0</v>
      </c>
      <c r="AL25" s="184">
        <f t="shared" si="5"/>
        <v>0</v>
      </c>
      <c r="AM25" s="184">
        <f t="shared" si="5"/>
        <v>0</v>
      </c>
      <c r="AN25" s="184">
        <f t="shared" si="5"/>
        <v>0</v>
      </c>
      <c r="AO25" s="184">
        <f t="shared" si="5"/>
        <v>0</v>
      </c>
      <c r="AP25" s="184">
        <f t="shared" si="5"/>
        <v>0</v>
      </c>
      <c r="AQ25" s="184">
        <f t="shared" si="5"/>
        <v>996</v>
      </c>
      <c r="AR25" s="184" t="e">
        <f t="shared" si="5"/>
        <v>#REF!</v>
      </c>
      <c r="AS25" s="184" t="e">
        <f t="shared" si="5"/>
        <v>#REF!</v>
      </c>
    </row>
    <row r="26" spans="1:45">
      <c r="B26" s="164"/>
      <c r="C26" s="164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>
      <c r="B27" s="164" t="s">
        <v>42</v>
      </c>
      <c r="D27" s="16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>
      <c r="A28" s="162">
        <v>9</v>
      </c>
      <c r="C28" s="164" t="s">
        <v>43</v>
      </c>
      <c r="D28" s="164"/>
      <c r="E28" s="182">
        <f>'ADJ DETAIL INPUT'!E27</f>
        <v>1883</v>
      </c>
      <c r="F28" s="182">
        <f>'ADJ DETAIL INPUT'!F27</f>
        <v>0</v>
      </c>
      <c r="G28" s="182">
        <f>'ADJ DETAIL INPUT'!G27</f>
        <v>0</v>
      </c>
      <c r="H28" s="182">
        <f>'ADJ DETAIL INPUT'!H27</f>
        <v>0</v>
      </c>
      <c r="I28" s="182">
        <f>'ADJ DETAIL INPUT'!I27</f>
        <v>0</v>
      </c>
      <c r="J28" s="182">
        <f>'ADJ DETAIL INPUT'!J27</f>
        <v>0</v>
      </c>
      <c r="K28" s="182">
        <f>'ADJ DETAIL INPUT'!K27</f>
        <v>0</v>
      </c>
      <c r="L28" s="182">
        <f>'ADJ DETAIL INPUT'!L27</f>
        <v>0</v>
      </c>
      <c r="M28" s="182">
        <f>'ADJ DETAIL INPUT'!M27</f>
        <v>0</v>
      </c>
      <c r="N28" s="182">
        <f>'ADJ DETAIL INPUT'!N27</f>
        <v>0</v>
      </c>
      <c r="O28" s="182">
        <f>'ADJ DETAIL INPUT'!O27</f>
        <v>0</v>
      </c>
      <c r="P28" s="182">
        <f>'ADJ DETAIL INPUT'!P27</f>
        <v>0</v>
      </c>
      <c r="Q28" s="182">
        <f>'ADJ DETAIL INPUT'!Q27</f>
        <v>0</v>
      </c>
      <c r="R28" s="182">
        <f>'ADJ DETAIL INPUT'!R27</f>
        <v>0</v>
      </c>
      <c r="S28" s="182">
        <f>'ADJ DETAIL INPUT'!S27</f>
        <v>0</v>
      </c>
      <c r="T28" s="182">
        <f>'ADJ DETAIL INPUT'!T27</f>
        <v>0</v>
      </c>
      <c r="U28" s="182">
        <f>'ADJ DETAIL INPUT'!U27</f>
        <v>0</v>
      </c>
      <c r="V28" s="182">
        <f>'ADJ DETAIL INPUT'!V27</f>
        <v>0</v>
      </c>
      <c r="W28" s="182">
        <f>'ADJ DETAIL INPUT'!W27</f>
        <v>0</v>
      </c>
      <c r="X28" s="182">
        <f>'ADJ DETAIL INPUT'!X27</f>
        <v>0</v>
      </c>
      <c r="Y28" s="182">
        <f>'ADJ DETAIL INPUT'!AA27</f>
        <v>0</v>
      </c>
      <c r="Z28" s="182">
        <f>'ADJ DETAIL INPUT'!AB27</f>
        <v>0</v>
      </c>
      <c r="AA28" s="182">
        <f>'ADJ DETAIL INPUT'!AC27</f>
        <v>0</v>
      </c>
      <c r="AB28" s="182">
        <f>'ADJ DETAIL INPUT'!AD27</f>
        <v>0</v>
      </c>
      <c r="AC28" s="182">
        <f>'ADJ DETAIL INPUT'!AE27</f>
        <v>0</v>
      </c>
      <c r="AD28" s="182">
        <f>'ADJ DETAIL INPUT'!AF27</f>
        <v>0</v>
      </c>
      <c r="AE28" s="182">
        <f>'ADJ DETAIL INPUT'!AG27</f>
        <v>0</v>
      </c>
      <c r="AF28" s="182">
        <f>'ADJ DETAIL INPUT'!AH27</f>
        <v>0</v>
      </c>
      <c r="AG28" s="182">
        <f>'ADJ DETAIL INPUT'!AI27</f>
        <v>0</v>
      </c>
      <c r="AH28" s="182">
        <f>'ADJ DETAIL INPUT'!AJ27</f>
        <v>0</v>
      </c>
      <c r="AI28" s="182">
        <f>'ADJ DETAIL INPUT'!AK27</f>
        <v>0</v>
      </c>
      <c r="AJ28" s="182">
        <f>'ADJ DETAIL INPUT'!AL27</f>
        <v>0</v>
      </c>
      <c r="AK28" s="182">
        <f>'ADJ DETAIL INPUT'!AM27</f>
        <v>0</v>
      </c>
      <c r="AL28" s="182">
        <f>'ADJ DETAIL INPUT'!AN27</f>
        <v>0</v>
      </c>
      <c r="AM28" s="182">
        <f>'ADJ DETAIL INPUT'!AO27</f>
        <v>0</v>
      </c>
      <c r="AN28" s="182">
        <f>'ADJ DETAIL INPUT'!AP27</f>
        <v>0</v>
      </c>
      <c r="AO28" s="182">
        <f>'ADJ DETAIL INPUT'!AQ27</f>
        <v>0</v>
      </c>
      <c r="AP28" s="182">
        <f>'ADJ DETAIL INPUT'!AR27</f>
        <v>0</v>
      </c>
      <c r="AQ28" s="182">
        <f>'ADJ DETAIL INPUT'!AY27</f>
        <v>1883</v>
      </c>
      <c r="AR28" s="182" t="e">
        <f>'ADJ DETAIL INPUT'!#REF!</f>
        <v>#REF!</v>
      </c>
      <c r="AS28" s="182" t="e">
        <f>'ADJ DETAIL INPUT'!#REF!</f>
        <v>#REF!</v>
      </c>
    </row>
    <row r="29" spans="1:45">
      <c r="A29" s="162">
        <v>10</v>
      </c>
      <c r="C29" s="164" t="s">
        <v>199</v>
      </c>
      <c r="D29" s="164"/>
      <c r="E29" s="182">
        <f>'ADJ DETAIL INPUT'!E28</f>
        <v>494</v>
      </c>
      <c r="F29" s="182">
        <f>'ADJ DETAIL INPUT'!F28</f>
        <v>0</v>
      </c>
      <c r="G29" s="182">
        <f>'ADJ DETAIL INPUT'!G28</f>
        <v>0</v>
      </c>
      <c r="H29" s="182">
        <f>'ADJ DETAIL INPUT'!H28</f>
        <v>0</v>
      </c>
      <c r="I29" s="182">
        <f>'ADJ DETAIL INPUT'!I28</f>
        <v>0</v>
      </c>
      <c r="J29" s="182">
        <f>'ADJ DETAIL INPUT'!J28</f>
        <v>0</v>
      </c>
      <c r="K29" s="182">
        <f>'ADJ DETAIL INPUT'!K28</f>
        <v>0</v>
      </c>
      <c r="L29" s="182">
        <f>'ADJ DETAIL INPUT'!L28</f>
        <v>0</v>
      </c>
      <c r="M29" s="182">
        <f>'ADJ DETAIL INPUT'!M28</f>
        <v>0</v>
      </c>
      <c r="N29" s="182">
        <f>'ADJ DETAIL INPUT'!N28</f>
        <v>0</v>
      </c>
      <c r="O29" s="182">
        <f>'ADJ DETAIL INPUT'!O28</f>
        <v>0</v>
      </c>
      <c r="P29" s="182">
        <f>'ADJ DETAIL INPUT'!P28</f>
        <v>0</v>
      </c>
      <c r="Q29" s="182">
        <f>'ADJ DETAIL INPUT'!Q28</f>
        <v>0</v>
      </c>
      <c r="R29" s="182">
        <f>'ADJ DETAIL INPUT'!R28</f>
        <v>0</v>
      </c>
      <c r="S29" s="182">
        <f>'ADJ DETAIL INPUT'!S28</f>
        <v>0</v>
      </c>
      <c r="T29" s="182">
        <f>'ADJ DETAIL INPUT'!T28</f>
        <v>0</v>
      </c>
      <c r="U29" s="182">
        <f>'ADJ DETAIL INPUT'!U28</f>
        <v>0</v>
      </c>
      <c r="V29" s="182">
        <f>'ADJ DETAIL INPUT'!V28</f>
        <v>0</v>
      </c>
      <c r="W29" s="182">
        <f>'ADJ DETAIL INPUT'!W28</f>
        <v>0</v>
      </c>
      <c r="X29" s="182">
        <f>'ADJ DETAIL INPUT'!X28</f>
        <v>-164</v>
      </c>
      <c r="Y29" s="182">
        <f>'ADJ DETAIL INPUT'!AA28</f>
        <v>0</v>
      </c>
      <c r="Z29" s="182">
        <f>'ADJ DETAIL INPUT'!AB28</f>
        <v>0</v>
      </c>
      <c r="AA29" s="182">
        <f>'ADJ DETAIL INPUT'!AC28</f>
        <v>0</v>
      </c>
      <c r="AB29" s="182">
        <f>'ADJ DETAIL INPUT'!AD28</f>
        <v>0</v>
      </c>
      <c r="AC29" s="182">
        <f>'ADJ DETAIL INPUT'!AE28</f>
        <v>0</v>
      </c>
      <c r="AD29" s="182">
        <f>'ADJ DETAIL INPUT'!AF28</f>
        <v>0</v>
      </c>
      <c r="AE29" s="182">
        <f>'ADJ DETAIL INPUT'!AG28</f>
        <v>0</v>
      </c>
      <c r="AF29" s="182">
        <f>'ADJ DETAIL INPUT'!AH28</f>
        <v>0</v>
      </c>
      <c r="AG29" s="182">
        <f>'ADJ DETAIL INPUT'!AI28</f>
        <v>0</v>
      </c>
      <c r="AH29" s="182">
        <f>'ADJ DETAIL INPUT'!AJ28</f>
        <v>0</v>
      </c>
      <c r="AI29" s="182">
        <f>'ADJ DETAIL INPUT'!AK28</f>
        <v>0</v>
      </c>
      <c r="AJ29" s="182">
        <f>'ADJ DETAIL INPUT'!AL28</f>
        <v>0</v>
      </c>
      <c r="AK29" s="182">
        <f>'ADJ DETAIL INPUT'!AM28</f>
        <v>0</v>
      </c>
      <c r="AL29" s="182">
        <f>'ADJ DETAIL INPUT'!AN28</f>
        <v>0</v>
      </c>
      <c r="AM29" s="182">
        <f>'ADJ DETAIL INPUT'!AO28</f>
        <v>0</v>
      </c>
      <c r="AN29" s="182">
        <f>'ADJ DETAIL INPUT'!AP28</f>
        <v>0</v>
      </c>
      <c r="AO29" s="182">
        <f>'ADJ DETAIL INPUT'!AQ28</f>
        <v>0</v>
      </c>
      <c r="AP29" s="182">
        <f>'ADJ DETAIL INPUT'!AR28</f>
        <v>0</v>
      </c>
      <c r="AQ29" s="182">
        <f>'ADJ DETAIL INPUT'!AY28</f>
        <v>434.93200000000002</v>
      </c>
      <c r="AR29" s="182" t="e">
        <f>'ADJ DETAIL INPUT'!#REF!</f>
        <v>#REF!</v>
      </c>
      <c r="AS29" s="182" t="e">
        <f>'ADJ DETAIL INPUT'!#REF!</f>
        <v>#REF!</v>
      </c>
    </row>
    <row r="30" spans="1:45">
      <c r="A30" s="162">
        <v>11</v>
      </c>
      <c r="C30" s="164" t="s">
        <v>21</v>
      </c>
      <c r="D30" s="164"/>
      <c r="E30" s="183">
        <f>'ADJ DETAIL INPUT'!E29</f>
        <v>323</v>
      </c>
      <c r="F30" s="183">
        <f>'ADJ DETAIL INPUT'!F29</f>
        <v>0</v>
      </c>
      <c r="G30" s="183">
        <f>'ADJ DETAIL INPUT'!G29</f>
        <v>0</v>
      </c>
      <c r="H30" s="183">
        <f>'ADJ DETAIL INPUT'!H29</f>
        <v>0</v>
      </c>
      <c r="I30" s="183">
        <f>'ADJ DETAIL INPUT'!I29</f>
        <v>0</v>
      </c>
      <c r="J30" s="183">
        <f>'ADJ DETAIL INPUT'!J29</f>
        <v>0</v>
      </c>
      <c r="K30" s="183">
        <f>'ADJ DETAIL INPUT'!K29</f>
        <v>-66</v>
      </c>
      <c r="L30" s="183">
        <f>'ADJ DETAIL INPUT'!L29</f>
        <v>0</v>
      </c>
      <c r="M30" s="183">
        <f>'ADJ DETAIL INPUT'!M29</f>
        <v>0</v>
      </c>
      <c r="N30" s="183">
        <f>'ADJ DETAIL INPUT'!N29</f>
        <v>0</v>
      </c>
      <c r="O30" s="183">
        <f>'ADJ DETAIL INPUT'!O29</f>
        <v>0</v>
      </c>
      <c r="P30" s="183">
        <f>'ADJ DETAIL INPUT'!P29</f>
        <v>0</v>
      </c>
      <c r="Q30" s="183">
        <f>'ADJ DETAIL INPUT'!Q29</f>
        <v>0</v>
      </c>
      <c r="R30" s="183">
        <f>'ADJ DETAIL INPUT'!R29</f>
        <v>0</v>
      </c>
      <c r="S30" s="183">
        <f>'ADJ DETAIL INPUT'!S29</f>
        <v>0</v>
      </c>
      <c r="T30" s="183">
        <f>'ADJ DETAIL INPUT'!T29</f>
        <v>0</v>
      </c>
      <c r="U30" s="183">
        <f>'ADJ DETAIL INPUT'!U29</f>
        <v>0</v>
      </c>
      <c r="V30" s="183">
        <f>'ADJ DETAIL INPUT'!V29</f>
        <v>0</v>
      </c>
      <c r="W30" s="183">
        <f>'ADJ DETAIL INPUT'!W29</f>
        <v>0</v>
      </c>
      <c r="X30" s="183">
        <f>'ADJ DETAIL INPUT'!X29</f>
        <v>0</v>
      </c>
      <c r="Y30" s="183">
        <f>'ADJ DETAIL INPUT'!AA29</f>
        <v>0</v>
      </c>
      <c r="Z30" s="183">
        <f>'ADJ DETAIL INPUT'!AB29</f>
        <v>0</v>
      </c>
      <c r="AA30" s="183">
        <f>'ADJ DETAIL INPUT'!AC29</f>
        <v>0</v>
      </c>
      <c r="AB30" s="183">
        <f>'ADJ DETAIL INPUT'!AD29</f>
        <v>0</v>
      </c>
      <c r="AC30" s="183">
        <f>'ADJ DETAIL INPUT'!AE29</f>
        <v>0</v>
      </c>
      <c r="AD30" s="183">
        <f>'ADJ DETAIL INPUT'!AF29</f>
        <v>0</v>
      </c>
      <c r="AE30" s="183">
        <f>'ADJ DETAIL INPUT'!AG29</f>
        <v>0</v>
      </c>
      <c r="AF30" s="183">
        <f>'ADJ DETAIL INPUT'!AH29</f>
        <v>0</v>
      </c>
      <c r="AG30" s="183">
        <f>'ADJ DETAIL INPUT'!AI29</f>
        <v>35</v>
      </c>
      <c r="AH30" s="183">
        <f>'ADJ DETAIL INPUT'!AJ29</f>
        <v>0</v>
      </c>
      <c r="AI30" s="183">
        <f>'ADJ DETAIL INPUT'!AK29</f>
        <v>0</v>
      </c>
      <c r="AJ30" s="183">
        <f>'ADJ DETAIL INPUT'!AL29</f>
        <v>0</v>
      </c>
      <c r="AK30" s="183">
        <f>'ADJ DETAIL INPUT'!AM29</f>
        <v>0</v>
      </c>
      <c r="AL30" s="183">
        <f>'ADJ DETAIL INPUT'!AN29</f>
        <v>0</v>
      </c>
      <c r="AM30" s="183">
        <f>'ADJ DETAIL INPUT'!AO29</f>
        <v>0</v>
      </c>
      <c r="AN30" s="183">
        <f>'ADJ DETAIL INPUT'!AP29</f>
        <v>0</v>
      </c>
      <c r="AO30" s="183">
        <f>'ADJ DETAIL INPUT'!AQ29</f>
        <v>0</v>
      </c>
      <c r="AP30" s="183">
        <f>'ADJ DETAIL INPUT'!AR29</f>
        <v>0</v>
      </c>
      <c r="AQ30" s="183">
        <f>'ADJ DETAIL INPUT'!AY29</f>
        <v>292</v>
      </c>
      <c r="AR30" s="183" t="e">
        <f>'ADJ DETAIL INPUT'!#REF!</f>
        <v>#REF!</v>
      </c>
      <c r="AS30" s="183" t="e">
        <f>'ADJ DETAIL INPUT'!#REF!</f>
        <v>#REF!</v>
      </c>
    </row>
    <row r="31" spans="1:45">
      <c r="A31" s="162">
        <v>12</v>
      </c>
      <c r="B31" s="164" t="s">
        <v>45</v>
      </c>
      <c r="C31" s="164"/>
      <c r="E31" s="182">
        <f>SUM(E28:E30)</f>
        <v>2700</v>
      </c>
      <c r="F31" s="182">
        <f t="shared" ref="F31:AG31" si="6">SUM(F28:F30)</f>
        <v>0</v>
      </c>
      <c r="G31" s="182">
        <f t="shared" si="6"/>
        <v>0</v>
      </c>
      <c r="H31" s="182">
        <f t="shared" si="6"/>
        <v>0</v>
      </c>
      <c r="I31" s="182">
        <f>SUM(I28:I30)</f>
        <v>0</v>
      </c>
      <c r="J31" s="182">
        <f t="shared" si="6"/>
        <v>0</v>
      </c>
      <c r="K31" s="182">
        <f t="shared" si="6"/>
        <v>-66</v>
      </c>
      <c r="L31" s="182">
        <f t="shared" si="6"/>
        <v>0</v>
      </c>
      <c r="M31" s="182">
        <f t="shared" si="6"/>
        <v>0</v>
      </c>
      <c r="N31" s="182">
        <f t="shared" si="6"/>
        <v>0</v>
      </c>
      <c r="O31" s="182">
        <f t="shared" si="6"/>
        <v>0</v>
      </c>
      <c r="P31" s="182">
        <f t="shared" si="6"/>
        <v>0</v>
      </c>
      <c r="Q31" s="182">
        <f t="shared" si="6"/>
        <v>0</v>
      </c>
      <c r="R31" s="182">
        <f t="shared" si="6"/>
        <v>0</v>
      </c>
      <c r="S31" s="182">
        <f t="shared" si="6"/>
        <v>0</v>
      </c>
      <c r="T31" s="182">
        <f t="shared" ref="T31:AA31" si="7">SUM(T28:T30)</f>
        <v>0</v>
      </c>
      <c r="U31" s="182">
        <f t="shared" si="7"/>
        <v>0</v>
      </c>
      <c r="V31" s="182">
        <f t="shared" si="7"/>
        <v>0</v>
      </c>
      <c r="W31" s="182">
        <f t="shared" si="7"/>
        <v>0</v>
      </c>
      <c r="X31" s="182">
        <f t="shared" si="7"/>
        <v>-164</v>
      </c>
      <c r="Y31" s="182">
        <f t="shared" si="7"/>
        <v>0</v>
      </c>
      <c r="Z31" s="182">
        <f t="shared" si="7"/>
        <v>0</v>
      </c>
      <c r="AA31" s="182">
        <f t="shared" si="7"/>
        <v>0</v>
      </c>
      <c r="AB31" s="182">
        <f t="shared" si="6"/>
        <v>0</v>
      </c>
      <c r="AC31" s="182">
        <f>SUM(AC28:AC30)</f>
        <v>0</v>
      </c>
      <c r="AD31" s="182">
        <f t="shared" si="6"/>
        <v>0</v>
      </c>
      <c r="AE31" s="182">
        <f>SUM(AE28:AE30)</f>
        <v>0</v>
      </c>
      <c r="AF31" s="182">
        <f>SUM(AF28:AF30)</f>
        <v>0</v>
      </c>
      <c r="AG31" s="182">
        <f t="shared" si="6"/>
        <v>35</v>
      </c>
      <c r="AH31" s="182">
        <f t="shared" ref="AH31:AS31" si="8">SUM(AH28:AH30)</f>
        <v>0</v>
      </c>
      <c r="AI31" s="182">
        <f t="shared" si="8"/>
        <v>0</v>
      </c>
      <c r="AJ31" s="182">
        <f t="shared" si="8"/>
        <v>0</v>
      </c>
      <c r="AK31" s="182">
        <f t="shared" si="8"/>
        <v>0</v>
      </c>
      <c r="AL31" s="182">
        <f t="shared" si="8"/>
        <v>0</v>
      </c>
      <c r="AM31" s="182">
        <f t="shared" si="8"/>
        <v>0</v>
      </c>
      <c r="AN31" s="182">
        <f t="shared" si="8"/>
        <v>0</v>
      </c>
      <c r="AO31" s="182">
        <f t="shared" si="8"/>
        <v>0</v>
      </c>
      <c r="AP31" s="182">
        <f t="shared" si="8"/>
        <v>0</v>
      </c>
      <c r="AQ31" s="182">
        <f t="shared" si="8"/>
        <v>2609.9319999999998</v>
      </c>
      <c r="AR31" s="182" t="e">
        <f t="shared" si="8"/>
        <v>#REF!</v>
      </c>
      <c r="AS31" s="182" t="e">
        <f t="shared" si="8"/>
        <v>#REF!</v>
      </c>
    </row>
    <row r="32" spans="1:45">
      <c r="B32" s="164"/>
      <c r="C32" s="16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>
      <c r="B33" s="164" t="s">
        <v>46</v>
      </c>
      <c r="D33" s="164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</row>
    <row r="34" spans="1:45">
      <c r="A34" s="162">
        <v>13</v>
      </c>
      <c r="C34" s="164" t="s">
        <v>43</v>
      </c>
      <c r="D34" s="164"/>
      <c r="E34" s="182">
        <f>'ADJ DETAIL INPUT'!E33</f>
        <v>13669</v>
      </c>
      <c r="F34" s="182">
        <f>'ADJ DETAIL INPUT'!F33</f>
        <v>0</v>
      </c>
      <c r="G34" s="182">
        <f>'ADJ DETAIL INPUT'!G33</f>
        <v>0</v>
      </c>
      <c r="H34" s="182">
        <f>'ADJ DETAIL INPUT'!H33</f>
        <v>0</v>
      </c>
      <c r="I34" s="182">
        <f>'ADJ DETAIL INPUT'!I33</f>
        <v>0</v>
      </c>
      <c r="J34" s="182">
        <f>'ADJ DETAIL INPUT'!J33</f>
        <v>0</v>
      </c>
      <c r="K34" s="182">
        <f>'ADJ DETAIL INPUT'!K33</f>
        <v>0</v>
      </c>
      <c r="L34" s="182">
        <f>'ADJ DETAIL INPUT'!L33</f>
        <v>0</v>
      </c>
      <c r="M34" s="182">
        <f>'ADJ DETAIL INPUT'!M33</f>
        <v>0</v>
      </c>
      <c r="N34" s="182">
        <f>'ADJ DETAIL INPUT'!N33</f>
        <v>0</v>
      </c>
      <c r="O34" s="182">
        <f>'ADJ DETAIL INPUT'!O33</f>
        <v>0</v>
      </c>
      <c r="P34" s="182">
        <f>'ADJ DETAIL INPUT'!P33</f>
        <v>0</v>
      </c>
      <c r="Q34" s="182">
        <f>'ADJ DETAIL INPUT'!Q33</f>
        <v>0</v>
      </c>
      <c r="R34" s="182">
        <f>'ADJ DETAIL INPUT'!R33</f>
        <v>0</v>
      </c>
      <c r="S34" s="182">
        <f>'ADJ DETAIL INPUT'!S33</f>
        <v>0</v>
      </c>
      <c r="T34" s="182">
        <f>'ADJ DETAIL INPUT'!T33</f>
        <v>0</v>
      </c>
      <c r="U34" s="182">
        <f>'ADJ DETAIL INPUT'!U33</f>
        <v>-2</v>
      </c>
      <c r="V34" s="182">
        <f>'ADJ DETAIL INPUT'!V33</f>
        <v>0</v>
      </c>
      <c r="W34" s="182">
        <f>'ADJ DETAIL INPUT'!W33</f>
        <v>0</v>
      </c>
      <c r="X34" s="182">
        <f>'ADJ DETAIL INPUT'!X33</f>
        <v>0</v>
      </c>
      <c r="Y34" s="182">
        <f>'ADJ DETAIL INPUT'!AA33</f>
        <v>0</v>
      </c>
      <c r="Z34" s="182">
        <f>'ADJ DETAIL INPUT'!AB33</f>
        <v>0</v>
      </c>
      <c r="AA34" s="182">
        <f>'ADJ DETAIL INPUT'!AC33</f>
        <v>0</v>
      </c>
      <c r="AB34" s="182">
        <f>'ADJ DETAIL INPUT'!AD33</f>
        <v>424</v>
      </c>
      <c r="AC34" s="182">
        <f>'ADJ DETAIL INPUT'!AE33</f>
        <v>0</v>
      </c>
      <c r="AD34" s="182">
        <f>'ADJ DETAIL INPUT'!AF33</f>
        <v>153</v>
      </c>
      <c r="AE34" s="182">
        <f>'ADJ DETAIL INPUT'!AG33</f>
        <v>0</v>
      </c>
      <c r="AF34" s="182">
        <f>'ADJ DETAIL INPUT'!AH33</f>
        <v>0</v>
      </c>
      <c r="AG34" s="182">
        <f>'ADJ DETAIL INPUT'!AI33</f>
        <v>0</v>
      </c>
      <c r="AH34" s="182">
        <f>'ADJ DETAIL INPUT'!AJ33</f>
        <v>0</v>
      </c>
      <c r="AI34" s="182">
        <f>'ADJ DETAIL INPUT'!AK33</f>
        <v>0</v>
      </c>
      <c r="AJ34" s="182">
        <f>'ADJ DETAIL INPUT'!AL33</f>
        <v>0</v>
      </c>
      <c r="AK34" s="182">
        <f>'ADJ DETAIL INPUT'!AM33</f>
        <v>0</v>
      </c>
      <c r="AL34" s="182">
        <f>'ADJ DETAIL INPUT'!AN33</f>
        <v>0</v>
      </c>
      <c r="AM34" s="182">
        <f>'ADJ DETAIL INPUT'!AO33</f>
        <v>0</v>
      </c>
      <c r="AN34" s="182">
        <f>'ADJ DETAIL INPUT'!AP33</f>
        <v>-995</v>
      </c>
      <c r="AO34" s="182">
        <f>'ADJ DETAIL INPUT'!AQ33</f>
        <v>0</v>
      </c>
      <c r="AP34" s="182">
        <f>'ADJ DETAIL INPUT'!AR33</f>
        <v>0</v>
      </c>
      <c r="AQ34" s="182">
        <f>'ADJ DETAIL INPUT'!AY33</f>
        <v>13249</v>
      </c>
      <c r="AR34" s="182" t="e">
        <f>'ADJ DETAIL INPUT'!#REF!</f>
        <v>#REF!</v>
      </c>
      <c r="AS34" s="182" t="e">
        <f>'ADJ DETAIL INPUT'!#REF!</f>
        <v>#REF!</v>
      </c>
    </row>
    <row r="35" spans="1:45">
      <c r="A35" s="162">
        <v>14</v>
      </c>
      <c r="C35" s="164" t="s">
        <v>199</v>
      </c>
      <c r="D35" s="164"/>
      <c r="E35" s="184">
        <f>'ADJ DETAIL INPUT'!E34</f>
        <v>12469</v>
      </c>
      <c r="F35" s="184">
        <f>'ADJ DETAIL INPUT'!F34</f>
        <v>0</v>
      </c>
      <c r="G35" s="184">
        <f>'ADJ DETAIL INPUT'!G34</f>
        <v>0</v>
      </c>
      <c r="H35" s="184">
        <f>'ADJ DETAIL INPUT'!H34</f>
        <v>0</v>
      </c>
      <c r="I35" s="184">
        <f>'ADJ DETAIL INPUT'!I34</f>
        <v>0</v>
      </c>
      <c r="J35" s="184">
        <f>'ADJ DETAIL INPUT'!J34</f>
        <v>0</v>
      </c>
      <c r="K35" s="184">
        <f>'ADJ DETAIL INPUT'!K34</f>
        <v>0</v>
      </c>
      <c r="L35" s="184">
        <f>'ADJ DETAIL INPUT'!L34</f>
        <v>0</v>
      </c>
      <c r="M35" s="184">
        <f>'ADJ DETAIL INPUT'!M34</f>
        <v>0</v>
      </c>
      <c r="N35" s="184">
        <f>'ADJ DETAIL INPUT'!N34</f>
        <v>0</v>
      </c>
      <c r="O35" s="184">
        <f>'ADJ DETAIL INPUT'!O34</f>
        <v>0</v>
      </c>
      <c r="P35" s="184">
        <f>'ADJ DETAIL INPUT'!P34</f>
        <v>0</v>
      </c>
      <c r="Q35" s="184">
        <f>'ADJ DETAIL INPUT'!Q34</f>
        <v>0</v>
      </c>
      <c r="R35" s="184">
        <f>'ADJ DETAIL INPUT'!R34</f>
        <v>-11</v>
      </c>
      <c r="S35" s="184">
        <f>'ADJ DETAIL INPUT'!S34</f>
        <v>0</v>
      </c>
      <c r="T35" s="184">
        <f>'ADJ DETAIL INPUT'!T34</f>
        <v>0</v>
      </c>
      <c r="U35" s="184">
        <f>'ADJ DETAIL INPUT'!U34</f>
        <v>0</v>
      </c>
      <c r="V35" s="184">
        <f>'ADJ DETAIL INPUT'!V34</f>
        <v>0</v>
      </c>
      <c r="W35" s="184">
        <f>'ADJ DETAIL INPUT'!W34</f>
        <v>0</v>
      </c>
      <c r="X35" s="184">
        <f>'ADJ DETAIL INPUT'!X34</f>
        <v>-112</v>
      </c>
      <c r="Y35" s="184">
        <f>'ADJ DETAIL INPUT'!AA34</f>
        <v>0</v>
      </c>
      <c r="Z35" s="184">
        <f>'ADJ DETAIL INPUT'!AB34</f>
        <v>0</v>
      </c>
      <c r="AA35" s="184">
        <f>'ADJ DETAIL INPUT'!AC34</f>
        <v>0</v>
      </c>
      <c r="AB35" s="184">
        <f>'ADJ DETAIL INPUT'!AD34</f>
        <v>0</v>
      </c>
      <c r="AC35" s="184">
        <f>'ADJ DETAIL INPUT'!AE34</f>
        <v>0</v>
      </c>
      <c r="AD35" s="184">
        <f>'ADJ DETAIL INPUT'!AF34</f>
        <v>0</v>
      </c>
      <c r="AE35" s="184">
        <f>'ADJ DETAIL INPUT'!AG34</f>
        <v>0</v>
      </c>
      <c r="AF35" s="184">
        <f>'ADJ DETAIL INPUT'!AH34</f>
        <v>0</v>
      </c>
      <c r="AG35" s="184">
        <f>'ADJ DETAIL INPUT'!AI34</f>
        <v>0</v>
      </c>
      <c r="AH35" s="184">
        <f>'ADJ DETAIL INPUT'!AJ34</f>
        <v>0</v>
      </c>
      <c r="AI35" s="184">
        <f>'ADJ DETAIL INPUT'!AK34</f>
        <v>0</v>
      </c>
      <c r="AJ35" s="184">
        <f>'ADJ DETAIL INPUT'!AL34</f>
        <v>0</v>
      </c>
      <c r="AK35" s="184">
        <f>'ADJ DETAIL INPUT'!AM34</f>
        <v>0</v>
      </c>
      <c r="AL35" s="184">
        <f>'ADJ DETAIL INPUT'!AN34</f>
        <v>0</v>
      </c>
      <c r="AM35" s="184">
        <f>'ADJ DETAIL INPUT'!AO34</f>
        <v>0</v>
      </c>
      <c r="AN35" s="184">
        <f>'ADJ DETAIL INPUT'!AP34</f>
        <v>865</v>
      </c>
      <c r="AO35" s="184">
        <f>'ADJ DETAIL INPUT'!AQ34</f>
        <v>0</v>
      </c>
      <c r="AP35" s="184">
        <f>'ADJ DETAIL INPUT'!AR34</f>
        <v>0</v>
      </c>
      <c r="AQ35" s="184">
        <f>'ADJ DETAIL INPUT'!AY34</f>
        <v>14066.948650435883</v>
      </c>
      <c r="AR35" s="184" t="e">
        <f>'ADJ DETAIL INPUT'!#REF!</f>
        <v>#REF!</v>
      </c>
      <c r="AS35" s="184" t="e">
        <f>'ADJ DETAIL INPUT'!#REF!</f>
        <v>#REF!</v>
      </c>
    </row>
    <row r="36" spans="1:45">
      <c r="A36" s="162">
        <v>15</v>
      </c>
      <c r="C36" s="164" t="s">
        <v>21</v>
      </c>
      <c r="D36" s="164"/>
      <c r="E36" s="183">
        <f>'ADJ DETAIL INPUT'!E35</f>
        <v>13739</v>
      </c>
      <c r="F36" s="183">
        <f>'ADJ DETAIL INPUT'!F35</f>
        <v>0</v>
      </c>
      <c r="G36" s="183">
        <f>'ADJ DETAIL INPUT'!G35</f>
        <v>0</v>
      </c>
      <c r="H36" s="183">
        <f>'ADJ DETAIL INPUT'!H35</f>
        <v>0</v>
      </c>
      <c r="I36" s="183">
        <f>'ADJ DETAIL INPUT'!I35</f>
        <v>0</v>
      </c>
      <c r="J36" s="183">
        <f>'ADJ DETAIL INPUT'!J35</f>
        <v>-5235</v>
      </c>
      <c r="K36" s="183">
        <f>'ADJ DETAIL INPUT'!K35</f>
        <v>305</v>
      </c>
      <c r="L36" s="183">
        <f>'ADJ DETAIL INPUT'!L35</f>
        <v>0</v>
      </c>
      <c r="M36" s="183">
        <f>'ADJ DETAIL INPUT'!M35</f>
        <v>0</v>
      </c>
      <c r="N36" s="183">
        <f>'ADJ DETAIL INPUT'!N35</f>
        <v>0</v>
      </c>
      <c r="O36" s="183">
        <f>'ADJ DETAIL INPUT'!O35</f>
        <v>0</v>
      </c>
      <c r="P36" s="183">
        <f>'ADJ DETAIL INPUT'!P35</f>
        <v>0</v>
      </c>
      <c r="Q36" s="183">
        <f>'ADJ DETAIL INPUT'!Q35</f>
        <v>1</v>
      </c>
      <c r="R36" s="183">
        <f>'ADJ DETAIL INPUT'!R35</f>
        <v>0</v>
      </c>
      <c r="S36" s="183">
        <f>'ADJ DETAIL INPUT'!S35</f>
        <v>-151</v>
      </c>
      <c r="T36" s="183">
        <f>'ADJ DETAIL INPUT'!T35</f>
        <v>309</v>
      </c>
      <c r="U36" s="183">
        <f>'ADJ DETAIL INPUT'!U35</f>
        <v>0</v>
      </c>
      <c r="V36" s="183">
        <f>'ADJ DETAIL INPUT'!V35</f>
        <v>0</v>
      </c>
      <c r="W36" s="183">
        <f>'ADJ DETAIL INPUT'!W35</f>
        <v>0</v>
      </c>
      <c r="X36" s="183">
        <f>'ADJ DETAIL INPUT'!X35</f>
        <v>0</v>
      </c>
      <c r="Y36" s="183">
        <f>'ADJ DETAIL INPUT'!AA35</f>
        <v>-1591</v>
      </c>
      <c r="Z36" s="183">
        <f>'ADJ DETAIL INPUT'!AB35</f>
        <v>0</v>
      </c>
      <c r="AA36" s="183">
        <f>'ADJ DETAIL INPUT'!AC35</f>
        <v>0</v>
      </c>
      <c r="AB36" s="183">
        <f>'ADJ DETAIL INPUT'!AD35</f>
        <v>0</v>
      </c>
      <c r="AC36" s="183">
        <f>'ADJ DETAIL INPUT'!AE35</f>
        <v>0</v>
      </c>
      <c r="AD36" s="183">
        <f>'ADJ DETAIL INPUT'!AF35</f>
        <v>0</v>
      </c>
      <c r="AE36" s="183">
        <f>'ADJ DETAIL INPUT'!AG35</f>
        <v>0</v>
      </c>
      <c r="AF36" s="183">
        <f>'ADJ DETAIL INPUT'!AH35</f>
        <v>0</v>
      </c>
      <c r="AG36" s="183">
        <f>'ADJ DETAIL INPUT'!AI35</f>
        <v>428</v>
      </c>
      <c r="AH36" s="183">
        <f>'ADJ DETAIL INPUT'!AJ35</f>
        <v>0</v>
      </c>
      <c r="AI36" s="183">
        <f>'ADJ DETAIL INPUT'!AK35</f>
        <v>0</v>
      </c>
      <c r="AJ36" s="183">
        <f>'ADJ DETAIL INPUT'!AL35</f>
        <v>0</v>
      </c>
      <c r="AK36" s="183">
        <f>'ADJ DETAIL INPUT'!AM35</f>
        <v>0</v>
      </c>
      <c r="AL36" s="183">
        <f>'ADJ DETAIL INPUT'!AN35</f>
        <v>0</v>
      </c>
      <c r="AM36" s="183">
        <f>'ADJ DETAIL INPUT'!AO35</f>
        <v>0</v>
      </c>
      <c r="AN36" s="183">
        <f>'ADJ DETAIL INPUT'!AP35</f>
        <v>0</v>
      </c>
      <c r="AO36" s="183">
        <f>'ADJ DETAIL INPUT'!AQ35</f>
        <v>0</v>
      </c>
      <c r="AP36" s="183">
        <f>'ADJ DETAIL INPUT'!AR35</f>
        <v>0</v>
      </c>
      <c r="AQ36" s="183">
        <f>'ADJ DETAIL INPUT'!AY35</f>
        <v>7805</v>
      </c>
      <c r="AR36" s="183" t="e">
        <f>'ADJ DETAIL INPUT'!#REF!</f>
        <v>#REF!</v>
      </c>
      <c r="AS36" s="183" t="e">
        <f>'ADJ DETAIL INPUT'!#REF!</f>
        <v>#REF!</v>
      </c>
    </row>
    <row r="37" spans="1:45" ht="12.95" customHeight="1">
      <c r="A37" s="162">
        <v>16</v>
      </c>
      <c r="B37" s="164" t="s">
        <v>47</v>
      </c>
      <c r="C37" s="164"/>
      <c r="E37" s="182">
        <f>SUM(E34:E36)</f>
        <v>39877</v>
      </c>
      <c r="F37" s="182">
        <f t="shared" ref="F37:AG37" si="9">SUM(F34:F36)</f>
        <v>0</v>
      </c>
      <c r="G37" s="182">
        <f t="shared" si="9"/>
        <v>0</v>
      </c>
      <c r="H37" s="182">
        <f t="shared" si="9"/>
        <v>0</v>
      </c>
      <c r="I37" s="182">
        <f>SUM(I34:I36)</f>
        <v>0</v>
      </c>
      <c r="J37" s="182">
        <f t="shared" si="9"/>
        <v>-5235</v>
      </c>
      <c r="K37" s="182">
        <f t="shared" si="9"/>
        <v>305</v>
      </c>
      <c r="L37" s="182">
        <f t="shared" si="9"/>
        <v>0</v>
      </c>
      <c r="M37" s="182">
        <f t="shared" si="9"/>
        <v>0</v>
      </c>
      <c r="N37" s="182">
        <f t="shared" si="9"/>
        <v>0</v>
      </c>
      <c r="O37" s="182">
        <f t="shared" si="9"/>
        <v>0</v>
      </c>
      <c r="P37" s="182">
        <f t="shared" si="9"/>
        <v>0</v>
      </c>
      <c r="Q37" s="182">
        <f t="shared" si="9"/>
        <v>1</v>
      </c>
      <c r="R37" s="182">
        <f t="shared" si="9"/>
        <v>-11</v>
      </c>
      <c r="S37" s="182">
        <f t="shared" si="9"/>
        <v>-151</v>
      </c>
      <c r="T37" s="182">
        <f t="shared" ref="T37:AA37" si="10">SUM(T34:T36)</f>
        <v>309</v>
      </c>
      <c r="U37" s="182">
        <f t="shared" si="10"/>
        <v>-2</v>
      </c>
      <c r="V37" s="182">
        <f t="shared" si="10"/>
        <v>0</v>
      </c>
      <c r="W37" s="182">
        <f t="shared" si="10"/>
        <v>0</v>
      </c>
      <c r="X37" s="182">
        <f t="shared" si="10"/>
        <v>-112</v>
      </c>
      <c r="Y37" s="182">
        <f t="shared" si="10"/>
        <v>-1591</v>
      </c>
      <c r="Z37" s="182">
        <f t="shared" si="10"/>
        <v>0</v>
      </c>
      <c r="AA37" s="182">
        <f t="shared" si="10"/>
        <v>0</v>
      </c>
      <c r="AB37" s="182">
        <f t="shared" si="9"/>
        <v>424</v>
      </c>
      <c r="AC37" s="182">
        <f>SUM(AC34:AC36)</f>
        <v>0</v>
      </c>
      <c r="AD37" s="182">
        <f t="shared" si="9"/>
        <v>153</v>
      </c>
      <c r="AE37" s="182">
        <f>SUM(AE34:AE36)</f>
        <v>0</v>
      </c>
      <c r="AF37" s="182">
        <f>SUM(AF34:AF36)</f>
        <v>0</v>
      </c>
      <c r="AG37" s="182">
        <f t="shared" si="9"/>
        <v>428</v>
      </c>
      <c r="AH37" s="182">
        <f t="shared" ref="AH37:AS37" si="11">SUM(AH34:AH36)</f>
        <v>0</v>
      </c>
      <c r="AI37" s="182">
        <f t="shared" si="11"/>
        <v>0</v>
      </c>
      <c r="AJ37" s="182">
        <f t="shared" si="11"/>
        <v>0</v>
      </c>
      <c r="AK37" s="182">
        <f t="shared" si="11"/>
        <v>0</v>
      </c>
      <c r="AL37" s="182">
        <f t="shared" si="11"/>
        <v>0</v>
      </c>
      <c r="AM37" s="182">
        <f t="shared" si="11"/>
        <v>0</v>
      </c>
      <c r="AN37" s="182">
        <f t="shared" si="11"/>
        <v>-130</v>
      </c>
      <c r="AO37" s="182">
        <f t="shared" si="11"/>
        <v>0</v>
      </c>
      <c r="AP37" s="182">
        <f t="shared" si="11"/>
        <v>0</v>
      </c>
      <c r="AQ37" s="182">
        <f t="shared" si="11"/>
        <v>35120.948650435879</v>
      </c>
      <c r="AR37" s="182" t="e">
        <f t="shared" si="11"/>
        <v>#REF!</v>
      </c>
      <c r="AS37" s="182" t="e">
        <f t="shared" si="11"/>
        <v>#REF!</v>
      </c>
    </row>
    <row r="38" spans="1:45" ht="12.95" customHeight="1">
      <c r="C38" s="164"/>
      <c r="D38" s="164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</row>
    <row r="39" spans="1:45" ht="12.95" customHeight="1">
      <c r="A39" s="162">
        <v>17</v>
      </c>
      <c r="B39" s="138" t="s">
        <v>48</v>
      </c>
      <c r="C39" s="164"/>
      <c r="D39" s="164"/>
      <c r="E39" s="182">
        <f>'ADJ DETAIL INPUT'!E38</f>
        <v>6398</v>
      </c>
      <c r="F39" s="182">
        <f>'ADJ DETAIL INPUT'!F38</f>
        <v>0</v>
      </c>
      <c r="G39" s="182">
        <f>'ADJ DETAIL INPUT'!G38</f>
        <v>15</v>
      </c>
      <c r="H39" s="182">
        <f>'ADJ DETAIL INPUT'!H38</f>
        <v>0</v>
      </c>
      <c r="I39" s="182">
        <f>'ADJ DETAIL INPUT'!I38</f>
        <v>0</v>
      </c>
      <c r="J39" s="182">
        <f>'ADJ DETAIL INPUT'!J38</f>
        <v>0</v>
      </c>
      <c r="K39" s="182">
        <f>'ADJ DETAIL INPUT'!K38</f>
        <v>0</v>
      </c>
      <c r="L39" s="182">
        <f>'ADJ DETAIL INPUT'!L38</f>
        <v>166</v>
      </c>
      <c r="M39" s="182">
        <f>'ADJ DETAIL INPUT'!M38</f>
        <v>0</v>
      </c>
      <c r="N39" s="182">
        <f>'ADJ DETAIL INPUT'!N38</f>
        <v>0</v>
      </c>
      <c r="O39" s="182">
        <f>'ADJ DETAIL INPUT'!O38</f>
        <v>0</v>
      </c>
      <c r="P39" s="182">
        <f>'ADJ DETAIL INPUT'!P38</f>
        <v>0</v>
      </c>
      <c r="Q39" s="182">
        <f>'ADJ DETAIL INPUT'!Q38</f>
        <v>0</v>
      </c>
      <c r="R39" s="182">
        <f>'ADJ DETAIL INPUT'!R38</f>
        <v>0</v>
      </c>
      <c r="S39" s="182">
        <f>'ADJ DETAIL INPUT'!S38</f>
        <v>-13</v>
      </c>
      <c r="T39" s="182">
        <f>'ADJ DETAIL INPUT'!T38</f>
        <v>27</v>
      </c>
      <c r="U39" s="182">
        <f>'ADJ DETAIL INPUT'!U38</f>
        <v>0</v>
      </c>
      <c r="V39" s="182">
        <f>'ADJ DETAIL INPUT'!V38</f>
        <v>0</v>
      </c>
      <c r="W39" s="182">
        <f>'ADJ DETAIL INPUT'!W38</f>
        <v>0</v>
      </c>
      <c r="X39" s="182">
        <f>'ADJ DETAIL INPUT'!X38</f>
        <v>0</v>
      </c>
      <c r="Y39" s="182">
        <f>'ADJ DETAIL INPUT'!AA38</f>
        <v>-138</v>
      </c>
      <c r="Z39" s="182">
        <f>'ADJ DETAIL INPUT'!AB38</f>
        <v>0</v>
      </c>
      <c r="AA39" s="182">
        <f>'ADJ DETAIL INPUT'!AC38</f>
        <v>0</v>
      </c>
      <c r="AB39" s="182">
        <f>'ADJ DETAIL INPUT'!AD38</f>
        <v>203</v>
      </c>
      <c r="AC39" s="182">
        <f>'ADJ DETAIL INPUT'!AE38</f>
        <v>0</v>
      </c>
      <c r="AD39" s="182">
        <f>'ADJ DETAIL INPUT'!AF38</f>
        <v>72</v>
      </c>
      <c r="AE39" s="182">
        <f>'ADJ DETAIL INPUT'!AG38</f>
        <v>0</v>
      </c>
      <c r="AF39" s="182">
        <f>'ADJ DETAIL INPUT'!AH38</f>
        <v>0</v>
      </c>
      <c r="AG39" s="182">
        <f>'ADJ DETAIL INPUT'!AI38</f>
        <v>0</v>
      </c>
      <c r="AH39" s="182">
        <f>'ADJ DETAIL INPUT'!AJ38</f>
        <v>67</v>
      </c>
      <c r="AI39" s="182">
        <f>'ADJ DETAIL INPUT'!AK38</f>
        <v>0</v>
      </c>
      <c r="AJ39" s="182">
        <f>'ADJ DETAIL INPUT'!AL38</f>
        <v>0</v>
      </c>
      <c r="AK39" s="182">
        <f>'ADJ DETAIL INPUT'!AM38</f>
        <v>0</v>
      </c>
      <c r="AL39" s="182">
        <f>'ADJ DETAIL INPUT'!AN38</f>
        <v>0</v>
      </c>
      <c r="AM39" s="182">
        <f>'ADJ DETAIL INPUT'!AO38</f>
        <v>0</v>
      </c>
      <c r="AN39" s="182">
        <f>'ADJ DETAIL INPUT'!AP38</f>
        <v>0</v>
      </c>
      <c r="AO39" s="182">
        <f>'ADJ DETAIL INPUT'!AQ38</f>
        <v>0</v>
      </c>
      <c r="AP39" s="182">
        <f>'ADJ DETAIL INPUT'!AR38</f>
        <v>0</v>
      </c>
      <c r="AQ39" s="182">
        <f>'ADJ DETAIL INPUT'!AY38</f>
        <v>6797</v>
      </c>
      <c r="AR39" s="182" t="e">
        <f>'ADJ DETAIL INPUT'!#REF!</f>
        <v>#REF!</v>
      </c>
      <c r="AS39" s="182" t="e">
        <f>'ADJ DETAIL INPUT'!#REF!</f>
        <v>#REF!</v>
      </c>
    </row>
    <row r="40" spans="1:45">
      <c r="A40" s="162">
        <v>18</v>
      </c>
      <c r="B40" s="138" t="s">
        <v>49</v>
      </c>
      <c r="C40" s="164"/>
      <c r="D40" s="164"/>
      <c r="E40" s="182">
        <f>'ADJ DETAIL INPUT'!E39</f>
        <v>9664</v>
      </c>
      <c r="F40" s="182">
        <f>'ADJ DETAIL INPUT'!F39</f>
        <v>0</v>
      </c>
      <c r="G40" s="182">
        <f>'ADJ DETAIL INPUT'!G39</f>
        <v>0</v>
      </c>
      <c r="H40" s="182">
        <f>'ADJ DETAIL INPUT'!H39</f>
        <v>0</v>
      </c>
      <c r="I40" s="182">
        <f>'ADJ DETAIL INPUT'!I39</f>
        <v>0</v>
      </c>
      <c r="J40" s="182">
        <f>'ADJ DETAIL INPUT'!J39</f>
        <v>0</v>
      </c>
      <c r="K40" s="182">
        <f>'ADJ DETAIL INPUT'!K39</f>
        <v>0</v>
      </c>
      <c r="L40" s="182">
        <f>'ADJ DETAIL INPUT'!L39</f>
        <v>0</v>
      </c>
      <c r="M40" s="182">
        <f>'ADJ DETAIL INPUT'!M39</f>
        <v>0</v>
      </c>
      <c r="N40" s="182">
        <f>'ADJ DETAIL INPUT'!N39</f>
        <v>0</v>
      </c>
      <c r="O40" s="182">
        <f>'ADJ DETAIL INPUT'!O39</f>
        <v>0</v>
      </c>
      <c r="P40" s="182">
        <f>'ADJ DETAIL INPUT'!P39</f>
        <v>0</v>
      </c>
      <c r="Q40" s="182">
        <f>'ADJ DETAIL INPUT'!Q39</f>
        <v>0</v>
      </c>
      <c r="R40" s="182">
        <f>'ADJ DETAIL INPUT'!R39</f>
        <v>0</v>
      </c>
      <c r="S40" s="182">
        <f>'ADJ DETAIL INPUT'!S39</f>
        <v>0</v>
      </c>
      <c r="T40" s="182">
        <f>'ADJ DETAIL INPUT'!T39</f>
        <v>-8485</v>
      </c>
      <c r="U40" s="182">
        <f>'ADJ DETAIL INPUT'!U39</f>
        <v>1</v>
      </c>
      <c r="V40" s="182">
        <f>'ADJ DETAIL INPUT'!V39</f>
        <v>0</v>
      </c>
      <c r="W40" s="182">
        <f>'ADJ DETAIL INPUT'!W39</f>
        <v>0</v>
      </c>
      <c r="X40" s="182">
        <f>'ADJ DETAIL INPUT'!X39</f>
        <v>0</v>
      </c>
      <c r="Y40" s="182">
        <f>'ADJ DETAIL INPUT'!AA39</f>
        <v>0</v>
      </c>
      <c r="Z40" s="182">
        <f>'ADJ DETAIL INPUT'!AB39</f>
        <v>0</v>
      </c>
      <c r="AA40" s="182">
        <f>'ADJ DETAIL INPUT'!AC39</f>
        <v>0</v>
      </c>
      <c r="AB40" s="182">
        <f>'ADJ DETAIL INPUT'!AD39</f>
        <v>18</v>
      </c>
      <c r="AC40" s="182">
        <f>'ADJ DETAIL INPUT'!AE39</f>
        <v>0</v>
      </c>
      <c r="AD40" s="182">
        <f>'ADJ DETAIL INPUT'!AF39</f>
        <v>7</v>
      </c>
      <c r="AE40" s="182">
        <f>'ADJ DETAIL INPUT'!AG39</f>
        <v>0</v>
      </c>
      <c r="AF40" s="182">
        <f>'ADJ DETAIL INPUT'!AH39</f>
        <v>0</v>
      </c>
      <c r="AG40" s="182">
        <f>'ADJ DETAIL INPUT'!AI39</f>
        <v>0</v>
      </c>
      <c r="AH40" s="182">
        <f>'ADJ DETAIL INPUT'!AJ39</f>
        <v>0</v>
      </c>
      <c r="AI40" s="182">
        <f>'ADJ DETAIL INPUT'!AK39</f>
        <v>0</v>
      </c>
      <c r="AJ40" s="182">
        <f>'ADJ DETAIL INPUT'!AL39</f>
        <v>0</v>
      </c>
      <c r="AK40" s="182">
        <f>'ADJ DETAIL INPUT'!AM39</f>
        <v>0</v>
      </c>
      <c r="AL40" s="182">
        <f>'ADJ DETAIL INPUT'!AN39</f>
        <v>0</v>
      </c>
      <c r="AM40" s="182">
        <f>'ADJ DETAIL INPUT'!AO39</f>
        <v>0</v>
      </c>
      <c r="AN40" s="182">
        <f>'ADJ DETAIL INPUT'!AP39</f>
        <v>0</v>
      </c>
      <c r="AO40" s="182">
        <f>'ADJ DETAIL INPUT'!AQ39</f>
        <v>0</v>
      </c>
      <c r="AP40" s="182">
        <f>'ADJ DETAIL INPUT'!AR39</f>
        <v>0</v>
      </c>
      <c r="AQ40" s="182">
        <f>'ADJ DETAIL INPUT'!AY39</f>
        <v>1205</v>
      </c>
      <c r="AR40" s="182" t="e">
        <f>'ADJ DETAIL INPUT'!#REF!</f>
        <v>#REF!</v>
      </c>
      <c r="AS40" s="182" t="e">
        <f>'ADJ DETAIL INPUT'!#REF!</f>
        <v>#REF!</v>
      </c>
    </row>
    <row r="41" spans="1:45">
      <c r="A41" s="162">
        <v>19</v>
      </c>
      <c r="B41" s="138" t="s">
        <v>50</v>
      </c>
      <c r="C41" s="164"/>
      <c r="D41" s="164"/>
      <c r="E41" s="182">
        <f>'ADJ DETAIL INPUT'!E40</f>
        <v>0</v>
      </c>
      <c r="F41" s="182">
        <f>'ADJ DETAIL INPUT'!F40</f>
        <v>0</v>
      </c>
      <c r="G41" s="182">
        <f>'ADJ DETAIL INPUT'!G40</f>
        <v>0</v>
      </c>
      <c r="H41" s="182">
        <f>'ADJ DETAIL INPUT'!H40</f>
        <v>0</v>
      </c>
      <c r="I41" s="182">
        <f>'ADJ DETAIL INPUT'!I40</f>
        <v>0</v>
      </c>
      <c r="J41" s="182">
        <f>'ADJ DETAIL INPUT'!J40</f>
        <v>0</v>
      </c>
      <c r="K41" s="182">
        <f>'ADJ DETAIL INPUT'!K40</f>
        <v>0</v>
      </c>
      <c r="L41" s="182">
        <f>'ADJ DETAIL INPUT'!L40</f>
        <v>0</v>
      </c>
      <c r="M41" s="182">
        <f>'ADJ DETAIL INPUT'!M40</f>
        <v>0</v>
      </c>
      <c r="N41" s="182">
        <f>'ADJ DETAIL INPUT'!N40</f>
        <v>0</v>
      </c>
      <c r="O41" s="182">
        <f>'ADJ DETAIL INPUT'!O40</f>
        <v>0</v>
      </c>
      <c r="P41" s="182">
        <f>'ADJ DETAIL INPUT'!P40</f>
        <v>0</v>
      </c>
      <c r="Q41" s="182">
        <f>'ADJ DETAIL INPUT'!Q40</f>
        <v>0</v>
      </c>
      <c r="R41" s="182">
        <f>'ADJ DETAIL INPUT'!R40</f>
        <v>0</v>
      </c>
      <c r="S41" s="182">
        <f>'ADJ DETAIL INPUT'!S40</f>
        <v>0</v>
      </c>
      <c r="T41" s="182">
        <f>'ADJ DETAIL INPUT'!T40</f>
        <v>0</v>
      </c>
      <c r="U41" s="182">
        <f>'ADJ DETAIL INPUT'!U40</f>
        <v>0</v>
      </c>
      <c r="V41" s="182">
        <f>'ADJ DETAIL INPUT'!V40</f>
        <v>0</v>
      </c>
      <c r="W41" s="182">
        <f>'ADJ DETAIL INPUT'!W40</f>
        <v>0</v>
      </c>
      <c r="X41" s="182">
        <f>'ADJ DETAIL INPUT'!X40</f>
        <v>0</v>
      </c>
      <c r="Y41" s="182">
        <f>'ADJ DETAIL INPUT'!AA40</f>
        <v>0</v>
      </c>
      <c r="Z41" s="182">
        <f>'ADJ DETAIL INPUT'!AB40</f>
        <v>0</v>
      </c>
      <c r="AA41" s="182">
        <f>'ADJ DETAIL INPUT'!AC40</f>
        <v>0</v>
      </c>
      <c r="AB41" s="182">
        <f>'ADJ DETAIL INPUT'!AD40</f>
        <v>0</v>
      </c>
      <c r="AC41" s="182">
        <f>'ADJ DETAIL INPUT'!AE40</f>
        <v>0</v>
      </c>
      <c r="AD41" s="182">
        <f>'ADJ DETAIL INPUT'!AF40</f>
        <v>0</v>
      </c>
      <c r="AE41" s="182">
        <f>'ADJ DETAIL INPUT'!AG40</f>
        <v>0</v>
      </c>
      <c r="AF41" s="182">
        <f>'ADJ DETAIL INPUT'!AH40</f>
        <v>0</v>
      </c>
      <c r="AG41" s="182">
        <f>'ADJ DETAIL INPUT'!AI40</f>
        <v>0</v>
      </c>
      <c r="AH41" s="182">
        <f>'ADJ DETAIL INPUT'!AJ40</f>
        <v>0</v>
      </c>
      <c r="AI41" s="182">
        <f>'ADJ DETAIL INPUT'!AK40</f>
        <v>0</v>
      </c>
      <c r="AJ41" s="182">
        <f>'ADJ DETAIL INPUT'!AL40</f>
        <v>0</v>
      </c>
      <c r="AK41" s="182">
        <f>'ADJ DETAIL INPUT'!AM40</f>
        <v>0</v>
      </c>
      <c r="AL41" s="182">
        <f>'ADJ DETAIL INPUT'!AN40</f>
        <v>0</v>
      </c>
      <c r="AM41" s="182">
        <f>'ADJ DETAIL INPUT'!AO40</f>
        <v>0</v>
      </c>
      <c r="AN41" s="182">
        <f>'ADJ DETAIL INPUT'!AP40</f>
        <v>0</v>
      </c>
      <c r="AO41" s="182">
        <f>'ADJ DETAIL INPUT'!AQ40</f>
        <v>0</v>
      </c>
      <c r="AP41" s="182">
        <f>'ADJ DETAIL INPUT'!AR40</f>
        <v>0</v>
      </c>
      <c r="AQ41" s="182">
        <f>'ADJ DETAIL INPUT'!AY40</f>
        <v>0</v>
      </c>
      <c r="AR41" s="182" t="e">
        <f>'ADJ DETAIL INPUT'!#REF!</f>
        <v>#REF!</v>
      </c>
      <c r="AS41" s="182" t="e">
        <f>'ADJ DETAIL INPUT'!#REF!</f>
        <v>#REF!</v>
      </c>
    </row>
    <row r="42" spans="1:45">
      <c r="C42" s="164"/>
      <c r="D42" s="164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</row>
    <row r="43" spans="1:45">
      <c r="B43" s="138" t="s">
        <v>51</v>
      </c>
      <c r="C43" s="164"/>
      <c r="D43" s="164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</row>
    <row r="44" spans="1:45">
      <c r="A44" s="162">
        <v>20</v>
      </c>
      <c r="C44" s="164" t="s">
        <v>43</v>
      </c>
      <c r="D44" s="164"/>
      <c r="E44" s="182">
        <f>'ADJ DETAIL INPUT'!E43</f>
        <v>15696</v>
      </c>
      <c r="F44" s="182">
        <f>'ADJ DETAIL INPUT'!F43</f>
        <v>0</v>
      </c>
      <c r="G44" s="182">
        <f>'ADJ DETAIL INPUT'!G43</f>
        <v>0</v>
      </c>
      <c r="H44" s="182">
        <f>'ADJ DETAIL INPUT'!H43</f>
        <v>0</v>
      </c>
      <c r="I44" s="182">
        <f>'ADJ DETAIL INPUT'!I43</f>
        <v>0</v>
      </c>
      <c r="J44" s="182">
        <f>'ADJ DETAIL INPUT'!J43</f>
        <v>0</v>
      </c>
      <c r="K44" s="182">
        <f>'ADJ DETAIL INPUT'!K43</f>
        <v>0</v>
      </c>
      <c r="L44" s="182">
        <f>'ADJ DETAIL INPUT'!L43</f>
        <v>0</v>
      </c>
      <c r="M44" s="182">
        <f>'ADJ DETAIL INPUT'!M43</f>
        <v>-58</v>
      </c>
      <c r="N44" s="182">
        <f>'ADJ DETAIL INPUT'!N43</f>
        <v>-9</v>
      </c>
      <c r="O44" s="182">
        <f>'ADJ DETAIL INPUT'!O43</f>
        <v>0</v>
      </c>
      <c r="P44" s="182">
        <f>'ADJ DETAIL INPUT'!P43</f>
        <v>-16</v>
      </c>
      <c r="Q44" s="182">
        <f>'ADJ DETAIL INPUT'!Q43</f>
        <v>0</v>
      </c>
      <c r="R44" s="182">
        <f>'ADJ DETAIL INPUT'!R43</f>
        <v>0</v>
      </c>
      <c r="S44" s="182">
        <f>'ADJ DETAIL INPUT'!S43</f>
        <v>-8</v>
      </c>
      <c r="T44" s="182">
        <f>'ADJ DETAIL INPUT'!T43</f>
        <v>16</v>
      </c>
      <c r="U44" s="182">
        <f>'ADJ DETAIL INPUT'!U43</f>
        <v>-399</v>
      </c>
      <c r="V44" s="182">
        <f>'ADJ DETAIL INPUT'!V43</f>
        <v>219</v>
      </c>
      <c r="W44" s="182">
        <f>'ADJ DETAIL INPUT'!W43</f>
        <v>0</v>
      </c>
      <c r="X44" s="182">
        <f>'ADJ DETAIL INPUT'!X43</f>
        <v>0</v>
      </c>
      <c r="Y44" s="182">
        <f>'ADJ DETAIL INPUT'!AA43</f>
        <v>-83</v>
      </c>
      <c r="Z44" s="182">
        <f>'ADJ DETAIL INPUT'!AB43</f>
        <v>0</v>
      </c>
      <c r="AA44" s="182">
        <f>'ADJ DETAIL INPUT'!AC43</f>
        <v>0</v>
      </c>
      <c r="AB44" s="182">
        <f>'ADJ DETAIL INPUT'!AD43</f>
        <v>302</v>
      </c>
      <c r="AC44" s="182">
        <f>'ADJ DETAIL INPUT'!AE43</f>
        <v>-97</v>
      </c>
      <c r="AD44" s="182">
        <f>'ADJ DETAIL INPUT'!AF43</f>
        <v>99</v>
      </c>
      <c r="AE44" s="182">
        <f>'ADJ DETAIL INPUT'!AG43</f>
        <v>294</v>
      </c>
      <c r="AF44" s="182">
        <f>'ADJ DETAIL INPUT'!AH43</f>
        <v>283.23700000000002</v>
      </c>
      <c r="AG44" s="182">
        <f>'ADJ DETAIL INPUT'!AI43</f>
        <v>0</v>
      </c>
      <c r="AH44" s="182">
        <f>'ADJ DETAIL INPUT'!AJ43</f>
        <v>0</v>
      </c>
      <c r="AI44" s="182">
        <f>'ADJ DETAIL INPUT'!AK43</f>
        <v>0</v>
      </c>
      <c r="AJ44" s="182">
        <f>'ADJ DETAIL INPUT'!AL43</f>
        <v>0</v>
      </c>
      <c r="AK44" s="182">
        <f>'ADJ DETAIL INPUT'!AM43</f>
        <v>0</v>
      </c>
      <c r="AL44" s="182">
        <f>'ADJ DETAIL INPUT'!AN43</f>
        <v>0</v>
      </c>
      <c r="AM44" s="182">
        <f>'ADJ DETAIL INPUT'!AO43</f>
        <v>0</v>
      </c>
      <c r="AN44" s="182">
        <f>'ADJ DETAIL INPUT'!AP43</f>
        <v>0</v>
      </c>
      <c r="AO44" s="182">
        <f>'ADJ DETAIL INPUT'!AQ43</f>
        <v>0</v>
      </c>
      <c r="AP44" s="182">
        <f>'ADJ DETAIL INPUT'!AR43</f>
        <v>0</v>
      </c>
      <c r="AQ44" s="182">
        <f>'ADJ DETAIL INPUT'!AY43</f>
        <v>16223.581999999999</v>
      </c>
      <c r="AR44" s="182" t="e">
        <f>'ADJ DETAIL INPUT'!#REF!</f>
        <v>#REF!</v>
      </c>
      <c r="AS44" s="182" t="e">
        <f>'ADJ DETAIL INPUT'!#REF!</f>
        <v>#REF!</v>
      </c>
    </row>
    <row r="45" spans="1:45">
      <c r="A45" s="162">
        <v>21</v>
      </c>
      <c r="C45" s="164" t="s">
        <v>199</v>
      </c>
      <c r="D45" s="164"/>
      <c r="E45" s="182">
        <f>'ADJ DETAIL INPUT'!E44</f>
        <v>10678</v>
      </c>
      <c r="F45" s="182">
        <f>'ADJ DETAIL INPUT'!F44</f>
        <v>0</v>
      </c>
      <c r="G45" s="182">
        <f>'ADJ DETAIL INPUT'!G44</f>
        <v>0</v>
      </c>
      <c r="H45" s="182">
        <f>'ADJ DETAIL INPUT'!H44</f>
        <v>0</v>
      </c>
      <c r="I45" s="182">
        <f>'ADJ DETAIL INPUT'!I44</f>
        <v>0</v>
      </c>
      <c r="J45" s="182">
        <f>'ADJ DETAIL INPUT'!J44</f>
        <v>0</v>
      </c>
      <c r="K45" s="182">
        <f>'ADJ DETAIL INPUT'!K44</f>
        <v>0</v>
      </c>
      <c r="L45" s="182">
        <f>'ADJ DETAIL INPUT'!L44</f>
        <v>0</v>
      </c>
      <c r="M45" s="182">
        <f>'ADJ DETAIL INPUT'!M44</f>
        <v>0</v>
      </c>
      <c r="N45" s="182">
        <f>'ADJ DETAIL INPUT'!N44</f>
        <v>0</v>
      </c>
      <c r="O45" s="182">
        <f>'ADJ DETAIL INPUT'!O44</f>
        <v>0</v>
      </c>
      <c r="P45" s="182">
        <f>'ADJ DETAIL INPUT'!P44</f>
        <v>0</v>
      </c>
      <c r="Q45" s="182">
        <f>'ADJ DETAIL INPUT'!Q44</f>
        <v>0</v>
      </c>
      <c r="R45" s="182">
        <f>'ADJ DETAIL INPUT'!R44</f>
        <v>0</v>
      </c>
      <c r="S45" s="182">
        <f>'ADJ DETAIL INPUT'!S44</f>
        <v>0</v>
      </c>
      <c r="T45" s="182">
        <f>'ADJ DETAIL INPUT'!T44</f>
        <v>0</v>
      </c>
      <c r="U45" s="182">
        <f>'ADJ DETAIL INPUT'!U44</f>
        <v>0</v>
      </c>
      <c r="V45" s="182">
        <f>'ADJ DETAIL INPUT'!V44</f>
        <v>0</v>
      </c>
      <c r="W45" s="182">
        <f>'ADJ DETAIL INPUT'!W44</f>
        <v>0</v>
      </c>
      <c r="X45" s="182">
        <f>'ADJ DETAIL INPUT'!X44</f>
        <v>14</v>
      </c>
      <c r="Y45" s="182">
        <f>'ADJ DETAIL INPUT'!AA44</f>
        <v>0</v>
      </c>
      <c r="Z45" s="182">
        <f>'ADJ DETAIL INPUT'!AB44</f>
        <v>0</v>
      </c>
      <c r="AA45" s="182">
        <f>'ADJ DETAIL INPUT'!AC44</f>
        <v>0</v>
      </c>
      <c r="AB45" s="182">
        <f>'ADJ DETAIL INPUT'!AD44</f>
        <v>0</v>
      </c>
      <c r="AC45" s="182">
        <f>'ADJ DETAIL INPUT'!AE44</f>
        <v>0</v>
      </c>
      <c r="AD45" s="182">
        <f>'ADJ DETAIL INPUT'!AF44</f>
        <v>0</v>
      </c>
      <c r="AE45" s="182">
        <f>'ADJ DETAIL INPUT'!AG44</f>
        <v>0</v>
      </c>
      <c r="AF45" s="182">
        <f>'ADJ DETAIL INPUT'!AH44</f>
        <v>0</v>
      </c>
      <c r="AG45" s="182">
        <f>'ADJ DETAIL INPUT'!AI44</f>
        <v>0</v>
      </c>
      <c r="AH45" s="182">
        <f>'ADJ DETAIL INPUT'!AJ44</f>
        <v>0</v>
      </c>
      <c r="AI45" s="182">
        <f>'ADJ DETAIL INPUT'!AK44</f>
        <v>0</v>
      </c>
      <c r="AJ45" s="182">
        <f>'ADJ DETAIL INPUT'!AL44</f>
        <v>0</v>
      </c>
      <c r="AK45" s="182">
        <f>'ADJ DETAIL INPUT'!AM44</f>
        <v>0</v>
      </c>
      <c r="AL45" s="182">
        <f>'ADJ DETAIL INPUT'!AN44</f>
        <v>0</v>
      </c>
      <c r="AM45" s="182">
        <f>'ADJ DETAIL INPUT'!AO44</f>
        <v>0</v>
      </c>
      <c r="AN45" s="182">
        <f>'ADJ DETAIL INPUT'!AP44</f>
        <v>101</v>
      </c>
      <c r="AO45" s="182">
        <f>'ADJ DETAIL INPUT'!AQ44</f>
        <v>0</v>
      </c>
      <c r="AP45" s="182">
        <f>'ADJ DETAIL INPUT'!AR44</f>
        <v>0</v>
      </c>
      <c r="AQ45" s="182">
        <f>'ADJ DETAIL INPUT'!AY44</f>
        <v>11374.511349564116</v>
      </c>
      <c r="AR45" s="182" t="e">
        <f>'ADJ DETAIL INPUT'!#REF!</f>
        <v>#REF!</v>
      </c>
      <c r="AS45" s="182" t="e">
        <f>'ADJ DETAIL INPUT'!#REF!</f>
        <v>#REF!</v>
      </c>
    </row>
    <row r="46" spans="1:45">
      <c r="A46" s="162">
        <v>22</v>
      </c>
      <c r="C46" s="8" t="s">
        <v>410</v>
      </c>
      <c r="D46" s="164"/>
      <c r="E46" s="182">
        <f>'ADJ DETAIL INPUT'!E45</f>
        <v>-3003</v>
      </c>
      <c r="F46" s="182">
        <f>'ADJ DETAIL INPUT'!F45</f>
        <v>0</v>
      </c>
      <c r="G46" s="182">
        <f>'ADJ DETAIL INPUT'!G45</f>
        <v>0</v>
      </c>
      <c r="H46" s="182">
        <f>'ADJ DETAIL INPUT'!H45</f>
        <v>0</v>
      </c>
      <c r="I46" s="182">
        <f>'ADJ DETAIL INPUT'!I45</f>
        <v>0</v>
      </c>
      <c r="J46" s="182">
        <f>'ADJ DETAIL INPUT'!J45</f>
        <v>0</v>
      </c>
      <c r="K46" s="182">
        <f>'ADJ DETAIL INPUT'!K45</f>
        <v>0</v>
      </c>
      <c r="L46" s="182">
        <f>'ADJ DETAIL INPUT'!L45</f>
        <v>0</v>
      </c>
      <c r="M46" s="182">
        <f>'ADJ DETAIL INPUT'!M45</f>
        <v>0</v>
      </c>
      <c r="N46" s="182">
        <f>'ADJ DETAIL INPUT'!N45</f>
        <v>0</v>
      </c>
      <c r="O46" s="182">
        <f>'ADJ DETAIL INPUT'!O45</f>
        <v>0</v>
      </c>
      <c r="P46" s="182">
        <f>'ADJ DETAIL INPUT'!P45</f>
        <v>0</v>
      </c>
      <c r="Q46" s="182">
        <f>'ADJ DETAIL INPUT'!Q45</f>
        <v>0</v>
      </c>
      <c r="R46" s="182">
        <f>'ADJ DETAIL INPUT'!R45</f>
        <v>0</v>
      </c>
      <c r="S46" s="182">
        <f>'ADJ DETAIL INPUT'!S45</f>
        <v>0</v>
      </c>
      <c r="T46" s="182">
        <f>'ADJ DETAIL INPUT'!T45</f>
        <v>1205</v>
      </c>
      <c r="U46" s="182">
        <f>'ADJ DETAIL INPUT'!U45</f>
        <v>0</v>
      </c>
      <c r="V46" s="182">
        <f>'ADJ DETAIL INPUT'!V45</f>
        <v>0</v>
      </c>
      <c r="W46" s="182">
        <f>'ADJ DETAIL INPUT'!W45</f>
        <v>0</v>
      </c>
      <c r="X46" s="182">
        <f>'ADJ DETAIL INPUT'!X45</f>
        <v>0</v>
      </c>
      <c r="Y46" s="182">
        <f>'ADJ DETAIL INPUT'!AA45</f>
        <v>0</v>
      </c>
      <c r="Z46" s="182">
        <f>'ADJ DETAIL INPUT'!AB45</f>
        <v>-230</v>
      </c>
      <c r="AA46" s="182">
        <f>'ADJ DETAIL INPUT'!AC45</f>
        <v>0</v>
      </c>
      <c r="AB46" s="182">
        <f>'ADJ DETAIL INPUT'!AD45</f>
        <v>0</v>
      </c>
      <c r="AC46" s="182">
        <f>'ADJ DETAIL INPUT'!AE45</f>
        <v>0</v>
      </c>
      <c r="AD46" s="182">
        <f>'ADJ DETAIL INPUT'!AF45</f>
        <v>0</v>
      </c>
      <c r="AE46" s="182">
        <f>'ADJ DETAIL INPUT'!AG45</f>
        <v>0</v>
      </c>
      <c r="AF46" s="182">
        <f>'ADJ DETAIL INPUT'!AH45</f>
        <v>0</v>
      </c>
      <c r="AG46" s="182">
        <f>'ADJ DETAIL INPUT'!AI45</f>
        <v>0</v>
      </c>
      <c r="AH46" s="182">
        <f>'ADJ DETAIL INPUT'!AJ45</f>
        <v>805</v>
      </c>
      <c r="AI46" s="182">
        <f>'ADJ DETAIL INPUT'!AK45</f>
        <v>0</v>
      </c>
      <c r="AJ46" s="182">
        <f>'ADJ DETAIL INPUT'!AL45</f>
        <v>0</v>
      </c>
      <c r="AK46" s="182">
        <f>'ADJ DETAIL INPUT'!AM45</f>
        <v>0</v>
      </c>
      <c r="AL46" s="182">
        <f>'ADJ DETAIL INPUT'!AN45</f>
        <v>0</v>
      </c>
      <c r="AM46" s="182">
        <f>'ADJ DETAIL INPUT'!AO45</f>
        <v>0</v>
      </c>
      <c r="AN46" s="182">
        <f>'ADJ DETAIL INPUT'!AP45</f>
        <v>5558.5590000000002</v>
      </c>
      <c r="AO46" s="182">
        <f>'ADJ DETAIL INPUT'!AQ45</f>
        <v>1550</v>
      </c>
      <c r="AP46" s="182">
        <f>'ADJ DETAIL INPUT'!AR45</f>
        <v>0</v>
      </c>
      <c r="AQ46" s="182">
        <f>'ADJ DETAIL INPUT'!AY45</f>
        <v>5885.5590000000002</v>
      </c>
      <c r="AR46" s="182" t="e">
        <f>'ADJ DETAIL INPUT'!#REF!</f>
        <v>#REF!</v>
      </c>
      <c r="AS46" s="182" t="e">
        <f>'ADJ DETAIL INPUT'!#REF!</f>
        <v>#REF!</v>
      </c>
    </row>
    <row r="47" spans="1:45">
      <c r="A47" s="162">
        <v>23</v>
      </c>
      <c r="C47" s="164" t="s">
        <v>21</v>
      </c>
      <c r="D47" s="164"/>
      <c r="E47" s="183">
        <f>'ADJ DETAIL INPUT'!E46</f>
        <v>0</v>
      </c>
      <c r="F47" s="183">
        <f>'ADJ DETAIL INPUT'!F46</f>
        <v>0</v>
      </c>
      <c r="G47" s="183">
        <f>'ADJ DETAIL INPUT'!G46</f>
        <v>0</v>
      </c>
      <c r="H47" s="183">
        <f>'ADJ DETAIL INPUT'!H46</f>
        <v>0</v>
      </c>
      <c r="I47" s="183">
        <f>'ADJ DETAIL INPUT'!I46</f>
        <v>0</v>
      </c>
      <c r="J47" s="183">
        <f>'ADJ DETAIL INPUT'!J46</f>
        <v>0</v>
      </c>
      <c r="K47" s="183">
        <f>'ADJ DETAIL INPUT'!K46</f>
        <v>0</v>
      </c>
      <c r="L47" s="183">
        <f>'ADJ DETAIL INPUT'!L46</f>
        <v>0</v>
      </c>
      <c r="M47" s="183">
        <f>'ADJ DETAIL INPUT'!M46</f>
        <v>0</v>
      </c>
      <c r="N47" s="183">
        <f>'ADJ DETAIL INPUT'!N46</f>
        <v>0</v>
      </c>
      <c r="O47" s="183">
        <f>'ADJ DETAIL INPUT'!O46</f>
        <v>0</v>
      </c>
      <c r="P47" s="183">
        <f>'ADJ DETAIL INPUT'!P46</f>
        <v>0</v>
      </c>
      <c r="Q47" s="183">
        <f>'ADJ DETAIL INPUT'!Q46</f>
        <v>0</v>
      </c>
      <c r="R47" s="183">
        <f>'ADJ DETAIL INPUT'!R46</f>
        <v>0</v>
      </c>
      <c r="S47" s="183">
        <f>'ADJ DETAIL INPUT'!S46</f>
        <v>0</v>
      </c>
      <c r="T47" s="183">
        <f>'ADJ DETAIL INPUT'!T46</f>
        <v>0</v>
      </c>
      <c r="U47" s="183">
        <f>'ADJ DETAIL INPUT'!U46</f>
        <v>0</v>
      </c>
      <c r="V47" s="183">
        <f>'ADJ DETAIL INPUT'!V46</f>
        <v>0</v>
      </c>
      <c r="W47" s="183">
        <f>'ADJ DETAIL INPUT'!W46</f>
        <v>0</v>
      </c>
      <c r="X47" s="183">
        <f>'ADJ DETAIL INPUT'!X46</f>
        <v>0</v>
      </c>
      <c r="Y47" s="183">
        <f>'ADJ DETAIL INPUT'!AA46</f>
        <v>0</v>
      </c>
      <c r="Z47" s="183">
        <f>'ADJ DETAIL INPUT'!AB46</f>
        <v>0</v>
      </c>
      <c r="AA47" s="183">
        <f>'ADJ DETAIL INPUT'!AC46</f>
        <v>0</v>
      </c>
      <c r="AB47" s="183">
        <f>'ADJ DETAIL INPUT'!AD46</f>
        <v>0</v>
      </c>
      <c r="AC47" s="183">
        <f>'ADJ DETAIL INPUT'!AE46</f>
        <v>0</v>
      </c>
      <c r="AD47" s="183">
        <f>'ADJ DETAIL INPUT'!AF46</f>
        <v>0</v>
      </c>
      <c r="AE47" s="183">
        <f>'ADJ DETAIL INPUT'!AG46</f>
        <v>0</v>
      </c>
      <c r="AF47" s="183">
        <f>'ADJ DETAIL INPUT'!AH46</f>
        <v>0</v>
      </c>
      <c r="AG47" s="183">
        <f>'ADJ DETAIL INPUT'!AI46</f>
        <v>0</v>
      </c>
      <c r="AH47" s="183">
        <f>'ADJ DETAIL INPUT'!AJ46</f>
        <v>0</v>
      </c>
      <c r="AI47" s="183">
        <f>'ADJ DETAIL INPUT'!AK46</f>
        <v>0</v>
      </c>
      <c r="AJ47" s="183">
        <f>'ADJ DETAIL INPUT'!AL46</f>
        <v>0</v>
      </c>
      <c r="AK47" s="183">
        <f>'ADJ DETAIL INPUT'!AM46</f>
        <v>0</v>
      </c>
      <c r="AL47" s="183">
        <f>'ADJ DETAIL INPUT'!AN46</f>
        <v>0</v>
      </c>
      <c r="AM47" s="183">
        <f>'ADJ DETAIL INPUT'!AO46</f>
        <v>0</v>
      </c>
      <c r="AN47" s="183">
        <f>'ADJ DETAIL INPUT'!AP46</f>
        <v>0</v>
      </c>
      <c r="AO47" s="183">
        <f>'ADJ DETAIL INPUT'!AQ46</f>
        <v>0</v>
      </c>
      <c r="AP47" s="183">
        <f>'ADJ DETAIL INPUT'!AR46</f>
        <v>0</v>
      </c>
      <c r="AQ47" s="183">
        <f>'ADJ DETAIL INPUT'!AY46</f>
        <v>0</v>
      </c>
      <c r="AR47" s="183" t="e">
        <f>'ADJ DETAIL INPUT'!#REF!</f>
        <v>#REF!</v>
      </c>
      <c r="AS47" s="183" t="e">
        <f>'ADJ DETAIL INPUT'!#REF!</f>
        <v>#REF!</v>
      </c>
    </row>
    <row r="48" spans="1:45">
      <c r="A48" s="162">
        <v>24</v>
      </c>
      <c r="B48" s="164" t="s">
        <v>52</v>
      </c>
      <c r="C48" s="164"/>
      <c r="E48" s="183">
        <f>SUM(E44:E47)</f>
        <v>23371</v>
      </c>
      <c r="F48" s="183">
        <f t="shared" ref="F48:AG48" si="12">SUM(F44:F47)</f>
        <v>0</v>
      </c>
      <c r="G48" s="183">
        <f t="shared" si="12"/>
        <v>0</v>
      </c>
      <c r="H48" s="183">
        <f t="shared" si="12"/>
        <v>0</v>
      </c>
      <c r="I48" s="183">
        <f>SUM(I44:I47)</f>
        <v>0</v>
      </c>
      <c r="J48" s="183">
        <f t="shared" si="12"/>
        <v>0</v>
      </c>
      <c r="K48" s="183">
        <f t="shared" si="12"/>
        <v>0</v>
      </c>
      <c r="L48" s="183">
        <f t="shared" si="12"/>
        <v>0</v>
      </c>
      <c r="M48" s="183">
        <f t="shared" si="12"/>
        <v>-58</v>
      </c>
      <c r="N48" s="183">
        <f t="shared" si="12"/>
        <v>-9</v>
      </c>
      <c r="O48" s="183">
        <f t="shared" si="12"/>
        <v>0</v>
      </c>
      <c r="P48" s="183">
        <f t="shared" si="12"/>
        <v>-16</v>
      </c>
      <c r="Q48" s="183">
        <f t="shared" si="12"/>
        <v>0</v>
      </c>
      <c r="R48" s="183">
        <f t="shared" si="12"/>
        <v>0</v>
      </c>
      <c r="S48" s="183">
        <f t="shared" si="12"/>
        <v>-8</v>
      </c>
      <c r="T48" s="183">
        <f t="shared" ref="T48:AA48" si="13">SUM(T44:T47)</f>
        <v>1221</v>
      </c>
      <c r="U48" s="183">
        <f t="shared" si="13"/>
        <v>-399</v>
      </c>
      <c r="V48" s="183">
        <f t="shared" si="13"/>
        <v>219</v>
      </c>
      <c r="W48" s="183">
        <f t="shared" si="13"/>
        <v>0</v>
      </c>
      <c r="X48" s="183">
        <f t="shared" si="13"/>
        <v>14</v>
      </c>
      <c r="Y48" s="183">
        <f t="shared" si="13"/>
        <v>-83</v>
      </c>
      <c r="Z48" s="183">
        <f t="shared" si="13"/>
        <v>-230</v>
      </c>
      <c r="AA48" s="183">
        <f t="shared" si="13"/>
        <v>0</v>
      </c>
      <c r="AB48" s="183">
        <f t="shared" si="12"/>
        <v>302</v>
      </c>
      <c r="AC48" s="183">
        <f>SUM(AC44:AC47)</f>
        <v>-97</v>
      </c>
      <c r="AD48" s="183">
        <f t="shared" si="12"/>
        <v>99</v>
      </c>
      <c r="AE48" s="183">
        <f>SUM(AE44:AE47)</f>
        <v>294</v>
      </c>
      <c r="AF48" s="183">
        <f>SUM(AF44:AF47)</f>
        <v>283.23700000000002</v>
      </c>
      <c r="AG48" s="183">
        <f t="shared" si="12"/>
        <v>0</v>
      </c>
      <c r="AH48" s="183">
        <f t="shared" ref="AH48:AS48" si="14">SUM(AH44:AH47)</f>
        <v>805</v>
      </c>
      <c r="AI48" s="183">
        <f t="shared" si="14"/>
        <v>0</v>
      </c>
      <c r="AJ48" s="183">
        <f t="shared" si="14"/>
        <v>0</v>
      </c>
      <c r="AK48" s="183">
        <f t="shared" si="14"/>
        <v>0</v>
      </c>
      <c r="AL48" s="183">
        <f t="shared" si="14"/>
        <v>0</v>
      </c>
      <c r="AM48" s="183">
        <f t="shared" si="14"/>
        <v>0</v>
      </c>
      <c r="AN48" s="183">
        <f t="shared" si="14"/>
        <v>5659.5590000000002</v>
      </c>
      <c r="AO48" s="183">
        <f t="shared" si="14"/>
        <v>1550</v>
      </c>
      <c r="AP48" s="183">
        <f t="shared" si="14"/>
        <v>0</v>
      </c>
      <c r="AQ48" s="183">
        <f t="shared" si="14"/>
        <v>33483.652349564116</v>
      </c>
      <c r="AR48" s="183" t="e">
        <f t="shared" si="14"/>
        <v>#REF!</v>
      </c>
      <c r="AS48" s="183" t="e">
        <f t="shared" si="14"/>
        <v>#REF!</v>
      </c>
    </row>
    <row r="49" spans="1:45" ht="19.5" customHeight="1">
      <c r="A49" s="162">
        <v>25</v>
      </c>
      <c r="B49" s="138" t="s">
        <v>53</v>
      </c>
      <c r="C49" s="164"/>
      <c r="D49" s="164"/>
      <c r="E49" s="183">
        <f>E21+E25+E31+E37+E39+E40+E41+E48</f>
        <v>181582</v>
      </c>
      <c r="F49" s="183">
        <f t="shared" ref="F49:AG49" si="15">F21+F25+F31+F37+F39+F40+F41+F48</f>
        <v>0</v>
      </c>
      <c r="G49" s="183">
        <f t="shared" si="15"/>
        <v>15</v>
      </c>
      <c r="H49" s="183">
        <f t="shared" si="15"/>
        <v>0</v>
      </c>
      <c r="I49" s="183">
        <f>I21+I25+I31+I37+I39+I40+I41+I48</f>
        <v>0</v>
      </c>
      <c r="J49" s="183">
        <f t="shared" si="15"/>
        <v>-5235</v>
      </c>
      <c r="K49" s="183">
        <f t="shared" si="15"/>
        <v>239</v>
      </c>
      <c r="L49" s="183">
        <f t="shared" si="15"/>
        <v>166</v>
      </c>
      <c r="M49" s="183">
        <f t="shared" si="15"/>
        <v>-58</v>
      </c>
      <c r="N49" s="183">
        <f t="shared" si="15"/>
        <v>-9</v>
      </c>
      <c r="O49" s="183">
        <f t="shared" si="15"/>
        <v>0</v>
      </c>
      <c r="P49" s="183">
        <f t="shared" si="15"/>
        <v>-16</v>
      </c>
      <c r="Q49" s="183">
        <f t="shared" si="15"/>
        <v>1</v>
      </c>
      <c r="R49" s="183">
        <f t="shared" si="15"/>
        <v>-11</v>
      </c>
      <c r="S49" s="183">
        <f t="shared" si="15"/>
        <v>-1830</v>
      </c>
      <c r="T49" s="183">
        <f t="shared" ref="T49:AA49" si="16">T21+T25+T31+T37+T39+T40+T41+T48</f>
        <v>-52738</v>
      </c>
      <c r="U49" s="183">
        <f t="shared" si="16"/>
        <v>-400</v>
      </c>
      <c r="V49" s="183">
        <f t="shared" si="16"/>
        <v>219</v>
      </c>
      <c r="W49" s="183">
        <f t="shared" si="16"/>
        <v>0</v>
      </c>
      <c r="X49" s="183">
        <f t="shared" si="16"/>
        <v>-262</v>
      </c>
      <c r="Y49" s="183">
        <f t="shared" si="16"/>
        <v>-52960</v>
      </c>
      <c r="Z49" s="183">
        <f t="shared" si="16"/>
        <v>-230</v>
      </c>
      <c r="AA49" s="183">
        <f t="shared" si="16"/>
        <v>0</v>
      </c>
      <c r="AB49" s="183">
        <f t="shared" si="15"/>
        <v>977</v>
      </c>
      <c r="AC49" s="183">
        <f>AC21+AC25+AC31+AC37+AC39+AC40+AC41+AC48</f>
        <v>-97</v>
      </c>
      <c r="AD49" s="183">
        <f t="shared" si="15"/>
        <v>341</v>
      </c>
      <c r="AE49" s="183">
        <f>AE21+AE25+AE31+AE37+AE39+AE40+AE41+AE48</f>
        <v>294</v>
      </c>
      <c r="AF49" s="183">
        <f>AF21+AF25+AF31+AF37+AF39+AF40+AF41+AF48</f>
        <v>283.23700000000002</v>
      </c>
      <c r="AG49" s="183">
        <f t="shared" si="15"/>
        <v>463</v>
      </c>
      <c r="AH49" s="183">
        <f t="shared" ref="AH49:AS49" si="17">AH21+AH25+AH31+AH37+AH39+AH40+AH41+AH48</f>
        <v>872</v>
      </c>
      <c r="AI49" s="183">
        <f t="shared" si="17"/>
        <v>0</v>
      </c>
      <c r="AJ49" s="183">
        <f t="shared" si="17"/>
        <v>0</v>
      </c>
      <c r="AK49" s="183">
        <f t="shared" si="17"/>
        <v>0</v>
      </c>
      <c r="AL49" s="183">
        <f t="shared" si="17"/>
        <v>0</v>
      </c>
      <c r="AM49" s="183">
        <f t="shared" si="17"/>
        <v>0</v>
      </c>
      <c r="AN49" s="183">
        <f t="shared" si="17"/>
        <v>5529.5590000000002</v>
      </c>
      <c r="AO49" s="183">
        <f t="shared" si="17"/>
        <v>1550</v>
      </c>
      <c r="AP49" s="183">
        <f t="shared" si="17"/>
        <v>0</v>
      </c>
      <c r="AQ49" s="183">
        <f t="shared" si="17"/>
        <v>80212.532999999996</v>
      </c>
      <c r="AR49" s="183" t="e">
        <f t="shared" si="17"/>
        <v>#REF!</v>
      </c>
      <c r="AS49" s="183" t="e">
        <f t="shared" si="17"/>
        <v>#REF!</v>
      </c>
    </row>
    <row r="50" spans="1:45">
      <c r="C50" s="164"/>
      <c r="D50" s="164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</row>
    <row r="51" spans="1:45" ht="12.95" customHeight="1">
      <c r="A51" s="162">
        <v>26</v>
      </c>
      <c r="B51" s="138" t="s">
        <v>54</v>
      </c>
      <c r="C51" s="164"/>
      <c r="D51" s="164"/>
      <c r="E51" s="182">
        <f>E18-E49</f>
        <v>26243</v>
      </c>
      <c r="F51" s="182">
        <f t="shared" ref="F51:AG51" si="18">F18-F49</f>
        <v>0</v>
      </c>
      <c r="G51" s="182">
        <f t="shared" si="18"/>
        <v>-15</v>
      </c>
      <c r="H51" s="182">
        <f t="shared" si="18"/>
        <v>0</v>
      </c>
      <c r="I51" s="182">
        <f>I18-I49</f>
        <v>0</v>
      </c>
      <c r="J51" s="182">
        <f t="shared" si="18"/>
        <v>-12</v>
      </c>
      <c r="K51" s="182">
        <f t="shared" si="18"/>
        <v>-239</v>
      </c>
      <c r="L51" s="182">
        <f t="shared" si="18"/>
        <v>-166</v>
      </c>
      <c r="M51" s="182">
        <f t="shared" si="18"/>
        <v>58</v>
      </c>
      <c r="N51" s="182">
        <f t="shared" si="18"/>
        <v>9</v>
      </c>
      <c r="O51" s="182">
        <f t="shared" si="18"/>
        <v>0</v>
      </c>
      <c r="P51" s="182">
        <f t="shared" si="18"/>
        <v>16</v>
      </c>
      <c r="Q51" s="182">
        <f t="shared" si="18"/>
        <v>-1</v>
      </c>
      <c r="R51" s="182">
        <f t="shared" si="18"/>
        <v>11</v>
      </c>
      <c r="S51" s="182">
        <f t="shared" si="18"/>
        <v>-6</v>
      </c>
      <c r="T51" s="182">
        <f t="shared" ref="T51:AA51" si="19">T18-T49</f>
        <v>824</v>
      </c>
      <c r="U51" s="182">
        <f t="shared" si="19"/>
        <v>-44</v>
      </c>
      <c r="V51" s="182">
        <f t="shared" si="19"/>
        <v>-219</v>
      </c>
      <c r="W51" s="182">
        <f t="shared" si="19"/>
        <v>0</v>
      </c>
      <c r="X51" s="182">
        <f t="shared" si="19"/>
        <v>262</v>
      </c>
      <c r="Y51" s="182">
        <f t="shared" si="19"/>
        <v>10363</v>
      </c>
      <c r="Z51" s="182">
        <f t="shared" si="19"/>
        <v>230</v>
      </c>
      <c r="AA51" s="182">
        <f t="shared" si="19"/>
        <v>0</v>
      </c>
      <c r="AB51" s="182">
        <f t="shared" si="18"/>
        <v>-977</v>
      </c>
      <c r="AC51" s="182">
        <f>AC18-AC49</f>
        <v>97</v>
      </c>
      <c r="AD51" s="182">
        <f t="shared" si="18"/>
        <v>-341</v>
      </c>
      <c r="AE51" s="182">
        <f>AE18-AE49</f>
        <v>-294</v>
      </c>
      <c r="AF51" s="182">
        <f>AF18-AF49</f>
        <v>-283.23700000000002</v>
      </c>
      <c r="AG51" s="182">
        <f t="shared" si="18"/>
        <v>-463</v>
      </c>
      <c r="AH51" s="182">
        <f t="shared" ref="AH51:AS51" si="20">AH18-AH49</f>
        <v>-872</v>
      </c>
      <c r="AI51" s="182">
        <f t="shared" si="20"/>
        <v>0</v>
      </c>
      <c r="AJ51" s="182">
        <f t="shared" si="20"/>
        <v>0</v>
      </c>
      <c r="AK51" s="182">
        <f t="shared" si="20"/>
        <v>0</v>
      </c>
      <c r="AL51" s="182">
        <f t="shared" si="20"/>
        <v>0</v>
      </c>
      <c r="AM51" s="182">
        <f t="shared" si="20"/>
        <v>0</v>
      </c>
      <c r="AN51" s="182">
        <f t="shared" si="20"/>
        <v>-5529.5590000000002</v>
      </c>
      <c r="AO51" s="182">
        <f t="shared" si="20"/>
        <v>-1550</v>
      </c>
      <c r="AP51" s="182">
        <f t="shared" si="20"/>
        <v>0</v>
      </c>
      <c r="AQ51" s="182">
        <f t="shared" si="20"/>
        <v>25574.467000000004</v>
      </c>
      <c r="AR51" s="182" t="e">
        <f t="shared" si="20"/>
        <v>#REF!</v>
      </c>
      <c r="AS51" s="182" t="e">
        <f t="shared" si="20"/>
        <v>#REF!</v>
      </c>
    </row>
    <row r="52" spans="1:45" ht="12.95" customHeight="1">
      <c r="C52" s="164"/>
      <c r="D52" s="164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</row>
    <row r="53" spans="1:45" ht="12.95" customHeight="1">
      <c r="B53" s="138" t="s">
        <v>55</v>
      </c>
      <c r="C53" s="164"/>
      <c r="D53" s="164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</row>
    <row r="54" spans="1:45">
      <c r="A54" s="162">
        <v>27</v>
      </c>
      <c r="B54" s="164" t="s">
        <v>56</v>
      </c>
      <c r="D54" s="164"/>
      <c r="E54" s="182">
        <f>'ADJ DETAIL INPUT'!E53</f>
        <v>-4720</v>
      </c>
      <c r="F54" s="182">
        <f>'ADJ DETAIL INPUT'!F53</f>
        <v>0</v>
      </c>
      <c r="G54" s="182">
        <f>'ADJ DETAIL INPUT'!G53</f>
        <v>-3.15</v>
      </c>
      <c r="H54" s="182">
        <f>'ADJ DETAIL INPUT'!H53</f>
        <v>0</v>
      </c>
      <c r="I54" s="182">
        <f>'ADJ DETAIL INPUT'!I53</f>
        <v>0</v>
      </c>
      <c r="J54" s="182">
        <f>'ADJ DETAIL INPUT'!J53</f>
        <v>-2.52</v>
      </c>
      <c r="K54" s="182">
        <f>'ADJ DETAIL INPUT'!K53</f>
        <v>-50.19</v>
      </c>
      <c r="L54" s="182">
        <f>'ADJ DETAIL INPUT'!L53</f>
        <v>-34.86</v>
      </c>
      <c r="M54" s="182">
        <f>'ADJ DETAIL INPUT'!M53</f>
        <v>12.18</v>
      </c>
      <c r="N54" s="182">
        <f>'ADJ DETAIL INPUT'!N53</f>
        <v>1.89</v>
      </c>
      <c r="O54" s="182">
        <f>'ADJ DETAIL INPUT'!O53</f>
        <v>0</v>
      </c>
      <c r="P54" s="182">
        <f>'ADJ DETAIL INPUT'!P53</f>
        <v>3.36</v>
      </c>
      <c r="Q54" s="182">
        <f>'ADJ DETAIL INPUT'!Q53</f>
        <v>-0.21</v>
      </c>
      <c r="R54" s="182">
        <f>'ADJ DETAIL INPUT'!R53</f>
        <v>2.31</v>
      </c>
      <c r="S54" s="182">
        <f>'ADJ DETAIL INPUT'!S53</f>
        <v>-1.26</v>
      </c>
      <c r="T54" s="182">
        <f>'ADJ DETAIL INPUT'!T53</f>
        <v>173.04</v>
      </c>
      <c r="U54" s="182">
        <f>'ADJ DETAIL INPUT'!U53</f>
        <v>-9.24</v>
      </c>
      <c r="V54" s="182">
        <f>'ADJ DETAIL INPUT'!V53</f>
        <v>-45.989999999999995</v>
      </c>
      <c r="W54" s="182">
        <f>'ADJ DETAIL INPUT'!W53</f>
        <v>247</v>
      </c>
      <c r="X54" s="182">
        <f>'ADJ DETAIL INPUT'!X53</f>
        <v>55.019999999999996</v>
      </c>
      <c r="Y54" s="182">
        <f>'ADJ DETAIL INPUT'!AA53</f>
        <v>2176.23</v>
      </c>
      <c r="Z54" s="182">
        <f>'ADJ DETAIL INPUT'!AB53</f>
        <v>48.3</v>
      </c>
      <c r="AA54" s="182">
        <f>'ADJ DETAIL INPUT'!AC53</f>
        <v>0</v>
      </c>
      <c r="AB54" s="182">
        <f>'ADJ DETAIL INPUT'!AD53</f>
        <v>-205.17</v>
      </c>
      <c r="AC54" s="182">
        <f>'ADJ DETAIL INPUT'!AE53</f>
        <v>20.37</v>
      </c>
      <c r="AD54" s="182">
        <f>'ADJ DETAIL INPUT'!AF53</f>
        <v>-71.61</v>
      </c>
      <c r="AE54" s="182">
        <f>'ADJ DETAIL INPUT'!AG53</f>
        <v>-61.739999999999995</v>
      </c>
      <c r="AF54" s="182">
        <f>'ADJ DETAIL INPUT'!AH53</f>
        <v>-59.479770000000002</v>
      </c>
      <c r="AG54" s="182">
        <f>'ADJ DETAIL INPUT'!AI53</f>
        <v>-97.22999999999999</v>
      </c>
      <c r="AH54" s="182">
        <f>'ADJ DETAIL INPUT'!AJ53</f>
        <v>-183.12</v>
      </c>
      <c r="AI54" s="182">
        <f>'ADJ DETAIL INPUT'!AK53</f>
        <v>0</v>
      </c>
      <c r="AJ54" s="182">
        <f>'ADJ DETAIL INPUT'!AL53</f>
        <v>0</v>
      </c>
      <c r="AK54" s="182">
        <f>'ADJ DETAIL INPUT'!AM53</f>
        <v>0</v>
      </c>
      <c r="AL54" s="182">
        <f>'ADJ DETAIL INPUT'!AN53</f>
        <v>0</v>
      </c>
      <c r="AM54" s="182">
        <f>'ADJ DETAIL INPUT'!AO53</f>
        <v>0</v>
      </c>
      <c r="AN54" s="182">
        <f>'ADJ DETAIL INPUT'!AP53</f>
        <v>-1161.20739</v>
      </c>
      <c r="AO54" s="182">
        <f>'ADJ DETAIL INPUT'!AQ53</f>
        <v>-325.5</v>
      </c>
      <c r="AP54" s="182">
        <f>'ADJ DETAIL INPUT'!AR53</f>
        <v>0</v>
      </c>
      <c r="AQ54" s="182">
        <f>'ADJ DETAIL INPUT'!AY53</f>
        <v>-4613.391929999998</v>
      </c>
      <c r="AR54" s="182" t="e">
        <f>'ADJ DETAIL INPUT'!#REF!</f>
        <v>#REF!</v>
      </c>
      <c r="AS54" s="182" t="e">
        <f>'ADJ DETAIL INPUT'!#REF!</f>
        <v>#REF!</v>
      </c>
    </row>
    <row r="55" spans="1:45">
      <c r="A55" s="162">
        <v>28</v>
      </c>
      <c r="B55" s="164" t="s">
        <v>180</v>
      </c>
      <c r="D55" s="164"/>
      <c r="E55" s="182">
        <f>'ADJ DETAIL INPUT'!E54</f>
        <v>0</v>
      </c>
      <c r="F55" s="182">
        <f>'ADJ DETAIL INPUT'!F54</f>
        <v>5.1141300000000003</v>
      </c>
      <c r="G55" s="182">
        <f>'ADJ DETAIL INPUT'!G54</f>
        <v>5.1450000000000003E-3</v>
      </c>
      <c r="H55" s="182">
        <f>'ADJ DETAIL INPUT'!H54</f>
        <v>5.8858800000000002</v>
      </c>
      <c r="I55" s="182">
        <f>'ADJ DETAIL INPUT'!I54</f>
        <v>94.683435000000003</v>
      </c>
      <c r="J55" s="182">
        <f>'ADJ DETAIL INPUT'!J54</f>
        <v>0</v>
      </c>
      <c r="K55" s="182">
        <f>'ADJ DETAIL INPUT'!K54</f>
        <v>0</v>
      </c>
      <c r="L55" s="182">
        <f>'ADJ DETAIL INPUT'!L54</f>
        <v>0</v>
      </c>
      <c r="M55" s="182">
        <f>'ADJ DETAIL INPUT'!M54</f>
        <v>0</v>
      </c>
      <c r="N55" s="182">
        <f>'ADJ DETAIL INPUT'!N54</f>
        <v>0</v>
      </c>
      <c r="O55" s="182">
        <f>'ADJ DETAIL INPUT'!O54</f>
        <v>0</v>
      </c>
      <c r="P55" s="182">
        <f>'ADJ DETAIL INPUT'!P54</f>
        <v>0</v>
      </c>
      <c r="Q55" s="182">
        <f>'ADJ DETAIL INPUT'!Q54</f>
        <v>0</v>
      </c>
      <c r="R55" s="182">
        <f>'ADJ DETAIL INPUT'!R54</f>
        <v>0</v>
      </c>
      <c r="S55" s="182">
        <f>'ADJ DETAIL INPUT'!S54</f>
        <v>0</v>
      </c>
      <c r="T55" s="182">
        <f>'ADJ DETAIL INPUT'!T54</f>
        <v>0</v>
      </c>
      <c r="U55" s="182">
        <f>'ADJ DETAIL INPUT'!U54</f>
        <v>0</v>
      </c>
      <c r="V55" s="182">
        <f>'ADJ DETAIL INPUT'!V54</f>
        <v>0</v>
      </c>
      <c r="W55" s="182">
        <f>'ADJ DETAIL INPUT'!W54</f>
        <v>0</v>
      </c>
      <c r="X55" s="182">
        <f>'ADJ DETAIL INPUT'!X54</f>
        <v>-65.498542223192274</v>
      </c>
      <c r="Y55" s="182">
        <f>'ADJ DETAIL INPUT'!AA54</f>
        <v>0</v>
      </c>
      <c r="Z55" s="182">
        <f>'ADJ DETAIL INPUT'!AB54</f>
        <v>0</v>
      </c>
      <c r="AA55" s="182">
        <f>'ADJ DETAIL INPUT'!AC54</f>
        <v>0</v>
      </c>
      <c r="AB55" s="182">
        <f>'ADJ DETAIL INPUT'!AD54</f>
        <v>0</v>
      </c>
      <c r="AC55" s="182">
        <f>'ADJ DETAIL INPUT'!AE54</f>
        <v>0</v>
      </c>
      <c r="AD55" s="182">
        <f>'ADJ DETAIL INPUT'!AF54</f>
        <v>0</v>
      </c>
      <c r="AE55" s="182">
        <f>'ADJ DETAIL INPUT'!AG54</f>
        <v>0</v>
      </c>
      <c r="AF55" s="182">
        <f>'ADJ DETAIL INPUT'!AH54</f>
        <v>0</v>
      </c>
      <c r="AG55" s="182">
        <f>'ADJ DETAIL INPUT'!AI54</f>
        <v>0</v>
      </c>
      <c r="AH55" s="182">
        <f>'ADJ DETAIL INPUT'!AJ54</f>
        <v>0</v>
      </c>
      <c r="AI55" s="182">
        <f>'ADJ DETAIL INPUT'!AK54</f>
        <v>0</v>
      </c>
      <c r="AJ55" s="182">
        <f>'ADJ DETAIL INPUT'!AL54</f>
        <v>0</v>
      </c>
      <c r="AK55" s="182">
        <f>'ADJ DETAIL INPUT'!AM54</f>
        <v>0</v>
      </c>
      <c r="AL55" s="182">
        <f>'ADJ DETAIL INPUT'!AN54</f>
        <v>0</v>
      </c>
      <c r="AM55" s="182">
        <f>'ADJ DETAIL INPUT'!AO54</f>
        <v>0</v>
      </c>
      <c r="AN55" s="182">
        <f>'ADJ DETAIL INPUT'!AP54</f>
        <v>22.640674806181249</v>
      </c>
      <c r="AO55" s="182">
        <f>'ADJ DETAIL INPUT'!AQ54</f>
        <v>20.369054999999999</v>
      </c>
      <c r="AP55" s="182">
        <f>'ADJ DETAIL INPUT'!AR54</f>
        <v>78.348060000000004</v>
      </c>
      <c r="AQ55" s="182">
        <f>'ADJ DETAIL INPUT'!AY54</f>
        <v>132.15337577310288</v>
      </c>
      <c r="AR55" s="182" t="e">
        <f>'ADJ DETAIL INPUT'!#REF!</f>
        <v>#REF!</v>
      </c>
      <c r="AS55" s="182" t="e">
        <f>'ADJ DETAIL INPUT'!#REF!</f>
        <v>#REF!</v>
      </c>
    </row>
    <row r="56" spans="1:45">
      <c r="A56" s="162">
        <v>29</v>
      </c>
      <c r="B56" s="164" t="s">
        <v>57</v>
      </c>
      <c r="D56" s="164"/>
      <c r="E56" s="182">
        <f>'ADJ DETAIL INPUT'!E55</f>
        <v>6501</v>
      </c>
      <c r="F56" s="182">
        <f>'ADJ DETAIL INPUT'!F55</f>
        <v>0</v>
      </c>
      <c r="G56" s="182">
        <f>'ADJ DETAIL INPUT'!G55</f>
        <v>0</v>
      </c>
      <c r="H56" s="182">
        <f>'ADJ DETAIL INPUT'!H55</f>
        <v>0</v>
      </c>
      <c r="I56" s="182">
        <f>'ADJ DETAIL INPUT'!I55</f>
        <v>0</v>
      </c>
      <c r="J56" s="182">
        <f>'ADJ DETAIL INPUT'!J55</f>
        <v>0</v>
      </c>
      <c r="K56" s="182">
        <f>'ADJ DETAIL INPUT'!K55</f>
        <v>0</v>
      </c>
      <c r="L56" s="182">
        <f>'ADJ DETAIL INPUT'!L55</f>
        <v>0</v>
      </c>
      <c r="M56" s="182">
        <f>'ADJ DETAIL INPUT'!M55</f>
        <v>0</v>
      </c>
      <c r="N56" s="182">
        <f>'ADJ DETAIL INPUT'!N55</f>
        <v>0</v>
      </c>
      <c r="O56" s="182">
        <f>'ADJ DETAIL INPUT'!O55</f>
        <v>53</v>
      </c>
      <c r="P56" s="182">
        <f>'ADJ DETAIL INPUT'!P55</f>
        <v>0</v>
      </c>
      <c r="Q56" s="182">
        <f>'ADJ DETAIL INPUT'!Q55</f>
        <v>0</v>
      </c>
      <c r="R56" s="182">
        <f>'ADJ DETAIL INPUT'!R55</f>
        <v>0</v>
      </c>
      <c r="S56" s="182">
        <f>'ADJ DETAIL INPUT'!S55</f>
        <v>0</v>
      </c>
      <c r="T56" s="182">
        <f>'ADJ DETAIL INPUT'!T55</f>
        <v>651</v>
      </c>
      <c r="U56" s="182">
        <f>'ADJ DETAIL INPUT'!U55</f>
        <v>0</v>
      </c>
      <c r="V56" s="182">
        <f>'ADJ DETAIL INPUT'!V55</f>
        <v>0</v>
      </c>
      <c r="W56" s="182">
        <f>'ADJ DETAIL INPUT'!W55</f>
        <v>0</v>
      </c>
      <c r="X56" s="182">
        <f>'ADJ DETAIL INPUT'!X55</f>
        <v>0</v>
      </c>
      <c r="Y56" s="182">
        <f>'ADJ DETAIL INPUT'!AA55</f>
        <v>0</v>
      </c>
      <c r="Z56" s="182">
        <f>'ADJ DETAIL INPUT'!AB55</f>
        <v>0</v>
      </c>
      <c r="AA56" s="182">
        <f>'ADJ DETAIL INPUT'!AC55</f>
        <v>41</v>
      </c>
      <c r="AB56" s="182">
        <f>'ADJ DETAIL INPUT'!AD55</f>
        <v>0</v>
      </c>
      <c r="AC56" s="182">
        <f>'ADJ DETAIL INPUT'!AE55</f>
        <v>0</v>
      </c>
      <c r="AD56" s="182">
        <f>'ADJ DETAIL INPUT'!AF55</f>
        <v>0</v>
      </c>
      <c r="AE56" s="182">
        <f>'ADJ DETAIL INPUT'!AG55</f>
        <v>0</v>
      </c>
      <c r="AF56" s="182">
        <f>'ADJ DETAIL INPUT'!AH55</f>
        <v>0</v>
      </c>
      <c r="AG56" s="182">
        <f>'ADJ DETAIL INPUT'!AI55</f>
        <v>0</v>
      </c>
      <c r="AH56" s="182">
        <f>'ADJ DETAIL INPUT'!AJ55</f>
        <v>0</v>
      </c>
      <c r="AI56" s="182">
        <f>'ADJ DETAIL INPUT'!AK55</f>
        <v>0</v>
      </c>
      <c r="AJ56" s="182">
        <f>'ADJ DETAIL INPUT'!AL55</f>
        <v>0</v>
      </c>
      <c r="AK56" s="182">
        <f>'ADJ DETAIL INPUT'!AM55</f>
        <v>0</v>
      </c>
      <c r="AL56" s="182">
        <f>'ADJ DETAIL INPUT'!AN55</f>
        <v>0</v>
      </c>
      <c r="AM56" s="182">
        <f>'ADJ DETAIL INPUT'!AO55</f>
        <v>0</v>
      </c>
      <c r="AN56" s="182">
        <f>'ADJ DETAIL INPUT'!AP55</f>
        <v>0</v>
      </c>
      <c r="AO56" s="182">
        <f>'ADJ DETAIL INPUT'!AQ55</f>
        <v>0</v>
      </c>
      <c r="AP56" s="182">
        <f>'ADJ DETAIL INPUT'!AR55</f>
        <v>0</v>
      </c>
      <c r="AQ56" s="182">
        <f>'ADJ DETAIL INPUT'!AY55</f>
        <v>7246</v>
      </c>
      <c r="AR56" s="182" t="e">
        <f>'ADJ DETAIL INPUT'!#REF!</f>
        <v>#REF!</v>
      </c>
      <c r="AS56" s="182" t="e">
        <f>'ADJ DETAIL INPUT'!#REF!</f>
        <v>#REF!</v>
      </c>
    </row>
    <row r="57" spans="1:45">
      <c r="A57" s="162">
        <v>30</v>
      </c>
      <c r="B57" s="164" t="s">
        <v>58</v>
      </c>
      <c r="D57" s="164"/>
      <c r="E57" s="183">
        <f>'ADJ DETAIL INPUT'!E56</f>
        <v>-12</v>
      </c>
      <c r="F57" s="183">
        <f>'ADJ DETAIL INPUT'!F56</f>
        <v>0</v>
      </c>
      <c r="G57" s="183">
        <f>'ADJ DETAIL INPUT'!G56</f>
        <v>0</v>
      </c>
      <c r="H57" s="183">
        <f>'ADJ DETAIL INPUT'!H56</f>
        <v>0</v>
      </c>
      <c r="I57" s="183">
        <f>'ADJ DETAIL INPUT'!I56</f>
        <v>0</v>
      </c>
      <c r="J57" s="183">
        <f>'ADJ DETAIL INPUT'!J56</f>
        <v>0</v>
      </c>
      <c r="K57" s="183">
        <f>'ADJ DETAIL INPUT'!K56</f>
        <v>0</v>
      </c>
      <c r="L57" s="183">
        <f>'ADJ DETAIL INPUT'!L56</f>
        <v>0</v>
      </c>
      <c r="M57" s="183">
        <f>'ADJ DETAIL INPUT'!M56</f>
        <v>0</v>
      </c>
      <c r="N57" s="183">
        <f>'ADJ DETAIL INPUT'!N56</f>
        <v>0</v>
      </c>
      <c r="O57" s="183">
        <f>'ADJ DETAIL INPUT'!O56</f>
        <v>0</v>
      </c>
      <c r="P57" s="183">
        <f>'ADJ DETAIL INPUT'!P56</f>
        <v>0</v>
      </c>
      <c r="Q57" s="183">
        <f>'ADJ DETAIL INPUT'!Q56</f>
        <v>0</v>
      </c>
      <c r="R57" s="183">
        <f>'ADJ DETAIL INPUT'!R56</f>
        <v>0</v>
      </c>
      <c r="S57" s="183">
        <f>'ADJ DETAIL INPUT'!S56</f>
        <v>0</v>
      </c>
      <c r="T57" s="183">
        <f>'ADJ DETAIL INPUT'!T56</f>
        <v>0</v>
      </c>
      <c r="U57" s="183">
        <f>'ADJ DETAIL INPUT'!U56</f>
        <v>0</v>
      </c>
      <c r="V57" s="183">
        <f>'ADJ DETAIL INPUT'!V56</f>
        <v>0</v>
      </c>
      <c r="W57" s="183">
        <f>'ADJ DETAIL INPUT'!W56</f>
        <v>0</v>
      </c>
      <c r="X57" s="183">
        <f>'ADJ DETAIL INPUT'!X56</f>
        <v>0</v>
      </c>
      <c r="Y57" s="183">
        <f>'ADJ DETAIL INPUT'!AA56</f>
        <v>0</v>
      </c>
      <c r="Z57" s="183">
        <f>'ADJ DETAIL INPUT'!AB56</f>
        <v>0</v>
      </c>
      <c r="AA57" s="183">
        <f>'ADJ DETAIL INPUT'!AC56</f>
        <v>0</v>
      </c>
      <c r="AB57" s="183">
        <f>'ADJ DETAIL INPUT'!AD56</f>
        <v>0</v>
      </c>
      <c r="AC57" s="183">
        <f>'ADJ DETAIL INPUT'!AE56</f>
        <v>0</v>
      </c>
      <c r="AD57" s="183">
        <f>'ADJ DETAIL INPUT'!AF56</f>
        <v>0</v>
      </c>
      <c r="AE57" s="183">
        <f>'ADJ DETAIL INPUT'!AG56</f>
        <v>0</v>
      </c>
      <c r="AF57" s="183">
        <f>'ADJ DETAIL INPUT'!AH56</f>
        <v>0</v>
      </c>
      <c r="AG57" s="183">
        <f>'ADJ DETAIL INPUT'!AI56</f>
        <v>0</v>
      </c>
      <c r="AH57" s="183">
        <f>'ADJ DETAIL INPUT'!AJ56</f>
        <v>0</v>
      </c>
      <c r="AI57" s="183">
        <f>'ADJ DETAIL INPUT'!AK56</f>
        <v>0</v>
      </c>
      <c r="AJ57" s="183">
        <f>'ADJ DETAIL INPUT'!AL56</f>
        <v>0</v>
      </c>
      <c r="AK57" s="183">
        <f>'ADJ DETAIL INPUT'!AM56</f>
        <v>0</v>
      </c>
      <c r="AL57" s="183">
        <f>'ADJ DETAIL INPUT'!AN56</f>
        <v>0</v>
      </c>
      <c r="AM57" s="183">
        <f>'ADJ DETAIL INPUT'!AO56</f>
        <v>0</v>
      </c>
      <c r="AN57" s="183">
        <f>'ADJ DETAIL INPUT'!AP56</f>
        <v>0</v>
      </c>
      <c r="AO57" s="183">
        <f>'ADJ DETAIL INPUT'!AQ56</f>
        <v>0</v>
      </c>
      <c r="AP57" s="183">
        <f>'ADJ DETAIL INPUT'!AR56</f>
        <v>0</v>
      </c>
      <c r="AQ57" s="183">
        <f>'ADJ DETAIL INPUT'!AY56</f>
        <v>-12</v>
      </c>
      <c r="AR57" s="183" t="e">
        <f>'ADJ DETAIL INPUT'!#REF!</f>
        <v>#REF!</v>
      </c>
      <c r="AS57" s="183" t="e">
        <f>'ADJ DETAIL INPUT'!#REF!</f>
        <v>#REF!</v>
      </c>
    </row>
    <row r="58" spans="1:45"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</row>
    <row r="59" spans="1:45" s="163" customFormat="1" ht="12.75" thickBot="1">
      <c r="A59" s="162">
        <v>31</v>
      </c>
      <c r="B59" s="163" t="s">
        <v>59</v>
      </c>
      <c r="E59" s="301">
        <f>E51-SUM(E54:E57)</f>
        <v>24474</v>
      </c>
      <c r="F59" s="301">
        <f t="shared" ref="F59:AG59" si="21">F51-SUM(F54:F57)</f>
        <v>-5.1141300000000003</v>
      </c>
      <c r="G59" s="301">
        <f t="shared" si="21"/>
        <v>-11.855145</v>
      </c>
      <c r="H59" s="301">
        <f t="shared" si="21"/>
        <v>-5.8858800000000002</v>
      </c>
      <c r="I59" s="301">
        <f>I51-SUM(I54:I57)</f>
        <v>-94.683435000000003</v>
      </c>
      <c r="J59" s="301">
        <f t="shared" si="21"/>
        <v>-9.48</v>
      </c>
      <c r="K59" s="301">
        <f t="shared" si="21"/>
        <v>-188.81</v>
      </c>
      <c r="L59" s="301">
        <f t="shared" si="21"/>
        <v>-131.13999999999999</v>
      </c>
      <c r="M59" s="301">
        <f t="shared" si="21"/>
        <v>45.82</v>
      </c>
      <c r="N59" s="301">
        <f t="shared" si="21"/>
        <v>7.11</v>
      </c>
      <c r="O59" s="301">
        <f t="shared" si="21"/>
        <v>-53</v>
      </c>
      <c r="P59" s="301">
        <f t="shared" si="21"/>
        <v>12.64</v>
      </c>
      <c r="Q59" s="301">
        <f t="shared" si="21"/>
        <v>-0.79</v>
      </c>
      <c r="R59" s="301">
        <f t="shared" si="21"/>
        <v>8.69</v>
      </c>
      <c r="S59" s="301">
        <f t="shared" si="21"/>
        <v>-4.74</v>
      </c>
      <c r="T59" s="301">
        <f t="shared" ref="T59:AA59" si="22">T51-SUM(T54:T57)</f>
        <v>-3.999999999996362E-2</v>
      </c>
      <c r="U59" s="301">
        <f t="shared" si="22"/>
        <v>-34.76</v>
      </c>
      <c r="V59" s="301">
        <f t="shared" si="22"/>
        <v>-173.01</v>
      </c>
      <c r="W59" s="301">
        <f t="shared" si="22"/>
        <v>-247</v>
      </c>
      <c r="X59" s="301">
        <f t="shared" si="22"/>
        <v>272.47854222319228</v>
      </c>
      <c r="Y59" s="301">
        <f t="shared" si="22"/>
        <v>8186.77</v>
      </c>
      <c r="Z59" s="301">
        <f t="shared" si="22"/>
        <v>181.7</v>
      </c>
      <c r="AA59" s="301">
        <f t="shared" si="22"/>
        <v>-41</v>
      </c>
      <c r="AB59" s="301">
        <f t="shared" si="21"/>
        <v>-771.83</v>
      </c>
      <c r="AC59" s="301">
        <f>AC51-SUM(AC54:AC57)</f>
        <v>76.63</v>
      </c>
      <c r="AD59" s="301">
        <f t="shared" si="21"/>
        <v>-269.39</v>
      </c>
      <c r="AE59" s="301">
        <f>AE51-SUM(AE54:AE57)</f>
        <v>-232.26</v>
      </c>
      <c r="AF59" s="301">
        <f>AF51-SUM(AF54:AF57)</f>
        <v>-223.75723000000002</v>
      </c>
      <c r="AG59" s="301">
        <f t="shared" si="21"/>
        <v>-365.77</v>
      </c>
      <c r="AH59" s="301">
        <f t="shared" ref="AH59:AS59" si="23">AH51-SUM(AH54:AH57)</f>
        <v>-688.88</v>
      </c>
      <c r="AI59" s="301">
        <f t="shared" si="23"/>
        <v>0</v>
      </c>
      <c r="AJ59" s="301">
        <f t="shared" si="23"/>
        <v>0</v>
      </c>
      <c r="AK59" s="301">
        <f t="shared" si="23"/>
        <v>0</v>
      </c>
      <c r="AL59" s="301">
        <f t="shared" si="23"/>
        <v>0</v>
      </c>
      <c r="AM59" s="301">
        <f t="shared" si="23"/>
        <v>0</v>
      </c>
      <c r="AN59" s="301">
        <f t="shared" si="23"/>
        <v>-4390.9922848061815</v>
      </c>
      <c r="AO59" s="301">
        <f t="shared" si="23"/>
        <v>-1244.8690550000001</v>
      </c>
      <c r="AP59" s="301">
        <f t="shared" si="23"/>
        <v>-78.348060000000004</v>
      </c>
      <c r="AQ59" s="301">
        <f t="shared" si="23"/>
        <v>22821.705554226901</v>
      </c>
      <c r="AR59" s="301" t="e">
        <f t="shared" si="23"/>
        <v>#REF!</v>
      </c>
      <c r="AS59" s="301" t="e">
        <f t="shared" si="23"/>
        <v>#REF!</v>
      </c>
    </row>
    <row r="60" spans="1:45" ht="12.75" thickTop="1"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</row>
    <row r="61" spans="1:45">
      <c r="B61" s="138" t="s">
        <v>104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</row>
    <row r="62" spans="1:45">
      <c r="B62" s="138" t="s">
        <v>105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</row>
    <row r="63" spans="1:45">
      <c r="A63" s="162">
        <v>32</v>
      </c>
      <c r="B63" s="164"/>
      <c r="C63" s="164" t="s">
        <v>42</v>
      </c>
      <c r="D63" s="164"/>
      <c r="E63" s="261">
        <f>'ADJ DETAIL INPUT'!E62</f>
        <v>29714</v>
      </c>
      <c r="F63" s="261">
        <f>'ADJ DETAIL INPUT'!F62</f>
        <v>0</v>
      </c>
      <c r="G63" s="261">
        <f>'ADJ DETAIL INPUT'!G62</f>
        <v>0</v>
      </c>
      <c r="H63" s="261">
        <f>'ADJ DETAIL INPUT'!H62</f>
        <v>0</v>
      </c>
      <c r="I63" s="261">
        <f>'ADJ DETAIL INPUT'!I62</f>
        <v>0</v>
      </c>
      <c r="J63" s="261">
        <f>'ADJ DETAIL INPUT'!J62</f>
        <v>0</v>
      </c>
      <c r="K63" s="261">
        <f>'ADJ DETAIL INPUT'!K62</f>
        <v>0</v>
      </c>
      <c r="L63" s="261">
        <f>'ADJ DETAIL INPUT'!L62</f>
        <v>0</v>
      </c>
      <c r="M63" s="261">
        <f>'ADJ DETAIL INPUT'!M62</f>
        <v>0</v>
      </c>
      <c r="N63" s="261">
        <f>'ADJ DETAIL INPUT'!N62</f>
        <v>0</v>
      </c>
      <c r="O63" s="261">
        <f>'ADJ DETAIL INPUT'!O62</f>
        <v>0</v>
      </c>
      <c r="P63" s="261">
        <f>'ADJ DETAIL INPUT'!P62</f>
        <v>0</v>
      </c>
      <c r="Q63" s="261">
        <f>'ADJ DETAIL INPUT'!Q62</f>
        <v>0</v>
      </c>
      <c r="R63" s="261">
        <f>'ADJ DETAIL INPUT'!R62</f>
        <v>0</v>
      </c>
      <c r="S63" s="261">
        <f>'ADJ DETAIL INPUT'!S62</f>
        <v>0</v>
      </c>
      <c r="T63" s="261">
        <f>'ADJ DETAIL INPUT'!T62</f>
        <v>0</v>
      </c>
      <c r="U63" s="261">
        <f>'ADJ DETAIL INPUT'!U62</f>
        <v>0</v>
      </c>
      <c r="V63" s="261">
        <f>'ADJ DETAIL INPUT'!V62</f>
        <v>0</v>
      </c>
      <c r="W63" s="261">
        <f>'ADJ DETAIL INPUT'!W62</f>
        <v>0</v>
      </c>
      <c r="X63" s="261">
        <f>'ADJ DETAIL INPUT'!X62</f>
        <v>700.36999999999898</v>
      </c>
      <c r="Y63" s="261">
        <f>'ADJ DETAIL INPUT'!AA62</f>
        <v>0</v>
      </c>
      <c r="Z63" s="261">
        <f>'ADJ DETAIL INPUT'!AB62</f>
        <v>0</v>
      </c>
      <c r="AA63" s="261">
        <f>'ADJ DETAIL INPUT'!AC62</f>
        <v>0</v>
      </c>
      <c r="AB63" s="261">
        <f>'ADJ DETAIL INPUT'!AD62</f>
        <v>0</v>
      </c>
      <c r="AC63" s="261">
        <f>'ADJ DETAIL INPUT'!AE62</f>
        <v>0</v>
      </c>
      <c r="AD63" s="261">
        <f>'ADJ DETAIL INPUT'!AF62</f>
        <v>0</v>
      </c>
      <c r="AE63" s="261">
        <f>'ADJ DETAIL INPUT'!AG62</f>
        <v>0</v>
      </c>
      <c r="AF63" s="261">
        <f>'ADJ DETAIL INPUT'!AH62</f>
        <v>0</v>
      </c>
      <c r="AG63" s="261">
        <f>'ADJ DETAIL INPUT'!AI62</f>
        <v>0</v>
      </c>
      <c r="AH63" s="261">
        <f>'ADJ DETAIL INPUT'!AJ62</f>
        <v>0</v>
      </c>
      <c r="AI63" s="261">
        <f>'ADJ DETAIL INPUT'!AK62</f>
        <v>0</v>
      </c>
      <c r="AJ63" s="261">
        <f>'ADJ DETAIL INPUT'!AL62</f>
        <v>0</v>
      </c>
      <c r="AK63" s="261">
        <f>'ADJ DETAIL INPUT'!AM62</f>
        <v>0</v>
      </c>
      <c r="AL63" s="261">
        <f>'ADJ DETAIL INPUT'!AN62</f>
        <v>0</v>
      </c>
      <c r="AM63" s="261">
        <f>'ADJ DETAIL INPUT'!AO62</f>
        <v>0</v>
      </c>
      <c r="AN63" s="261">
        <f>'ADJ DETAIL INPUT'!AP62</f>
        <v>0</v>
      </c>
      <c r="AO63" s="261">
        <f>'ADJ DETAIL INPUT'!AQ62</f>
        <v>0</v>
      </c>
      <c r="AP63" s="261">
        <f>'ADJ DETAIL INPUT'!AR62</f>
        <v>0</v>
      </c>
      <c r="AQ63" s="261">
        <f>'ADJ DETAIL INPUT'!AY62</f>
        <v>31102.575999999997</v>
      </c>
      <c r="AR63" s="261" t="e">
        <f>'ADJ DETAIL INPUT'!#REF!</f>
        <v>#REF!</v>
      </c>
      <c r="AS63" s="261" t="e">
        <f>'ADJ DETAIL INPUT'!#REF!</f>
        <v>#REF!</v>
      </c>
    </row>
    <row r="64" spans="1:45">
      <c r="A64" s="162">
        <v>33</v>
      </c>
      <c r="B64" s="164"/>
      <c r="C64" s="164" t="s">
        <v>61</v>
      </c>
      <c r="D64" s="164"/>
      <c r="E64" s="182">
        <f>'ADJ DETAIL INPUT'!E63</f>
        <v>505864</v>
      </c>
      <c r="F64" s="182">
        <f>'ADJ DETAIL INPUT'!F63</f>
        <v>0</v>
      </c>
      <c r="G64" s="182">
        <f>'ADJ DETAIL INPUT'!G63</f>
        <v>0</v>
      </c>
      <c r="H64" s="182">
        <f>'ADJ DETAIL INPUT'!H63</f>
        <v>0</v>
      </c>
      <c r="I64" s="182">
        <f>'ADJ DETAIL INPUT'!I63</f>
        <v>-10036</v>
      </c>
      <c r="J64" s="182">
        <f>'ADJ DETAIL INPUT'!J63</f>
        <v>0</v>
      </c>
      <c r="K64" s="182">
        <f>'ADJ DETAIL INPUT'!K63</f>
        <v>0</v>
      </c>
      <c r="L64" s="182">
        <f>'ADJ DETAIL INPUT'!L63</f>
        <v>0</v>
      </c>
      <c r="M64" s="182">
        <f>'ADJ DETAIL INPUT'!M63</f>
        <v>0</v>
      </c>
      <c r="N64" s="182">
        <f>'ADJ DETAIL INPUT'!N63</f>
        <v>0</v>
      </c>
      <c r="O64" s="182">
        <f>'ADJ DETAIL INPUT'!O63</f>
        <v>0</v>
      </c>
      <c r="P64" s="182">
        <f>'ADJ DETAIL INPUT'!P63</f>
        <v>0</v>
      </c>
      <c r="Q64" s="182">
        <f>'ADJ DETAIL INPUT'!Q63</f>
        <v>0</v>
      </c>
      <c r="R64" s="182">
        <f>'ADJ DETAIL INPUT'!R63</f>
        <v>0</v>
      </c>
      <c r="S64" s="182">
        <f>'ADJ DETAIL INPUT'!S63</f>
        <v>0</v>
      </c>
      <c r="T64" s="182">
        <f>'ADJ DETAIL INPUT'!T63</f>
        <v>0</v>
      </c>
      <c r="U64" s="182">
        <f>'ADJ DETAIL INPUT'!U63</f>
        <v>0</v>
      </c>
      <c r="V64" s="182">
        <f>'ADJ DETAIL INPUT'!V63</f>
        <v>0</v>
      </c>
      <c r="W64" s="182">
        <f>'ADJ DETAIL INPUT'!W63</f>
        <v>0</v>
      </c>
      <c r="X64" s="182">
        <f>'ADJ DETAIL INPUT'!X63</f>
        <v>4408.7749406308112</v>
      </c>
      <c r="Y64" s="182">
        <f>'ADJ DETAIL INPUT'!AA63</f>
        <v>0</v>
      </c>
      <c r="Z64" s="182">
        <f>'ADJ DETAIL INPUT'!AB63</f>
        <v>0</v>
      </c>
      <c r="AA64" s="182">
        <f>'ADJ DETAIL INPUT'!AC63</f>
        <v>0</v>
      </c>
      <c r="AB64" s="182">
        <f>'ADJ DETAIL INPUT'!AD63</f>
        <v>0</v>
      </c>
      <c r="AC64" s="182">
        <f>'ADJ DETAIL INPUT'!AE63</f>
        <v>0</v>
      </c>
      <c r="AD64" s="182">
        <f>'ADJ DETAIL INPUT'!AF63</f>
        <v>0</v>
      </c>
      <c r="AE64" s="182">
        <f>'ADJ DETAIL INPUT'!AG63</f>
        <v>0</v>
      </c>
      <c r="AF64" s="182">
        <f>'ADJ DETAIL INPUT'!AH63</f>
        <v>0</v>
      </c>
      <c r="AG64" s="182">
        <f>'ADJ DETAIL INPUT'!AI63</f>
        <v>0</v>
      </c>
      <c r="AH64" s="182">
        <f>'ADJ DETAIL INPUT'!AJ63</f>
        <v>0</v>
      </c>
      <c r="AI64" s="182">
        <f>'ADJ DETAIL INPUT'!AK63</f>
        <v>0</v>
      </c>
      <c r="AJ64" s="182">
        <f>'ADJ DETAIL INPUT'!AL63</f>
        <v>0</v>
      </c>
      <c r="AK64" s="182">
        <f>'ADJ DETAIL INPUT'!AM63</f>
        <v>0</v>
      </c>
      <c r="AL64" s="182">
        <f>'ADJ DETAIL INPUT'!AN63</f>
        <v>0</v>
      </c>
      <c r="AM64" s="182">
        <f>'ADJ DETAIL INPUT'!AO63</f>
        <v>0</v>
      </c>
      <c r="AN64" s="182">
        <f>'ADJ DETAIL INPUT'!AP63</f>
        <v>-5267.7265995833332</v>
      </c>
      <c r="AO64" s="182">
        <f>'ADJ DETAIL INPUT'!AQ63</f>
        <v>0</v>
      </c>
      <c r="AP64" s="182">
        <f>'ADJ DETAIL INPUT'!AR63</f>
        <v>0</v>
      </c>
      <c r="AQ64" s="182">
        <f>'ADJ DETAIL INPUT'!AY63</f>
        <v>508099.79677195218</v>
      </c>
      <c r="AR64" s="182" t="e">
        <f>'ADJ DETAIL INPUT'!#REF!</f>
        <v>#REF!</v>
      </c>
      <c r="AS64" s="182" t="e">
        <f>'ADJ DETAIL INPUT'!#REF!</f>
        <v>#REF!</v>
      </c>
    </row>
    <row r="65" spans="1:45">
      <c r="A65" s="162">
        <v>34</v>
      </c>
      <c r="B65" s="164"/>
      <c r="C65" s="164" t="s">
        <v>62</v>
      </c>
      <c r="D65" s="164"/>
      <c r="E65" s="183">
        <f>'ADJ DETAIL INPUT'!E64</f>
        <v>141661</v>
      </c>
      <c r="F65" s="183">
        <f>'ADJ DETAIL INPUT'!F64</f>
        <v>0</v>
      </c>
      <c r="G65" s="183">
        <f>'ADJ DETAIL INPUT'!G64</f>
        <v>0</v>
      </c>
      <c r="H65" s="183">
        <f>'ADJ DETAIL INPUT'!H64</f>
        <v>0</v>
      </c>
      <c r="I65" s="183">
        <f>'ADJ DETAIL INPUT'!I64</f>
        <v>-11292</v>
      </c>
      <c r="J65" s="183">
        <f>'ADJ DETAIL INPUT'!J64</f>
        <v>0</v>
      </c>
      <c r="K65" s="183">
        <f>'ADJ DETAIL INPUT'!K64</f>
        <v>0</v>
      </c>
      <c r="L65" s="183">
        <f>'ADJ DETAIL INPUT'!L64</f>
        <v>0</v>
      </c>
      <c r="M65" s="183">
        <f>'ADJ DETAIL INPUT'!M64</f>
        <v>0</v>
      </c>
      <c r="N65" s="183">
        <f>'ADJ DETAIL INPUT'!N64</f>
        <v>0</v>
      </c>
      <c r="O65" s="183">
        <f>'ADJ DETAIL INPUT'!O64</f>
        <v>0</v>
      </c>
      <c r="P65" s="183">
        <f>'ADJ DETAIL INPUT'!P64</f>
        <v>0</v>
      </c>
      <c r="Q65" s="183">
        <f>'ADJ DETAIL INPUT'!Q64</f>
        <v>0</v>
      </c>
      <c r="R65" s="183">
        <f>'ADJ DETAIL INPUT'!R64</f>
        <v>0</v>
      </c>
      <c r="S65" s="183">
        <f>'ADJ DETAIL INPUT'!S64</f>
        <v>0</v>
      </c>
      <c r="T65" s="183">
        <f>'ADJ DETAIL INPUT'!T64</f>
        <v>0</v>
      </c>
      <c r="U65" s="183">
        <f>'ADJ DETAIL INPUT'!U64</f>
        <v>0</v>
      </c>
      <c r="V65" s="183">
        <f>'ADJ DETAIL INPUT'!V64</f>
        <v>0</v>
      </c>
      <c r="W65" s="183">
        <f>'ADJ DETAIL INPUT'!W64</f>
        <v>0</v>
      </c>
      <c r="X65" s="183">
        <f>'ADJ DETAIL INPUT'!X64</f>
        <v>8492</v>
      </c>
      <c r="Y65" s="183">
        <f>'ADJ DETAIL INPUT'!AA64</f>
        <v>0</v>
      </c>
      <c r="Z65" s="183">
        <f>'ADJ DETAIL INPUT'!AB64</f>
        <v>0</v>
      </c>
      <c r="AA65" s="183">
        <f>'ADJ DETAIL INPUT'!AC64</f>
        <v>0</v>
      </c>
      <c r="AB65" s="183">
        <f>'ADJ DETAIL INPUT'!AD64</f>
        <v>0</v>
      </c>
      <c r="AC65" s="183">
        <f>'ADJ DETAIL INPUT'!AE64</f>
        <v>0</v>
      </c>
      <c r="AD65" s="183">
        <f>'ADJ DETAIL INPUT'!AF64</f>
        <v>0</v>
      </c>
      <c r="AE65" s="183">
        <f>'ADJ DETAIL INPUT'!AG64</f>
        <v>0</v>
      </c>
      <c r="AF65" s="183">
        <f>'ADJ DETAIL INPUT'!AH64</f>
        <v>0</v>
      </c>
      <c r="AG65" s="183">
        <f>'ADJ DETAIL INPUT'!AI64</f>
        <v>0</v>
      </c>
      <c r="AH65" s="183">
        <f>'ADJ DETAIL INPUT'!AJ64</f>
        <v>0</v>
      </c>
      <c r="AI65" s="183">
        <f>'ADJ DETAIL INPUT'!AK64</f>
        <v>0</v>
      </c>
      <c r="AJ65" s="183">
        <f>'ADJ DETAIL INPUT'!AL64</f>
        <v>0</v>
      </c>
      <c r="AK65" s="183">
        <f>'ADJ DETAIL INPUT'!AM64</f>
        <v>0</v>
      </c>
      <c r="AL65" s="183">
        <f>'ADJ DETAIL INPUT'!AN64</f>
        <v>0</v>
      </c>
      <c r="AM65" s="183">
        <f>'ADJ DETAIL INPUT'!AO64</f>
        <v>0</v>
      </c>
      <c r="AN65" s="183">
        <f>'ADJ DETAIL INPUT'!AP64</f>
        <v>0</v>
      </c>
      <c r="AO65" s="183">
        <f>'ADJ DETAIL INPUT'!AQ64</f>
        <v>0</v>
      </c>
      <c r="AP65" s="183">
        <f>'ADJ DETAIL INPUT'!AR64</f>
        <v>0</v>
      </c>
      <c r="AQ65" s="183">
        <f>'ADJ DETAIL INPUT'!AY64</f>
        <v>141725.87081909529</v>
      </c>
      <c r="AR65" s="183" t="e">
        <f>'ADJ DETAIL INPUT'!#REF!</f>
        <v>#REF!</v>
      </c>
      <c r="AS65" s="183" t="e">
        <f>'ADJ DETAIL INPUT'!#REF!</f>
        <v>#REF!</v>
      </c>
    </row>
    <row r="66" spans="1:45" ht="18" customHeight="1">
      <c r="A66" s="162">
        <v>35</v>
      </c>
      <c r="B66" s="164" t="s">
        <v>63</v>
      </c>
      <c r="C66" s="164"/>
      <c r="E66" s="182">
        <f>SUM(E63:E65)</f>
        <v>677239</v>
      </c>
      <c r="F66" s="182">
        <f t="shared" ref="F66:AG66" si="24">SUM(F63:F65)</f>
        <v>0</v>
      </c>
      <c r="G66" s="182">
        <f t="shared" si="24"/>
        <v>0</v>
      </c>
      <c r="H66" s="182">
        <f t="shared" si="24"/>
        <v>0</v>
      </c>
      <c r="I66" s="182">
        <f>SUM(I63:I65)</f>
        <v>-21328</v>
      </c>
      <c r="J66" s="182">
        <f t="shared" si="24"/>
        <v>0</v>
      </c>
      <c r="K66" s="182">
        <f t="shared" si="24"/>
        <v>0</v>
      </c>
      <c r="L66" s="182">
        <f t="shared" si="24"/>
        <v>0</v>
      </c>
      <c r="M66" s="182">
        <f t="shared" si="24"/>
        <v>0</v>
      </c>
      <c r="N66" s="182">
        <f t="shared" si="24"/>
        <v>0</v>
      </c>
      <c r="O66" s="182">
        <f t="shared" si="24"/>
        <v>0</v>
      </c>
      <c r="P66" s="182">
        <f t="shared" si="24"/>
        <v>0</v>
      </c>
      <c r="Q66" s="182">
        <f t="shared" si="24"/>
        <v>0</v>
      </c>
      <c r="R66" s="182">
        <f t="shared" si="24"/>
        <v>0</v>
      </c>
      <c r="S66" s="182">
        <f t="shared" si="24"/>
        <v>0</v>
      </c>
      <c r="T66" s="182">
        <f t="shared" ref="T66:AA66" si="25">SUM(T63:T65)</f>
        <v>0</v>
      </c>
      <c r="U66" s="182">
        <f t="shared" si="25"/>
        <v>0</v>
      </c>
      <c r="V66" s="182">
        <f t="shared" si="25"/>
        <v>0</v>
      </c>
      <c r="W66" s="182">
        <f t="shared" si="25"/>
        <v>0</v>
      </c>
      <c r="X66" s="182">
        <f t="shared" si="25"/>
        <v>13601.144940630809</v>
      </c>
      <c r="Y66" s="182">
        <f t="shared" si="25"/>
        <v>0</v>
      </c>
      <c r="Z66" s="182">
        <f t="shared" si="25"/>
        <v>0</v>
      </c>
      <c r="AA66" s="182">
        <f t="shared" si="25"/>
        <v>0</v>
      </c>
      <c r="AB66" s="182">
        <f t="shared" si="24"/>
        <v>0</v>
      </c>
      <c r="AC66" s="182">
        <f>SUM(AC63:AC65)</f>
        <v>0</v>
      </c>
      <c r="AD66" s="182">
        <f t="shared" si="24"/>
        <v>0</v>
      </c>
      <c r="AE66" s="182">
        <f>SUM(AE63:AE65)</f>
        <v>0</v>
      </c>
      <c r="AF66" s="182">
        <f>SUM(AF63:AF65)</f>
        <v>0</v>
      </c>
      <c r="AG66" s="182">
        <f t="shared" si="24"/>
        <v>0</v>
      </c>
      <c r="AH66" s="182">
        <f t="shared" ref="AH66:AS66" si="26">SUM(AH63:AH65)</f>
        <v>0</v>
      </c>
      <c r="AI66" s="182">
        <f t="shared" si="26"/>
        <v>0</v>
      </c>
      <c r="AJ66" s="182">
        <f t="shared" si="26"/>
        <v>0</v>
      </c>
      <c r="AK66" s="182">
        <f t="shared" si="26"/>
        <v>0</v>
      </c>
      <c r="AL66" s="182">
        <f t="shared" si="26"/>
        <v>0</v>
      </c>
      <c r="AM66" s="182">
        <f t="shared" si="26"/>
        <v>0</v>
      </c>
      <c r="AN66" s="182">
        <f t="shared" si="26"/>
        <v>-5267.7265995833332</v>
      </c>
      <c r="AO66" s="182">
        <f t="shared" si="26"/>
        <v>0</v>
      </c>
      <c r="AP66" s="182">
        <f t="shared" si="26"/>
        <v>0</v>
      </c>
      <c r="AQ66" s="182">
        <f t="shared" si="26"/>
        <v>680928.24359104747</v>
      </c>
      <c r="AR66" s="182" t="e">
        <f t="shared" si="26"/>
        <v>#REF!</v>
      </c>
      <c r="AS66" s="182" t="e">
        <f t="shared" si="26"/>
        <v>#REF!</v>
      </c>
    </row>
    <row r="67" spans="1:45" ht="12.75" customHeight="1">
      <c r="B67" s="164"/>
      <c r="C67" s="164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</row>
    <row r="68" spans="1:45">
      <c r="B68" s="164" t="s">
        <v>201</v>
      </c>
      <c r="C68" s="164"/>
      <c r="D68" s="164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</row>
    <row r="69" spans="1:45">
      <c r="A69" s="162">
        <v>36</v>
      </c>
      <c r="B69" s="164"/>
      <c r="C69" s="164" t="s">
        <v>42</v>
      </c>
      <c r="D69" s="164"/>
      <c r="E69" s="182">
        <f>'ADJ DETAIL INPUT'!E68</f>
        <v>-11566</v>
      </c>
      <c r="F69" s="182">
        <f>'ADJ DETAIL INPUT'!F68</f>
        <v>0</v>
      </c>
      <c r="G69" s="182">
        <f>'ADJ DETAIL INPUT'!G68</f>
        <v>0</v>
      </c>
      <c r="H69" s="182">
        <f>'ADJ DETAIL INPUT'!H68</f>
        <v>0</v>
      </c>
      <c r="I69" s="182">
        <f>'ADJ DETAIL INPUT'!I68</f>
        <v>0</v>
      </c>
      <c r="J69" s="182">
        <f>'ADJ DETAIL INPUT'!J68</f>
        <v>0</v>
      </c>
      <c r="K69" s="182">
        <f>'ADJ DETAIL INPUT'!K68</f>
        <v>0</v>
      </c>
      <c r="L69" s="182">
        <f>'ADJ DETAIL INPUT'!L68</f>
        <v>0</v>
      </c>
      <c r="M69" s="182">
        <f>'ADJ DETAIL INPUT'!M68</f>
        <v>0</v>
      </c>
      <c r="N69" s="182">
        <f>'ADJ DETAIL INPUT'!N68</f>
        <v>0</v>
      </c>
      <c r="O69" s="182">
        <f>'ADJ DETAIL INPUT'!O68</f>
        <v>0</v>
      </c>
      <c r="P69" s="182">
        <f>'ADJ DETAIL INPUT'!P68</f>
        <v>0</v>
      </c>
      <c r="Q69" s="182">
        <f>'ADJ DETAIL INPUT'!Q68</f>
        <v>0</v>
      </c>
      <c r="R69" s="182">
        <f>'ADJ DETAIL INPUT'!R68</f>
        <v>0</v>
      </c>
      <c r="S69" s="182">
        <f>'ADJ DETAIL INPUT'!S68</f>
        <v>0</v>
      </c>
      <c r="T69" s="182">
        <f>'ADJ DETAIL INPUT'!T68</f>
        <v>0</v>
      </c>
      <c r="U69" s="182">
        <f>'ADJ DETAIL INPUT'!U68</f>
        <v>0</v>
      </c>
      <c r="V69" s="182">
        <f>'ADJ DETAIL INPUT'!V68</f>
        <v>0</v>
      </c>
      <c r="W69" s="182">
        <f>'ADJ DETAIL INPUT'!W68</f>
        <v>0</v>
      </c>
      <c r="X69" s="182">
        <f>'ADJ DETAIL INPUT'!X68</f>
        <v>-223.28800000000047</v>
      </c>
      <c r="Y69" s="182">
        <f>'ADJ DETAIL INPUT'!AA68</f>
        <v>0</v>
      </c>
      <c r="Z69" s="182">
        <f>'ADJ DETAIL INPUT'!AB68</f>
        <v>0</v>
      </c>
      <c r="AA69" s="182">
        <f>'ADJ DETAIL INPUT'!AC68</f>
        <v>0</v>
      </c>
      <c r="AB69" s="182">
        <f>'ADJ DETAIL INPUT'!AD68</f>
        <v>0</v>
      </c>
      <c r="AC69" s="182">
        <f>'ADJ DETAIL INPUT'!AE68</f>
        <v>0</v>
      </c>
      <c r="AD69" s="182">
        <f>'ADJ DETAIL INPUT'!AF68</f>
        <v>0</v>
      </c>
      <c r="AE69" s="182">
        <f>'ADJ DETAIL INPUT'!AG68</f>
        <v>0</v>
      </c>
      <c r="AF69" s="182">
        <f>'ADJ DETAIL INPUT'!AH68</f>
        <v>0</v>
      </c>
      <c r="AG69" s="182">
        <f>'ADJ DETAIL INPUT'!AI68</f>
        <v>0</v>
      </c>
      <c r="AH69" s="182">
        <f>'ADJ DETAIL INPUT'!AJ68</f>
        <v>0</v>
      </c>
      <c r="AI69" s="182">
        <f>'ADJ DETAIL INPUT'!AK68</f>
        <v>0</v>
      </c>
      <c r="AJ69" s="182">
        <f>'ADJ DETAIL INPUT'!AL68</f>
        <v>0</v>
      </c>
      <c r="AK69" s="182">
        <f>'ADJ DETAIL INPUT'!AM68</f>
        <v>0</v>
      </c>
      <c r="AL69" s="182">
        <f>'ADJ DETAIL INPUT'!AN68</f>
        <v>0</v>
      </c>
      <c r="AM69" s="182">
        <f>'ADJ DETAIL INPUT'!AO68</f>
        <v>0</v>
      </c>
      <c r="AN69" s="182">
        <f>'ADJ DETAIL INPUT'!AP68</f>
        <v>867.20671500000014</v>
      </c>
      <c r="AO69" s="182">
        <f>'ADJ DETAIL INPUT'!AQ68</f>
        <v>0</v>
      </c>
      <c r="AP69" s="182">
        <f>'ADJ DETAIL INPUT'!AR68</f>
        <v>0</v>
      </c>
      <c r="AQ69" s="182">
        <f>'ADJ DETAIL INPUT'!AY68</f>
        <v>-11157.076285000001</v>
      </c>
      <c r="AR69" s="182" t="e">
        <f>'ADJ DETAIL INPUT'!#REF!</f>
        <v>#REF!</v>
      </c>
      <c r="AS69" s="182" t="e">
        <f>'ADJ DETAIL INPUT'!#REF!</f>
        <v>#REF!</v>
      </c>
    </row>
    <row r="70" spans="1:45">
      <c r="A70" s="162">
        <v>37</v>
      </c>
      <c r="B70" s="164"/>
      <c r="C70" s="164" t="s">
        <v>61</v>
      </c>
      <c r="D70" s="164"/>
      <c r="E70" s="182">
        <f>'ADJ DETAIL INPUT'!E69</f>
        <v>-151240</v>
      </c>
      <c r="F70" s="182">
        <f>'ADJ DETAIL INPUT'!F69</f>
        <v>0</v>
      </c>
      <c r="G70" s="182">
        <f>'ADJ DETAIL INPUT'!G69</f>
        <v>0</v>
      </c>
      <c r="H70" s="182">
        <f>'ADJ DETAIL INPUT'!H69</f>
        <v>0</v>
      </c>
      <c r="I70" s="182">
        <f>'ADJ DETAIL INPUT'!I69</f>
        <v>301</v>
      </c>
      <c r="J70" s="182">
        <f>'ADJ DETAIL INPUT'!J69</f>
        <v>0</v>
      </c>
      <c r="K70" s="182">
        <f>'ADJ DETAIL INPUT'!K69</f>
        <v>0</v>
      </c>
      <c r="L70" s="182">
        <f>'ADJ DETAIL INPUT'!L69</f>
        <v>0</v>
      </c>
      <c r="M70" s="182">
        <f>'ADJ DETAIL INPUT'!M69</f>
        <v>0</v>
      </c>
      <c r="N70" s="182">
        <f>'ADJ DETAIL INPUT'!N69</f>
        <v>0</v>
      </c>
      <c r="O70" s="182">
        <f>'ADJ DETAIL INPUT'!O69</f>
        <v>0</v>
      </c>
      <c r="P70" s="182">
        <f>'ADJ DETAIL INPUT'!P69</f>
        <v>0</v>
      </c>
      <c r="Q70" s="182">
        <f>'ADJ DETAIL INPUT'!Q69</f>
        <v>0</v>
      </c>
      <c r="R70" s="182">
        <f>'ADJ DETAIL INPUT'!R69</f>
        <v>0</v>
      </c>
      <c r="S70" s="182">
        <f>'ADJ DETAIL INPUT'!S69</f>
        <v>0</v>
      </c>
      <c r="T70" s="182">
        <f>'ADJ DETAIL INPUT'!T69</f>
        <v>0</v>
      </c>
      <c r="U70" s="182">
        <f>'ADJ DETAIL INPUT'!U69</f>
        <v>0</v>
      </c>
      <c r="V70" s="182">
        <f>'ADJ DETAIL INPUT'!V69</f>
        <v>0</v>
      </c>
      <c r="W70" s="182">
        <f>'ADJ DETAIL INPUT'!W69</f>
        <v>0</v>
      </c>
      <c r="X70" s="182">
        <f>'ADJ DETAIL INPUT'!X69</f>
        <v>2028.6663291830437</v>
      </c>
      <c r="Y70" s="182">
        <f>'ADJ DETAIL INPUT'!AA69</f>
        <v>0</v>
      </c>
      <c r="Z70" s="182">
        <f>'ADJ DETAIL INPUT'!AB69</f>
        <v>0</v>
      </c>
      <c r="AA70" s="182">
        <f>'ADJ DETAIL INPUT'!AC69</f>
        <v>0</v>
      </c>
      <c r="AB70" s="182">
        <f>'ADJ DETAIL INPUT'!AD69</f>
        <v>0</v>
      </c>
      <c r="AC70" s="182">
        <f>'ADJ DETAIL INPUT'!AE69</f>
        <v>0</v>
      </c>
      <c r="AD70" s="182">
        <f>'ADJ DETAIL INPUT'!AF69</f>
        <v>0</v>
      </c>
      <c r="AE70" s="182">
        <f>'ADJ DETAIL INPUT'!AG69</f>
        <v>0</v>
      </c>
      <c r="AF70" s="182">
        <f>'ADJ DETAIL INPUT'!AH69</f>
        <v>0</v>
      </c>
      <c r="AG70" s="182">
        <f>'ADJ DETAIL INPUT'!AI69</f>
        <v>0</v>
      </c>
      <c r="AH70" s="182">
        <f>'ADJ DETAIL INPUT'!AJ69</f>
        <v>0</v>
      </c>
      <c r="AI70" s="182">
        <f>'ADJ DETAIL INPUT'!AK69</f>
        <v>0</v>
      </c>
      <c r="AJ70" s="182">
        <f>'ADJ DETAIL INPUT'!AL69</f>
        <v>0</v>
      </c>
      <c r="AK70" s="182">
        <f>'ADJ DETAIL INPUT'!AM69</f>
        <v>0</v>
      </c>
      <c r="AL70" s="182">
        <f>'ADJ DETAIL INPUT'!AN69</f>
        <v>0</v>
      </c>
      <c r="AM70" s="182">
        <f>'ADJ DETAIL INPUT'!AO69</f>
        <v>0</v>
      </c>
      <c r="AN70" s="182">
        <f>'ADJ DETAIL INPUT'!AP69</f>
        <v>0</v>
      </c>
      <c r="AO70" s="182">
        <f>'ADJ DETAIL INPUT'!AQ69</f>
        <v>0</v>
      </c>
      <c r="AP70" s="182">
        <f>'ADJ DETAIL INPUT'!AR69</f>
        <v>0</v>
      </c>
      <c r="AQ70" s="182">
        <f>'ADJ DETAIL INPUT'!AY69</f>
        <v>-152288.14973716246</v>
      </c>
      <c r="AR70" s="182" t="e">
        <f>'ADJ DETAIL INPUT'!#REF!</f>
        <v>#REF!</v>
      </c>
      <c r="AS70" s="182" t="e">
        <f>'ADJ DETAIL INPUT'!#REF!</f>
        <v>#REF!</v>
      </c>
    </row>
    <row r="71" spans="1:45">
      <c r="A71" s="162">
        <v>38</v>
      </c>
      <c r="B71" s="164"/>
      <c r="C71" s="164" t="s">
        <v>62</v>
      </c>
      <c r="D71" s="164"/>
      <c r="E71" s="183">
        <f>'ADJ DETAIL INPUT'!E70</f>
        <v>-38750</v>
      </c>
      <c r="F71" s="183">
        <f>'ADJ DETAIL INPUT'!F70</f>
        <v>0</v>
      </c>
      <c r="G71" s="183">
        <f>'ADJ DETAIL INPUT'!G70</f>
        <v>0</v>
      </c>
      <c r="H71" s="183">
        <f>'ADJ DETAIL INPUT'!H70</f>
        <v>0</v>
      </c>
      <c r="I71" s="183">
        <f>'ADJ DETAIL INPUT'!I70</f>
        <v>1658</v>
      </c>
      <c r="J71" s="183">
        <f>'ADJ DETAIL INPUT'!J70</f>
        <v>0</v>
      </c>
      <c r="K71" s="183">
        <f>'ADJ DETAIL INPUT'!K70</f>
        <v>0</v>
      </c>
      <c r="L71" s="183">
        <f>'ADJ DETAIL INPUT'!L70</f>
        <v>0</v>
      </c>
      <c r="M71" s="183">
        <f>'ADJ DETAIL INPUT'!M70</f>
        <v>0</v>
      </c>
      <c r="N71" s="183">
        <f>'ADJ DETAIL INPUT'!N70</f>
        <v>0</v>
      </c>
      <c r="O71" s="183">
        <f>'ADJ DETAIL INPUT'!O70</f>
        <v>0</v>
      </c>
      <c r="P71" s="183">
        <f>'ADJ DETAIL INPUT'!P70</f>
        <v>0</v>
      </c>
      <c r="Q71" s="183">
        <f>'ADJ DETAIL INPUT'!Q70</f>
        <v>0</v>
      </c>
      <c r="R71" s="183">
        <f>'ADJ DETAIL INPUT'!R70</f>
        <v>0</v>
      </c>
      <c r="S71" s="183">
        <f>'ADJ DETAIL INPUT'!S70</f>
        <v>0</v>
      </c>
      <c r="T71" s="183">
        <f>'ADJ DETAIL INPUT'!T70</f>
        <v>0</v>
      </c>
      <c r="U71" s="183">
        <f>'ADJ DETAIL INPUT'!U70</f>
        <v>0</v>
      </c>
      <c r="V71" s="183">
        <f>'ADJ DETAIL INPUT'!V70</f>
        <v>0</v>
      </c>
      <c r="W71" s="183">
        <f>'ADJ DETAIL INPUT'!W70</f>
        <v>0</v>
      </c>
      <c r="X71" s="183">
        <f>'ADJ DETAIL INPUT'!X70</f>
        <v>-2799</v>
      </c>
      <c r="Y71" s="183">
        <f>'ADJ DETAIL INPUT'!AA70</f>
        <v>0</v>
      </c>
      <c r="Z71" s="183">
        <f>'ADJ DETAIL INPUT'!AB70</f>
        <v>0</v>
      </c>
      <c r="AA71" s="183">
        <f>'ADJ DETAIL INPUT'!AC70</f>
        <v>0</v>
      </c>
      <c r="AB71" s="183">
        <f>'ADJ DETAIL INPUT'!AD70</f>
        <v>0</v>
      </c>
      <c r="AC71" s="183">
        <f>'ADJ DETAIL INPUT'!AE70</f>
        <v>0</v>
      </c>
      <c r="AD71" s="183">
        <f>'ADJ DETAIL INPUT'!AF70</f>
        <v>0</v>
      </c>
      <c r="AE71" s="183">
        <f>'ADJ DETAIL INPUT'!AG70</f>
        <v>0</v>
      </c>
      <c r="AF71" s="183">
        <f>'ADJ DETAIL INPUT'!AH70</f>
        <v>0</v>
      </c>
      <c r="AG71" s="183">
        <f>'ADJ DETAIL INPUT'!AI70</f>
        <v>0</v>
      </c>
      <c r="AH71" s="183">
        <f>'ADJ DETAIL INPUT'!AJ70</f>
        <v>0</v>
      </c>
      <c r="AI71" s="183">
        <f>'ADJ DETAIL INPUT'!AK70</f>
        <v>0</v>
      </c>
      <c r="AJ71" s="183">
        <f>'ADJ DETAIL INPUT'!AL70</f>
        <v>0</v>
      </c>
      <c r="AK71" s="183">
        <f>'ADJ DETAIL INPUT'!AM70</f>
        <v>0</v>
      </c>
      <c r="AL71" s="183">
        <f>'ADJ DETAIL INPUT'!AN70</f>
        <v>0</v>
      </c>
      <c r="AM71" s="183">
        <f>'ADJ DETAIL INPUT'!AO70</f>
        <v>0</v>
      </c>
      <c r="AN71" s="183">
        <f>'ADJ DETAIL INPUT'!AP70</f>
        <v>0</v>
      </c>
      <c r="AO71" s="183">
        <f>'ADJ DETAIL INPUT'!AQ70</f>
        <v>0</v>
      </c>
      <c r="AP71" s="183">
        <f>'ADJ DETAIL INPUT'!AR70</f>
        <v>0</v>
      </c>
      <c r="AQ71" s="183">
        <f>'ADJ DETAIL INPUT'!AY70</f>
        <v>-43841.919558654525</v>
      </c>
      <c r="AR71" s="183" t="e">
        <f>'ADJ DETAIL INPUT'!#REF!</f>
        <v>#REF!</v>
      </c>
      <c r="AS71" s="183" t="e">
        <f>'ADJ DETAIL INPUT'!#REF!</f>
        <v>#REF!</v>
      </c>
    </row>
    <row r="72" spans="1:45">
      <c r="A72" s="162">
        <v>39</v>
      </c>
      <c r="B72" s="164" t="s">
        <v>414</v>
      </c>
      <c r="C72" s="164"/>
      <c r="E72" s="185">
        <f>SUM(E69:E71)</f>
        <v>-201556</v>
      </c>
      <c r="F72" s="185">
        <f t="shared" ref="F72:AG72" si="27">SUM(F69:F71)</f>
        <v>0</v>
      </c>
      <c r="G72" s="185">
        <f t="shared" si="27"/>
        <v>0</v>
      </c>
      <c r="H72" s="185">
        <f t="shared" si="27"/>
        <v>0</v>
      </c>
      <c r="I72" s="185">
        <f>SUM(I69:I71)</f>
        <v>1959</v>
      </c>
      <c r="J72" s="185">
        <f t="shared" si="27"/>
        <v>0</v>
      </c>
      <c r="K72" s="185">
        <f t="shared" si="27"/>
        <v>0</v>
      </c>
      <c r="L72" s="185">
        <f t="shared" si="27"/>
        <v>0</v>
      </c>
      <c r="M72" s="185">
        <f t="shared" si="27"/>
        <v>0</v>
      </c>
      <c r="N72" s="185">
        <f t="shared" si="27"/>
        <v>0</v>
      </c>
      <c r="O72" s="185">
        <f t="shared" si="27"/>
        <v>0</v>
      </c>
      <c r="P72" s="185">
        <f t="shared" si="27"/>
        <v>0</v>
      </c>
      <c r="Q72" s="185">
        <f t="shared" si="27"/>
        <v>0</v>
      </c>
      <c r="R72" s="185">
        <f t="shared" si="27"/>
        <v>0</v>
      </c>
      <c r="S72" s="185">
        <f t="shared" si="27"/>
        <v>0</v>
      </c>
      <c r="T72" s="185">
        <f t="shared" ref="T72:AA72" si="28">SUM(T69:T71)</f>
        <v>0</v>
      </c>
      <c r="U72" s="185">
        <f t="shared" si="28"/>
        <v>0</v>
      </c>
      <c r="V72" s="185">
        <f t="shared" si="28"/>
        <v>0</v>
      </c>
      <c r="W72" s="185">
        <f t="shared" si="28"/>
        <v>0</v>
      </c>
      <c r="X72" s="185">
        <f t="shared" si="28"/>
        <v>-993.62167081695679</v>
      </c>
      <c r="Y72" s="185">
        <f t="shared" si="28"/>
        <v>0</v>
      </c>
      <c r="Z72" s="185">
        <f t="shared" si="28"/>
        <v>0</v>
      </c>
      <c r="AA72" s="185">
        <f t="shared" si="28"/>
        <v>0</v>
      </c>
      <c r="AB72" s="185">
        <f t="shared" si="27"/>
        <v>0</v>
      </c>
      <c r="AC72" s="185">
        <f>SUM(AC69:AC71)</f>
        <v>0</v>
      </c>
      <c r="AD72" s="185">
        <f t="shared" si="27"/>
        <v>0</v>
      </c>
      <c r="AE72" s="185">
        <f>SUM(AE69:AE71)</f>
        <v>0</v>
      </c>
      <c r="AF72" s="185">
        <f>SUM(AF69:AF71)</f>
        <v>0</v>
      </c>
      <c r="AG72" s="185">
        <f t="shared" si="27"/>
        <v>0</v>
      </c>
      <c r="AH72" s="185">
        <f t="shared" ref="AH72:AS72" si="29">SUM(AH69:AH71)</f>
        <v>0</v>
      </c>
      <c r="AI72" s="185">
        <f t="shared" si="29"/>
        <v>0</v>
      </c>
      <c r="AJ72" s="185">
        <f t="shared" si="29"/>
        <v>0</v>
      </c>
      <c r="AK72" s="185">
        <f t="shared" si="29"/>
        <v>0</v>
      </c>
      <c r="AL72" s="185">
        <f t="shared" si="29"/>
        <v>0</v>
      </c>
      <c r="AM72" s="185">
        <f t="shared" si="29"/>
        <v>0</v>
      </c>
      <c r="AN72" s="185">
        <f t="shared" si="29"/>
        <v>867.20671500000014</v>
      </c>
      <c r="AO72" s="185">
        <f t="shared" si="29"/>
        <v>0</v>
      </c>
      <c r="AP72" s="185">
        <f t="shared" si="29"/>
        <v>0</v>
      </c>
      <c r="AQ72" s="185">
        <f t="shared" si="29"/>
        <v>-207287.14558081696</v>
      </c>
      <c r="AR72" s="185" t="e">
        <f t="shared" si="29"/>
        <v>#REF!</v>
      </c>
      <c r="AS72" s="185" t="e">
        <f t="shared" si="29"/>
        <v>#REF!</v>
      </c>
    </row>
    <row r="73" spans="1:45">
      <c r="A73" s="162">
        <v>40</v>
      </c>
      <c r="B73" s="164" t="s">
        <v>172</v>
      </c>
      <c r="C73" s="164"/>
      <c r="D73" s="164"/>
      <c r="E73" s="186">
        <f>E66+E72</f>
        <v>475683</v>
      </c>
      <c r="F73" s="186">
        <f t="shared" ref="F73:AG73" si="30">F66+F72</f>
        <v>0</v>
      </c>
      <c r="G73" s="186">
        <f t="shared" si="30"/>
        <v>0</v>
      </c>
      <c r="H73" s="186">
        <f t="shared" si="30"/>
        <v>0</v>
      </c>
      <c r="I73" s="186">
        <f>I66+I72</f>
        <v>-19369</v>
      </c>
      <c r="J73" s="186">
        <f t="shared" si="30"/>
        <v>0</v>
      </c>
      <c r="K73" s="186">
        <f t="shared" si="30"/>
        <v>0</v>
      </c>
      <c r="L73" s="186">
        <f t="shared" si="30"/>
        <v>0</v>
      </c>
      <c r="M73" s="186">
        <f t="shared" si="30"/>
        <v>0</v>
      </c>
      <c r="N73" s="186">
        <f t="shared" si="30"/>
        <v>0</v>
      </c>
      <c r="O73" s="186">
        <f t="shared" si="30"/>
        <v>0</v>
      </c>
      <c r="P73" s="186">
        <f t="shared" si="30"/>
        <v>0</v>
      </c>
      <c r="Q73" s="186">
        <f t="shared" si="30"/>
        <v>0</v>
      </c>
      <c r="R73" s="186">
        <f t="shared" si="30"/>
        <v>0</v>
      </c>
      <c r="S73" s="186">
        <f t="shared" si="30"/>
        <v>0</v>
      </c>
      <c r="T73" s="186">
        <f t="shared" ref="T73:AA73" si="31">T66+T72</f>
        <v>0</v>
      </c>
      <c r="U73" s="186">
        <f t="shared" si="31"/>
        <v>0</v>
      </c>
      <c r="V73" s="186">
        <f t="shared" si="31"/>
        <v>0</v>
      </c>
      <c r="W73" s="186">
        <f t="shared" si="31"/>
        <v>0</v>
      </c>
      <c r="X73" s="186">
        <f t="shared" si="31"/>
        <v>12607.523269813853</v>
      </c>
      <c r="Y73" s="186">
        <f t="shared" si="31"/>
        <v>0</v>
      </c>
      <c r="Z73" s="186">
        <f t="shared" si="31"/>
        <v>0</v>
      </c>
      <c r="AA73" s="186">
        <f t="shared" si="31"/>
        <v>0</v>
      </c>
      <c r="AB73" s="186">
        <f t="shared" si="30"/>
        <v>0</v>
      </c>
      <c r="AC73" s="186">
        <f>AC66+AC72</f>
        <v>0</v>
      </c>
      <c r="AD73" s="186">
        <f t="shared" si="30"/>
        <v>0</v>
      </c>
      <c r="AE73" s="186">
        <f>AE66+AE72</f>
        <v>0</v>
      </c>
      <c r="AF73" s="186">
        <f>AF66+AF72</f>
        <v>0</v>
      </c>
      <c r="AG73" s="186">
        <f t="shared" si="30"/>
        <v>0</v>
      </c>
      <c r="AH73" s="186">
        <f t="shared" ref="AH73:AS73" si="32">AH66+AH72</f>
        <v>0</v>
      </c>
      <c r="AI73" s="186">
        <f t="shared" si="32"/>
        <v>0</v>
      </c>
      <c r="AJ73" s="186">
        <f t="shared" si="32"/>
        <v>0</v>
      </c>
      <c r="AK73" s="186">
        <f t="shared" si="32"/>
        <v>0</v>
      </c>
      <c r="AL73" s="186">
        <f t="shared" si="32"/>
        <v>0</v>
      </c>
      <c r="AM73" s="186">
        <f t="shared" si="32"/>
        <v>0</v>
      </c>
      <c r="AN73" s="186">
        <f t="shared" si="32"/>
        <v>-4400.5198845833329</v>
      </c>
      <c r="AO73" s="186">
        <f t="shared" si="32"/>
        <v>0</v>
      </c>
      <c r="AP73" s="186">
        <f t="shared" si="32"/>
        <v>0</v>
      </c>
      <c r="AQ73" s="186">
        <f t="shared" si="32"/>
        <v>473641.09801023052</v>
      </c>
      <c r="AR73" s="186" t="e">
        <f t="shared" si="32"/>
        <v>#REF!</v>
      </c>
      <c r="AS73" s="186" t="e">
        <f t="shared" si="32"/>
        <v>#REF!</v>
      </c>
    </row>
    <row r="74" spans="1:45" s="167" customFormat="1" ht="18.95" customHeight="1">
      <c r="A74" s="165">
        <v>41</v>
      </c>
      <c r="B74" s="166" t="s">
        <v>204</v>
      </c>
      <c r="C74" s="166"/>
      <c r="D74" s="166"/>
      <c r="E74" s="183">
        <f>'ADJ DETAIL INPUT'!E73</f>
        <v>-91014</v>
      </c>
      <c r="F74" s="183">
        <f>'ADJ DETAIL INPUT'!F73</f>
        <v>-994</v>
      </c>
      <c r="G74" s="183">
        <f>'ADJ DETAIL INPUT'!G73</f>
        <v>0</v>
      </c>
      <c r="H74" s="183">
        <f>'ADJ DETAIL INPUT'!H73</f>
        <v>0</v>
      </c>
      <c r="I74" s="183">
        <f>'ADJ DETAIL INPUT'!I73</f>
        <v>1019</v>
      </c>
      <c r="J74" s="183">
        <f>'ADJ DETAIL INPUT'!J73</f>
        <v>0</v>
      </c>
      <c r="K74" s="183">
        <f>'ADJ DETAIL INPUT'!K73</f>
        <v>0</v>
      </c>
      <c r="L74" s="183">
        <f>'ADJ DETAIL INPUT'!L73</f>
        <v>0</v>
      </c>
      <c r="M74" s="183">
        <f>'ADJ DETAIL INPUT'!M73</f>
        <v>0</v>
      </c>
      <c r="N74" s="183">
        <f>'ADJ DETAIL INPUT'!N73</f>
        <v>0</v>
      </c>
      <c r="O74" s="183">
        <f>'ADJ DETAIL INPUT'!O73</f>
        <v>0</v>
      </c>
      <c r="P74" s="183">
        <f>'ADJ DETAIL INPUT'!P73</f>
        <v>0</v>
      </c>
      <c r="Q74" s="183">
        <f>'ADJ DETAIL INPUT'!Q73</f>
        <v>0</v>
      </c>
      <c r="R74" s="183">
        <f>'ADJ DETAIL INPUT'!R73</f>
        <v>0</v>
      </c>
      <c r="S74" s="183">
        <f>'ADJ DETAIL INPUT'!S73</f>
        <v>0</v>
      </c>
      <c r="T74" s="183">
        <f>'ADJ DETAIL INPUT'!T73</f>
        <v>0</v>
      </c>
      <c r="U74" s="183">
        <f>'ADJ DETAIL INPUT'!U73</f>
        <v>0</v>
      </c>
      <c r="V74" s="183">
        <f>'ADJ DETAIL INPUT'!V73</f>
        <v>0</v>
      </c>
      <c r="W74" s="183">
        <f>'ADJ DETAIL INPUT'!W73</f>
        <v>0</v>
      </c>
      <c r="X74" s="183">
        <f>'ADJ DETAIL INPUT'!X73</f>
        <v>123</v>
      </c>
      <c r="Y74" s="183">
        <f>'ADJ DETAIL INPUT'!AA73</f>
        <v>0</v>
      </c>
      <c r="Z74" s="183">
        <f>'ADJ DETAIL INPUT'!AB73</f>
        <v>0</v>
      </c>
      <c r="AA74" s="183">
        <f>'ADJ DETAIL INPUT'!AC73</f>
        <v>0</v>
      </c>
      <c r="AB74" s="183">
        <f>'ADJ DETAIL INPUT'!AD73</f>
        <v>0</v>
      </c>
      <c r="AC74" s="183">
        <f>'ADJ DETAIL INPUT'!AE73</f>
        <v>0</v>
      </c>
      <c r="AD74" s="183">
        <f>'ADJ DETAIL INPUT'!AF73</f>
        <v>0</v>
      </c>
      <c r="AE74" s="183">
        <f>'ADJ DETAIL INPUT'!AG73</f>
        <v>0</v>
      </c>
      <c r="AF74" s="183">
        <f>'ADJ DETAIL INPUT'!AH73</f>
        <v>0</v>
      </c>
      <c r="AG74" s="183">
        <f>'ADJ DETAIL INPUT'!AI73</f>
        <v>0</v>
      </c>
      <c r="AH74" s="183">
        <f>'ADJ DETAIL INPUT'!AJ73</f>
        <v>0</v>
      </c>
      <c r="AI74" s="183">
        <f>'ADJ DETAIL INPUT'!AK73</f>
        <v>0</v>
      </c>
      <c r="AJ74" s="183">
        <f>'ADJ DETAIL INPUT'!AL73</f>
        <v>0</v>
      </c>
      <c r="AK74" s="183">
        <f>'ADJ DETAIL INPUT'!AM73</f>
        <v>0</v>
      </c>
      <c r="AL74" s="183">
        <f>'ADJ DETAIL INPUT'!AN73</f>
        <v>0</v>
      </c>
      <c r="AM74" s="183">
        <f>'ADJ DETAIL INPUT'!AO73</f>
        <v>0</v>
      </c>
      <c r="AN74" s="183">
        <f>'ADJ DETAIL INPUT'!AP73</f>
        <v>0</v>
      </c>
      <c r="AO74" s="183">
        <f>'ADJ DETAIL INPUT'!AQ73</f>
        <v>0</v>
      </c>
      <c r="AP74" s="183">
        <f>'ADJ DETAIL INPUT'!AR73</f>
        <v>-15228</v>
      </c>
      <c r="AQ74" s="183">
        <f>'ADJ DETAIL INPUT'!AY73</f>
        <v>-109500.88533250513</v>
      </c>
      <c r="AR74" s="183" t="e">
        <f>'ADJ DETAIL INPUT'!#REF!</f>
        <v>#REF!</v>
      </c>
      <c r="AS74" s="183" t="e">
        <f>'ADJ DETAIL INPUT'!#REF!</f>
        <v>#REF!</v>
      </c>
    </row>
    <row r="75" spans="1:45" s="167" customFormat="1" ht="18.95" customHeight="1">
      <c r="A75" s="165">
        <v>42</v>
      </c>
      <c r="B75" s="166" t="s">
        <v>202</v>
      </c>
      <c r="C75" s="166"/>
      <c r="D75" s="166"/>
      <c r="E75" s="186">
        <f>E73+E74</f>
        <v>384669</v>
      </c>
      <c r="F75" s="186">
        <f t="shared" ref="F75:AG75" si="33">F73+F74</f>
        <v>-994</v>
      </c>
      <c r="G75" s="186">
        <f t="shared" si="33"/>
        <v>0</v>
      </c>
      <c r="H75" s="186">
        <f t="shared" si="33"/>
        <v>0</v>
      </c>
      <c r="I75" s="186">
        <f>I73+I74</f>
        <v>-18350</v>
      </c>
      <c r="J75" s="186">
        <f t="shared" si="33"/>
        <v>0</v>
      </c>
      <c r="K75" s="186">
        <f t="shared" si="33"/>
        <v>0</v>
      </c>
      <c r="L75" s="186">
        <f t="shared" si="33"/>
        <v>0</v>
      </c>
      <c r="M75" s="186">
        <f t="shared" si="33"/>
        <v>0</v>
      </c>
      <c r="N75" s="186">
        <f t="shared" si="33"/>
        <v>0</v>
      </c>
      <c r="O75" s="186">
        <f t="shared" si="33"/>
        <v>0</v>
      </c>
      <c r="P75" s="186">
        <f t="shared" si="33"/>
        <v>0</v>
      </c>
      <c r="Q75" s="186">
        <f t="shared" si="33"/>
        <v>0</v>
      </c>
      <c r="R75" s="186">
        <f t="shared" si="33"/>
        <v>0</v>
      </c>
      <c r="S75" s="186">
        <f t="shared" si="33"/>
        <v>0</v>
      </c>
      <c r="T75" s="186">
        <f t="shared" ref="T75:AA75" si="34">T73+T74</f>
        <v>0</v>
      </c>
      <c r="U75" s="186">
        <f t="shared" si="34"/>
        <v>0</v>
      </c>
      <c r="V75" s="186">
        <f t="shared" si="34"/>
        <v>0</v>
      </c>
      <c r="W75" s="186">
        <f t="shared" si="34"/>
        <v>0</v>
      </c>
      <c r="X75" s="186">
        <f t="shared" si="34"/>
        <v>12730.523269813853</v>
      </c>
      <c r="Y75" s="186">
        <f t="shared" si="34"/>
        <v>0</v>
      </c>
      <c r="Z75" s="186">
        <f t="shared" si="34"/>
        <v>0</v>
      </c>
      <c r="AA75" s="186">
        <f t="shared" si="34"/>
        <v>0</v>
      </c>
      <c r="AB75" s="186">
        <f t="shared" si="33"/>
        <v>0</v>
      </c>
      <c r="AC75" s="186">
        <f>AC73+AC74</f>
        <v>0</v>
      </c>
      <c r="AD75" s="186">
        <f t="shared" si="33"/>
        <v>0</v>
      </c>
      <c r="AE75" s="186">
        <f>AE73+AE74</f>
        <v>0</v>
      </c>
      <c r="AF75" s="186">
        <f>AF73+AF74</f>
        <v>0</v>
      </c>
      <c r="AG75" s="186">
        <f t="shared" si="33"/>
        <v>0</v>
      </c>
      <c r="AH75" s="186">
        <f t="shared" ref="AH75:AS75" si="35">AH73+AH74</f>
        <v>0</v>
      </c>
      <c r="AI75" s="186">
        <f t="shared" si="35"/>
        <v>0</v>
      </c>
      <c r="AJ75" s="186">
        <f t="shared" si="35"/>
        <v>0</v>
      </c>
      <c r="AK75" s="186">
        <f t="shared" si="35"/>
        <v>0</v>
      </c>
      <c r="AL75" s="186">
        <f t="shared" si="35"/>
        <v>0</v>
      </c>
      <c r="AM75" s="186">
        <f t="shared" si="35"/>
        <v>0</v>
      </c>
      <c r="AN75" s="186">
        <f t="shared" si="35"/>
        <v>-4400.5198845833329</v>
      </c>
      <c r="AO75" s="186">
        <f t="shared" si="35"/>
        <v>0</v>
      </c>
      <c r="AP75" s="186">
        <f t="shared" si="35"/>
        <v>-15228</v>
      </c>
      <c r="AQ75" s="186">
        <f t="shared" si="35"/>
        <v>364140.21267772536</v>
      </c>
      <c r="AR75" s="186" t="e">
        <f t="shared" si="35"/>
        <v>#REF!</v>
      </c>
      <c r="AS75" s="186" t="e">
        <f t="shared" si="35"/>
        <v>#REF!</v>
      </c>
    </row>
    <row r="76" spans="1:45">
      <c r="A76" s="162">
        <v>43</v>
      </c>
      <c r="B76" s="164" t="s">
        <v>66</v>
      </c>
      <c r="C76" s="164"/>
      <c r="D76" s="164"/>
      <c r="E76" s="182">
        <f>'ADJ DETAIL INPUT'!E75</f>
        <v>10411</v>
      </c>
      <c r="F76" s="182">
        <f>'ADJ DETAIL INPUT'!F75</f>
        <v>0</v>
      </c>
      <c r="G76" s="182">
        <f>'ADJ DETAIL INPUT'!G75</f>
        <v>0</v>
      </c>
      <c r="H76" s="182">
        <f>'ADJ DETAIL INPUT'!H75</f>
        <v>0</v>
      </c>
      <c r="I76" s="182">
        <f>'ADJ DETAIL INPUT'!I75</f>
        <v>0</v>
      </c>
      <c r="J76" s="182">
        <f>'ADJ DETAIL INPUT'!J75</f>
        <v>0</v>
      </c>
      <c r="K76" s="182">
        <f>'ADJ DETAIL INPUT'!K75</f>
        <v>0</v>
      </c>
      <c r="L76" s="182">
        <f>'ADJ DETAIL INPUT'!L75</f>
        <v>0</v>
      </c>
      <c r="M76" s="182">
        <f>'ADJ DETAIL INPUT'!M75</f>
        <v>0</v>
      </c>
      <c r="N76" s="182">
        <f>'ADJ DETAIL INPUT'!N75</f>
        <v>0</v>
      </c>
      <c r="O76" s="182">
        <f>'ADJ DETAIL INPUT'!O75</f>
        <v>0</v>
      </c>
      <c r="P76" s="182">
        <f>'ADJ DETAIL INPUT'!P75</f>
        <v>0</v>
      </c>
      <c r="Q76" s="182">
        <f>'ADJ DETAIL INPUT'!Q75</f>
        <v>0</v>
      </c>
      <c r="R76" s="182">
        <f>'ADJ DETAIL INPUT'!R75</f>
        <v>0</v>
      </c>
      <c r="S76" s="182">
        <f>'ADJ DETAIL INPUT'!S75</f>
        <v>0</v>
      </c>
      <c r="T76" s="182">
        <f>'ADJ DETAIL INPUT'!T75</f>
        <v>0</v>
      </c>
      <c r="U76" s="182">
        <f>'ADJ DETAIL INPUT'!U75</f>
        <v>0</v>
      </c>
      <c r="V76" s="182">
        <f>'ADJ DETAIL INPUT'!V75</f>
        <v>0</v>
      </c>
      <c r="W76" s="182">
        <f>'ADJ DETAIL INPUT'!W75</f>
        <v>0</v>
      </c>
      <c r="X76" s="182">
        <f>'ADJ DETAIL INPUT'!X75</f>
        <v>0</v>
      </c>
      <c r="Y76" s="182">
        <f>'ADJ DETAIL INPUT'!AA75</f>
        <v>0</v>
      </c>
      <c r="Z76" s="182">
        <f>'ADJ DETAIL INPUT'!AB75</f>
        <v>0</v>
      </c>
      <c r="AA76" s="182">
        <f>'ADJ DETAIL INPUT'!AC75</f>
        <v>0</v>
      </c>
      <c r="AB76" s="182">
        <f>'ADJ DETAIL INPUT'!AD75</f>
        <v>0</v>
      </c>
      <c r="AC76" s="182">
        <f>'ADJ DETAIL INPUT'!AE75</f>
        <v>0</v>
      </c>
      <c r="AD76" s="182">
        <f>'ADJ DETAIL INPUT'!AF75</f>
        <v>0</v>
      </c>
      <c r="AE76" s="182">
        <f>'ADJ DETAIL INPUT'!AG75</f>
        <v>0</v>
      </c>
      <c r="AF76" s="182">
        <f>'ADJ DETAIL INPUT'!AH75</f>
        <v>0</v>
      </c>
      <c r="AG76" s="182">
        <f>'ADJ DETAIL INPUT'!AI75</f>
        <v>0</v>
      </c>
      <c r="AH76" s="182">
        <f>'ADJ DETAIL INPUT'!AJ75</f>
        <v>0</v>
      </c>
      <c r="AI76" s="182">
        <f>'ADJ DETAIL INPUT'!AK75</f>
        <v>0</v>
      </c>
      <c r="AJ76" s="182">
        <f>'ADJ DETAIL INPUT'!AL75</f>
        <v>0</v>
      </c>
      <c r="AK76" s="182">
        <f>'ADJ DETAIL INPUT'!AM75</f>
        <v>0</v>
      </c>
      <c r="AL76" s="182">
        <f>'ADJ DETAIL INPUT'!AN75</f>
        <v>0</v>
      </c>
      <c r="AM76" s="182">
        <f>'ADJ DETAIL INPUT'!AO75</f>
        <v>0</v>
      </c>
      <c r="AN76" s="182">
        <f>'ADJ DETAIL INPUT'!AP75</f>
        <v>0</v>
      </c>
      <c r="AO76" s="182">
        <f>'ADJ DETAIL INPUT'!AQ75</f>
        <v>0</v>
      </c>
      <c r="AP76" s="182">
        <f>'ADJ DETAIL INPUT'!AR75</f>
        <v>0</v>
      </c>
      <c r="AQ76" s="182">
        <f>'ADJ DETAIL INPUT'!AY75</f>
        <v>10411</v>
      </c>
      <c r="AR76" s="182" t="e">
        <f>'ADJ DETAIL INPUT'!#REF!</f>
        <v>#REF!</v>
      </c>
      <c r="AS76" s="182" t="e">
        <f>'ADJ DETAIL INPUT'!#REF!</f>
        <v>#REF!</v>
      </c>
    </row>
    <row r="77" spans="1:45" s="167" customFormat="1">
      <c r="A77" s="165">
        <v>44</v>
      </c>
      <c r="B77" s="166" t="s">
        <v>67</v>
      </c>
      <c r="C77" s="166"/>
      <c r="D77" s="166"/>
      <c r="E77" s="182">
        <f>'ADJ DETAIL INPUT'!E76</f>
        <v>0</v>
      </c>
      <c r="F77" s="182">
        <f>'ADJ DETAIL INPUT'!F76</f>
        <v>0</v>
      </c>
      <c r="G77" s="182">
        <f>'ADJ DETAIL INPUT'!G76</f>
        <v>0</v>
      </c>
      <c r="H77" s="182">
        <f>'ADJ DETAIL INPUT'!H76</f>
        <v>0</v>
      </c>
      <c r="I77" s="182">
        <f>'ADJ DETAIL INPUT'!I76</f>
        <v>0</v>
      </c>
      <c r="J77" s="182">
        <f>'ADJ DETAIL INPUT'!J76</f>
        <v>0</v>
      </c>
      <c r="K77" s="182">
        <f>'ADJ DETAIL INPUT'!K76</f>
        <v>0</v>
      </c>
      <c r="L77" s="182">
        <f>'ADJ DETAIL INPUT'!L76</f>
        <v>0</v>
      </c>
      <c r="M77" s="182">
        <f>'ADJ DETAIL INPUT'!M76</f>
        <v>0</v>
      </c>
      <c r="N77" s="182">
        <f>'ADJ DETAIL INPUT'!N76</f>
        <v>0</v>
      </c>
      <c r="O77" s="182">
        <f>'ADJ DETAIL INPUT'!O76</f>
        <v>0</v>
      </c>
      <c r="P77" s="182">
        <f>'ADJ DETAIL INPUT'!P76</f>
        <v>0</v>
      </c>
      <c r="Q77" s="182">
        <f>'ADJ DETAIL INPUT'!Q76</f>
        <v>0</v>
      </c>
      <c r="R77" s="182">
        <f>'ADJ DETAIL INPUT'!R76</f>
        <v>0</v>
      </c>
      <c r="S77" s="182">
        <f>'ADJ DETAIL INPUT'!S76</f>
        <v>0</v>
      </c>
      <c r="T77" s="182">
        <f>'ADJ DETAIL INPUT'!T76</f>
        <v>0</v>
      </c>
      <c r="U77" s="182">
        <f>'ADJ DETAIL INPUT'!U76</f>
        <v>0</v>
      </c>
      <c r="V77" s="182">
        <f>'ADJ DETAIL INPUT'!V76</f>
        <v>0</v>
      </c>
      <c r="W77" s="182">
        <f>'ADJ DETAIL INPUT'!W76</f>
        <v>0</v>
      </c>
      <c r="X77" s="182">
        <f>'ADJ DETAIL INPUT'!X76</f>
        <v>0</v>
      </c>
      <c r="Y77" s="182">
        <f>'ADJ DETAIL INPUT'!AA76</f>
        <v>0</v>
      </c>
      <c r="Z77" s="182">
        <f>'ADJ DETAIL INPUT'!AB76</f>
        <v>0</v>
      </c>
      <c r="AA77" s="182">
        <f>'ADJ DETAIL INPUT'!AC76</f>
        <v>0</v>
      </c>
      <c r="AB77" s="182">
        <f>'ADJ DETAIL INPUT'!AD76</f>
        <v>0</v>
      </c>
      <c r="AC77" s="182">
        <f>'ADJ DETAIL INPUT'!AE76</f>
        <v>0</v>
      </c>
      <c r="AD77" s="182">
        <f>'ADJ DETAIL INPUT'!AF76</f>
        <v>0</v>
      </c>
      <c r="AE77" s="182">
        <f>'ADJ DETAIL INPUT'!AG76</f>
        <v>0</v>
      </c>
      <c r="AF77" s="182">
        <f>'ADJ DETAIL INPUT'!AH76</f>
        <v>0</v>
      </c>
      <c r="AG77" s="182">
        <f>'ADJ DETAIL INPUT'!AI76</f>
        <v>0</v>
      </c>
      <c r="AH77" s="182">
        <f>'ADJ DETAIL INPUT'!AJ76</f>
        <v>0</v>
      </c>
      <c r="AI77" s="182">
        <f>'ADJ DETAIL INPUT'!AK76</f>
        <v>0</v>
      </c>
      <c r="AJ77" s="182">
        <f>'ADJ DETAIL INPUT'!AL76</f>
        <v>0</v>
      </c>
      <c r="AK77" s="182">
        <f>'ADJ DETAIL INPUT'!AM76</f>
        <v>0</v>
      </c>
      <c r="AL77" s="182">
        <f>'ADJ DETAIL INPUT'!AN76</f>
        <v>0</v>
      </c>
      <c r="AM77" s="182">
        <f>'ADJ DETAIL INPUT'!AO76</f>
        <v>0</v>
      </c>
      <c r="AN77" s="182">
        <f>'ADJ DETAIL INPUT'!AP76</f>
        <v>0</v>
      </c>
      <c r="AO77" s="182">
        <f>'ADJ DETAIL INPUT'!AQ76</f>
        <v>0</v>
      </c>
      <c r="AP77" s="182">
        <f>'ADJ DETAIL INPUT'!AR76</f>
        <v>0</v>
      </c>
      <c r="AQ77" s="182">
        <f>'ADJ DETAIL INPUT'!AY76</f>
        <v>0</v>
      </c>
      <c r="AR77" s="182" t="e">
        <f>'ADJ DETAIL INPUT'!#REF!</f>
        <v>#REF!</v>
      </c>
      <c r="AS77" s="182" t="e">
        <f>'ADJ DETAIL INPUT'!#REF!</f>
        <v>#REF!</v>
      </c>
    </row>
    <row r="78" spans="1:45" s="167" customFormat="1">
      <c r="A78" s="165">
        <v>45</v>
      </c>
      <c r="B78" s="166" t="s">
        <v>417</v>
      </c>
      <c r="C78" s="166"/>
      <c r="D78" s="166"/>
      <c r="E78" s="182">
        <f>'ADJ DETAIL INPUT'!E77</f>
        <v>7359</v>
      </c>
      <c r="F78" s="182">
        <f>'ADJ DETAIL INPUT'!F77</f>
        <v>0</v>
      </c>
      <c r="G78" s="182">
        <f>'ADJ DETAIL INPUT'!G77</f>
        <v>-1</v>
      </c>
      <c r="H78" s="182">
        <f>'ADJ DETAIL INPUT'!H77</f>
        <v>0</v>
      </c>
      <c r="I78" s="182">
        <f>'ADJ DETAIL INPUT'!I77</f>
        <v>-53</v>
      </c>
      <c r="J78" s="182">
        <f>'ADJ DETAIL INPUT'!J77</f>
        <v>0</v>
      </c>
      <c r="K78" s="182">
        <f>'ADJ DETAIL INPUT'!K77</f>
        <v>0</v>
      </c>
      <c r="L78" s="182">
        <f>'ADJ DETAIL INPUT'!L77</f>
        <v>0</v>
      </c>
      <c r="M78" s="182">
        <f>'ADJ DETAIL INPUT'!M77</f>
        <v>0</v>
      </c>
      <c r="N78" s="182">
        <f>'ADJ DETAIL INPUT'!N77</f>
        <v>0</v>
      </c>
      <c r="O78" s="182">
        <f>'ADJ DETAIL INPUT'!O77</f>
        <v>0</v>
      </c>
      <c r="P78" s="182">
        <f>'ADJ DETAIL INPUT'!P77</f>
        <v>0</v>
      </c>
      <c r="Q78" s="182">
        <f>'ADJ DETAIL INPUT'!Q77</f>
        <v>0</v>
      </c>
      <c r="R78" s="182">
        <f>'ADJ DETAIL INPUT'!R77</f>
        <v>0</v>
      </c>
      <c r="S78" s="182">
        <f>'ADJ DETAIL INPUT'!S77</f>
        <v>0</v>
      </c>
      <c r="T78" s="182">
        <f>'ADJ DETAIL INPUT'!T77</f>
        <v>0</v>
      </c>
      <c r="U78" s="182">
        <f>'ADJ DETAIL INPUT'!U77</f>
        <v>0</v>
      </c>
      <c r="V78" s="182">
        <f>'ADJ DETAIL INPUT'!V77</f>
        <v>0</v>
      </c>
      <c r="W78" s="182">
        <f>'ADJ DETAIL INPUT'!W77</f>
        <v>0</v>
      </c>
      <c r="X78" s="182">
        <f>'ADJ DETAIL INPUT'!X77</f>
        <v>0</v>
      </c>
      <c r="Y78" s="182">
        <f>'ADJ DETAIL INPUT'!AA77</f>
        <v>0</v>
      </c>
      <c r="Z78" s="182">
        <f>'ADJ DETAIL INPUT'!AB77</f>
        <v>0</v>
      </c>
      <c r="AA78" s="182">
        <f>'ADJ DETAIL INPUT'!AC77</f>
        <v>0</v>
      </c>
      <c r="AB78" s="182">
        <f>'ADJ DETAIL INPUT'!AD77</f>
        <v>0</v>
      </c>
      <c r="AC78" s="182">
        <f>'ADJ DETAIL INPUT'!AE77</f>
        <v>0</v>
      </c>
      <c r="AD78" s="182">
        <f>'ADJ DETAIL INPUT'!AF77</f>
        <v>0</v>
      </c>
      <c r="AE78" s="182">
        <f>'ADJ DETAIL INPUT'!AG77</f>
        <v>0</v>
      </c>
      <c r="AF78" s="182">
        <f>'ADJ DETAIL INPUT'!AH77</f>
        <v>0</v>
      </c>
      <c r="AG78" s="182">
        <f>'ADJ DETAIL INPUT'!AI77</f>
        <v>0</v>
      </c>
      <c r="AH78" s="182">
        <f>'ADJ DETAIL INPUT'!AJ77</f>
        <v>0</v>
      </c>
      <c r="AI78" s="182">
        <f>'ADJ DETAIL INPUT'!AK77</f>
        <v>0</v>
      </c>
      <c r="AJ78" s="182">
        <f>'ADJ DETAIL INPUT'!AL77</f>
        <v>0</v>
      </c>
      <c r="AK78" s="182">
        <f>'ADJ DETAIL INPUT'!AM77</f>
        <v>0</v>
      </c>
      <c r="AL78" s="182">
        <f>'ADJ DETAIL INPUT'!AN77</f>
        <v>0</v>
      </c>
      <c r="AM78" s="182">
        <f>'ADJ DETAIL INPUT'!AO77</f>
        <v>0</v>
      </c>
      <c r="AN78" s="182">
        <f>'ADJ DETAIL INPUT'!AP77</f>
        <v>0</v>
      </c>
      <c r="AO78" s="182">
        <f>'ADJ DETAIL INPUT'!AQ77</f>
        <v>-3959</v>
      </c>
      <c r="AP78" s="182">
        <f>'ADJ DETAIL INPUT'!AR77</f>
        <v>0</v>
      </c>
      <c r="AQ78" s="182">
        <f>'ADJ DETAIL INPUT'!AY77</f>
        <v>3346</v>
      </c>
      <c r="AR78" s="182" t="e">
        <f>'ADJ DETAIL INPUT'!#REF!</f>
        <v>#REF!</v>
      </c>
      <c r="AS78" s="182" t="e">
        <f>'ADJ DETAIL INPUT'!#REF!</f>
        <v>#REF!</v>
      </c>
    </row>
    <row r="79" spans="1:45">
      <c r="A79" s="162">
        <v>46</v>
      </c>
      <c r="B79" s="164" t="s">
        <v>173</v>
      </c>
      <c r="C79" s="164"/>
      <c r="D79" s="164"/>
      <c r="E79" s="183">
        <f>'ADJ DETAIL INPUT'!E78</f>
        <v>3494</v>
      </c>
      <c r="F79" s="183">
        <f>'ADJ DETAIL INPUT'!F78</f>
        <v>0</v>
      </c>
      <c r="G79" s="183">
        <f>'ADJ DETAIL INPUT'!G78</f>
        <v>0</v>
      </c>
      <c r="H79" s="183">
        <f>'ADJ DETAIL INPUT'!H78</f>
        <v>-1144</v>
      </c>
      <c r="I79" s="183">
        <f>'ADJ DETAIL INPUT'!I78</f>
        <v>0</v>
      </c>
      <c r="J79" s="183">
        <f>'ADJ DETAIL INPUT'!J78</f>
        <v>0</v>
      </c>
      <c r="K79" s="183">
        <f>'ADJ DETAIL INPUT'!K78</f>
        <v>0</v>
      </c>
      <c r="L79" s="183">
        <f>'ADJ DETAIL INPUT'!L78</f>
        <v>0</v>
      </c>
      <c r="M79" s="183">
        <f>'ADJ DETAIL INPUT'!M78</f>
        <v>0</v>
      </c>
      <c r="N79" s="183">
        <f>'ADJ DETAIL INPUT'!N78</f>
        <v>0</v>
      </c>
      <c r="O79" s="183">
        <f>'ADJ DETAIL INPUT'!O78</f>
        <v>0</v>
      </c>
      <c r="P79" s="183">
        <f>'ADJ DETAIL INPUT'!P78</f>
        <v>0</v>
      </c>
      <c r="Q79" s="183">
        <f>'ADJ DETAIL INPUT'!Q78</f>
        <v>0</v>
      </c>
      <c r="R79" s="183">
        <f>'ADJ DETAIL INPUT'!R78</f>
        <v>0</v>
      </c>
      <c r="S79" s="183">
        <f>'ADJ DETAIL INPUT'!S78</f>
        <v>0</v>
      </c>
      <c r="T79" s="183">
        <f>'ADJ DETAIL INPUT'!T78</f>
        <v>0</v>
      </c>
      <c r="U79" s="183">
        <f>'ADJ DETAIL INPUT'!U78</f>
        <v>0</v>
      </c>
      <c r="V79" s="183">
        <f>'ADJ DETAIL INPUT'!V78</f>
        <v>0</v>
      </c>
      <c r="W79" s="183">
        <f>'ADJ DETAIL INPUT'!W78</f>
        <v>0</v>
      </c>
      <c r="X79" s="183">
        <f>'ADJ DETAIL INPUT'!X78</f>
        <v>0</v>
      </c>
      <c r="Y79" s="183">
        <f>'ADJ DETAIL INPUT'!AA78</f>
        <v>0</v>
      </c>
      <c r="Z79" s="183">
        <f>'ADJ DETAIL INPUT'!AB78</f>
        <v>0</v>
      </c>
      <c r="AA79" s="183">
        <f>'ADJ DETAIL INPUT'!AC78</f>
        <v>0</v>
      </c>
      <c r="AB79" s="183">
        <f>'ADJ DETAIL INPUT'!AD78</f>
        <v>0</v>
      </c>
      <c r="AC79" s="183">
        <f>'ADJ DETAIL INPUT'!AE78</f>
        <v>0</v>
      </c>
      <c r="AD79" s="183">
        <f>'ADJ DETAIL INPUT'!AF78</f>
        <v>0</v>
      </c>
      <c r="AE79" s="183">
        <f>'ADJ DETAIL INPUT'!AG78</f>
        <v>0</v>
      </c>
      <c r="AF79" s="183">
        <f>'ADJ DETAIL INPUT'!AH78</f>
        <v>0</v>
      </c>
      <c r="AG79" s="183">
        <f>'ADJ DETAIL INPUT'!AI78</f>
        <v>0</v>
      </c>
      <c r="AH79" s="183">
        <f>'ADJ DETAIL INPUT'!AJ78</f>
        <v>0</v>
      </c>
      <c r="AI79" s="183">
        <f>'ADJ DETAIL INPUT'!AK78</f>
        <v>0</v>
      </c>
      <c r="AJ79" s="183">
        <f>'ADJ DETAIL INPUT'!AL78</f>
        <v>0</v>
      </c>
      <c r="AK79" s="183">
        <f>'ADJ DETAIL INPUT'!AM78</f>
        <v>0</v>
      </c>
      <c r="AL79" s="183">
        <f>'ADJ DETAIL INPUT'!AN78</f>
        <v>0</v>
      </c>
      <c r="AM79" s="183">
        <f>'ADJ DETAIL INPUT'!AO78</f>
        <v>0</v>
      </c>
      <c r="AN79" s="183">
        <f>'ADJ DETAIL INPUT'!AP78</f>
        <v>0</v>
      </c>
      <c r="AO79" s="183">
        <f>'ADJ DETAIL INPUT'!AQ78</f>
        <v>0</v>
      </c>
      <c r="AP79" s="183">
        <f>'ADJ DETAIL INPUT'!AR78</f>
        <v>0</v>
      </c>
      <c r="AQ79" s="183">
        <f>'ADJ DETAIL INPUT'!AY78</f>
        <v>2350</v>
      </c>
      <c r="AR79" s="183" t="e">
        <f>'ADJ DETAIL INPUT'!#REF!</f>
        <v>#REF!</v>
      </c>
      <c r="AS79" s="183" t="e">
        <f>'ADJ DETAIL INPUT'!#REF!</f>
        <v>#REF!</v>
      </c>
    </row>
    <row r="81" spans="1:45"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</row>
    <row r="82" spans="1:45" s="300" customFormat="1" ht="12.75" thickBot="1">
      <c r="A82" s="144">
        <v>47</v>
      </c>
      <c r="B82" s="300" t="s">
        <v>68</v>
      </c>
      <c r="E82" s="302">
        <f>E75+E76+E77+E79+E78</f>
        <v>405933</v>
      </c>
      <c r="F82" s="302">
        <f t="shared" ref="F82:AG82" si="36">F75+F76+F77+F79+F78</f>
        <v>-994</v>
      </c>
      <c r="G82" s="302">
        <f t="shared" si="36"/>
        <v>-1</v>
      </c>
      <c r="H82" s="302">
        <f t="shared" si="36"/>
        <v>-1144</v>
      </c>
      <c r="I82" s="302">
        <f>I75+I76+I77+I79+I78</f>
        <v>-18403</v>
      </c>
      <c r="J82" s="302">
        <f t="shared" si="36"/>
        <v>0</v>
      </c>
      <c r="K82" s="302">
        <f t="shared" si="36"/>
        <v>0</v>
      </c>
      <c r="L82" s="302">
        <f t="shared" si="36"/>
        <v>0</v>
      </c>
      <c r="M82" s="302">
        <f t="shared" si="36"/>
        <v>0</v>
      </c>
      <c r="N82" s="302">
        <f t="shared" si="36"/>
        <v>0</v>
      </c>
      <c r="O82" s="302">
        <f t="shared" si="36"/>
        <v>0</v>
      </c>
      <c r="P82" s="302">
        <f t="shared" si="36"/>
        <v>0</v>
      </c>
      <c r="Q82" s="302">
        <f t="shared" si="36"/>
        <v>0</v>
      </c>
      <c r="R82" s="302">
        <f t="shared" si="36"/>
        <v>0</v>
      </c>
      <c r="S82" s="302">
        <f t="shared" si="36"/>
        <v>0</v>
      </c>
      <c r="T82" s="302">
        <f t="shared" ref="T82:AA82" si="37">T75+T76+T77+T79+T78</f>
        <v>0</v>
      </c>
      <c r="U82" s="302">
        <f t="shared" si="37"/>
        <v>0</v>
      </c>
      <c r="V82" s="302">
        <f t="shared" si="37"/>
        <v>0</v>
      </c>
      <c r="W82" s="302">
        <f t="shared" si="37"/>
        <v>0</v>
      </c>
      <c r="X82" s="302">
        <f t="shared" si="37"/>
        <v>12730.523269813853</v>
      </c>
      <c r="Y82" s="302">
        <f t="shared" si="37"/>
        <v>0</v>
      </c>
      <c r="Z82" s="302">
        <f t="shared" si="37"/>
        <v>0</v>
      </c>
      <c r="AA82" s="302">
        <f t="shared" si="37"/>
        <v>0</v>
      </c>
      <c r="AB82" s="302">
        <f t="shared" si="36"/>
        <v>0</v>
      </c>
      <c r="AC82" s="302">
        <f>AC75+AC76+AC77+AC79+AC78</f>
        <v>0</v>
      </c>
      <c r="AD82" s="302">
        <f t="shared" si="36"/>
        <v>0</v>
      </c>
      <c r="AE82" s="302">
        <f>AE75+AE76+AE77+AE79+AE78</f>
        <v>0</v>
      </c>
      <c r="AF82" s="302">
        <f>AF75+AF76+AF77+AF79+AF78</f>
        <v>0</v>
      </c>
      <c r="AG82" s="302">
        <f t="shared" si="36"/>
        <v>0</v>
      </c>
      <c r="AH82" s="302">
        <f t="shared" ref="AH82:AS82" si="38">AH75+AH76+AH77+AH79+AH78</f>
        <v>0</v>
      </c>
      <c r="AI82" s="302">
        <f t="shared" si="38"/>
        <v>0</v>
      </c>
      <c r="AJ82" s="302">
        <f t="shared" si="38"/>
        <v>0</v>
      </c>
      <c r="AK82" s="302">
        <f t="shared" si="38"/>
        <v>0</v>
      </c>
      <c r="AL82" s="302">
        <f t="shared" si="38"/>
        <v>0</v>
      </c>
      <c r="AM82" s="302">
        <f t="shared" si="38"/>
        <v>0</v>
      </c>
      <c r="AN82" s="302">
        <f t="shared" si="38"/>
        <v>-4400.5198845833329</v>
      </c>
      <c r="AO82" s="302">
        <f t="shared" si="38"/>
        <v>-3959</v>
      </c>
      <c r="AP82" s="302">
        <f t="shared" si="38"/>
        <v>-15228</v>
      </c>
      <c r="AQ82" s="302">
        <f t="shared" si="38"/>
        <v>380247.21267772536</v>
      </c>
      <c r="AR82" s="302" t="e">
        <f t="shared" si="38"/>
        <v>#REF!</v>
      </c>
      <c r="AS82" s="302" t="e">
        <f t="shared" si="38"/>
        <v>#REF!</v>
      </c>
    </row>
    <row r="83" spans="1:45" ht="18" customHeight="1" thickTop="1">
      <c r="E83" s="260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</row>
    <row r="84" spans="1:45"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</row>
    <row r="85" spans="1:45"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</row>
    <row r="86" spans="1:45" s="169" customFormat="1">
      <c r="A86" s="168"/>
      <c r="D86" s="170"/>
      <c r="E86" s="308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</row>
    <row r="87" spans="1:45" s="169" customFormat="1">
      <c r="A87" s="172"/>
      <c r="D87" s="170"/>
      <c r="E87" s="307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</row>
    <row r="88" spans="1:45" s="169" customFormat="1">
      <c r="A88" s="172"/>
      <c r="D88" s="170"/>
      <c r="E88" s="187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</row>
    <row r="89" spans="1:45" s="169" customFormat="1">
      <c r="A89" s="172"/>
      <c r="D89" s="170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</row>
    <row r="90" spans="1:45" s="169" customFormat="1">
      <c r="A90" s="172"/>
      <c r="D90" s="170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</row>
    <row r="91" spans="1:45" s="169" customFormat="1">
      <c r="A91" s="172"/>
      <c r="D91" s="170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1:45" s="169" customFormat="1">
      <c r="A92" s="168"/>
      <c r="D92" s="170"/>
      <c r="E92" s="17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45" s="169" customFormat="1">
      <c r="A93" s="172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1:45" s="169" customFormat="1">
      <c r="A94" s="172"/>
      <c r="D94" s="170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1:45" s="169" customFormat="1">
      <c r="A95" s="172"/>
      <c r="D95" s="170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45" s="169" customFormat="1">
      <c r="A96" s="172"/>
      <c r="D96" s="17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1:45" s="169" customFormat="1">
      <c r="A97" s="172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 s="169" customFormat="1">
      <c r="A98" s="172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AB67"/>
  <sheetViews>
    <sheetView zoomScaleNormal="100" workbookViewId="0">
      <selection activeCell="S62" sqref="S62"/>
    </sheetView>
  </sheetViews>
  <sheetFormatPr defaultColWidth="11.42578125" defaultRowHeight="12.75"/>
  <cols>
    <col min="1" max="1" width="8.5703125" style="12" customWidth="1"/>
    <col min="2" max="2" width="33" style="12" customWidth="1"/>
    <col min="3" max="3" width="4.42578125" style="12" customWidth="1"/>
    <col min="4" max="4" width="3.140625" style="12" customWidth="1"/>
    <col min="5" max="5" width="12.42578125" style="12" customWidth="1"/>
    <col min="6" max="6" width="11.42578125" style="12" customWidth="1"/>
    <col min="7" max="7" width="4.42578125" style="12" customWidth="1"/>
    <col min="8" max="9" width="11.42578125" style="12" customWidth="1"/>
    <col min="10" max="10" width="4.85546875" style="12" customWidth="1"/>
    <col min="11" max="12" width="11.42578125" style="12"/>
    <col min="13" max="13" width="4.42578125" style="12" customWidth="1"/>
    <col min="14" max="15" width="11.42578125" style="12"/>
    <col min="16" max="16" width="11.42578125" style="407"/>
    <col min="17" max="17" width="5.85546875" style="96" bestFit="1" customWidth="1"/>
    <col min="18" max="18" width="5.42578125" style="407" customWidth="1"/>
    <col min="19" max="19" width="12.5703125" style="374" customWidth="1"/>
    <col min="20" max="21" width="11.42578125" style="374"/>
    <col min="22" max="28" width="11.42578125" style="404"/>
    <col min="29" max="16384" width="11.42578125" style="12"/>
  </cols>
  <sheetData>
    <row r="1" spans="1:28" ht="18.75">
      <c r="A1" s="848" t="s">
        <v>486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306"/>
    </row>
    <row r="2" spans="1:28" ht="18.75">
      <c r="A2" s="848" t="s">
        <v>112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306"/>
    </row>
    <row r="3" spans="1:28" ht="18.75">
      <c r="A3" s="848" t="s">
        <v>169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306"/>
    </row>
    <row r="4" spans="1:28" s="24" customFormat="1" ht="18.75">
      <c r="A4" s="111"/>
      <c r="B4" s="111"/>
      <c r="C4" s="111"/>
      <c r="D4" s="111"/>
      <c r="E4" s="111"/>
      <c r="F4" s="111"/>
      <c r="H4" s="110"/>
      <c r="I4" s="111"/>
      <c r="J4" s="111"/>
      <c r="K4" s="111"/>
      <c r="L4" s="111"/>
      <c r="M4" s="111"/>
      <c r="N4" s="110"/>
      <c r="O4" s="110"/>
      <c r="P4" s="380"/>
      <c r="Q4" s="95"/>
      <c r="R4" s="380"/>
      <c r="S4" s="380"/>
      <c r="T4" s="380"/>
      <c r="U4" s="380"/>
      <c r="V4" s="380"/>
      <c r="W4" s="380"/>
      <c r="X4" s="380"/>
      <c r="Y4" s="380"/>
      <c r="Z4" s="380"/>
      <c r="AA4" s="374"/>
      <c r="AB4" s="374"/>
    </row>
    <row r="5" spans="1:28" ht="14.25">
      <c r="H5" s="118" t="s">
        <v>147</v>
      </c>
      <c r="S5" s="380"/>
      <c r="T5" s="380"/>
      <c r="U5" s="380"/>
      <c r="V5" s="380"/>
      <c r="W5" s="380"/>
      <c r="X5" s="380"/>
      <c r="Y5" s="380"/>
      <c r="Z5" s="380"/>
    </row>
    <row r="6" spans="1:28">
      <c r="S6" s="380"/>
      <c r="T6" s="380"/>
      <c r="U6" s="380"/>
      <c r="V6" s="380"/>
      <c r="W6" s="380"/>
      <c r="X6" s="380"/>
      <c r="Y6" s="380"/>
      <c r="Z6" s="380"/>
    </row>
    <row r="7" spans="1:28" s="24" customFormat="1">
      <c r="A7" s="12"/>
      <c r="B7" s="12"/>
      <c r="C7" s="12"/>
      <c r="D7" s="12"/>
      <c r="E7" s="12"/>
      <c r="F7" s="12"/>
      <c r="G7" s="12"/>
      <c r="I7" s="12"/>
      <c r="J7" s="12"/>
      <c r="K7" s="25"/>
      <c r="L7" s="837" t="s">
        <v>162</v>
      </c>
      <c r="M7" s="837"/>
      <c r="N7" s="837"/>
      <c r="P7" s="380"/>
      <c r="Q7" s="95"/>
      <c r="R7" s="380"/>
      <c r="S7" s="380"/>
      <c r="T7" s="380"/>
      <c r="U7" s="380"/>
      <c r="V7" s="380"/>
      <c r="W7" s="380"/>
      <c r="X7" s="380"/>
      <c r="Y7" s="380"/>
      <c r="Z7" s="380"/>
      <c r="AA7" s="374"/>
      <c r="AB7" s="374"/>
    </row>
    <row r="8" spans="1:28" s="24" customFormat="1">
      <c r="A8" s="12"/>
      <c r="B8" s="12"/>
      <c r="C8" s="12"/>
      <c r="D8" s="12"/>
      <c r="E8" s="849" t="s">
        <v>163</v>
      </c>
      <c r="F8" s="849"/>
      <c r="G8" s="25"/>
      <c r="H8" s="849"/>
      <c r="I8" s="849"/>
      <c r="J8" s="12"/>
      <c r="K8" s="837" t="s">
        <v>164</v>
      </c>
      <c r="L8" s="837"/>
      <c r="N8" s="837" t="s">
        <v>165</v>
      </c>
      <c r="O8" s="837"/>
      <c r="P8" s="380"/>
      <c r="Q8" s="95"/>
      <c r="R8" s="380"/>
      <c r="S8" s="380"/>
      <c r="T8" s="380"/>
      <c r="U8" s="380"/>
      <c r="V8" s="380"/>
      <c r="W8" s="380"/>
      <c r="X8" s="380"/>
      <c r="Y8" s="380"/>
      <c r="Z8" s="380"/>
      <c r="AA8" s="374"/>
      <c r="AB8" s="374"/>
    </row>
    <row r="9" spans="1:28" s="24" customFormat="1">
      <c r="A9" s="12"/>
      <c r="B9" s="12"/>
      <c r="C9" s="12"/>
      <c r="D9" s="12"/>
      <c r="E9" s="847" t="s">
        <v>69</v>
      </c>
      <c r="F9" s="847"/>
      <c r="G9" s="27"/>
      <c r="H9" s="847" t="s">
        <v>69</v>
      </c>
      <c r="I9" s="847"/>
      <c r="J9" s="12"/>
      <c r="K9" s="847" t="s">
        <v>69</v>
      </c>
      <c r="L9" s="847"/>
      <c r="N9" s="13" t="s">
        <v>166</v>
      </c>
      <c r="O9" s="13" t="s">
        <v>19</v>
      </c>
      <c r="P9" s="380"/>
      <c r="Q9" s="95"/>
      <c r="R9" s="380"/>
      <c r="S9" s="380"/>
      <c r="T9" s="380"/>
      <c r="U9" s="380"/>
      <c r="V9" s="380"/>
      <c r="W9" s="380"/>
      <c r="X9" s="380"/>
      <c r="Y9" s="380"/>
      <c r="Z9" s="380"/>
      <c r="AA9" s="374"/>
      <c r="AB9" s="374"/>
    </row>
    <row r="10" spans="1:28">
      <c r="A10" s="26" t="s">
        <v>167</v>
      </c>
      <c r="B10" s="26" t="s">
        <v>71</v>
      </c>
      <c r="C10" s="13"/>
      <c r="D10" s="13"/>
      <c r="E10" s="26" t="s">
        <v>72</v>
      </c>
      <c r="F10" s="26" t="s">
        <v>19</v>
      </c>
      <c r="G10" s="14"/>
      <c r="H10" s="26" t="s">
        <v>72</v>
      </c>
      <c r="I10" s="26" t="s">
        <v>19</v>
      </c>
      <c r="K10" s="26" t="s">
        <v>72</v>
      </c>
      <c r="L10" s="26" t="s">
        <v>19</v>
      </c>
      <c r="N10" s="101">
        <f>CF!E27</f>
        <v>0.755463</v>
      </c>
      <c r="O10" s="102">
        <f>'RR SUMMARY'!L15</f>
        <v>7.0099999999999996E-2</v>
      </c>
      <c r="S10" s="380"/>
      <c r="T10" s="449"/>
      <c r="U10" s="449"/>
      <c r="V10" s="449"/>
      <c r="W10" s="450"/>
      <c r="X10" s="450"/>
      <c r="Y10" s="380"/>
      <c r="Z10" s="380"/>
    </row>
    <row r="11" spans="1:28">
      <c r="A11" s="180">
        <f>'ADJ DETAIL INPUT'!E$10</f>
        <v>1</v>
      </c>
      <c r="B11" s="29" t="str">
        <f>TRIM(CONCATENATE('ADJ DETAIL INPUT'!E$7," ",'ADJ DETAIL INPUT'!E$8," ",'ADJ DETAIL INPUT'!E$9))</f>
        <v>Per Results Report</v>
      </c>
      <c r="C11" s="30"/>
      <c r="D11" s="30"/>
      <c r="E11" s="31">
        <v>24474</v>
      </c>
      <c r="F11" s="31">
        <v>405933</v>
      </c>
      <c r="G11" s="31"/>
      <c r="H11" s="31">
        <f>'ADJ DETAIL INPUT'!E$58</f>
        <v>24474</v>
      </c>
      <c r="I11" s="31">
        <f>'ADJ DETAIL INPUT'!E$81</f>
        <v>405933</v>
      </c>
      <c r="J11" s="24"/>
      <c r="K11" s="103">
        <f t="shared" ref="K11:L15" si="0">H11-E11</f>
        <v>0</v>
      </c>
      <c r="L11" s="103">
        <f t="shared" si="0"/>
        <v>0</v>
      </c>
      <c r="N11" s="106">
        <f>K11/$N$10*-1</f>
        <v>0</v>
      </c>
      <c r="O11" s="106">
        <f>L11*$O$10/$N$10</f>
        <v>0</v>
      </c>
      <c r="P11" s="384">
        <f>N11+O11</f>
        <v>0</v>
      </c>
      <c r="S11" s="451"/>
      <c r="T11" s="128"/>
      <c r="U11" s="380"/>
      <c r="V11" s="128"/>
      <c r="W11" s="380"/>
      <c r="X11" s="128"/>
      <c r="Y11" s="380"/>
      <c r="Z11" s="380"/>
    </row>
    <row r="12" spans="1:28" s="40" customFormat="1">
      <c r="A12" s="180">
        <f>'ADJ DETAIL INPUT'!F$10</f>
        <v>1.01</v>
      </c>
      <c r="B12" s="29" t="str">
        <f>TRIM(CONCATENATE('ADJ DETAIL INPUT'!F$7," ",'ADJ DETAIL INPUT'!F$8," ",'ADJ DETAIL INPUT'!F$9))</f>
        <v>Deferred FIT Rate Base</v>
      </c>
      <c r="C12" s="30"/>
      <c r="D12" s="30"/>
      <c r="E12" s="31">
        <v>-5.1767519999999996</v>
      </c>
      <c r="F12" s="31">
        <v>-994</v>
      </c>
      <c r="G12" s="38"/>
      <c r="H12" s="38">
        <f>'ADJ DETAIL INPUT'!F$58</f>
        <v>-5.1141300000000003</v>
      </c>
      <c r="I12" s="38">
        <f>'ADJ DETAIL INPUT'!F$81</f>
        <v>-994</v>
      </c>
      <c r="J12" s="41"/>
      <c r="K12" s="103">
        <f t="shared" si="0"/>
        <v>6.2621999999999289E-2</v>
      </c>
      <c r="L12" s="103">
        <f t="shared" si="0"/>
        <v>0</v>
      </c>
      <c r="N12" s="106">
        <f>K12/$N$10*-1</f>
        <v>-8.2892213119635627E-2</v>
      </c>
      <c r="O12" s="106">
        <f>L12*$O$10/$N$10</f>
        <v>0</v>
      </c>
      <c r="P12" s="384">
        <f>N12+O12</f>
        <v>-8.2892213119635627E-2</v>
      </c>
      <c r="Q12" s="97"/>
      <c r="R12" s="407"/>
      <c r="S12" s="451"/>
      <c r="T12" s="128"/>
      <c r="U12" s="380"/>
      <c r="V12" s="128"/>
      <c r="W12" s="380"/>
      <c r="X12" s="128"/>
      <c r="Y12" s="380"/>
      <c r="Z12" s="380"/>
      <c r="AA12" s="404"/>
      <c r="AB12" s="404"/>
    </row>
    <row r="13" spans="1:28" s="40" customFormat="1">
      <c r="A13" s="180">
        <f>'ADJ DETAIL INPUT'!G$10</f>
        <v>1.02</v>
      </c>
      <c r="B13" s="29" t="str">
        <f>TRIM(CONCATENATE('ADJ DETAIL INPUT'!G$7," ",'ADJ DETAIL INPUT'!G$8," ",'ADJ DETAIL INPUT'!G$9))</f>
        <v>Deferred Debits and Credits</v>
      </c>
      <c r="C13" s="30"/>
      <c r="D13" s="30"/>
      <c r="E13" s="31">
        <v>-11.855208000000001</v>
      </c>
      <c r="F13" s="31">
        <v>-1</v>
      </c>
      <c r="G13" s="38"/>
      <c r="H13" s="38">
        <f>'ADJ DETAIL INPUT'!G$58</f>
        <v>-11.855145</v>
      </c>
      <c r="I13" s="38">
        <f>'ADJ DETAIL INPUT'!G$81</f>
        <v>-1</v>
      </c>
      <c r="J13" s="41"/>
      <c r="K13" s="103">
        <f t="shared" si="0"/>
        <v>6.3000000000812406E-5</v>
      </c>
      <c r="L13" s="103">
        <f t="shared" si="0"/>
        <v>0</v>
      </c>
      <c r="N13" s="106">
        <f>K13/$N$10*-1</f>
        <v>-8.3392568531896871E-5</v>
      </c>
      <c r="O13" s="106">
        <f>L13*$O$10/$N$10</f>
        <v>0</v>
      </c>
      <c r="P13" s="384">
        <f>N13+O13</f>
        <v>-8.3392568531896871E-5</v>
      </c>
      <c r="Q13" s="96"/>
      <c r="R13" s="407"/>
      <c r="S13" s="451"/>
      <c r="T13" s="128"/>
      <c r="U13" s="380"/>
      <c r="V13" s="128"/>
      <c r="W13" s="380"/>
      <c r="X13" s="128"/>
      <c r="Y13" s="380"/>
      <c r="Z13" s="380"/>
      <c r="AA13" s="404"/>
      <c r="AB13" s="404"/>
    </row>
    <row r="14" spans="1:28" s="40" customFormat="1">
      <c r="A14" s="180">
        <f>'ADJ DETAIL INPUT'!H$10</f>
        <v>1.03</v>
      </c>
      <c r="B14" s="29" t="str">
        <f>TRIM(CONCATENATE('ADJ DETAIL INPUT'!H$7," ",'ADJ DETAIL INPUT'!H$8," ",'ADJ DETAIL INPUT'!H$9))</f>
        <v>Working Capital</v>
      </c>
      <c r="C14" s="30"/>
      <c r="D14" s="30"/>
      <c r="E14" s="31">
        <v>-5.9579519999999997</v>
      </c>
      <c r="F14" s="31">
        <v>-1144</v>
      </c>
      <c r="G14" s="38"/>
      <c r="H14" s="38">
        <f>'ADJ DETAIL INPUT'!H$58</f>
        <v>-5.8858800000000002</v>
      </c>
      <c r="I14" s="38">
        <f>'ADJ DETAIL INPUT'!H$81</f>
        <v>-1144</v>
      </c>
      <c r="J14" s="41"/>
      <c r="K14" s="103">
        <f t="shared" si="0"/>
        <v>7.207199999999947E-2</v>
      </c>
      <c r="L14" s="103">
        <f t="shared" si="0"/>
        <v>0</v>
      </c>
      <c r="N14" s="106">
        <f>K14/$N$10*-1</f>
        <v>-9.5401098399259088E-2</v>
      </c>
      <c r="O14" s="106">
        <f>L14*$O$10/$N$10</f>
        <v>0</v>
      </c>
      <c r="P14" s="384">
        <f>N14+O14</f>
        <v>-9.5401098399259088E-2</v>
      </c>
      <c r="Q14" s="96"/>
      <c r="R14" s="407"/>
      <c r="S14" s="380"/>
      <c r="T14" s="132"/>
      <c r="U14" s="380"/>
      <c r="V14" s="132"/>
      <c r="W14" s="380"/>
      <c r="X14" s="132"/>
      <c r="Y14" s="380"/>
      <c r="Z14" s="380"/>
      <c r="AA14" s="404"/>
      <c r="AB14" s="404"/>
    </row>
    <row r="15" spans="1:28" s="40" customFormat="1">
      <c r="A15" s="180">
        <f>'ADJ DETAIL INPUT'!I$10</f>
        <v>1.04</v>
      </c>
      <c r="B15" s="29" t="str">
        <f>TRIM(CONCATENATE('ADJ DETAIL INPUT'!I$7," ",'ADJ DETAIL INPUT'!I$8," ",'ADJ DETAIL INPUT'!I$9))</f>
        <v>Remove AMI Rate Base</v>
      </c>
      <c r="C15" s="376"/>
      <c r="D15" s="376"/>
      <c r="E15" s="31">
        <v>-95.842823999999993</v>
      </c>
      <c r="F15" s="31">
        <v>-18403</v>
      </c>
      <c r="G15" s="38"/>
      <c r="H15" s="38">
        <f>'ADJ DETAIL INPUT'!I$58</f>
        <v>-94.683435000000003</v>
      </c>
      <c r="I15" s="38">
        <f>'ADJ DETAIL INPUT'!I$81</f>
        <v>-18403</v>
      </c>
      <c r="J15" s="41"/>
      <c r="K15" s="379">
        <f t="shared" si="0"/>
        <v>1.1593889999999902</v>
      </c>
      <c r="L15" s="379">
        <f t="shared" si="0"/>
        <v>0</v>
      </c>
      <c r="N15" s="383">
        <f>K15/$N$10*-1</f>
        <v>-1.534673438672695</v>
      </c>
      <c r="O15" s="383">
        <f>L15*$O$10/$N$10</f>
        <v>0</v>
      </c>
      <c r="P15" s="384">
        <f>N15+O15</f>
        <v>-1.534673438672695</v>
      </c>
      <c r="Q15" s="407"/>
      <c r="R15" s="407"/>
      <c r="S15" s="380"/>
      <c r="T15" s="132"/>
      <c r="U15" s="380"/>
      <c r="V15" s="132"/>
      <c r="W15" s="380"/>
      <c r="X15" s="132"/>
      <c r="Y15" s="380"/>
      <c r="Z15" s="380"/>
      <c r="AA15" s="404"/>
      <c r="AB15" s="404"/>
    </row>
    <row r="16" spans="1:28" ht="8.25" customHeight="1">
      <c r="A16" s="180"/>
      <c r="B16" s="29"/>
      <c r="C16" s="30"/>
      <c r="D16" s="30"/>
      <c r="E16" s="31"/>
      <c r="F16" s="31"/>
      <c r="G16" s="38"/>
      <c r="H16" s="38"/>
      <c r="I16" s="38"/>
      <c r="J16" s="24"/>
      <c r="K16" s="103"/>
      <c r="L16" s="103"/>
      <c r="M16" s="40"/>
      <c r="N16" s="106"/>
      <c r="O16" s="106"/>
      <c r="S16" s="380"/>
      <c r="T16" s="380"/>
      <c r="U16" s="380"/>
      <c r="V16" s="380"/>
      <c r="W16" s="380"/>
      <c r="X16" s="380"/>
      <c r="Y16" s="380"/>
      <c r="Z16" s="380"/>
    </row>
    <row r="17" spans="1:28">
      <c r="A17" s="180"/>
      <c r="B17" s="12" t="s">
        <v>74</v>
      </c>
      <c r="E17" s="32">
        <f>SUM(E11:E16)</f>
        <v>24355.167264</v>
      </c>
      <c r="F17" s="32">
        <f>SUM(F11:F16)</f>
        <v>385391</v>
      </c>
      <c r="G17" s="32"/>
      <c r="H17" s="32">
        <f>SUM(H11:H16)</f>
        <v>24356.461409999996</v>
      </c>
      <c r="I17" s="32">
        <f>SUM(I11:I16)</f>
        <v>385391</v>
      </c>
      <c r="J17" s="24"/>
      <c r="K17" s="32">
        <f>SUM(K11:K16)</f>
        <v>1.2941459999999898</v>
      </c>
      <c r="L17" s="32">
        <f>SUM(L11:L16)</f>
        <v>0</v>
      </c>
      <c r="N17" s="32">
        <f>SUM(N11:N16)</f>
        <v>-1.7130501427601217</v>
      </c>
      <c r="O17" s="32">
        <f>SUM(O11:O16)</f>
        <v>0</v>
      </c>
      <c r="S17" s="380"/>
      <c r="T17" s="380"/>
      <c r="U17" s="380"/>
      <c r="V17" s="380"/>
      <c r="W17" s="380"/>
      <c r="X17" s="380"/>
      <c r="Y17" s="380"/>
      <c r="Z17" s="380"/>
    </row>
    <row r="18" spans="1:28" ht="5.25" customHeight="1">
      <c r="A18" s="180"/>
      <c r="B18" s="29"/>
      <c r="C18" s="30"/>
      <c r="D18" s="30"/>
      <c r="E18" s="31"/>
      <c r="F18" s="31"/>
      <c r="G18" s="31"/>
      <c r="H18" s="31"/>
      <c r="I18" s="31"/>
      <c r="J18" s="24"/>
      <c r="S18" s="451"/>
      <c r="T18" s="132"/>
      <c r="U18" s="380"/>
      <c r="V18" s="132"/>
      <c r="W18" s="380"/>
      <c r="X18" s="380"/>
      <c r="Y18" s="380"/>
      <c r="Z18" s="380"/>
    </row>
    <row r="19" spans="1:28" s="40" customFormat="1">
      <c r="A19" s="412">
        <f>'ADJ DETAIL INPUT'!J$10</f>
        <v>2.0099999999999998</v>
      </c>
      <c r="B19" s="29" t="str">
        <f>TRIM(CONCATENATE('ADJ DETAIL INPUT'!J$7," ",'ADJ DETAIL INPUT'!J$8," ",'ADJ DETAIL INPUT'!J$9))</f>
        <v>Eliminate B &amp; O Taxes</v>
      </c>
      <c r="C19" s="30"/>
      <c r="D19" s="30"/>
      <c r="E19" s="38">
        <v>-9.48</v>
      </c>
      <c r="F19" s="38">
        <v>0</v>
      </c>
      <c r="G19" s="38"/>
      <c r="H19" s="38">
        <f>'ADJ DETAIL INPUT'!J$58</f>
        <v>-9.48</v>
      </c>
      <c r="I19" s="38">
        <f>'ADJ DETAIL INPUT'!J$81</f>
        <v>0</v>
      </c>
      <c r="J19" s="41"/>
      <c r="K19" s="103">
        <f t="shared" ref="K19:K30" si="1">H19-E19</f>
        <v>0</v>
      </c>
      <c r="L19" s="103">
        <f t="shared" ref="L19:L30" si="2">I19-F19</f>
        <v>0</v>
      </c>
      <c r="M19" s="12"/>
      <c r="N19" s="106">
        <f t="shared" ref="N19:N30" si="3">K19/$N$10*-1</f>
        <v>0</v>
      </c>
      <c r="O19" s="106">
        <f t="shared" ref="O19:O30" si="4">L19*$O$10/$N$10</f>
        <v>0</v>
      </c>
      <c r="P19" s="384">
        <f t="shared" ref="P19:P30" si="5">N19+O19</f>
        <v>0</v>
      </c>
      <c r="Q19" s="97"/>
      <c r="R19" s="407"/>
      <c r="S19" s="451"/>
      <c r="T19" s="132"/>
      <c r="U19" s="380"/>
      <c r="V19" s="133"/>
      <c r="W19" s="380"/>
      <c r="X19" s="380"/>
      <c r="Y19" s="380"/>
      <c r="Z19" s="380"/>
      <c r="AA19" s="404"/>
      <c r="AB19" s="404"/>
    </row>
    <row r="20" spans="1:28" s="40" customFormat="1">
      <c r="A20" s="412">
        <f>'ADJ DETAIL INPUT'!K$10</f>
        <v>2.0199999999999996</v>
      </c>
      <c r="B20" s="29" t="str">
        <f>TRIM(CONCATENATE('ADJ DETAIL INPUT'!K$7," ",'ADJ DETAIL INPUT'!K$8," ",'ADJ DETAIL INPUT'!K$9))</f>
        <v>Restate Property Tax</v>
      </c>
      <c r="C20" s="30"/>
      <c r="D20" s="30"/>
      <c r="E20" s="38">
        <v>-188.81</v>
      </c>
      <c r="F20" s="38">
        <v>0</v>
      </c>
      <c r="G20" s="38"/>
      <c r="H20" s="38">
        <f>'ADJ DETAIL INPUT'!K$58</f>
        <v>-188.81</v>
      </c>
      <c r="I20" s="38">
        <f>'ADJ DETAIL INPUT'!K$81</f>
        <v>0</v>
      </c>
      <c r="J20" s="41"/>
      <c r="K20" s="103">
        <f t="shared" si="1"/>
        <v>0</v>
      </c>
      <c r="L20" s="103">
        <f t="shared" si="2"/>
        <v>0</v>
      </c>
      <c r="M20" s="12"/>
      <c r="N20" s="106">
        <f t="shared" si="3"/>
        <v>0</v>
      </c>
      <c r="O20" s="106">
        <f t="shared" si="4"/>
        <v>0</v>
      </c>
      <c r="P20" s="384">
        <f t="shared" si="5"/>
        <v>0</v>
      </c>
      <c r="Q20" s="97"/>
      <c r="R20" s="407"/>
      <c r="S20" s="451"/>
      <c r="T20" s="132"/>
      <c r="U20" s="380"/>
      <c r="V20" s="132"/>
      <c r="W20" s="380"/>
      <c r="X20" s="380"/>
      <c r="Y20" s="380"/>
      <c r="Z20" s="380"/>
      <c r="AA20" s="404"/>
      <c r="AB20" s="404"/>
    </row>
    <row r="21" spans="1:28" s="40" customFormat="1">
      <c r="A21" s="412">
        <f>'ADJ DETAIL INPUT'!L$10</f>
        <v>2.0299999999999994</v>
      </c>
      <c r="B21" s="29" t="str">
        <f>TRIM(CONCATENATE('ADJ DETAIL INPUT'!L$7," ",'ADJ DETAIL INPUT'!L$8," ",'ADJ DETAIL INPUT'!L$9))</f>
        <v>Uncollectible Expense</v>
      </c>
      <c r="C21" s="30"/>
      <c r="D21" s="30"/>
      <c r="E21" s="38">
        <v>-131.13999999999999</v>
      </c>
      <c r="F21" s="38">
        <v>0</v>
      </c>
      <c r="G21" s="38"/>
      <c r="H21" s="38">
        <f>'ADJ DETAIL INPUT'!L$58</f>
        <v>-131.13999999999999</v>
      </c>
      <c r="I21" s="38">
        <f>'ADJ DETAIL INPUT'!L$81</f>
        <v>0</v>
      </c>
      <c r="J21" s="41"/>
      <c r="K21" s="103">
        <f>H21-E21</f>
        <v>0</v>
      </c>
      <c r="L21" s="103">
        <f>I21-F21</f>
        <v>0</v>
      </c>
      <c r="M21" s="12"/>
      <c r="N21" s="106">
        <f>K21/$N$10*-1</f>
        <v>0</v>
      </c>
      <c r="O21" s="106">
        <f>L21*$O$10/$N$10</f>
        <v>0</v>
      </c>
      <c r="P21" s="384">
        <f>N21+O21</f>
        <v>0</v>
      </c>
      <c r="Q21" s="97"/>
      <c r="R21" s="407"/>
      <c r="S21" s="132"/>
      <c r="T21" s="98"/>
      <c r="U21" s="380"/>
      <c r="V21" s="380"/>
      <c r="W21" s="380"/>
      <c r="X21" s="380"/>
      <c r="Y21" s="380"/>
      <c r="Z21" s="380"/>
      <c r="AA21" s="404"/>
      <c r="AB21" s="404"/>
    </row>
    <row r="22" spans="1:28" s="40" customFormat="1">
      <c r="A22" s="412">
        <f>'ADJ DETAIL INPUT'!M$10</f>
        <v>2.0399999999999991</v>
      </c>
      <c r="B22" s="29" t="str">
        <f>TRIM(CONCATENATE('ADJ DETAIL INPUT'!M$7," ",'ADJ DETAIL INPUT'!M$8," ",'ADJ DETAIL INPUT'!M$9))</f>
        <v>Regulatory Expense</v>
      </c>
      <c r="C22" s="30"/>
      <c r="D22" s="30"/>
      <c r="E22" s="38">
        <v>45.82</v>
      </c>
      <c r="F22" s="38">
        <v>0</v>
      </c>
      <c r="G22" s="38"/>
      <c r="H22" s="38">
        <f>'ADJ DETAIL INPUT'!M$58</f>
        <v>45.82</v>
      </c>
      <c r="I22" s="38">
        <f>'ADJ DETAIL INPUT'!M$81</f>
        <v>0</v>
      </c>
      <c r="J22" s="41"/>
      <c r="K22" s="103">
        <f t="shared" si="1"/>
        <v>0</v>
      </c>
      <c r="L22" s="103">
        <f t="shared" si="2"/>
        <v>0</v>
      </c>
      <c r="M22" s="12"/>
      <c r="N22" s="106">
        <f t="shared" si="3"/>
        <v>0</v>
      </c>
      <c r="O22" s="106">
        <f t="shared" si="4"/>
        <v>0</v>
      </c>
      <c r="P22" s="384">
        <f t="shared" si="5"/>
        <v>0</v>
      </c>
      <c r="Q22" s="97"/>
      <c r="R22" s="407"/>
      <c r="S22" s="132"/>
      <c r="T22" s="380"/>
      <c r="U22" s="380"/>
      <c r="V22" s="380"/>
      <c r="W22" s="380"/>
      <c r="X22" s="380"/>
      <c r="Y22" s="380"/>
      <c r="Z22" s="380"/>
      <c r="AA22" s="404"/>
      <c r="AB22" s="404"/>
    </row>
    <row r="23" spans="1:28" s="40" customFormat="1">
      <c r="A23" s="412">
        <f>'ADJ DETAIL INPUT'!N$10</f>
        <v>2.0499999999999989</v>
      </c>
      <c r="B23" s="29" t="str">
        <f>TRIM(CONCATENATE('ADJ DETAIL INPUT'!N$7," ",'ADJ DETAIL INPUT'!N$8," ",'ADJ DETAIL INPUT'!N$9))</f>
        <v>Injuries &amp; Damages</v>
      </c>
      <c r="C23" s="30"/>
      <c r="D23" s="30"/>
      <c r="E23" s="38">
        <v>7.11</v>
      </c>
      <c r="F23" s="38">
        <v>0</v>
      </c>
      <c r="G23" s="38"/>
      <c r="H23" s="38">
        <f>'ADJ DETAIL INPUT'!N$58</f>
        <v>7.11</v>
      </c>
      <c r="I23" s="38">
        <f>'ADJ DETAIL INPUT'!N$81</f>
        <v>0</v>
      </c>
      <c r="J23" s="41"/>
      <c r="K23" s="103">
        <f t="shared" si="1"/>
        <v>0</v>
      </c>
      <c r="L23" s="103">
        <f t="shared" si="2"/>
        <v>0</v>
      </c>
      <c r="M23" s="12"/>
      <c r="N23" s="106">
        <f t="shared" si="3"/>
        <v>0</v>
      </c>
      <c r="O23" s="106">
        <f t="shared" si="4"/>
        <v>0</v>
      </c>
      <c r="P23" s="384">
        <f t="shared" si="5"/>
        <v>0</v>
      </c>
      <c r="Q23" s="97"/>
      <c r="R23" s="407"/>
      <c r="S23" s="380"/>
      <c r="T23" s="380"/>
      <c r="U23" s="380"/>
      <c r="V23" s="380"/>
      <c r="W23" s="380"/>
      <c r="X23" s="380"/>
      <c r="Y23" s="380"/>
      <c r="Z23" s="380"/>
      <c r="AA23" s="404"/>
      <c r="AB23" s="404"/>
    </row>
    <row r="24" spans="1:28" s="40" customFormat="1">
      <c r="A24" s="412">
        <f>'ADJ DETAIL INPUT'!O$10</f>
        <v>2.0599999999999987</v>
      </c>
      <c r="B24" s="29" t="str">
        <f>TRIM(CONCATENATE('ADJ DETAIL INPUT'!O$7," ",'ADJ DETAIL INPUT'!O$8," ",'ADJ DETAIL INPUT'!O$9))</f>
        <v>FIT / DFIT Expense</v>
      </c>
      <c r="C24" s="30"/>
      <c r="D24" s="30"/>
      <c r="E24" s="38">
        <v>-53</v>
      </c>
      <c r="F24" s="38">
        <v>0</v>
      </c>
      <c r="G24" s="38"/>
      <c r="H24" s="38">
        <f>'ADJ DETAIL INPUT'!O$58</f>
        <v>-53</v>
      </c>
      <c r="I24" s="38">
        <f>'ADJ DETAIL INPUT'!O$81</f>
        <v>0</v>
      </c>
      <c r="J24" s="41"/>
      <c r="K24" s="103">
        <f t="shared" si="1"/>
        <v>0</v>
      </c>
      <c r="L24" s="103">
        <f t="shared" si="2"/>
        <v>0</v>
      </c>
      <c r="M24" s="12"/>
      <c r="N24" s="106">
        <f t="shared" si="3"/>
        <v>0</v>
      </c>
      <c r="O24" s="106">
        <f t="shared" si="4"/>
        <v>0</v>
      </c>
      <c r="P24" s="384">
        <f t="shared" si="5"/>
        <v>0</v>
      </c>
      <c r="Q24" s="97"/>
      <c r="R24" s="407"/>
      <c r="S24" s="132"/>
      <c r="T24" s="380"/>
      <c r="U24" s="380"/>
      <c r="V24" s="380"/>
      <c r="W24" s="380"/>
      <c r="X24" s="380"/>
      <c r="Y24" s="380"/>
      <c r="Z24" s="380"/>
      <c r="AA24" s="404"/>
      <c r="AB24" s="404"/>
    </row>
    <row r="25" spans="1:28" s="40" customFormat="1">
      <c r="A25" s="412">
        <f>'ADJ DETAIL INPUT'!P$10</f>
        <v>2.0699999999999985</v>
      </c>
      <c r="B25" s="29" t="str">
        <f>TRIM(CONCATENATE('ADJ DETAIL INPUT'!P$7," ",'ADJ DETAIL INPUT'!P$8," ",'ADJ DETAIL INPUT'!P$9))</f>
        <v>Office Space Charges to Non-Utility</v>
      </c>
      <c r="C25" s="30"/>
      <c r="D25" s="30"/>
      <c r="E25" s="38">
        <v>12.64</v>
      </c>
      <c r="F25" s="38">
        <v>0</v>
      </c>
      <c r="G25" s="38"/>
      <c r="H25" s="38">
        <f>'ADJ DETAIL INPUT'!P$58</f>
        <v>12.64</v>
      </c>
      <c r="I25" s="38">
        <f>'ADJ DETAIL INPUT'!P$81</f>
        <v>0</v>
      </c>
      <c r="J25" s="41"/>
      <c r="K25" s="103">
        <f t="shared" si="1"/>
        <v>0</v>
      </c>
      <c r="L25" s="103">
        <f t="shared" si="2"/>
        <v>0</v>
      </c>
      <c r="M25" s="105"/>
      <c r="N25" s="106">
        <f t="shared" si="3"/>
        <v>0</v>
      </c>
      <c r="O25" s="106">
        <f t="shared" si="4"/>
        <v>0</v>
      </c>
      <c r="P25" s="384">
        <f t="shared" si="5"/>
        <v>0</v>
      </c>
      <c r="Q25" s="97"/>
      <c r="R25" s="407"/>
      <c r="S25" s="380"/>
      <c r="T25" s="380"/>
      <c r="U25" s="380"/>
      <c r="V25" s="380"/>
      <c r="W25" s="380"/>
      <c r="X25" s="380"/>
      <c r="Y25" s="380"/>
      <c r="Z25" s="380"/>
      <c r="AA25" s="404"/>
      <c r="AB25" s="404"/>
    </row>
    <row r="26" spans="1:28" s="40" customFormat="1">
      <c r="A26" s="412">
        <f>'ADJ DETAIL INPUT'!Q$10</f>
        <v>2.0799999999999983</v>
      </c>
      <c r="B26" s="29" t="str">
        <f>TRIM(CONCATENATE('ADJ DETAIL INPUT'!Q$7," ",'ADJ DETAIL INPUT'!Q$8," ",'ADJ DETAIL INPUT'!Q$9))</f>
        <v>Restate Excise Taxes</v>
      </c>
      <c r="C26" s="30"/>
      <c r="D26" s="30"/>
      <c r="E26" s="38">
        <v>-0.79</v>
      </c>
      <c r="F26" s="38">
        <v>0</v>
      </c>
      <c r="G26" s="38"/>
      <c r="H26" s="38">
        <f>'ADJ DETAIL INPUT'!Q$58</f>
        <v>-0.79</v>
      </c>
      <c r="I26" s="38">
        <f>'ADJ DETAIL INPUT'!Q$81</f>
        <v>0</v>
      </c>
      <c r="J26" s="41"/>
      <c r="K26" s="103">
        <f t="shared" si="1"/>
        <v>0</v>
      </c>
      <c r="L26" s="103">
        <f t="shared" si="2"/>
        <v>0</v>
      </c>
      <c r="M26" s="105"/>
      <c r="N26" s="106">
        <f t="shared" si="3"/>
        <v>0</v>
      </c>
      <c r="O26" s="106">
        <f t="shared" si="4"/>
        <v>0</v>
      </c>
      <c r="P26" s="384">
        <f t="shared" si="5"/>
        <v>0</v>
      </c>
      <c r="Q26" s="97"/>
      <c r="R26" s="407"/>
      <c r="S26" s="132"/>
      <c r="T26" s="380"/>
      <c r="U26" s="380"/>
      <c r="V26" s="380"/>
      <c r="W26" s="380"/>
      <c r="X26" s="380"/>
      <c r="Y26" s="380"/>
      <c r="Z26" s="380"/>
      <c r="AA26" s="404"/>
      <c r="AB26" s="404"/>
    </row>
    <row r="27" spans="1:28" s="40" customFormat="1">
      <c r="A27" s="412">
        <f>'ADJ DETAIL INPUT'!R$10</f>
        <v>2.0899999999999981</v>
      </c>
      <c r="B27" s="29" t="str">
        <f>TRIM(CONCATENATE('ADJ DETAIL INPUT'!R$7," ",'ADJ DETAIL INPUT'!R$8," ",'ADJ DETAIL INPUT'!R$9))</f>
        <v>Net Gains &amp; Losses</v>
      </c>
      <c r="C27" s="30"/>
      <c r="D27" s="30"/>
      <c r="E27" s="38">
        <v>8.69</v>
      </c>
      <c r="F27" s="38">
        <v>0</v>
      </c>
      <c r="G27" s="38"/>
      <c r="H27" s="38">
        <f>'ADJ DETAIL INPUT'!R$58</f>
        <v>8.69</v>
      </c>
      <c r="I27" s="38">
        <f>'ADJ DETAIL INPUT'!R$81</f>
        <v>0</v>
      </c>
      <c r="J27" s="41"/>
      <c r="K27" s="103">
        <f t="shared" ref="K27:L29" si="6">H27-E27</f>
        <v>0</v>
      </c>
      <c r="L27" s="103">
        <f t="shared" si="6"/>
        <v>0</v>
      </c>
      <c r="M27" s="105"/>
      <c r="N27" s="106">
        <f>K27/$N$10*-1</f>
        <v>0</v>
      </c>
      <c r="O27" s="106">
        <f>L27*$O$10/$N$10</f>
        <v>0</v>
      </c>
      <c r="P27" s="384">
        <f>N27+O27</f>
        <v>0</v>
      </c>
      <c r="Q27" s="97"/>
      <c r="R27" s="407"/>
      <c r="S27" s="380"/>
      <c r="T27" s="380"/>
      <c r="U27" s="380"/>
      <c r="V27" s="380"/>
      <c r="W27" s="380"/>
      <c r="X27" s="380"/>
      <c r="Y27" s="380"/>
      <c r="Z27" s="380"/>
      <c r="AA27" s="404"/>
      <c r="AB27" s="404"/>
    </row>
    <row r="28" spans="1:28" s="30" customFormat="1">
      <c r="A28" s="412">
        <f>'ADJ DETAIL INPUT'!S$10</f>
        <v>2.0999999999999979</v>
      </c>
      <c r="B28" s="29" t="str">
        <f>TRIM(CONCATENATE('ADJ DETAIL INPUT'!S$7," ",'ADJ DETAIL INPUT'!S$8," ",'ADJ DETAIL INPUT'!S$9))</f>
        <v>Weather Normalization / Gas Cost Adjust</v>
      </c>
      <c r="E28" s="38">
        <v>-4.74</v>
      </c>
      <c r="F28" s="38">
        <v>0</v>
      </c>
      <c r="G28" s="38"/>
      <c r="H28" s="38">
        <f>'ADJ DETAIL INPUT'!S$58</f>
        <v>-4.74</v>
      </c>
      <c r="I28" s="38">
        <f>'ADJ DETAIL INPUT'!S$81</f>
        <v>0</v>
      </c>
      <c r="J28" s="39"/>
      <c r="K28" s="103">
        <f t="shared" si="6"/>
        <v>0</v>
      </c>
      <c r="L28" s="103">
        <f t="shared" si="6"/>
        <v>0</v>
      </c>
      <c r="M28" s="12"/>
      <c r="N28" s="106">
        <f>K28/$N$10*-1</f>
        <v>0</v>
      </c>
      <c r="O28" s="106">
        <f>L28*$O$10/$N$10</f>
        <v>0</v>
      </c>
      <c r="P28" s="384">
        <f>N28+O28</f>
        <v>0</v>
      </c>
      <c r="Q28" s="93"/>
      <c r="R28" s="407"/>
      <c r="S28" s="671"/>
      <c r="T28" s="671"/>
      <c r="U28" s="380"/>
      <c r="V28" s="380"/>
      <c r="W28" s="380"/>
      <c r="X28" s="380"/>
      <c r="Y28" s="380"/>
      <c r="Z28" s="380"/>
      <c r="AA28" s="404"/>
      <c r="AB28" s="404"/>
    </row>
    <row r="29" spans="1:28" s="376" customFormat="1">
      <c r="A29" s="412">
        <f>'ADJ DETAIL INPUT'!T$10</f>
        <v>2.1099999999999977</v>
      </c>
      <c r="B29" s="29" t="str">
        <f>TRIM(CONCATENATE('ADJ DETAIL INPUT'!T$7," ",'ADJ DETAIL INPUT'!T$8," ",'ADJ DETAIL INPUT'!T$9))</f>
        <v>Eliminate Adder Schedules</v>
      </c>
      <c r="E29" s="38">
        <v>-3.999999999996362E-2</v>
      </c>
      <c r="F29" s="38">
        <v>0</v>
      </c>
      <c r="G29" s="38"/>
      <c r="H29" s="38">
        <f>'ADJ DETAIL INPUT'!T$58</f>
        <v>-3.999999999996362E-2</v>
      </c>
      <c r="I29" s="38">
        <f>'ADJ DETAIL INPUT'!T$81</f>
        <v>0</v>
      </c>
      <c r="J29" s="39"/>
      <c r="K29" s="379">
        <f t="shared" si="6"/>
        <v>0</v>
      </c>
      <c r="L29" s="379">
        <f t="shared" si="6"/>
        <v>0</v>
      </c>
      <c r="M29" s="373"/>
      <c r="N29" s="383">
        <f>K29/$N$10*-1</f>
        <v>0</v>
      </c>
      <c r="O29" s="383">
        <f>L29*$O$10/$N$10</f>
        <v>0</v>
      </c>
      <c r="P29" s="384">
        <f>N29+O29</f>
        <v>0</v>
      </c>
      <c r="Q29" s="382"/>
      <c r="R29" s="407"/>
      <c r="S29" s="671"/>
      <c r="T29" s="671"/>
      <c r="U29" s="380"/>
      <c r="V29" s="380"/>
      <c r="W29" s="380"/>
      <c r="X29" s="380"/>
      <c r="Y29" s="380"/>
      <c r="Z29" s="380"/>
      <c r="AA29" s="404"/>
      <c r="AB29" s="404"/>
    </row>
    <row r="30" spans="1:28" s="97" customFormat="1">
      <c r="A30" s="412">
        <f>'ADJ DETAIL INPUT'!U$10</f>
        <v>2.1199999999999974</v>
      </c>
      <c r="B30" s="92" t="str">
        <f>TRIM(CONCATENATE('ADJ DETAIL INPUT'!U$7," ",'ADJ DETAIL INPUT'!U$8," ",'ADJ DETAIL INPUT'!U$9))</f>
        <v>Misc. Restating Non-Util / Non- Recurring Expense</v>
      </c>
      <c r="C30" s="93"/>
      <c r="D30" s="93"/>
      <c r="E30" s="94">
        <v>-34.76</v>
      </c>
      <c r="F30" s="94">
        <v>0</v>
      </c>
      <c r="G30" s="94"/>
      <c r="H30" s="94">
        <f>'ADJ DETAIL INPUT'!U$58</f>
        <v>-34.76</v>
      </c>
      <c r="I30" s="94">
        <f>'ADJ DETAIL INPUT'!U$81</f>
        <v>0</v>
      </c>
      <c r="J30" s="98"/>
      <c r="K30" s="103">
        <f t="shared" si="1"/>
        <v>0</v>
      </c>
      <c r="L30" s="103">
        <f t="shared" si="2"/>
        <v>0</v>
      </c>
      <c r="M30" s="105"/>
      <c r="N30" s="106">
        <f t="shared" si="3"/>
        <v>0</v>
      </c>
      <c r="O30" s="106">
        <f t="shared" si="4"/>
        <v>0</v>
      </c>
      <c r="P30" s="384">
        <f t="shared" si="5"/>
        <v>0</v>
      </c>
      <c r="R30" s="407"/>
      <c r="S30" s="671"/>
      <c r="T30" s="671"/>
      <c r="U30" s="380"/>
      <c r="V30" s="380"/>
      <c r="W30" s="380"/>
      <c r="X30" s="380"/>
      <c r="Y30" s="380"/>
      <c r="Z30" s="380"/>
      <c r="AA30" s="407"/>
      <c r="AB30" s="407"/>
    </row>
    <row r="31" spans="1:28" s="97" customFormat="1">
      <c r="A31" s="412">
        <f>'ADJ DETAIL INPUT'!V$10</f>
        <v>2.1299999999999972</v>
      </c>
      <c r="B31" s="92" t="str">
        <f>TRIM(CONCATENATE('ADJ DETAIL INPUT'!V$7," ",'ADJ DETAIL INPUT'!V$8," ",'ADJ DETAIL INPUT'!V$9))</f>
        <v>Restating Incentives Expense</v>
      </c>
      <c r="C31" s="382"/>
      <c r="D31" s="382"/>
      <c r="E31" s="94">
        <v>-173.01</v>
      </c>
      <c r="F31" s="94">
        <v>0</v>
      </c>
      <c r="G31" s="94"/>
      <c r="H31" s="94">
        <f>'ADJ DETAIL INPUT'!V$58</f>
        <v>-173.01</v>
      </c>
      <c r="I31" s="94">
        <f>'ADJ DETAIL INPUT'!V$81</f>
        <v>0</v>
      </c>
      <c r="J31" s="98"/>
      <c r="K31" s="379">
        <f t="shared" ref="K31:L33" si="7">H31-E31</f>
        <v>0</v>
      </c>
      <c r="L31" s="379">
        <f t="shared" si="7"/>
        <v>0</v>
      </c>
      <c r="M31" s="105"/>
      <c r="N31" s="383">
        <f>K31/$N$10*-1</f>
        <v>0</v>
      </c>
      <c r="O31" s="383">
        <f>L31*$O$10/$N$10</f>
        <v>0</v>
      </c>
      <c r="P31" s="384">
        <f>N31+O31</f>
        <v>0</v>
      </c>
      <c r="Q31" s="407"/>
      <c r="R31" s="407"/>
      <c r="S31" s="98"/>
      <c r="T31" s="98"/>
      <c r="U31" s="380"/>
      <c r="V31" s="407"/>
      <c r="W31" s="407"/>
      <c r="X31" s="407"/>
      <c r="Y31" s="407"/>
      <c r="Z31" s="407"/>
      <c r="AA31" s="407"/>
      <c r="AB31" s="407"/>
    </row>
    <row r="32" spans="1:28" s="97" customFormat="1">
      <c r="A32" s="412">
        <f>'ADJ DETAIL INPUT'!W$10</f>
        <v>2.139999999999997</v>
      </c>
      <c r="B32" s="92" t="str">
        <f>TRIM(CONCATENATE('ADJ DETAIL INPUT'!W$7," ",'ADJ DETAIL INPUT'!W$8," ",'ADJ DETAIL INPUT'!W$9))</f>
        <v>Restate Debt Interest</v>
      </c>
      <c r="C32" s="93"/>
      <c r="D32" s="93"/>
      <c r="E32" s="94">
        <v>-222</v>
      </c>
      <c r="F32" s="94">
        <v>0</v>
      </c>
      <c r="G32" s="94"/>
      <c r="H32" s="94">
        <f>'ADJ DETAIL INPUT'!W$58</f>
        <v>-247</v>
      </c>
      <c r="I32" s="94">
        <f>'ADJ DETAIL INPUT'!W$81</f>
        <v>0</v>
      </c>
      <c r="J32" s="98"/>
      <c r="K32" s="103">
        <f t="shared" si="7"/>
        <v>-25</v>
      </c>
      <c r="L32" s="103">
        <f t="shared" si="7"/>
        <v>0</v>
      </c>
      <c r="M32" s="105"/>
      <c r="N32" s="106">
        <f>K32/$N$10*-1</f>
        <v>33.092289099532337</v>
      </c>
      <c r="O32" s="106">
        <f>L32*$O$10/$N$10</f>
        <v>0</v>
      </c>
      <c r="P32" s="384">
        <f>N32+O32</f>
        <v>33.092289099532337</v>
      </c>
      <c r="Q32" s="96" t="s">
        <v>176</v>
      </c>
      <c r="R32" s="407"/>
      <c r="S32" s="380"/>
      <c r="T32" s="380"/>
      <c r="U32" s="380"/>
      <c r="V32" s="407"/>
      <c r="W32" s="407"/>
      <c r="X32" s="407"/>
      <c r="Y32" s="407"/>
      <c r="Z32" s="407"/>
      <c r="AA32" s="407"/>
      <c r="AB32" s="407"/>
    </row>
    <row r="33" spans="1:28" s="97" customFormat="1">
      <c r="A33" s="412">
        <f>'ADJ DETAIL INPUT'!X$10</f>
        <v>2.1499999999999968</v>
      </c>
      <c r="B33" s="92" t="str">
        <f>TRIM(CONCATENATE('ADJ DETAIL INPUT'!X$7," ",'ADJ DETAIL INPUT'!X$8," ",'ADJ DETAIL INPUT'!X$9))</f>
        <v>Restate 2019 AMA Rate Base to EOP</v>
      </c>
      <c r="C33" s="382"/>
      <c r="D33" s="382"/>
      <c r="E33" s="94">
        <v>273.28056518919055</v>
      </c>
      <c r="F33" s="94">
        <v>12730.523269813853</v>
      </c>
      <c r="G33" s="94"/>
      <c r="H33" s="94">
        <f>'ADJ DETAIL INPUT'!X$58</f>
        <v>272.47854222319228</v>
      </c>
      <c r="I33" s="94">
        <f>'ADJ DETAIL INPUT'!X$81</f>
        <v>12730.523269813853</v>
      </c>
      <c r="J33" s="98"/>
      <c r="K33" s="379">
        <f t="shared" si="7"/>
        <v>-0.80202296599827605</v>
      </c>
      <c r="L33" s="379">
        <f t="shared" si="7"/>
        <v>0</v>
      </c>
      <c r="M33" s="105"/>
      <c r="N33" s="383">
        <f>K33/$N$10*-1</f>
        <v>1.0616310342111739</v>
      </c>
      <c r="O33" s="383">
        <f>L33*$O$10/$N$10</f>
        <v>0</v>
      </c>
      <c r="P33" s="384">
        <f>N33+O33</f>
        <v>1.0616310342111739</v>
      </c>
      <c r="Q33" s="407"/>
      <c r="R33" s="407"/>
      <c r="S33" s="380"/>
      <c r="T33" s="380"/>
      <c r="U33" s="380"/>
      <c r="V33" s="407"/>
      <c r="W33" s="407"/>
      <c r="X33" s="407"/>
      <c r="Y33" s="407"/>
      <c r="Z33" s="407"/>
      <c r="AA33" s="407"/>
      <c r="AB33" s="407"/>
    </row>
    <row r="34" spans="1:28" ht="18" customHeight="1" thickBot="1">
      <c r="A34" s="412"/>
      <c r="B34" s="12" t="s">
        <v>75</v>
      </c>
      <c r="E34" s="36">
        <f>SUM(E17:E33)</f>
        <v>23884.937829189188</v>
      </c>
      <c r="F34" s="36">
        <f>SUM(F17:F33)</f>
        <v>398121.52326981386</v>
      </c>
      <c r="G34" s="36"/>
      <c r="H34" s="36">
        <f>SUM(H17:H33)</f>
        <v>23860.429952223185</v>
      </c>
      <c r="I34" s="36">
        <f>SUM(I17:I33)</f>
        <v>398121.52326981386</v>
      </c>
      <c r="J34" s="24"/>
      <c r="K34" s="36">
        <f>SUM(K17:K33)</f>
        <v>-24.507876965998285</v>
      </c>
      <c r="L34" s="36">
        <f>SUM(L17:L33)</f>
        <v>0</v>
      </c>
      <c r="M34" s="36"/>
      <c r="N34" s="36">
        <f>SUM(N17:N33)</f>
        <v>32.440869990983387</v>
      </c>
      <c r="O34" s="36">
        <f>SUM(O17:O33)</f>
        <v>0</v>
      </c>
      <c r="S34" s="380"/>
    </row>
    <row r="35" spans="1:28" ht="6.75" customHeight="1" thickTop="1">
      <c r="A35" s="412"/>
      <c r="D35" s="33"/>
      <c r="E35" s="33"/>
      <c r="H35" s="33"/>
      <c r="J35" s="24"/>
      <c r="K35" s="104"/>
      <c r="L35" s="104"/>
      <c r="N35" s="34"/>
      <c r="O35" s="34"/>
      <c r="S35" s="380"/>
    </row>
    <row r="36" spans="1:28" s="96" customFormat="1">
      <c r="A36" s="412">
        <f>'ADJ DETAIL INPUT'!AA$10</f>
        <v>3.01</v>
      </c>
      <c r="B36" s="92" t="str">
        <f>TRIM(CONCATENATE('ADJ DETAIL INPUT'!AA$7," ",'ADJ DETAIL INPUT'!AA$8," ",'ADJ DETAIL INPUT'!AA$9))</f>
        <v>Pro Forma Revenue Normalization</v>
      </c>
      <c r="C36" s="93"/>
      <c r="D36" s="93"/>
      <c r="E36" s="94">
        <v>8186.77</v>
      </c>
      <c r="F36" s="94">
        <v>0</v>
      </c>
      <c r="G36" s="94"/>
      <c r="H36" s="94">
        <f>'ADJ DETAIL INPUT'!AA$58</f>
        <v>8186.77</v>
      </c>
      <c r="I36" s="94">
        <f>'ADJ DETAIL INPUT'!AA$81</f>
        <v>0</v>
      </c>
      <c r="J36" s="95"/>
      <c r="K36" s="103">
        <f t="shared" ref="K36:K54" si="8">H36-E36</f>
        <v>0</v>
      </c>
      <c r="L36" s="103">
        <f t="shared" ref="L36:L54" si="9">I36-F36</f>
        <v>0</v>
      </c>
      <c r="M36" s="12"/>
      <c r="N36" s="106">
        <f t="shared" ref="N36:N54" si="10">K36/$N$10*-1</f>
        <v>0</v>
      </c>
      <c r="O36" s="106">
        <f t="shared" ref="O36:O54" si="11">L36*$O$10/$N$10</f>
        <v>0</v>
      </c>
      <c r="P36" s="128">
        <f t="shared" ref="P36:P54" si="12">N36+O36</f>
        <v>0</v>
      </c>
      <c r="Q36" s="380"/>
      <c r="R36" s="380"/>
      <c r="S36" s="380"/>
      <c r="T36" s="380"/>
      <c r="U36" s="380"/>
      <c r="V36" s="407"/>
      <c r="W36" s="407"/>
      <c r="X36" s="407"/>
      <c r="Y36" s="407"/>
      <c r="Z36" s="407"/>
      <c r="AA36" s="407"/>
      <c r="AB36" s="407"/>
    </row>
    <row r="37" spans="1:28" s="407" customFormat="1">
      <c r="A37" s="412">
        <f>'ADJ DETAIL INPUT'!AB$10</f>
        <v>3.0199999999999996</v>
      </c>
      <c r="B37" s="92" t="str">
        <f>TRIM(CONCATENATE('ADJ DETAIL INPUT'!AB$7," ",'ADJ DETAIL INPUT'!AB$8," ",'ADJ DETAIL INPUT'!AB$9))</f>
        <v>Pro Forma Def. Debits, Credits &amp; Regulatory Amorts</v>
      </c>
      <c r="C37" s="382"/>
      <c r="D37" s="382"/>
      <c r="E37" s="94">
        <v>181.7</v>
      </c>
      <c r="F37" s="94">
        <v>0</v>
      </c>
      <c r="G37" s="94"/>
      <c r="H37" s="94">
        <f>'ADJ DETAIL INPUT'!AB$58</f>
        <v>181.7</v>
      </c>
      <c r="I37" s="94">
        <f>'ADJ DETAIL INPUT'!AB$81</f>
        <v>0</v>
      </c>
      <c r="J37" s="380"/>
      <c r="K37" s="379">
        <f t="shared" si="8"/>
        <v>0</v>
      </c>
      <c r="L37" s="379">
        <f t="shared" si="9"/>
        <v>0</v>
      </c>
      <c r="M37" s="404"/>
      <c r="N37" s="383">
        <f t="shared" si="10"/>
        <v>0</v>
      </c>
      <c r="O37" s="383">
        <f t="shared" si="11"/>
        <v>0</v>
      </c>
      <c r="P37" s="128">
        <f t="shared" si="12"/>
        <v>0</v>
      </c>
      <c r="Q37" s="380"/>
      <c r="R37" s="380"/>
      <c r="S37" s="380"/>
      <c r="T37" s="380"/>
      <c r="U37" s="380"/>
    </row>
    <row r="38" spans="1:28" s="407" customFormat="1">
      <c r="A38" s="412">
        <f>'ADJ DETAIL INPUT'!AC$10</f>
        <v>3.0299999999999994</v>
      </c>
      <c r="B38" s="92" t="str">
        <f>TRIM(CONCATENATE('ADJ DETAIL INPUT'!AC$7," ",'ADJ DETAIL INPUT'!AC$8," ",'ADJ DETAIL INPUT'!AC$9))</f>
        <v>Pro Forma ARAM DFIT</v>
      </c>
      <c r="C38" s="382"/>
      <c r="D38" s="382"/>
      <c r="E38" s="94">
        <v>-41</v>
      </c>
      <c r="F38" s="94">
        <v>0</v>
      </c>
      <c r="G38" s="94"/>
      <c r="H38" s="94">
        <f>'ADJ DETAIL INPUT'!AC$58</f>
        <v>-41</v>
      </c>
      <c r="I38" s="94">
        <f>'ADJ DETAIL INPUT'!AC$81</f>
        <v>0</v>
      </c>
      <c r="J38" s="380"/>
      <c r="K38" s="379">
        <f t="shared" si="8"/>
        <v>0</v>
      </c>
      <c r="L38" s="379">
        <f t="shared" si="9"/>
        <v>0</v>
      </c>
      <c r="M38" s="404"/>
      <c r="N38" s="383">
        <f t="shared" si="10"/>
        <v>0</v>
      </c>
      <c r="O38" s="383">
        <f t="shared" si="11"/>
        <v>0</v>
      </c>
      <c r="P38" s="128">
        <f t="shared" si="12"/>
        <v>0</v>
      </c>
      <c r="Q38" s="380"/>
      <c r="R38" s="380"/>
      <c r="S38" s="380"/>
      <c r="T38" s="380"/>
      <c r="U38" s="380"/>
    </row>
    <row r="39" spans="1:28">
      <c r="A39" s="412">
        <f>'ADJ DETAIL INPUT'!AD$10</f>
        <v>3.0399999999999991</v>
      </c>
      <c r="B39" s="29" t="str">
        <f>TRIM(CONCATENATE('ADJ DETAIL INPUT'!AD$7," ",'ADJ DETAIL INPUT'!AD$8," ",'ADJ DETAIL INPUT'!AD$9))</f>
        <v>Pro Forma Labor Non-Exec</v>
      </c>
      <c r="C39" s="30"/>
      <c r="D39" s="30"/>
      <c r="E39" s="38">
        <v>-771.83</v>
      </c>
      <c r="F39" s="38">
        <v>0</v>
      </c>
      <c r="G39" s="38"/>
      <c r="H39" s="38">
        <f>'ADJ DETAIL INPUT'!AD$58</f>
        <v>-771.83</v>
      </c>
      <c r="I39" s="38">
        <f>'ADJ DETAIL INPUT'!AD$81</f>
        <v>0</v>
      </c>
      <c r="J39" s="24"/>
      <c r="K39" s="103">
        <f t="shared" si="8"/>
        <v>0</v>
      </c>
      <c r="L39" s="103">
        <f t="shared" si="9"/>
        <v>0</v>
      </c>
      <c r="N39" s="106">
        <f t="shared" si="10"/>
        <v>0</v>
      </c>
      <c r="O39" s="106">
        <f t="shared" si="11"/>
        <v>0</v>
      </c>
      <c r="P39" s="384">
        <f t="shared" si="12"/>
        <v>0</v>
      </c>
      <c r="S39" s="132"/>
    </row>
    <row r="40" spans="1:28" ht="13.5" customHeight="1">
      <c r="A40" s="412">
        <f>'ADJ DETAIL INPUT'!AE$10</f>
        <v>3.0499999999999989</v>
      </c>
      <c r="B40" s="29" t="str">
        <f>TRIM(CONCATENATE('ADJ DETAIL INPUT'!AE$7," ",'ADJ DETAIL INPUT'!AE$8," ",'ADJ DETAIL INPUT'!AE$9))</f>
        <v>Pro Forma Labor Exec</v>
      </c>
      <c r="C40" s="30"/>
      <c r="D40" s="30"/>
      <c r="E40" s="38">
        <v>76.63</v>
      </c>
      <c r="F40" s="38">
        <v>0</v>
      </c>
      <c r="G40" s="38"/>
      <c r="H40" s="38">
        <f>'ADJ DETAIL INPUT'!AE$58</f>
        <v>76.63</v>
      </c>
      <c r="I40" s="38">
        <f>'ADJ DETAIL INPUT'!AE$81</f>
        <v>0</v>
      </c>
      <c r="J40" s="24"/>
      <c r="K40" s="103">
        <f t="shared" si="8"/>
        <v>0</v>
      </c>
      <c r="L40" s="103">
        <f t="shared" si="9"/>
        <v>0</v>
      </c>
      <c r="N40" s="106">
        <f t="shared" si="10"/>
        <v>0</v>
      </c>
      <c r="O40" s="106">
        <f t="shared" si="11"/>
        <v>0</v>
      </c>
      <c r="P40" s="384">
        <f t="shared" si="12"/>
        <v>0</v>
      </c>
      <c r="S40" s="132"/>
    </row>
    <row r="41" spans="1:28">
      <c r="A41" s="412">
        <f>'ADJ DETAIL INPUT'!AF$10</f>
        <v>3.0599999999999987</v>
      </c>
      <c r="B41" s="29" t="str">
        <f>TRIM(CONCATENATE('ADJ DETAIL INPUT'!AF$7," ",'ADJ DETAIL INPUT'!AF$8," ",'ADJ DETAIL INPUT'!AF$9))</f>
        <v>Pro Forma Employee Benefits</v>
      </c>
      <c r="C41" s="30"/>
      <c r="D41" s="30"/>
      <c r="E41" s="38">
        <v>-269.39</v>
      </c>
      <c r="F41" s="38">
        <v>0</v>
      </c>
      <c r="G41" s="38"/>
      <c r="H41" s="38">
        <f>'ADJ DETAIL INPUT'!AF$58</f>
        <v>-269.39</v>
      </c>
      <c r="I41" s="38">
        <f>'ADJ DETAIL INPUT'!AF$81</f>
        <v>0</v>
      </c>
      <c r="J41" s="24"/>
      <c r="K41" s="103">
        <f t="shared" si="8"/>
        <v>0</v>
      </c>
      <c r="L41" s="103">
        <f t="shared" si="9"/>
        <v>0</v>
      </c>
      <c r="N41" s="106">
        <f t="shared" si="10"/>
        <v>0</v>
      </c>
      <c r="O41" s="106">
        <f t="shared" si="11"/>
        <v>0</v>
      </c>
      <c r="P41" s="384">
        <f t="shared" si="12"/>
        <v>0</v>
      </c>
      <c r="S41" s="132"/>
    </row>
    <row r="42" spans="1:28" s="97" customFormat="1">
      <c r="A42" s="412">
        <f>'ADJ DETAIL INPUT'!AG$10</f>
        <v>3.0699999999999985</v>
      </c>
      <c r="B42" s="92" t="str">
        <f>TRIM(CONCATENATE('ADJ DETAIL INPUT'!AG$7," ",'ADJ DETAIL INPUT'!AG$8," ",'ADJ DETAIL INPUT'!AG$9))</f>
        <v>Pro Forma Insurance Expense</v>
      </c>
      <c r="C42" s="93"/>
      <c r="D42" s="93"/>
      <c r="E42" s="94">
        <v>-852.41</v>
      </c>
      <c r="F42" s="94">
        <v>0</v>
      </c>
      <c r="G42" s="94"/>
      <c r="H42" s="94">
        <f>'ADJ DETAIL INPUT'!AG$58</f>
        <v>-232.26</v>
      </c>
      <c r="I42" s="94">
        <f>'ADJ DETAIL INPUT'!AG$81</f>
        <v>0</v>
      </c>
      <c r="J42" s="98"/>
      <c r="K42" s="103">
        <f t="shared" si="8"/>
        <v>620.15</v>
      </c>
      <c r="L42" s="103">
        <f t="shared" si="9"/>
        <v>0</v>
      </c>
      <c r="M42" s="105"/>
      <c r="N42" s="106">
        <f t="shared" si="10"/>
        <v>-820.88732340299919</v>
      </c>
      <c r="O42" s="106">
        <f t="shared" si="11"/>
        <v>0</v>
      </c>
      <c r="P42" s="128">
        <f t="shared" si="12"/>
        <v>-820.88732340299919</v>
      </c>
      <c r="Q42" s="98"/>
      <c r="R42" s="380"/>
      <c r="S42" s="132"/>
      <c r="T42" s="380"/>
      <c r="U42" s="380"/>
      <c r="V42" s="407"/>
      <c r="W42" s="407"/>
      <c r="X42" s="407"/>
      <c r="Y42" s="407"/>
      <c r="Z42" s="407"/>
      <c r="AA42" s="407"/>
      <c r="AB42" s="407"/>
    </row>
    <row r="43" spans="1:28" s="407" customFormat="1">
      <c r="A43" s="749">
        <f>'ADJ DETAIL INPUT'!AH$10</f>
        <v>3.0799999999999983</v>
      </c>
      <c r="B43" s="430" t="str">
        <f>TRIM(CONCATENATE('ADJ DETAIL INPUT'!AH$7," ",'ADJ DETAIL INPUT'!AH$8," ",'ADJ DETAIL INPUT'!AH$9))</f>
        <v>Pro Forma IS/IT Expense</v>
      </c>
      <c r="C43" s="127"/>
      <c r="D43" s="127"/>
      <c r="E43" s="425">
        <v>-492.96000000000004</v>
      </c>
      <c r="F43" s="425">
        <v>0</v>
      </c>
      <c r="G43" s="425"/>
      <c r="H43" s="425">
        <f>'ADJ DETAIL INPUT'!AH$58</f>
        <v>-223.75723000000002</v>
      </c>
      <c r="I43" s="425">
        <f>'ADJ DETAIL INPUT'!AH$81</f>
        <v>0</v>
      </c>
      <c r="J43" s="380"/>
      <c r="K43" s="426">
        <f t="shared" si="8"/>
        <v>269.20276999999999</v>
      </c>
      <c r="L43" s="426">
        <f t="shared" si="9"/>
        <v>0</v>
      </c>
      <c r="M43" s="374"/>
      <c r="N43" s="427">
        <f t="shared" si="10"/>
        <v>-356.34143564939643</v>
      </c>
      <c r="O43" s="427">
        <f t="shared" si="11"/>
        <v>0</v>
      </c>
      <c r="P43" s="128">
        <f t="shared" si="12"/>
        <v>-356.34143564939643</v>
      </c>
      <c r="Q43" s="380"/>
      <c r="R43" s="380"/>
      <c r="S43" s="380"/>
      <c r="T43" s="380"/>
      <c r="U43" s="380"/>
    </row>
    <row r="44" spans="1:28">
      <c r="A44" s="412">
        <f>'ADJ DETAIL INPUT'!AI$10</f>
        <v>3.0899999999999981</v>
      </c>
      <c r="B44" s="29" t="str">
        <f>TRIM(CONCATENATE('ADJ DETAIL INPUT'!AI$7," ",'ADJ DETAIL INPUT'!AI$8," ",'ADJ DETAIL INPUT'!AI$9))</f>
        <v>Pro Forma Property Tax</v>
      </c>
      <c r="C44" s="30"/>
      <c r="D44" s="30"/>
      <c r="E44" s="38">
        <v>-365.77</v>
      </c>
      <c r="F44" s="38">
        <v>0</v>
      </c>
      <c r="G44" s="38"/>
      <c r="H44" s="38">
        <f>'ADJ DETAIL INPUT'!AI$58</f>
        <v>-365.77</v>
      </c>
      <c r="I44" s="38">
        <f>'ADJ DETAIL INPUT'!AI$81</f>
        <v>0</v>
      </c>
      <c r="J44" s="24"/>
      <c r="K44" s="103">
        <f t="shared" si="8"/>
        <v>0</v>
      </c>
      <c r="L44" s="103">
        <f t="shared" si="9"/>
        <v>0</v>
      </c>
      <c r="N44" s="106">
        <f t="shared" si="10"/>
        <v>0</v>
      </c>
      <c r="O44" s="106">
        <f t="shared" si="11"/>
        <v>0</v>
      </c>
      <c r="P44" s="128">
        <f t="shared" si="12"/>
        <v>0</v>
      </c>
      <c r="Q44" s="380"/>
      <c r="R44" s="380"/>
      <c r="S44" s="132"/>
    </row>
    <row r="45" spans="1:28" s="381" customFormat="1">
      <c r="A45" s="412">
        <f>'ADJ DETAIL INPUT'!AJ$10</f>
        <v>3.0999999999999979</v>
      </c>
      <c r="B45" s="92" t="str">
        <f>TRIM(CONCATENATE('ADJ DETAIL INPUT'!AJ$7," ",'ADJ DETAIL INPUT'!AJ$8," ",'ADJ DETAIL INPUT'!AJ$9))</f>
        <v>Pro Forma Fee Free Amortization</v>
      </c>
      <c r="C45" s="382"/>
      <c r="D45" s="382"/>
      <c r="E45" s="94">
        <v>-688.88</v>
      </c>
      <c r="F45" s="94">
        <v>0</v>
      </c>
      <c r="G45" s="94"/>
      <c r="H45" s="94">
        <f>'ADJ DETAIL INPUT'!AJ$58</f>
        <v>-688.88</v>
      </c>
      <c r="I45" s="94">
        <f>'ADJ DETAIL INPUT'!AJ$81</f>
        <v>0</v>
      </c>
      <c r="J45" s="380"/>
      <c r="K45" s="379">
        <f t="shared" si="8"/>
        <v>0</v>
      </c>
      <c r="L45" s="379">
        <f t="shared" si="9"/>
        <v>0</v>
      </c>
      <c r="M45" s="373"/>
      <c r="N45" s="383">
        <f t="shared" si="10"/>
        <v>0</v>
      </c>
      <c r="O45" s="383">
        <f t="shared" si="11"/>
        <v>0</v>
      </c>
      <c r="P45" s="384">
        <f t="shared" si="12"/>
        <v>0</v>
      </c>
      <c r="R45" s="407"/>
      <c r="S45" s="380"/>
      <c r="T45" s="380"/>
      <c r="U45" s="380"/>
      <c r="V45" s="407"/>
      <c r="W45" s="407"/>
      <c r="X45" s="407"/>
      <c r="Y45" s="407"/>
      <c r="Z45" s="407"/>
      <c r="AA45" s="407"/>
      <c r="AB45" s="407"/>
    </row>
    <row r="46" spans="1:28" s="96" customFormat="1">
      <c r="A46" s="412">
        <f>'ADJ DETAIL INPUT'!AK$10</f>
        <v>3.1099999999999977</v>
      </c>
      <c r="B46" s="92" t="str">
        <f>TRIM(CONCATENATE('ADJ DETAIL INPUT'!AK$7," ",'ADJ DETAIL INPUT'!AK$8," ",'ADJ DETAIL INPUT'!AK$9))</f>
        <v>Pro Forma 2020 Customer At Center</v>
      </c>
      <c r="C46" s="93"/>
      <c r="D46" s="93"/>
      <c r="E46" s="94">
        <v>-440.60701599999999</v>
      </c>
      <c r="F46" s="94">
        <v>2923</v>
      </c>
      <c r="G46" s="94"/>
      <c r="H46" s="94">
        <f>'ADJ DETAIL INPUT'!AK$58</f>
        <v>0</v>
      </c>
      <c r="I46" s="94">
        <f>'ADJ DETAIL INPUT'!AK$81</f>
        <v>0</v>
      </c>
      <c r="J46" s="95"/>
      <c r="K46" s="103">
        <f t="shared" si="8"/>
        <v>440.60701599999999</v>
      </c>
      <c r="L46" s="103">
        <f t="shared" si="9"/>
        <v>-2923</v>
      </c>
      <c r="M46" s="12"/>
      <c r="N46" s="106">
        <f t="shared" si="10"/>
        <v>-583.22779011017087</v>
      </c>
      <c r="O46" s="106">
        <f t="shared" si="11"/>
        <v>-271.2274459503642</v>
      </c>
      <c r="P46" s="128">
        <f t="shared" si="12"/>
        <v>-854.45523606053507</v>
      </c>
      <c r="Q46" s="380"/>
      <c r="R46" s="380"/>
      <c r="S46" s="380"/>
      <c r="T46" s="380"/>
      <c r="U46" s="380"/>
      <c r="V46" s="407"/>
      <c r="W46" s="407"/>
      <c r="X46" s="407"/>
      <c r="Y46" s="407"/>
      <c r="Z46" s="407"/>
      <c r="AA46" s="407"/>
      <c r="AB46" s="407"/>
    </row>
    <row r="47" spans="1:28" s="407" customFormat="1">
      <c r="A47" s="412">
        <f>'ADJ DETAIL INPUT'!AL$10</f>
        <v>3.1199999999999974</v>
      </c>
      <c r="B47" s="92" t="str">
        <f>TRIM(CONCATENATE('ADJ DETAIL INPUT'!AL$7," ",'ADJ DETAIL INPUT'!AL$8," ",'ADJ DETAIL INPUT'!AL$9))</f>
        <v>Pro Forma 2020 Large &amp; Distinct</v>
      </c>
      <c r="C47" s="382"/>
      <c r="D47" s="382"/>
      <c r="E47" s="94">
        <v>-109.84345845262962</v>
      </c>
      <c r="F47" s="94">
        <v>7190.9119529181771</v>
      </c>
      <c r="G47" s="94"/>
      <c r="H47" s="94">
        <f>'ADJ DETAIL INPUT'!AL$58</f>
        <v>0</v>
      </c>
      <c r="I47" s="94">
        <f>'ADJ DETAIL INPUT'!AL$81</f>
        <v>0</v>
      </c>
      <c r="J47" s="380"/>
      <c r="K47" s="379">
        <f t="shared" si="8"/>
        <v>109.84345845262962</v>
      </c>
      <c r="L47" s="379">
        <f t="shared" si="9"/>
        <v>-7190.9119529181771</v>
      </c>
      <c r="M47" s="404"/>
      <c r="N47" s="383">
        <f t="shared" si="10"/>
        <v>-145.39885931227553</v>
      </c>
      <c r="O47" s="383">
        <f t="shared" si="11"/>
        <v>-667.25031920764377</v>
      </c>
      <c r="P47" s="128">
        <f t="shared" si="12"/>
        <v>-812.64917851991936</v>
      </c>
      <c r="Q47" s="380"/>
      <c r="R47" s="380"/>
      <c r="S47" s="380"/>
      <c r="T47" s="380"/>
      <c r="U47" s="380"/>
    </row>
    <row r="48" spans="1:28" s="407" customFormat="1">
      <c r="A48" s="412">
        <f>'ADJ DETAIL INPUT'!AM$10</f>
        <v>3.1299999999999972</v>
      </c>
      <c r="B48" s="92" t="str">
        <f>TRIM(CONCATENATE('ADJ DETAIL INPUT'!AM$7," ",'ADJ DETAIL INPUT'!AM$8," ",'ADJ DETAIL INPUT'!AM$9))</f>
        <v>Pro Forma 2020 Programmatic</v>
      </c>
      <c r="C48" s="382"/>
      <c r="D48" s="382"/>
      <c r="E48" s="94">
        <v>-143.41002744296398</v>
      </c>
      <c r="F48" s="94">
        <v>7194.2062362378601</v>
      </c>
      <c r="G48" s="94"/>
      <c r="H48" s="94">
        <f>'ADJ DETAIL INPUT'!AM$58</f>
        <v>0</v>
      </c>
      <c r="I48" s="94">
        <f>'ADJ DETAIL INPUT'!AM$81</f>
        <v>0</v>
      </c>
      <c r="J48" s="380"/>
      <c r="K48" s="379">
        <f t="shared" si="8"/>
        <v>143.41002744296398</v>
      </c>
      <c r="L48" s="379">
        <f t="shared" si="9"/>
        <v>-7194.2062362378601</v>
      </c>
      <c r="M48" s="404"/>
      <c r="N48" s="383">
        <f t="shared" si="10"/>
        <v>-189.83064351657723</v>
      </c>
      <c r="O48" s="383">
        <f t="shared" si="11"/>
        <v>-667.55599832192172</v>
      </c>
      <c r="P48" s="128">
        <f t="shared" si="12"/>
        <v>-857.38664183849892</v>
      </c>
      <c r="Q48" s="380"/>
      <c r="R48" s="380"/>
      <c r="S48" s="380"/>
      <c r="T48" s="380"/>
      <c r="U48" s="380"/>
    </row>
    <row r="49" spans="1:28" s="407" customFormat="1">
      <c r="A49" s="412">
        <f>'ADJ DETAIL INPUT'!AN$10</f>
        <v>3.139999999999997</v>
      </c>
      <c r="B49" s="92" t="str">
        <f>TRIM(CONCATENATE('ADJ DETAIL INPUT'!AN$7," ",'ADJ DETAIL INPUT'!AN$8," ",'ADJ DETAIL INPUT'!AN$9))</f>
        <v>Pro Forma 2020 Mandatory &amp; Compliance</v>
      </c>
      <c r="C49" s="382"/>
      <c r="D49" s="382"/>
      <c r="E49" s="94">
        <v>-149.81764786103145</v>
      </c>
      <c r="F49" s="94">
        <v>13123.009516868151</v>
      </c>
      <c r="G49" s="94"/>
      <c r="H49" s="94">
        <f>'ADJ DETAIL INPUT'!AN$58</f>
        <v>0</v>
      </c>
      <c r="I49" s="94">
        <f>'ADJ DETAIL INPUT'!AN$81</f>
        <v>0</v>
      </c>
      <c r="J49" s="380"/>
      <c r="K49" s="379">
        <f t="shared" si="8"/>
        <v>149.81764786103145</v>
      </c>
      <c r="L49" s="379">
        <f t="shared" si="9"/>
        <v>-13123.009516868151</v>
      </c>
      <c r="M49" s="404"/>
      <c r="N49" s="383">
        <f t="shared" si="10"/>
        <v>-198.31235660916741</v>
      </c>
      <c r="O49" s="383">
        <f t="shared" si="11"/>
        <v>-1217.6942711058746</v>
      </c>
      <c r="P49" s="128">
        <f t="shared" si="12"/>
        <v>-1416.006627715042</v>
      </c>
      <c r="Q49" s="380"/>
      <c r="R49" s="380"/>
      <c r="S49" s="380"/>
      <c r="T49" s="380"/>
      <c r="U49" s="380"/>
    </row>
    <row r="50" spans="1:28" s="407" customFormat="1">
      <c r="A50" s="412">
        <f>'ADJ DETAIL INPUT'!AO$10</f>
        <v>3.1499999999999968</v>
      </c>
      <c r="B50" s="92" t="str">
        <f>TRIM(CONCATENATE('ADJ DETAIL INPUT'!AO$7," ",'ADJ DETAIL INPUT'!AO$8," ",'ADJ DETAIL INPUT'!AO$9))</f>
        <v>Pro Forma 2020 Short Lived</v>
      </c>
      <c r="C50" s="382"/>
      <c r="D50" s="382"/>
      <c r="E50" s="94">
        <v>-489.43113600000004</v>
      </c>
      <c r="F50" s="94">
        <v>3408</v>
      </c>
      <c r="G50" s="94"/>
      <c r="H50" s="94">
        <f>'ADJ DETAIL INPUT'!AO$58</f>
        <v>0</v>
      </c>
      <c r="I50" s="94">
        <f>'ADJ DETAIL INPUT'!AO$81</f>
        <v>0</v>
      </c>
      <c r="J50" s="380"/>
      <c r="K50" s="379">
        <f t="shared" si="8"/>
        <v>489.43113600000004</v>
      </c>
      <c r="L50" s="379">
        <f t="shared" si="9"/>
        <v>-3408</v>
      </c>
      <c r="M50" s="404"/>
      <c r="N50" s="383">
        <f t="shared" si="10"/>
        <v>-647.85586587298121</v>
      </c>
      <c r="O50" s="383">
        <f t="shared" si="11"/>
        <v>-316.2309735883822</v>
      </c>
      <c r="P50" s="128">
        <f t="shared" si="12"/>
        <v>-964.08683946136341</v>
      </c>
      <c r="Q50" s="380"/>
      <c r="R50" s="380"/>
      <c r="S50" s="380"/>
      <c r="T50" s="380"/>
      <c r="U50" s="380"/>
    </row>
    <row r="51" spans="1:28" s="407" customFormat="1">
      <c r="A51" s="412">
        <f>'ADJ DETAIL INPUT'!AP$10</f>
        <v>3.1599999999999966</v>
      </c>
      <c r="B51" s="92" t="str">
        <f>TRIM(CONCATENATE('ADJ DETAIL INPUT'!AP$7," ",'ADJ DETAIL INPUT'!AP$8," ",'ADJ DETAIL INPUT'!AP$9))</f>
        <v>Pro Forma AMI Capital Adds</v>
      </c>
      <c r="C51" s="382"/>
      <c r="D51" s="382"/>
      <c r="E51" s="94">
        <v>-2550.4501439999999</v>
      </c>
      <c r="F51" s="94">
        <v>35432</v>
      </c>
      <c r="G51" s="94"/>
      <c r="H51" s="94">
        <f>'ADJ DETAIL INPUT'!AP$58</f>
        <v>-4390.9922848061815</v>
      </c>
      <c r="I51" s="94">
        <f>'ADJ DETAIL INPUT'!AP$81</f>
        <v>-4400.5198845833329</v>
      </c>
      <c r="J51" s="380"/>
      <c r="K51" s="379">
        <f t="shared" si="8"/>
        <v>-1840.5421408061816</v>
      </c>
      <c r="L51" s="379">
        <f t="shared" si="9"/>
        <v>-39832.519884583337</v>
      </c>
      <c r="M51" s="404"/>
      <c r="N51" s="383">
        <f t="shared" si="10"/>
        <v>2436.3101049372126</v>
      </c>
      <c r="O51" s="383">
        <f t="shared" si="11"/>
        <v>-3696.0905350881403</v>
      </c>
      <c r="P51" s="128">
        <f t="shared" si="12"/>
        <v>-1259.7804301509277</v>
      </c>
      <c r="Q51" s="380"/>
      <c r="R51" s="380"/>
      <c r="S51" s="380"/>
      <c r="T51" s="380"/>
      <c r="U51" s="380"/>
    </row>
    <row r="52" spans="1:28" s="407" customFormat="1">
      <c r="A52" s="412">
        <f>'ADJ DETAIL INPUT'!AQ$10</f>
        <v>3.1699999999999964</v>
      </c>
      <c r="B52" s="92" t="str">
        <f>TRIM(CONCATENATE('ADJ DETAIL INPUT'!AQ$7," ",'ADJ DETAIL INPUT'!AQ$8," ",'ADJ DETAIL INPUT'!AQ$9))</f>
        <v>Pro Forma LEAP Deferral Amortization</v>
      </c>
      <c r="C52" s="382"/>
      <c r="D52" s="382"/>
      <c r="E52" s="94">
        <v>-1245.1184720000001</v>
      </c>
      <c r="F52" s="94">
        <v>-3959</v>
      </c>
      <c r="G52" s="94"/>
      <c r="H52" s="94">
        <f>'ADJ DETAIL INPUT'!AQ$58</f>
        <v>-1244.8690550000001</v>
      </c>
      <c r="I52" s="94">
        <f>'ADJ DETAIL INPUT'!AQ$81</f>
        <v>-3959</v>
      </c>
      <c r="J52" s="380"/>
      <c r="K52" s="379">
        <f t="shared" si="8"/>
        <v>0.249416999999994</v>
      </c>
      <c r="L52" s="379">
        <f t="shared" si="9"/>
        <v>0</v>
      </c>
      <c r="M52" s="404"/>
      <c r="N52" s="383">
        <f t="shared" si="10"/>
        <v>-0.33015117881351436</v>
      </c>
      <c r="O52" s="383">
        <f t="shared" si="11"/>
        <v>0</v>
      </c>
      <c r="P52" s="128">
        <f t="shared" si="12"/>
        <v>-0.33015117881351436</v>
      </c>
      <c r="Q52" s="380"/>
      <c r="R52" s="380"/>
      <c r="S52" s="380"/>
      <c r="T52" s="380"/>
      <c r="U52" s="380"/>
    </row>
    <row r="53" spans="1:28" s="96" customFormat="1" ht="11.25" customHeight="1">
      <c r="A53" s="412">
        <f>'ADJ DETAIL INPUT'!AR$10</f>
        <v>3.1799999999999962</v>
      </c>
      <c r="B53" s="92" t="str">
        <f>TRIM(CONCATENATE('ADJ DETAIL INPUT'!AR$7," ",'ADJ DETAIL INPUT'!AR$8," ",'ADJ DETAIL INPUT'!AR$9))</f>
        <v>Restate 2019 ADFIT</v>
      </c>
      <c r="C53" s="93"/>
      <c r="D53" s="93"/>
      <c r="E53" s="94">
        <v>-79.307423999999997</v>
      </c>
      <c r="F53" s="94">
        <v>-15228</v>
      </c>
      <c r="G53" s="94"/>
      <c r="H53" s="94">
        <f>'ADJ DETAIL INPUT'!AR$58</f>
        <v>-78.348060000000004</v>
      </c>
      <c r="I53" s="94">
        <f>'ADJ DETAIL INPUT'!AR$81</f>
        <v>-15228</v>
      </c>
      <c r="J53" s="95"/>
      <c r="K53" s="103">
        <f t="shared" si="8"/>
        <v>0.95936399999999367</v>
      </c>
      <c r="L53" s="103">
        <f t="shared" si="9"/>
        <v>0</v>
      </c>
      <c r="M53" s="12"/>
      <c r="N53" s="106">
        <f t="shared" si="10"/>
        <v>-1.2699020335873414</v>
      </c>
      <c r="O53" s="106">
        <f t="shared" si="11"/>
        <v>0</v>
      </c>
      <c r="P53" s="128">
        <f t="shared" si="12"/>
        <v>-1.2699020335873414</v>
      </c>
      <c r="Q53" s="380"/>
      <c r="R53" s="380"/>
      <c r="S53" s="380"/>
      <c r="T53" s="380"/>
      <c r="U53" s="380"/>
      <c r="V53" s="407"/>
      <c r="W53" s="407"/>
      <c r="X53" s="407"/>
      <c r="Y53" s="407"/>
      <c r="Z53" s="407"/>
      <c r="AA53" s="407"/>
      <c r="AB53" s="407"/>
    </row>
    <row r="54" spans="1:28" s="381" customFormat="1" hidden="1">
      <c r="A54" s="412">
        <f>'ADJ DETAIL INPUT'!AX$10</f>
        <v>7.02</v>
      </c>
      <c r="B54" s="92" t="str">
        <f>TRIM(CONCATENATE('ADJ DETAIL INPUT'!AX$7," ",'ADJ DETAIL INPUT'!AX$8," ",'ADJ DETAIL INPUT'!AX$9))</f>
        <v>Pro Forma Open</v>
      </c>
      <c r="C54" s="382"/>
      <c r="D54" s="382"/>
      <c r="E54" s="94"/>
      <c r="F54" s="94"/>
      <c r="G54" s="94"/>
      <c r="H54" s="94">
        <f>'ADJ DETAIL INPUT'!AX$58</f>
        <v>0</v>
      </c>
      <c r="I54" s="94">
        <f>'ADJ DETAIL INPUT'!AX$81</f>
        <v>0</v>
      </c>
      <c r="J54" s="380"/>
      <c r="K54" s="379">
        <f t="shared" si="8"/>
        <v>0</v>
      </c>
      <c r="L54" s="379">
        <f t="shared" si="9"/>
        <v>0</v>
      </c>
      <c r="M54" s="373"/>
      <c r="N54" s="383">
        <f t="shared" si="10"/>
        <v>0</v>
      </c>
      <c r="O54" s="383">
        <f t="shared" si="11"/>
        <v>0</v>
      </c>
      <c r="P54" s="128">
        <f t="shared" si="12"/>
        <v>0</v>
      </c>
      <c r="Q54" s="380"/>
      <c r="R54" s="380"/>
      <c r="S54" s="380"/>
      <c r="T54" s="380"/>
      <c r="U54" s="380"/>
      <c r="V54" s="407"/>
      <c r="W54" s="407"/>
      <c r="X54" s="407"/>
      <c r="Y54" s="407"/>
      <c r="Z54" s="407"/>
      <c r="AA54" s="407"/>
      <c r="AB54" s="407"/>
    </row>
    <row r="55" spans="1:28" s="96" customFormat="1" hidden="1">
      <c r="A55" s="412"/>
      <c r="B55" s="92"/>
      <c r="C55" s="93"/>
      <c r="D55" s="93"/>
      <c r="E55" s="31"/>
      <c r="F55" s="31"/>
      <c r="G55" s="94"/>
      <c r="H55" s="94"/>
      <c r="I55" s="94"/>
      <c r="J55" s="95"/>
      <c r="K55" s="103"/>
      <c r="L55" s="103"/>
      <c r="M55" s="12"/>
      <c r="N55" s="106"/>
      <c r="O55" s="106"/>
      <c r="P55" s="384"/>
      <c r="R55" s="407"/>
      <c r="S55" s="380"/>
      <c r="T55" s="380"/>
      <c r="U55" s="380"/>
      <c r="V55" s="407"/>
      <c r="W55" s="407"/>
      <c r="X55" s="407"/>
      <c r="Y55" s="407"/>
      <c r="Z55" s="407"/>
      <c r="AA55" s="407"/>
      <c r="AB55" s="407"/>
    </row>
    <row r="56" spans="1:28" ht="16.5" customHeight="1" thickBot="1">
      <c r="A56" s="412"/>
      <c r="B56" s="12" t="s">
        <v>123</v>
      </c>
      <c r="E56" s="36">
        <f>SUM(E34:E55)</f>
        <v>23639.812503432564</v>
      </c>
      <c r="F56" s="36">
        <f>SUM(F34:F55)</f>
        <v>448205.65097583801</v>
      </c>
      <c r="G56" s="109"/>
      <c r="H56" s="36">
        <f>SUM(H34:H55)</f>
        <v>23998.433322417004</v>
      </c>
      <c r="I56" s="36">
        <f>SUM(I34:I55)</f>
        <v>374534.00338523055</v>
      </c>
      <c r="J56" s="24"/>
      <c r="K56" s="36">
        <f>SUM(K34:K55)</f>
        <v>358.62081898444529</v>
      </c>
      <c r="L56" s="36">
        <f>SUM(L34:L55)</f>
        <v>-73671.647590607521</v>
      </c>
      <c r="M56" s="109"/>
      <c r="N56" s="36">
        <f>SUM(N34:N55)</f>
        <v>-474.7033527577729</v>
      </c>
      <c r="O56" s="36">
        <f>SUM(O34:O55)</f>
        <v>-6836.0495432623266</v>
      </c>
      <c r="P56" s="380"/>
      <c r="Q56" s="95"/>
      <c r="R56" s="380"/>
      <c r="S56" s="133"/>
      <c r="T56" s="434"/>
      <c r="V56" s="374"/>
    </row>
    <row r="57" spans="1:28" ht="19.5" customHeight="1" thickTop="1">
      <c r="A57" s="35"/>
      <c r="D57" s="33"/>
      <c r="E57" s="33"/>
      <c r="H57" s="134"/>
      <c r="I57" s="134"/>
      <c r="J57" s="24"/>
      <c r="K57" s="103"/>
      <c r="L57" s="103"/>
      <c r="O57" s="23">
        <f>N56+O56</f>
        <v>-7310.7528960200998</v>
      </c>
      <c r="P57" s="380"/>
      <c r="Q57" s="95"/>
      <c r="R57" s="380"/>
      <c r="S57" s="380"/>
      <c r="V57" s="374"/>
    </row>
    <row r="58" spans="1:28">
      <c r="A58" s="35"/>
      <c r="D58" s="33"/>
      <c r="E58" s="33"/>
      <c r="H58" s="33"/>
      <c r="J58" s="24"/>
      <c r="K58" s="89"/>
      <c r="O58" s="23"/>
      <c r="P58" s="380"/>
      <c r="Q58" s="95"/>
      <c r="R58" s="380"/>
      <c r="S58" s="380"/>
      <c r="V58" s="374"/>
    </row>
    <row r="59" spans="1:28" ht="19.5" customHeight="1">
      <c r="A59" s="413"/>
      <c r="B59" s="92"/>
      <c r="D59" s="33"/>
      <c r="E59" s="33"/>
      <c r="F59" s="34"/>
      <c r="H59" s="33"/>
      <c r="I59" s="435"/>
      <c r="J59" s="24"/>
      <c r="K59" s="90"/>
      <c r="N59" s="108" t="s">
        <v>179</v>
      </c>
      <c r="O59" s="429"/>
      <c r="P59" s="380"/>
      <c r="Q59" s="95"/>
      <c r="R59" s="380"/>
      <c r="S59" s="128"/>
      <c r="V59" s="374"/>
    </row>
    <row r="60" spans="1:28" ht="13.5" thickBot="1">
      <c r="A60" s="91"/>
      <c r="B60" s="29"/>
      <c r="D60" s="33"/>
      <c r="E60" s="33"/>
      <c r="F60" s="34"/>
      <c r="H60" s="33"/>
      <c r="J60" s="24"/>
      <c r="N60" s="108" t="s">
        <v>168</v>
      </c>
      <c r="O60" s="126">
        <f>O57+O59+O58</f>
        <v>-7310.7528960200998</v>
      </c>
      <c r="P60" s="380"/>
      <c r="Q60" s="95"/>
      <c r="R60" s="129"/>
      <c r="S60" s="380"/>
      <c r="V60" s="374"/>
    </row>
    <row r="61" spans="1:28" ht="13.5" thickTop="1">
      <c r="A61" s="28"/>
      <c r="B61" s="29"/>
      <c r="D61" s="33"/>
      <c r="E61" s="33"/>
      <c r="F61" s="34"/>
      <c r="H61" s="33"/>
      <c r="J61" s="24"/>
      <c r="N61" s="108" t="s">
        <v>170</v>
      </c>
      <c r="O61" s="429">
        <v>12790</v>
      </c>
      <c r="P61" s="380"/>
      <c r="Q61" s="95"/>
      <c r="R61" s="380"/>
      <c r="S61" s="380"/>
      <c r="V61" s="374"/>
    </row>
    <row r="62" spans="1:28">
      <c r="A62" s="28"/>
      <c r="B62" s="29"/>
      <c r="D62" s="33"/>
      <c r="E62" s="33"/>
      <c r="F62" s="34"/>
      <c r="H62" s="33"/>
      <c r="J62" s="24"/>
      <c r="N62" s="108" t="s">
        <v>171</v>
      </c>
      <c r="O62" s="131">
        <f>O61+O60</f>
        <v>5479.2471039799002</v>
      </c>
      <c r="P62" s="380"/>
      <c r="Q62" s="95"/>
      <c r="R62" s="380"/>
      <c r="S62" s="380"/>
      <c r="V62" s="374"/>
    </row>
    <row r="63" spans="1:28">
      <c r="A63" s="28"/>
      <c r="B63" s="29"/>
      <c r="D63" s="33"/>
      <c r="H63" s="33"/>
      <c r="J63" s="24"/>
      <c r="N63" s="130"/>
      <c r="O63" s="128" t="s">
        <v>175</v>
      </c>
      <c r="P63" s="380"/>
      <c r="Q63" s="95"/>
      <c r="R63" s="130"/>
      <c r="S63" s="380"/>
      <c r="V63" s="374"/>
    </row>
    <row r="64" spans="1:28">
      <c r="A64" s="13"/>
      <c r="D64" s="33"/>
      <c r="E64" s="33"/>
      <c r="F64" s="123"/>
      <c r="H64" s="33"/>
      <c r="J64" s="24"/>
      <c r="N64" s="130"/>
      <c r="O64" s="128"/>
      <c r="P64" s="380"/>
      <c r="Q64" s="95"/>
      <c r="R64" s="130"/>
      <c r="S64" s="380"/>
      <c r="V64" s="374"/>
    </row>
    <row r="65" spans="1:22">
      <c r="A65" s="13"/>
      <c r="D65" s="33"/>
      <c r="E65" s="33"/>
      <c r="F65" s="34"/>
      <c r="H65" s="33"/>
      <c r="J65" s="24"/>
      <c r="N65" s="95"/>
      <c r="O65" s="128"/>
      <c r="P65" s="380"/>
      <c r="Q65" s="95"/>
      <c r="R65" s="380"/>
      <c r="S65" s="380"/>
      <c r="V65" s="374"/>
    </row>
    <row r="66" spans="1:22">
      <c r="A66" s="13"/>
      <c r="D66" s="33"/>
      <c r="E66" s="33"/>
      <c r="H66" s="33"/>
      <c r="J66" s="24"/>
      <c r="N66" s="95"/>
      <c r="O66" s="128">
        <f>'RR SUMMARY'!F23</f>
        <v>5074.5358200000001</v>
      </c>
      <c r="P66" s="128">
        <f>O62-O66</f>
        <v>404.71128397990014</v>
      </c>
      <c r="S66" s="380"/>
    </row>
    <row r="67" spans="1:22">
      <c r="A67" s="13"/>
      <c r="J67" s="24"/>
      <c r="N67" s="95"/>
      <c r="O67" s="128"/>
      <c r="P67" s="380"/>
      <c r="S67" s="380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10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D69C18-E062-4599-B6BE-A9F3F38CA853}"/>
</file>

<file path=customXml/itemProps2.xml><?xml version="1.0" encoding="utf-8"?>
<ds:datastoreItem xmlns:ds="http://schemas.openxmlformats.org/officeDocument/2006/customXml" ds:itemID="{991C1D65-DB66-4F98-9648-B17DA555500C}"/>
</file>

<file path=customXml/itemProps3.xml><?xml version="1.0" encoding="utf-8"?>
<ds:datastoreItem xmlns:ds="http://schemas.openxmlformats.org/officeDocument/2006/customXml" ds:itemID="{8E0EDA6C-6FF5-451D-8800-48EB2F7D4587}"/>
</file>

<file path=customXml/itemProps4.xml><?xml version="1.0" encoding="utf-8"?>
<ds:datastoreItem xmlns:ds="http://schemas.openxmlformats.org/officeDocument/2006/customXml" ds:itemID="{1821EBAF-997F-47D0-BF8D-B2DD28D05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Exh. No. BGM-4 (1)</vt:lpstr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'Exh. No. BGM-4 (1)'!Print_Area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'Exh. No. BGM-4 (1)'!Print_Titles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IFG</cp:lastModifiedBy>
  <cp:lastPrinted>2020-10-23T19:03:46Z</cp:lastPrinted>
  <dcterms:created xsi:type="dcterms:W3CDTF">1997-05-15T21:41:44Z</dcterms:created>
  <dcterms:modified xsi:type="dcterms:W3CDTF">2021-06-30T13:16:07Z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